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drawings/drawing5.xml" ContentType="application/vnd.openxmlformats-officedocument.drawing+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drawings/drawing7.xml" ContentType="application/vnd.openxmlformats-officedocument.drawing+xml"/>
  <Override PartName="/xl/ctrlProps/ctrlProp4.xml" ContentType="application/vnd.ms-excel.controlproperties+xml"/>
  <Override PartName="/xl/drawings/drawing8.xml" ContentType="application/vnd.openxmlformats-officedocument.drawing+xml"/>
  <Override PartName="/xl/ctrlProps/ctrlProp5.xml" ContentType="application/vnd.ms-excel.controlproperties+xml"/>
  <Override PartName="/xl/drawings/drawing9.xml" ContentType="application/vnd.openxmlformats-officedocument.drawing+xml"/>
  <Override PartName="/xl/ctrlProps/ctrlProp6.xml" ContentType="application/vnd.ms-excel.controlproperties+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charts/chart2.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4.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https://weadviseurs.sharepoint.com/sites/WE-TeamCOPI/Gedeelde documenten/5. Instrumenten/UMGO/02. MODEL/UMGO 5 - opgeleverde versies/"/>
    </mc:Choice>
  </mc:AlternateContent>
  <xr:revisionPtr revIDLastSave="0" documentId="8_{911D0C4D-9500-4FF8-8556-728726AF3937}" xr6:coauthVersionLast="47" xr6:coauthVersionMax="47" xr10:uidLastSave="{00000000-0000-0000-0000-000000000000}"/>
  <workbookProtection workbookAlgorithmName="SHA-512" workbookHashValue="HGHhenVGD7q1FJeBzT6WS5SJIdYDz4v24bWEdseP0qdAC6IzvaH1yEQjOQqWCWFvMJuaLrbQ1zQg1J6e0tCYoA==" workbookSaltValue="qXvAiKK40P3MmkpR4eX26w==" workbookSpinCount="100000" lockStructure="1"/>
  <bookViews>
    <workbookView xWindow="810" yWindow="-120" windowWidth="28110" windowHeight="16440" tabRatio="784" xr2:uid="{782E92A4-2970-4A9C-BB2F-4E0CA0B1FFA4}"/>
  </bookViews>
  <sheets>
    <sheet name="disclaimer" sheetId="15" r:id="rId1"/>
    <sheet name="handleiding" sheetId="30" r:id="rId2"/>
    <sheet name="woningen|utiliteit" sheetId="43" r:id="rId3"/>
    <sheet name="variant 1" sheetId="55" r:id="rId4"/>
    <sheet name="variant 2" sheetId="103" r:id="rId5"/>
    <sheet name="variant 3" sheetId="104" r:id="rId6"/>
    <sheet name="variant 4" sheetId="105" r:id="rId7"/>
    <sheet name="variant 5" sheetId="106" r:id="rId8"/>
    <sheet name="variant 6" sheetId="107" r:id="rId9"/>
    <sheet name="resultaten" sheetId="23" r:id="rId10"/>
    <sheet name="bibliotheek" sheetId="24" r:id="rId11"/>
    <sheet name="wijzigingen 5.0" sheetId="51" r:id="rId12"/>
    <sheet name="Warmtebehoefte algemeen" sheetId="61" r:id="rId13"/>
  </sheets>
  <definedNames>
    <definedName name="_xlnm._FilterDatabase" localSheetId="10" hidden="1">bibliotheek!$B$8:$B$551</definedName>
    <definedName name="_xlnm._FilterDatabase" localSheetId="9" hidden="1">resultaten!$B$8:$B$248</definedName>
    <definedName name="_xlnm._FilterDatabase" localSheetId="3" hidden="1">'variant 1'!$B$8:$C$320</definedName>
    <definedName name="_xlnm._FilterDatabase" localSheetId="4" hidden="1">'variant 2'!$B$8:$C$320</definedName>
    <definedName name="_xlnm._FilterDatabase" localSheetId="5" hidden="1">'variant 3'!$B$8:$C$320</definedName>
    <definedName name="_xlnm._FilterDatabase" localSheetId="6" hidden="1">'variant 4'!$B$8:$C$320</definedName>
    <definedName name="_xlnm._FilterDatabase" localSheetId="7" hidden="1">'variant 5'!$B$8:$C$320</definedName>
    <definedName name="_xlnm._FilterDatabase" localSheetId="8" hidden="1">'variant 6'!$B$8:$C$320</definedName>
    <definedName name="_xlnm._FilterDatabase" localSheetId="2" hidden="1">'woningen|utiliteit'!$B$7:$B$70</definedName>
    <definedName name="aardgas">bibliotheek!$K$221</definedName>
    <definedName name="_xlnm.Print_Area" localSheetId="10">bibliotheek!$E$46:$AG$550</definedName>
    <definedName name="_xlnm.Print_Area" localSheetId="0">disclaimer!$E$4:$F$51</definedName>
    <definedName name="_xlnm.Print_Area" localSheetId="1">handleiding!$C$2:$C$39</definedName>
    <definedName name="_xlnm.Print_Area" localSheetId="9">resultaten!$E$1:$R$245</definedName>
    <definedName name="_xlnm.Print_Area" localSheetId="3">'variant 1'!$C$1:$BH$320</definedName>
    <definedName name="_xlnm.Print_Area" localSheetId="4">'variant 2'!$C$1:$BH$320</definedName>
    <definedName name="_xlnm.Print_Area" localSheetId="5">'variant 3'!$C$1:$BH$320</definedName>
    <definedName name="_xlnm.Print_Area" localSheetId="6">'variant 4'!$C$1:$BH$320</definedName>
    <definedName name="_xlnm.Print_Area" localSheetId="7">'variant 5'!$C$1:$BH$320</definedName>
    <definedName name="_xlnm.Print_Area" localSheetId="8">'variant 6'!$C$1:$BH$320</definedName>
    <definedName name="_xlnm.Print_Area" localSheetId="11">'wijzigingen 5.0'!$C$1:$T$27</definedName>
    <definedName name="_xlnm.Print_Titles" localSheetId="10">bibliotheek!$2:$7</definedName>
    <definedName name="_xlnm.Print_Titles" localSheetId="1">handleiding!$2:$3</definedName>
    <definedName name="_xlnm.Print_Titles" localSheetId="11">'wijzigingen 5.0'!$2:$4</definedName>
    <definedName name="aftapwarmte">bibliotheek!$L$221</definedName>
    <definedName name="BENG_gebruiksfuncties">bibliotheek!$E$469:$U$469</definedName>
    <definedName name="BENG1_eis_Als_deeldoor_Ag_kleiner_dan_grenswaarde_1">bibliotheek!$E$474:$U$474</definedName>
    <definedName name="BENG1_eis_C1">bibliotheek!$E$476:$U$476</definedName>
    <definedName name="BENG1_eis_C2">bibliotheek!$E$477:$U$477</definedName>
    <definedName name="BENG1_eis_C3">bibliotheek!$E$478:$U$478</definedName>
    <definedName name="BENG1_eis_C4">bibliotheek!$E$480:$U$480</definedName>
    <definedName name="BENG1_eis_C5">bibliotheek!$E$481:$U$481</definedName>
    <definedName name="BENG1_eis_C6">bibliotheek!$E$482:$U$482</definedName>
    <definedName name="BENG1_eis_grenswaarde_1">bibliotheek!$E$471:$U$471</definedName>
    <definedName name="BENG1_eis_grenswaarde_2">bibliotheek!$E$472:$U$472</definedName>
    <definedName name="BENG2_eis">bibliotheek!$E$484:$U$484</definedName>
    <definedName name="BENG3_eis">bibliotheek!$E$489:$U$489</definedName>
    <definedName name="bestaand">bibliotheek!$I$541</definedName>
    <definedName name="bestaand_nieuw">bibliotheek!$I$541:$I$542</definedName>
    <definedName name="bijdrage_thermische_zonne_energie_RV">bibliotheek!$I$204</definedName>
    <definedName name="bijdrage_thermische_zonne_energie_TAP">bibliotheek!$I$203</definedName>
    <definedName name="biomassa">bibliotheek!$O$221</definedName>
    <definedName name="bioolie">bibliotheek!$N$221</definedName>
    <definedName name="centraal">bibliotheek!$K$538</definedName>
    <definedName name="correctiefactor_C1">bibliotheek!$I$279</definedName>
    <definedName name="correctiefactor_C2">bibliotheek!$I$280</definedName>
    <definedName name="Correctiefactoren">bibliotheek!$E$278:$U$280</definedName>
    <definedName name="eindnorm_utiliteit_energielabel">bibliotheek!$I$486:$T$486</definedName>
    <definedName name="elektriciteit">bibliotheek!$J$221</definedName>
    <definedName name="elektriciteit_primaire_energiefactor">bibliotheek!$E$261:$S$266</definedName>
    <definedName name="energiedrager_elektriciteit_CO2_emissiecoëfficiënt">bibliotheek!$E$264:$S$264</definedName>
    <definedName name="energiedrager_elektriciteit_CO2_emissiecoëfficiënt_export">bibliotheek!$E$265:$S$265</definedName>
    <definedName name="energiedrager_elektriciteit_kopregel">bibliotheek!$E$261:$S$261</definedName>
    <definedName name="ENERGIEDRAGERS">bibliotheek!$E$221:$AN$226</definedName>
    <definedName name="energiedragers_CO2_emissiefactor">bibliotheek!$E$224:$AN$224</definedName>
    <definedName name="energiedragers_fPren">bibliotheek!$H$232:$AN$232</definedName>
    <definedName name="energiedragers_gebouwaansluiting">bibliotheek!$I$536:$L$536</definedName>
    <definedName name="energiedragers_geschikt_voor_KOEL">bibliotheek!$H$239:$AN$239</definedName>
    <definedName name="energiedragers_geschikt_voor_RV">bibliotheek!$H$238:$AN$238</definedName>
    <definedName name="energiedragers_geschikt_voor_TAP">bibliotheek!$H$240:$AN$240</definedName>
    <definedName name="energiedragers_index_fPren">bibliotheek!$H$229:$AN$229</definedName>
    <definedName name="energiedragers_kopregel">bibliotheek!$E$221:$AN$221</definedName>
    <definedName name="energiedragers_namen">bibliotheek!$H$221:$AN$221</definedName>
    <definedName name="energiedragers_primaire_energiefactor">bibliotheek!$E$223:$AN$223</definedName>
    <definedName name="energielabels_grenswaarden">bibliotheek!$E$510:$U$523</definedName>
    <definedName name="energielabels_labelnamen">bibliotheek!$E$510:$E$523</definedName>
    <definedName name="energieprestatie_werkelijk">bibliotheek!$I$548:$J$548</definedName>
    <definedName name="f_P_rencold">bibliotheek!$L$213</definedName>
    <definedName name="f_P_renelect">bibliotheek!$J$213</definedName>
    <definedName name="f_P_renheat">bibliotheek!$K$213</definedName>
    <definedName name="gebied">bibliotheek!$J$538</definedName>
    <definedName name="gebouw">bibliotheek!$I$538</definedName>
    <definedName name="gebruiksfuncties_namen">bibliotheek!$I$272:$T$272</definedName>
    <definedName name="gederfde_elektriciteit">bibliotheek!$S$221</definedName>
    <definedName name="geen">bibliotheek!$I$546</definedName>
    <definedName name="geografische_niveaus_installaties">bibliotheek!$I$538:$K$538</definedName>
    <definedName name="GJ">bibliotheek!$K$536</definedName>
    <definedName name="hernieuwbare_energiebron_getalswaarde">bibliotheek!$H$213:$R$213</definedName>
    <definedName name="hernieuwbare_energiebron_getalswaarde_bij_toestellen">bibliotheek!$H$214:$R$214</definedName>
    <definedName name="hernieuwbare_energiebron_index">bibliotheek!$H$212:$R$212</definedName>
    <definedName name="hernieuwbare_energiebron_namen">bibliotheek!$H$210:$R$210</definedName>
    <definedName name="hoog_laag">bibliotheek!$I$544:$J$544</definedName>
    <definedName name="installaties_RV_verlies_elek_prod_aftapwarmte">bibliotheek!$E$98:$AT$98</definedName>
    <definedName name="installaties_TAP_verlies_elek_prod_aftapwarmte">bibliotheek!$E$155:$AY$155</definedName>
    <definedName name="isolatiepakketten_gebouwschil_namen">bibliotheek!$H$34:$W$34</definedName>
    <definedName name="koken_aardgas_per_m2">bibliotheek!$I$308</definedName>
    <definedName name="koken_elektriciteit">bibliotheek!$I$303</definedName>
    <definedName name="koken_elektriciteit_per_m2">bibliotheek!$I$304</definedName>
    <definedName name="koken_gas">bibliotheek!$I$307</definedName>
    <definedName name="koudebehoefte_C1">bibliotheek!$E$376:$U$381</definedName>
    <definedName name="koudebehoefte_C2">bibliotheek!$E$383:$U$388</definedName>
    <definedName name="koudebehoefte_C3">bibliotheek!$E$390:$U$395</definedName>
    <definedName name="koudebehoefte_C4">bibliotheek!$E$397:$U$402</definedName>
    <definedName name="koudebehoefte_koeling_ondergrens">bibliotheek!$I$332</definedName>
    <definedName name="koudebehoefte_n1">bibliotheek!$E$404:$U$409</definedName>
    <definedName name="koudebehoefte_n2">bibliotheek!$E$411:$U$416</definedName>
    <definedName name="koudebehoefte_n3">bibliotheek!$E$418:$U$423</definedName>
    <definedName name="koudebehoefte_n4">bibliotheek!$E$425:$U$430</definedName>
    <definedName name="koudebehoefte_snijpunt">bibliotheek!$E$369:$U$374</definedName>
    <definedName name="kWh">bibliotheek!$J$536</definedName>
    <definedName name="m3gas">bibliotheek!$I$536</definedName>
    <definedName name="niet_gebouwgebonden_elektriciteitgebruik_woningen_per_m2">bibliotheek!$I$323</definedName>
    <definedName name="nieuw">bibliotheek!$I$542</definedName>
    <definedName name="NulEen">bibliotheek!$I$545:$J$545</definedName>
    <definedName name="nvt">bibliotheek!$L$536</definedName>
    <definedName name="opwekking_elektriciteit">bibliotheek!$I$261:$R$261</definedName>
    <definedName name="referentie_koeling">bibliotheek!$I$170</definedName>
    <definedName name="referentie_verwarming">bibliotheek!$I$79</definedName>
    <definedName name="referentie_warmtapwater">bibliotheek!$I$136</definedName>
    <definedName name="referentiepakketten_bij_gebouwen">bibliotheek!$H$17:$EC$17</definedName>
    <definedName name="restwarmte">bibliotheek!$M$221</definedName>
    <definedName name="specifiek_niet_gebouwgebonden_elektriciteitsgebruik_gebruiksfuncties">bibliotheek!$E$294:$U$294</definedName>
    <definedName name="specifiek_niet_gebouwgebonden_elektriciteitsgebruik_waarden">bibliotheek!$E$296:$U$296</definedName>
    <definedName name="standaardwaarde_basis">bibliotheek!$E$499:$M$499</definedName>
    <definedName name="standaardwaarde_extra_vraag_boven_grenswaarde_vormfactor">bibliotheek!$E$502:$M$502</definedName>
    <definedName name="standaardwaarde_grens_vormfactor">bibliotheek!$E$501:$M$501</definedName>
    <definedName name="standaardwaarden_gebruiksfuncties">bibliotheek!$E$496:$M$496</definedName>
    <definedName name="toestellen_KOEL">bibliotheek!$E$170:$AC$190</definedName>
    <definedName name="toestellen_KOEL_invoer">bibliotheek!$H$170:$AC$170</definedName>
    <definedName name="toestellen_KOEL_kopregel">bibliotheek!$E$170:$AC$170</definedName>
    <definedName name="toestellen_RV">bibliotheek!$E$79:$AT$115</definedName>
    <definedName name="toestellen_RV_invoer">bibliotheek!$H$79:$AT$79</definedName>
    <definedName name="toestellen_RV_kopregel">bibliotheek!$E$79:$AT$79</definedName>
    <definedName name="toestellen_TAP">bibliotheek!$E$136:$AY$164</definedName>
    <definedName name="toestellen_TAP_invoer">bibliotheek!$H$136:$AY$136</definedName>
    <definedName name="toestellen_TAP_kopregel">bibliotheek!$E$136:$AY$136</definedName>
    <definedName name="ventilatiesystemen_code_eenvoudig">bibliotheek!$J$51:$J$56</definedName>
    <definedName name="ventilatiesystemen_kenmerken">bibliotheek!$E$51:$K$56</definedName>
    <definedName name="ventilatiesystemen_namen">bibliotheek!$E$51:$E$56</definedName>
    <definedName name="ventilatoren_typen">bibliotheek!$E$63:$E$66</definedName>
    <definedName name="ventilatorenergie_ventilatiesysteem_B_C">bibliotheek!$E$62:$U$66</definedName>
    <definedName name="ventilatorenergie_ventilatiesysteem_B_C_kopregel">bibliotheek!$E$62:$U$62</definedName>
    <definedName name="ventilatorenergie_ventilatiesysteem_D">bibliotheek!$E$68:$U$72</definedName>
    <definedName name="ventilatorenergie_ventilatiesysteem_D_kopregel">bibliotheek!$E$68:$U$68</definedName>
    <definedName name="verlichting_parameters_a">bibliotheek!$E$450:$U$450</definedName>
    <definedName name="verlichting_parameters_b">bibliotheek!$E$451:$U$451</definedName>
    <definedName name="verlichting_parameters_gebruiksfuncties">bibliotheek!$E$449:$U$449</definedName>
    <definedName name="verlichting_vermogen_forfaitair">bibliotheek!$E$452:$U$452</definedName>
    <definedName name="verlichtingsregeling_kopregel">bibliotheek!$E$461:$N$461</definedName>
    <definedName name="verlichtingsregeling_namen">bibliotheek!$H$461:$N$461</definedName>
    <definedName name="verlichtingsregeling_waarden">bibliotheek!$E$462:$N$462</definedName>
    <definedName name="WaarOnwaar">bibliotheek!$I$547:$J$547</definedName>
    <definedName name="warmtapwater_specifieke_warmtebehoefte_gebruiksfuncties">bibliotheek!$E$286:$U$286</definedName>
    <definedName name="warmtapwater_specifieke_warmtebehoefte_waarden">bibliotheek!$E$287:$U$287</definedName>
    <definedName name="warmtebehoefte_plus_koudebehoefte_ventsysC1_EP1_C">bibliotheek!$E$440:$U$440</definedName>
    <definedName name="warmtebehoefte_plus_koudebehoefte_ventsysC1_EP1_n">bibliotheek!$E$441:$U$441</definedName>
    <definedName name="warmtebehoefte_plus_koudebehoefte_ventsysC1_EP1_snijpunt">bibliotheek!$E$439:$U$439</definedName>
    <definedName name="warmtebehoefte_verwarming_C">bibliotheek!$E$347:$U$352</definedName>
    <definedName name="warmtebehoefte_verwarming_gebruiksfuncties">bibliotheek!$E$338:$U$338</definedName>
    <definedName name="warmtebehoefte_verwarming_n">bibliotheek!$E$354:$U$359</definedName>
    <definedName name="warmtebehoefte_verwarming_ondergrens">bibliotheek!$I$331</definedName>
    <definedName name="warmtebehoefte_verwarming_snijpunt">bibliotheek!$E$340:$U$345</definedName>
    <definedName name="warmtenetten_NL_CO2_emissiecoefficient">bibliotheek!$H$254:$BI$254</definedName>
    <definedName name="warmtenetten_NL_codes">bibliotheek!$H$251:$BI$251</definedName>
    <definedName name="warmtenetten_NL_fp_del">bibliotheek!$H$252:$BI$252</definedName>
    <definedName name="warmtenetten_NL_fp_ren">bibliotheek!$H$253:$BI$253</definedName>
    <definedName name="warmtenetten_NL_namen">bibliotheek!$H$247:$BI$247</definedName>
    <definedName name="warmtenetten_NL_voor_KOEL">bibliotheek!$H$249:$BI$249</definedName>
    <definedName name="warmtenetten_NL_voor_RV">bibliotheek!$H$248:$BI$248</definedName>
    <definedName name="warmtenetten_NL_voor_TAP">bibliotheek!$H$250:$BI$250</definedName>
    <definedName name="woning">bibliotheek!$S$272</definedName>
    <definedName name="woningen_gebouwen_gegevens">bibliotheek!$E$13:$EC$28</definedName>
    <definedName name="woningen_gebouwen_namen">bibliotheek!$H$13:$EC$13</definedName>
    <definedName name="woongebouw">bibliotheek!$T$272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W300" i="107" l="1"/>
  <c r="AK300" i="107"/>
  <c r="Y300" i="107"/>
  <c r="M300" i="107"/>
  <c r="J300" i="107"/>
  <c r="E278" i="107"/>
  <c r="M260" i="107"/>
  <c r="J260" i="107"/>
  <c r="AX246" i="107"/>
  <c r="AW239" i="107"/>
  <c r="AK239" i="107"/>
  <c r="Y239" i="107"/>
  <c r="M239" i="107"/>
  <c r="J239" i="107"/>
  <c r="AW232" i="107"/>
  <c r="AK232" i="107"/>
  <c r="Y232" i="107"/>
  <c r="M232" i="107"/>
  <c r="J232" i="107"/>
  <c r="AW219" i="107"/>
  <c r="AK219" i="107"/>
  <c r="Y219" i="107"/>
  <c r="W219" i="107"/>
  <c r="V219" i="107"/>
  <c r="U219" i="107"/>
  <c r="T219" i="107"/>
  <c r="S219" i="107"/>
  <c r="R219" i="107"/>
  <c r="Q219" i="107"/>
  <c r="P219" i="107"/>
  <c r="O219" i="107"/>
  <c r="M219" i="107"/>
  <c r="J219" i="107"/>
  <c r="AW207" i="107"/>
  <c r="AK207" i="107"/>
  <c r="Y207" i="107"/>
  <c r="W207" i="107"/>
  <c r="Q207" i="107"/>
  <c r="P207" i="107"/>
  <c r="O207" i="107"/>
  <c r="M207" i="107"/>
  <c r="J207" i="107"/>
  <c r="BG201" i="107"/>
  <c r="BF201" i="107"/>
  <c r="BE201" i="107"/>
  <c r="BD201" i="107"/>
  <c r="BC201" i="107"/>
  <c r="BB201" i="107"/>
  <c r="BA201" i="107"/>
  <c r="AZ201" i="107"/>
  <c r="AY201" i="107"/>
  <c r="AU201" i="107"/>
  <c r="AT201" i="107"/>
  <c r="AS201" i="107"/>
  <c r="AR201" i="107"/>
  <c r="AQ201" i="107"/>
  <c r="AP201" i="107"/>
  <c r="AO201" i="107"/>
  <c r="AN201" i="107"/>
  <c r="AM201" i="107"/>
  <c r="AI201" i="107"/>
  <c r="AH201" i="107"/>
  <c r="AG201" i="107"/>
  <c r="AF201" i="107"/>
  <c r="AE201" i="107"/>
  <c r="AD201" i="107"/>
  <c r="AC201" i="107"/>
  <c r="AB201" i="107"/>
  <c r="AA201" i="107"/>
  <c r="W201" i="107"/>
  <c r="V201" i="107"/>
  <c r="U201" i="107"/>
  <c r="T201" i="107"/>
  <c r="S201" i="107"/>
  <c r="R201" i="107"/>
  <c r="Q201" i="107"/>
  <c r="P201" i="107"/>
  <c r="O201" i="107"/>
  <c r="AW195" i="107"/>
  <c r="AK195" i="107"/>
  <c r="Y195" i="107"/>
  <c r="W195" i="107"/>
  <c r="V195" i="107"/>
  <c r="U195" i="107"/>
  <c r="T195" i="107"/>
  <c r="S195" i="107"/>
  <c r="R195" i="107"/>
  <c r="Q195" i="107"/>
  <c r="P195" i="107"/>
  <c r="O195" i="107"/>
  <c r="M195" i="107"/>
  <c r="J195" i="107"/>
  <c r="H188" i="107"/>
  <c r="H187" i="107"/>
  <c r="H186" i="107"/>
  <c r="AW184" i="107"/>
  <c r="AK184" i="107"/>
  <c r="Y184" i="107"/>
  <c r="W184" i="107"/>
  <c r="V184" i="107"/>
  <c r="U184" i="107"/>
  <c r="T184" i="107"/>
  <c r="S184" i="107"/>
  <c r="R184" i="107"/>
  <c r="Q184" i="107"/>
  <c r="P184" i="107"/>
  <c r="O184" i="107"/>
  <c r="M184" i="107"/>
  <c r="W165" i="107"/>
  <c r="V165" i="107"/>
  <c r="U165" i="107"/>
  <c r="T165" i="107"/>
  <c r="S165" i="107"/>
  <c r="R165" i="107"/>
  <c r="Q165" i="107"/>
  <c r="P165" i="107"/>
  <c r="O165" i="107"/>
  <c r="J165" i="107"/>
  <c r="BD158" i="107"/>
  <c r="AR158" i="107"/>
  <c r="AF158" i="107"/>
  <c r="T158" i="107"/>
  <c r="BA151" i="107"/>
  <c r="AZ151" i="107"/>
  <c r="AY151" i="107"/>
  <c r="AO151" i="107"/>
  <c r="AN151" i="107"/>
  <c r="AM151" i="107"/>
  <c r="AC151" i="107"/>
  <c r="AB151" i="107"/>
  <c r="AA151" i="107"/>
  <c r="Q151" i="107"/>
  <c r="P151" i="107"/>
  <c r="O151" i="107"/>
  <c r="V149" i="107"/>
  <c r="U149" i="107"/>
  <c r="T149" i="107"/>
  <c r="S149" i="107"/>
  <c r="R149" i="107"/>
  <c r="Q149" i="107"/>
  <c r="P149" i="107"/>
  <c r="O149" i="107"/>
  <c r="BA136" i="107"/>
  <c r="AZ136" i="107"/>
  <c r="AZ138" i="107" s="1"/>
  <c r="AY136" i="107"/>
  <c r="AO136" i="107"/>
  <c r="AN136" i="107"/>
  <c r="AN138" i="107" s="1"/>
  <c r="AM136" i="107"/>
  <c r="AC136" i="107"/>
  <c r="AB136" i="107"/>
  <c r="AB138" i="107" s="1"/>
  <c r="AA136" i="107"/>
  <c r="Q136" i="107"/>
  <c r="P136" i="107"/>
  <c r="P138" i="107" s="1"/>
  <c r="O136" i="107"/>
  <c r="BA129" i="107"/>
  <c r="AZ129" i="107"/>
  <c r="AY129" i="107"/>
  <c r="AO129" i="107"/>
  <c r="AN129" i="107"/>
  <c r="AM129" i="107"/>
  <c r="AC129" i="107"/>
  <c r="AB129" i="107"/>
  <c r="AA129" i="107"/>
  <c r="Q129" i="107"/>
  <c r="P129" i="107"/>
  <c r="O129" i="107"/>
  <c r="BA125" i="107"/>
  <c r="AZ125" i="107"/>
  <c r="AY125" i="107"/>
  <c r="AO125" i="107"/>
  <c r="AN125" i="107"/>
  <c r="AM125" i="107"/>
  <c r="AC125" i="107"/>
  <c r="AB125" i="107"/>
  <c r="AA125" i="107"/>
  <c r="Q125" i="107"/>
  <c r="P125" i="107"/>
  <c r="O125" i="107"/>
  <c r="BA124" i="107"/>
  <c r="AZ124" i="107"/>
  <c r="AY124" i="107"/>
  <c r="AO124" i="107"/>
  <c r="AN124" i="107"/>
  <c r="AM124" i="107"/>
  <c r="AC124" i="107"/>
  <c r="AB124" i="107"/>
  <c r="AA124" i="107"/>
  <c r="Q124" i="107"/>
  <c r="P124" i="107"/>
  <c r="O124" i="107"/>
  <c r="AZ112" i="107"/>
  <c r="AN112" i="107"/>
  <c r="AB112" i="107"/>
  <c r="P112" i="107"/>
  <c r="BA111" i="107"/>
  <c r="AY111" i="107"/>
  <c r="AO111" i="107"/>
  <c r="AM111" i="107"/>
  <c r="AC111" i="107"/>
  <c r="AA111" i="107"/>
  <c r="Q111" i="107"/>
  <c r="O111" i="107"/>
  <c r="BA108" i="107"/>
  <c r="AZ108" i="107"/>
  <c r="AY108" i="107"/>
  <c r="AO108" i="107"/>
  <c r="AN108" i="107"/>
  <c r="AM108" i="107"/>
  <c r="AC108" i="107"/>
  <c r="AB108" i="107"/>
  <c r="AA108" i="107"/>
  <c r="Q108" i="107"/>
  <c r="P108" i="107"/>
  <c r="O108" i="107"/>
  <c r="BA105" i="107"/>
  <c r="BA134" i="107" s="1"/>
  <c r="AZ105" i="107"/>
  <c r="AZ134" i="107" s="1"/>
  <c r="AY105" i="107"/>
  <c r="AY134" i="107" s="1"/>
  <c r="AO105" i="107"/>
  <c r="AO131" i="107" s="1"/>
  <c r="AN105" i="107"/>
  <c r="AN134" i="107" s="1"/>
  <c r="AM105" i="107"/>
  <c r="AM134" i="107" s="1"/>
  <c r="AC105" i="107"/>
  <c r="AC131" i="107" s="1"/>
  <c r="AB105" i="107"/>
  <c r="AB134" i="107" s="1"/>
  <c r="AA105" i="107"/>
  <c r="AA134" i="107" s="1"/>
  <c r="Q105" i="107"/>
  <c r="Q131" i="107" s="1"/>
  <c r="P105" i="107"/>
  <c r="P134" i="107" s="1"/>
  <c r="O105" i="107"/>
  <c r="O131" i="107" s="1"/>
  <c r="BA102" i="107"/>
  <c r="BA197" i="107" s="1"/>
  <c r="AZ102" i="107"/>
  <c r="AZ197" i="107" s="1"/>
  <c r="AY102" i="107"/>
  <c r="AY197" i="107" s="1"/>
  <c r="AO102" i="107"/>
  <c r="AO197" i="107" s="1"/>
  <c r="AN102" i="107"/>
  <c r="AN197" i="107" s="1"/>
  <c r="AM102" i="107"/>
  <c r="AM197" i="107" s="1"/>
  <c r="AC102" i="107"/>
  <c r="AC197" i="107" s="1"/>
  <c r="AB102" i="107"/>
  <c r="AB197" i="107" s="1"/>
  <c r="AA102" i="107"/>
  <c r="AA197" i="107" s="1"/>
  <c r="Q102" i="107"/>
  <c r="Q197" i="107" s="1"/>
  <c r="P102" i="107"/>
  <c r="P197" i="107" s="1"/>
  <c r="O102" i="107"/>
  <c r="O197" i="107" s="1"/>
  <c r="BA101" i="107"/>
  <c r="BA110" i="107" s="1"/>
  <c r="AZ101" i="107"/>
  <c r="AZ131" i="107" s="1"/>
  <c r="AY101" i="107"/>
  <c r="AY110" i="107" s="1"/>
  <c r="AO101" i="107"/>
  <c r="AO110" i="107" s="1"/>
  <c r="AN101" i="107"/>
  <c r="AN131" i="107" s="1"/>
  <c r="AM101" i="107"/>
  <c r="AM110" i="107" s="1"/>
  <c r="AC101" i="107"/>
  <c r="AC110" i="107" s="1"/>
  <c r="AB101" i="107"/>
  <c r="AB131" i="107" s="1"/>
  <c r="AA101" i="107"/>
  <c r="AA110" i="107" s="1"/>
  <c r="Q101" i="107"/>
  <c r="Q110" i="107" s="1"/>
  <c r="P101" i="107"/>
  <c r="P131" i="107" s="1"/>
  <c r="O101" i="107"/>
  <c r="O110" i="107" s="1"/>
  <c r="AW99" i="107"/>
  <c r="AK99" i="107"/>
  <c r="Y99" i="107"/>
  <c r="Q99" i="107"/>
  <c r="P99" i="107"/>
  <c r="O99" i="107"/>
  <c r="M99" i="107"/>
  <c r="J99" i="107"/>
  <c r="BA83" i="107"/>
  <c r="AZ83" i="107"/>
  <c r="AY83" i="107"/>
  <c r="AO83" i="107"/>
  <c r="AN83" i="107"/>
  <c r="AM83" i="107"/>
  <c r="AC83" i="107"/>
  <c r="AB83" i="107"/>
  <c r="AA83" i="107"/>
  <c r="Q83" i="107"/>
  <c r="O83" i="107"/>
  <c r="AZ81" i="107"/>
  <c r="AZ221" i="107" s="1"/>
  <c r="AN81" i="107"/>
  <c r="AN221" i="107" s="1"/>
  <c r="AB81" i="107"/>
  <c r="AB221" i="107" s="1"/>
  <c r="P81" i="107"/>
  <c r="P221" i="107" s="1"/>
  <c r="E81" i="107"/>
  <c r="AW73" i="107"/>
  <c r="AK73" i="107"/>
  <c r="Y73" i="107"/>
  <c r="W73" i="107"/>
  <c r="V73" i="107"/>
  <c r="U73" i="107"/>
  <c r="T73" i="107"/>
  <c r="S73" i="107"/>
  <c r="R73" i="107"/>
  <c r="Q73" i="107"/>
  <c r="P73" i="107"/>
  <c r="O73" i="107"/>
  <c r="M73" i="107"/>
  <c r="J73" i="107"/>
  <c r="E68" i="107"/>
  <c r="E66" i="107"/>
  <c r="E65" i="107"/>
  <c r="E64" i="107"/>
  <c r="E63" i="107"/>
  <c r="E62" i="107"/>
  <c r="E61" i="107"/>
  <c r="E60" i="107"/>
  <c r="AW58" i="107"/>
  <c r="AK58" i="107"/>
  <c r="Y58" i="107"/>
  <c r="M58" i="107"/>
  <c r="J58" i="107"/>
  <c r="AW38" i="107"/>
  <c r="AK38" i="107"/>
  <c r="Y38" i="107"/>
  <c r="M38" i="107"/>
  <c r="AX29" i="107"/>
  <c r="BG24" i="107"/>
  <c r="BF24" i="107"/>
  <c r="BE24" i="107"/>
  <c r="BE55" i="107" s="1" a="1"/>
  <c r="BE55" i="107" s="1"/>
  <c r="BD24" i="107"/>
  <c r="BC24" i="107"/>
  <c r="BB24" i="107"/>
  <c r="BA24" i="107"/>
  <c r="AZ24" i="107"/>
  <c r="AY24" i="107"/>
  <c r="AU24" i="107"/>
  <c r="AT24" i="107"/>
  <c r="AS24" i="107"/>
  <c r="AR24" i="107"/>
  <c r="AQ24" i="107"/>
  <c r="AP24" i="107"/>
  <c r="AO24" i="107"/>
  <c r="AN24" i="107"/>
  <c r="AM24" i="107"/>
  <c r="AI24" i="107"/>
  <c r="AH24" i="107"/>
  <c r="AG24" i="107"/>
  <c r="AF24" i="107"/>
  <c r="AE24" i="107"/>
  <c r="AD24" i="107"/>
  <c r="AC24" i="107"/>
  <c r="AB24" i="107"/>
  <c r="AA24" i="107"/>
  <c r="W24" i="107"/>
  <c r="V24" i="107"/>
  <c r="V55" i="107" s="1" a="1"/>
  <c r="V55" i="107" s="1"/>
  <c r="U24" i="107"/>
  <c r="T24" i="107"/>
  <c r="S24" i="107"/>
  <c r="R24" i="107"/>
  <c r="R55" i="107" s="1" a="1"/>
  <c r="R55" i="107" s="1"/>
  <c r="Q24" i="107"/>
  <c r="P24" i="107"/>
  <c r="O24" i="107"/>
  <c r="BG20" i="107"/>
  <c r="BF20" i="107"/>
  <c r="BE20" i="107"/>
  <c r="BD20" i="107"/>
  <c r="BC20" i="107"/>
  <c r="BB20" i="107"/>
  <c r="BA20" i="107"/>
  <c r="AZ20" i="107"/>
  <c r="AY20" i="107"/>
  <c r="AU20" i="107"/>
  <c r="AT20" i="107"/>
  <c r="AS20" i="107"/>
  <c r="AR20" i="107"/>
  <c r="AQ20" i="107"/>
  <c r="AP20" i="107"/>
  <c r="AO20" i="107"/>
  <c r="AN20" i="107"/>
  <c r="AM20" i="107"/>
  <c r="AI20" i="107"/>
  <c r="AH20" i="107"/>
  <c r="AG20" i="107"/>
  <c r="AF20" i="107"/>
  <c r="AE20" i="107"/>
  <c r="AD20" i="107"/>
  <c r="AC20" i="107"/>
  <c r="AB20" i="107"/>
  <c r="AA20" i="107"/>
  <c r="W20" i="107"/>
  <c r="V20" i="107"/>
  <c r="U20" i="107"/>
  <c r="T20" i="107"/>
  <c r="S20" i="107"/>
  <c r="R20" i="107"/>
  <c r="Q20" i="107"/>
  <c r="P20" i="107"/>
  <c r="O20" i="107"/>
  <c r="BG19" i="107"/>
  <c r="BF19" i="107"/>
  <c r="BE19" i="107"/>
  <c r="BD19" i="107"/>
  <c r="BC19" i="107"/>
  <c r="BB19" i="107"/>
  <c r="BB66" i="107" s="1"/>
  <c r="BA19" i="107"/>
  <c r="AZ19" i="107"/>
  <c r="AY19" i="107"/>
  <c r="AU19" i="107"/>
  <c r="AT19" i="107"/>
  <c r="AT17" i="107" s="1"/>
  <c r="AS19" i="107"/>
  <c r="AR19" i="107"/>
  <c r="AQ19" i="107"/>
  <c r="AP19" i="107"/>
  <c r="AP64" i="107" s="1"/>
  <c r="AO19" i="107"/>
  <c r="AN19" i="107"/>
  <c r="AM19" i="107"/>
  <c r="AI19" i="107"/>
  <c r="AI31" i="107" s="1"/>
  <c r="AH19" i="107"/>
  <c r="AH66" i="107" s="1"/>
  <c r="AG19" i="107"/>
  <c r="AF19" i="107"/>
  <c r="AE19" i="107"/>
  <c r="AE31" i="107" s="1"/>
  <c r="AD19" i="107"/>
  <c r="AD64" i="107" s="1"/>
  <c r="AC19" i="107"/>
  <c r="AB19" i="107"/>
  <c r="AA19" i="107"/>
  <c r="AA17" i="107" s="1"/>
  <c r="W19" i="107"/>
  <c r="V19" i="107"/>
  <c r="U19" i="107"/>
  <c r="T19" i="107"/>
  <c r="T17" i="107" s="1"/>
  <c r="T58" i="107" s="1"/>
  <c r="S19" i="107"/>
  <c r="R19" i="107"/>
  <c r="Q19" i="107"/>
  <c r="P19" i="107"/>
  <c r="P17" i="107" s="1"/>
  <c r="P58" i="107" s="1"/>
  <c r="O19" i="107"/>
  <c r="BG17" i="107"/>
  <c r="BF17" i="107"/>
  <c r="BF58" i="107" s="1"/>
  <c r="BE17" i="107"/>
  <c r="BE58" i="107" s="1"/>
  <c r="BD17" i="107"/>
  <c r="BC17" i="107"/>
  <c r="BB17" i="107"/>
  <c r="BB58" i="107" s="1"/>
  <c r="BA17" i="107"/>
  <c r="BA58" i="107" s="1"/>
  <c r="AZ17" i="107"/>
  <c r="AZ58" i="107" s="1"/>
  <c r="AY17" i="107"/>
  <c r="AW17" i="107"/>
  <c r="AU17" i="107"/>
  <c r="AS17" i="107"/>
  <c r="AR17" i="107"/>
  <c r="AR58" i="107" s="1"/>
  <c r="AQ17" i="107"/>
  <c r="AO17" i="107"/>
  <c r="AN17" i="107"/>
  <c r="AN58" i="107" s="1"/>
  <c r="AM17" i="107"/>
  <c r="AM58" i="107" s="1"/>
  <c r="AK17" i="107"/>
  <c r="AH17" i="107"/>
  <c r="AH58" i="107" s="1"/>
  <c r="AG17" i="107"/>
  <c r="AG58" i="107" s="1"/>
  <c r="AF17" i="107"/>
  <c r="AF58" i="107" s="1"/>
  <c r="AD17" i="107"/>
  <c r="AD38" i="107" s="1"/>
  <c r="AC17" i="107"/>
  <c r="AB17" i="107"/>
  <c r="Y17" i="107"/>
  <c r="W17" i="107"/>
  <c r="V17" i="107"/>
  <c r="U17" i="107"/>
  <c r="S17" i="107"/>
  <c r="S58" i="107" s="1"/>
  <c r="R17" i="107"/>
  <c r="Q17" i="107"/>
  <c r="O17" i="107"/>
  <c r="O58" i="107" s="1"/>
  <c r="M17" i="107"/>
  <c r="J17" i="107"/>
  <c r="BG10" i="107"/>
  <c r="BF10" i="107"/>
  <c r="BE10" i="107"/>
  <c r="BD10" i="107"/>
  <c r="BC10" i="107"/>
  <c r="BB10" i="107"/>
  <c r="BA10" i="107"/>
  <c r="AZ10" i="107"/>
  <c r="AY10" i="107"/>
  <c r="AU10" i="107"/>
  <c r="AT10" i="107"/>
  <c r="AS10" i="107"/>
  <c r="AR10" i="107"/>
  <c r="AQ10" i="107"/>
  <c r="AP10" i="107"/>
  <c r="AO10" i="107"/>
  <c r="AN10" i="107"/>
  <c r="AM10" i="107"/>
  <c r="AI10" i="107"/>
  <c r="AH10" i="107"/>
  <c r="AG10" i="107"/>
  <c r="AF10" i="107"/>
  <c r="AE10" i="107"/>
  <c r="AD10" i="107"/>
  <c r="AC10" i="107"/>
  <c r="AB10" i="107"/>
  <c r="AA10" i="107"/>
  <c r="H6" i="107"/>
  <c r="H5" i="107"/>
  <c r="G5" i="107"/>
  <c r="E3" i="107"/>
  <c r="E2" i="107"/>
  <c r="E1" i="107"/>
  <c r="AW300" i="106"/>
  <c r="AK300" i="106"/>
  <c r="Y300" i="106"/>
  <c r="M300" i="106"/>
  <c r="J300" i="106"/>
  <c r="E278" i="106"/>
  <c r="M260" i="106"/>
  <c r="J260" i="106"/>
  <c r="AX246" i="106"/>
  <c r="AW239" i="106"/>
  <c r="AK239" i="106"/>
  <c r="Y239" i="106"/>
  <c r="M239" i="106"/>
  <c r="J239" i="106"/>
  <c r="AW232" i="106"/>
  <c r="AK232" i="106"/>
  <c r="Y232" i="106"/>
  <c r="M232" i="106"/>
  <c r="J232" i="106"/>
  <c r="AB221" i="106"/>
  <c r="AW219" i="106"/>
  <c r="AK219" i="106"/>
  <c r="Y219" i="106"/>
  <c r="W219" i="106"/>
  <c r="V219" i="106"/>
  <c r="U219" i="106"/>
  <c r="T219" i="106"/>
  <c r="S219" i="106"/>
  <c r="R219" i="106"/>
  <c r="Q219" i="106"/>
  <c r="P219" i="106"/>
  <c r="O219" i="106"/>
  <c r="M219" i="106"/>
  <c r="J219" i="106"/>
  <c r="AW207" i="106"/>
  <c r="AK207" i="106"/>
  <c r="Y207" i="106"/>
  <c r="W207" i="106"/>
  <c r="Q207" i="106"/>
  <c r="P207" i="106"/>
  <c r="O207" i="106"/>
  <c r="M207" i="106"/>
  <c r="J207" i="106"/>
  <c r="BG201" i="106"/>
  <c r="BF201" i="106"/>
  <c r="BE201" i="106"/>
  <c r="BD201" i="106"/>
  <c r="BC201" i="106"/>
  <c r="BB201" i="106"/>
  <c r="BA201" i="106"/>
  <c r="AZ201" i="106"/>
  <c r="AY201" i="106"/>
  <c r="AU201" i="106"/>
  <c r="AT201" i="106"/>
  <c r="AS201" i="106"/>
  <c r="AR201" i="106"/>
  <c r="AQ201" i="106"/>
  <c r="AP201" i="106"/>
  <c r="AO201" i="106"/>
  <c r="AN201" i="106"/>
  <c r="AM201" i="106"/>
  <c r="AI201" i="106"/>
  <c r="AH201" i="106"/>
  <c r="AG201" i="106"/>
  <c r="AF201" i="106"/>
  <c r="AE201" i="106"/>
  <c r="AD201" i="106"/>
  <c r="AC201" i="106"/>
  <c r="AB201" i="106"/>
  <c r="AA201" i="106"/>
  <c r="W201" i="106"/>
  <c r="V201" i="106"/>
  <c r="U201" i="106"/>
  <c r="T201" i="106"/>
  <c r="S201" i="106"/>
  <c r="R201" i="106"/>
  <c r="Q201" i="106"/>
  <c r="P201" i="106"/>
  <c r="O201" i="106"/>
  <c r="AW195" i="106"/>
  <c r="AK195" i="106"/>
  <c r="Y195" i="106"/>
  <c r="W195" i="106"/>
  <c r="V195" i="106"/>
  <c r="U195" i="106"/>
  <c r="T195" i="106"/>
  <c r="S195" i="106"/>
  <c r="R195" i="106"/>
  <c r="Q195" i="106"/>
  <c r="P195" i="106"/>
  <c r="O195" i="106"/>
  <c r="M195" i="106"/>
  <c r="J195" i="106"/>
  <c r="H188" i="106"/>
  <c r="H187" i="106"/>
  <c r="H186" i="106"/>
  <c r="AW184" i="106"/>
  <c r="AK184" i="106"/>
  <c r="Y184" i="106"/>
  <c r="W184" i="106"/>
  <c r="V184" i="106"/>
  <c r="U184" i="106"/>
  <c r="T184" i="106"/>
  <c r="S184" i="106"/>
  <c r="R184" i="106"/>
  <c r="Q184" i="106"/>
  <c r="P184" i="106"/>
  <c r="O184" i="106"/>
  <c r="M184" i="106"/>
  <c r="W165" i="106"/>
  <c r="V165" i="106"/>
  <c r="U165" i="106"/>
  <c r="T165" i="106"/>
  <c r="S165" i="106"/>
  <c r="R165" i="106"/>
  <c r="Q165" i="106"/>
  <c r="P165" i="106"/>
  <c r="O165" i="106"/>
  <c r="J165" i="106"/>
  <c r="BD158" i="106"/>
  <c r="AR158" i="106"/>
  <c r="AF158" i="106"/>
  <c r="T158" i="106"/>
  <c r="BA151" i="106"/>
  <c r="AZ151" i="106"/>
  <c r="AY151" i="106"/>
  <c r="AO151" i="106"/>
  <c r="AN151" i="106"/>
  <c r="AM151" i="106"/>
  <c r="AC151" i="106"/>
  <c r="AB151" i="106"/>
  <c r="AA151" i="106"/>
  <c r="Q151" i="106"/>
  <c r="P151" i="106"/>
  <c r="O151" i="106"/>
  <c r="V149" i="106"/>
  <c r="U149" i="106"/>
  <c r="T149" i="106"/>
  <c r="S149" i="106"/>
  <c r="R149" i="106"/>
  <c r="Q149" i="106"/>
  <c r="P149" i="106"/>
  <c r="O149" i="106"/>
  <c r="BA136" i="106"/>
  <c r="AZ136" i="106"/>
  <c r="AZ138" i="106" s="1"/>
  <c r="AY136" i="106"/>
  <c r="AO136" i="106"/>
  <c r="AN136" i="106"/>
  <c r="AN138" i="106" s="1"/>
  <c r="AM136" i="106"/>
  <c r="AC136" i="106"/>
  <c r="AB136" i="106"/>
  <c r="AB138" i="106" s="1"/>
  <c r="AA136" i="106"/>
  <c r="Q136" i="106"/>
  <c r="P136" i="106"/>
  <c r="P138" i="106" s="1"/>
  <c r="O136" i="106"/>
  <c r="BA129" i="106"/>
  <c r="AZ129" i="106"/>
  <c r="AY129" i="106"/>
  <c r="AO129" i="106"/>
  <c r="AN129" i="106"/>
  <c r="AM129" i="106"/>
  <c r="AC129" i="106"/>
  <c r="AB129" i="106"/>
  <c r="AA129" i="106"/>
  <c r="Q129" i="106"/>
  <c r="P129" i="106"/>
  <c r="O129" i="106"/>
  <c r="BA125" i="106"/>
  <c r="AZ125" i="106"/>
  <c r="AY125" i="106"/>
  <c r="AO125" i="106"/>
  <c r="AN125" i="106"/>
  <c r="AM125" i="106"/>
  <c r="AC125" i="106"/>
  <c r="AB125" i="106"/>
  <c r="AA125" i="106"/>
  <c r="Q125" i="106"/>
  <c r="P125" i="106"/>
  <c r="O125" i="106"/>
  <c r="BA124" i="106"/>
  <c r="AZ124" i="106"/>
  <c r="AY124" i="106"/>
  <c r="AO124" i="106"/>
  <c r="AN124" i="106"/>
  <c r="AM124" i="106"/>
  <c r="AC124" i="106"/>
  <c r="AB124" i="106"/>
  <c r="AA124" i="106"/>
  <c r="Q124" i="106"/>
  <c r="P124" i="106"/>
  <c r="O124" i="106"/>
  <c r="AZ112" i="106"/>
  <c r="AN112" i="106"/>
  <c r="AB112" i="106"/>
  <c r="P112" i="106"/>
  <c r="BA111" i="106"/>
  <c r="AY111" i="106"/>
  <c r="AO111" i="106"/>
  <c r="AM111" i="106"/>
  <c r="AC111" i="106"/>
  <c r="AA111" i="106"/>
  <c r="Q111" i="106"/>
  <c r="O111" i="106"/>
  <c r="BA108" i="106"/>
  <c r="AZ108" i="106"/>
  <c r="AY108" i="106"/>
  <c r="AO108" i="106"/>
  <c r="AN108" i="106"/>
  <c r="AM108" i="106"/>
  <c r="AC108" i="106"/>
  <c r="AB108" i="106"/>
  <c r="AA108" i="106"/>
  <c r="Q108" i="106"/>
  <c r="P108" i="106"/>
  <c r="O108" i="106"/>
  <c r="BA105" i="106"/>
  <c r="BA134" i="106" s="1"/>
  <c r="AZ105" i="106"/>
  <c r="AZ134" i="106" s="1"/>
  <c r="AY105" i="106"/>
  <c r="AY134" i="106" s="1"/>
  <c r="AO105" i="106"/>
  <c r="AO134" i="106" s="1"/>
  <c r="AN105" i="106"/>
  <c r="AN134" i="106" s="1"/>
  <c r="AM105" i="106"/>
  <c r="AM134" i="106" s="1"/>
  <c r="AC105" i="106"/>
  <c r="AC131" i="106" s="1"/>
  <c r="AB105" i="106"/>
  <c r="AB134" i="106" s="1"/>
  <c r="AA105" i="106"/>
  <c r="AA134" i="106" s="1"/>
  <c r="Q105" i="106"/>
  <c r="Q131" i="106" s="1"/>
  <c r="P105" i="106"/>
  <c r="P134" i="106" s="1"/>
  <c r="O105" i="106"/>
  <c r="O134" i="106" s="1"/>
  <c r="BA102" i="106"/>
  <c r="AZ102" i="106"/>
  <c r="AY102" i="106"/>
  <c r="AO102" i="106"/>
  <c r="AO197" i="106" s="1"/>
  <c r="AN102" i="106"/>
  <c r="AM102" i="106"/>
  <c r="AC102" i="106"/>
  <c r="AB102" i="106"/>
  <c r="AB197" i="106" s="1"/>
  <c r="AA102" i="106"/>
  <c r="Q102" i="106"/>
  <c r="P102" i="106"/>
  <c r="O102" i="106"/>
  <c r="O197" i="106" s="1"/>
  <c r="BA101" i="106"/>
  <c r="BA110" i="106" s="1"/>
  <c r="AZ101" i="106"/>
  <c r="AZ131" i="106" s="1"/>
  <c r="AY101" i="106"/>
  <c r="AY110" i="106" s="1"/>
  <c r="AO101" i="106"/>
  <c r="AO110" i="106" s="1"/>
  <c r="AN101" i="106"/>
  <c r="AN131" i="106" s="1"/>
  <c r="AM101" i="106"/>
  <c r="AM110" i="106" s="1"/>
  <c r="AC101" i="106"/>
  <c r="AC110" i="106" s="1"/>
  <c r="AB101" i="106"/>
  <c r="AB131" i="106" s="1"/>
  <c r="AA101" i="106"/>
  <c r="AA110" i="106" s="1"/>
  <c r="Q101" i="106"/>
  <c r="Q110" i="106" s="1"/>
  <c r="P101" i="106"/>
  <c r="P131" i="106" s="1"/>
  <c r="O101" i="106"/>
  <c r="O110" i="106" s="1"/>
  <c r="AW99" i="106"/>
  <c r="AK99" i="106"/>
  <c r="Y99" i="106"/>
  <c r="Q99" i="106"/>
  <c r="P99" i="106"/>
  <c r="O99" i="106"/>
  <c r="M99" i="106"/>
  <c r="J99" i="106"/>
  <c r="BA83" i="106"/>
  <c r="AZ83" i="106"/>
  <c r="AY83" i="106"/>
  <c r="AO83" i="106"/>
  <c r="AN83" i="106"/>
  <c r="AM83" i="106"/>
  <c r="AC83" i="106"/>
  <c r="AB83" i="106"/>
  <c r="AA83" i="106"/>
  <c r="Q83" i="106"/>
  <c r="O83" i="106"/>
  <c r="AZ81" i="106"/>
  <c r="AZ221" i="106" s="1"/>
  <c r="AN81" i="106"/>
  <c r="AN221" i="106" s="1"/>
  <c r="AB81" i="106"/>
  <c r="P81" i="106"/>
  <c r="P221" i="106" s="1"/>
  <c r="E81" i="106"/>
  <c r="AW73" i="106"/>
  <c r="AK73" i="106"/>
  <c r="Y73" i="106"/>
  <c r="W73" i="106"/>
  <c r="V73" i="106"/>
  <c r="U73" i="106"/>
  <c r="T73" i="106"/>
  <c r="S73" i="106"/>
  <c r="R73" i="106"/>
  <c r="Q73" i="106"/>
  <c r="P73" i="106"/>
  <c r="O73" i="106"/>
  <c r="M73" i="106"/>
  <c r="J73" i="106"/>
  <c r="E68" i="106"/>
  <c r="E66" i="106"/>
  <c r="E65" i="106"/>
  <c r="E64" i="106"/>
  <c r="E63" i="106"/>
  <c r="E62" i="106"/>
  <c r="E61" i="106"/>
  <c r="E60" i="106"/>
  <c r="AW58" i="106"/>
  <c r="AK58" i="106"/>
  <c r="Y58" i="106"/>
  <c r="M58" i="106"/>
  <c r="J58" i="106"/>
  <c r="AW38" i="106"/>
  <c r="AK38" i="106"/>
  <c r="Y38" i="106"/>
  <c r="M38" i="106"/>
  <c r="BD35" i="106"/>
  <c r="AS35" i="106"/>
  <c r="AH35" i="106"/>
  <c r="W35" i="106"/>
  <c r="O35" i="106"/>
  <c r="AZ34" i="106"/>
  <c r="AO34" i="106"/>
  <c r="AD34" i="106"/>
  <c r="S34" i="106"/>
  <c r="BF31" i="106"/>
  <c r="BB31" i="106"/>
  <c r="AT31" i="106"/>
  <c r="AF31" i="106"/>
  <c r="AB31" i="106"/>
  <c r="AX29" i="106"/>
  <c r="BG24" i="106"/>
  <c r="BF24" i="106"/>
  <c r="BE24" i="106"/>
  <c r="BD24" i="106"/>
  <c r="BC24" i="106"/>
  <c r="BB24" i="106"/>
  <c r="BA24" i="106"/>
  <c r="AZ24" i="106"/>
  <c r="AY24" i="106"/>
  <c r="AU24" i="106"/>
  <c r="AT24" i="106"/>
  <c r="AS24" i="106"/>
  <c r="AS55" i="106" s="1" a="1"/>
  <c r="AS55" i="106" s="1"/>
  <c r="AR24" i="106"/>
  <c r="AQ24" i="106"/>
  <c r="AP24" i="106"/>
  <c r="AO24" i="106"/>
  <c r="AO55" i="106" s="1" a="1"/>
  <c r="AO55" i="106" s="1"/>
  <c r="AN24" i="106"/>
  <c r="AM24" i="106"/>
  <c r="AK24" i="106" s="1"/>
  <c r="AU29" i="106" s="1"/>
  <c r="AI24" i="106"/>
  <c r="AH24" i="106"/>
  <c r="AG24" i="106"/>
  <c r="AF24" i="106"/>
  <c r="AE24" i="106"/>
  <c r="AD24" i="106"/>
  <c r="AC24" i="106"/>
  <c r="AB24" i="106"/>
  <c r="AA24" i="106"/>
  <c r="W24" i="106"/>
  <c r="V24" i="106"/>
  <c r="U24" i="106"/>
  <c r="U55" i="106" s="1" a="1"/>
  <c r="U55" i="106" s="1"/>
  <c r="T24" i="106"/>
  <c r="S24" i="106"/>
  <c r="R24" i="106"/>
  <c r="Q24" i="106"/>
  <c r="Q55" i="106" s="1" a="1"/>
  <c r="Q55" i="106" s="1"/>
  <c r="P24" i="106"/>
  <c r="O24" i="106"/>
  <c r="BE22" i="106"/>
  <c r="AI22" i="106"/>
  <c r="BA21" i="106"/>
  <c r="AE21" i="106"/>
  <c r="AE27" i="106" s="1"/>
  <c r="BG20" i="106"/>
  <c r="BF20" i="106"/>
  <c r="BE20" i="106"/>
  <c r="BD20" i="106"/>
  <c r="BC20" i="106"/>
  <c r="BB20" i="106"/>
  <c r="BA20" i="106"/>
  <c r="AZ20" i="106"/>
  <c r="AY20" i="106"/>
  <c r="AU20" i="106"/>
  <c r="AT20" i="106"/>
  <c r="AS20" i="106"/>
  <c r="AR20" i="106"/>
  <c r="AQ20" i="106"/>
  <c r="AP20" i="106"/>
  <c r="AO20" i="106"/>
  <c r="AN20" i="106"/>
  <c r="AM20" i="106"/>
  <c r="AI20" i="106"/>
  <c r="AH20" i="106"/>
  <c r="AG20" i="106"/>
  <c r="AF20" i="106"/>
  <c r="AE20" i="106"/>
  <c r="AD20" i="106"/>
  <c r="AC20" i="106"/>
  <c r="AB20" i="106"/>
  <c r="AA20" i="106"/>
  <c r="W20" i="106"/>
  <c r="V20" i="106"/>
  <c r="U20" i="106"/>
  <c r="T20" i="106"/>
  <c r="S20" i="106"/>
  <c r="R20" i="106"/>
  <c r="Q20" i="106"/>
  <c r="P20" i="106"/>
  <c r="O20" i="106"/>
  <c r="BG19" i="106"/>
  <c r="BG21" i="106" s="1"/>
  <c r="BF19" i="106"/>
  <c r="BE19" i="106"/>
  <c r="BE21" i="106" s="1"/>
  <c r="BD19" i="106"/>
  <c r="BD31" i="106" s="1"/>
  <c r="BC19" i="106"/>
  <c r="BC22" i="106" s="1"/>
  <c r="BB19" i="106"/>
  <c r="BA19" i="106"/>
  <c r="BA22" i="106" s="1"/>
  <c r="AZ19" i="106"/>
  <c r="AZ35" i="106" s="1"/>
  <c r="AY19" i="106"/>
  <c r="AY21" i="106" s="1"/>
  <c r="AU19" i="106"/>
  <c r="AT19" i="106"/>
  <c r="AT21" i="106" s="1"/>
  <c r="AS19" i="106"/>
  <c r="AS34" i="106" s="1"/>
  <c r="AR19" i="106"/>
  <c r="AR22" i="106" s="1"/>
  <c r="AQ19" i="106"/>
  <c r="AP19" i="106"/>
  <c r="AP21" i="106" s="1"/>
  <c r="AO19" i="106"/>
  <c r="AO35" i="106" s="1"/>
  <c r="AN19" i="106"/>
  <c r="AN21" i="106" s="1"/>
  <c r="AM19" i="106"/>
  <c r="AI19" i="106"/>
  <c r="AI21" i="106" s="1"/>
  <c r="AI27" i="106" s="1"/>
  <c r="AH19" i="106"/>
  <c r="AH66" i="106" s="1"/>
  <c r="AG19" i="106"/>
  <c r="AG22" i="106" s="1"/>
  <c r="AF19" i="106"/>
  <c r="AE19" i="106"/>
  <c r="AE22" i="106" s="1"/>
  <c r="AD19" i="106"/>
  <c r="AD66" i="106" s="1"/>
  <c r="AC19" i="106"/>
  <c r="AC21" i="106" s="1"/>
  <c r="AB19" i="106"/>
  <c r="AA19" i="106"/>
  <c r="AA21" i="106" s="1"/>
  <c r="AA27" i="106" s="1"/>
  <c r="W19" i="106"/>
  <c r="W34" i="106" s="1"/>
  <c r="V19" i="106"/>
  <c r="V22" i="106" s="1"/>
  <c r="U19" i="106"/>
  <c r="T19" i="106"/>
  <c r="T22" i="106" s="1"/>
  <c r="S19" i="106"/>
  <c r="S35" i="106" s="1"/>
  <c r="R19" i="106"/>
  <c r="R21" i="106" s="1"/>
  <c r="Q19" i="106"/>
  <c r="P19" i="106"/>
  <c r="P21" i="106" s="1"/>
  <c r="P26" i="106" s="1"/>
  <c r="O19" i="106"/>
  <c r="O34" i="106" s="1"/>
  <c r="BG17" i="106"/>
  <c r="BF17" i="106"/>
  <c r="BE17" i="106"/>
  <c r="BD17" i="106"/>
  <c r="BD58" i="106" s="1"/>
  <c r="BC17" i="106"/>
  <c r="BB17" i="106"/>
  <c r="BA17" i="106"/>
  <c r="AZ17" i="106"/>
  <c r="AZ58" i="106" s="1"/>
  <c r="AY17" i="106"/>
  <c r="AW17" i="106"/>
  <c r="AU17" i="106"/>
  <c r="AS17" i="106"/>
  <c r="AQ17" i="106"/>
  <c r="AO17" i="106"/>
  <c r="AM17" i="106"/>
  <c r="AK17" i="106"/>
  <c r="AI17" i="106"/>
  <c r="AH17" i="106"/>
  <c r="AF17" i="106"/>
  <c r="AF58" i="106" s="1"/>
  <c r="AD17" i="106"/>
  <c r="AB17" i="106"/>
  <c r="AB58" i="106" s="1"/>
  <c r="AA17" i="106"/>
  <c r="Y17" i="106"/>
  <c r="W17" i="106"/>
  <c r="U17" i="106"/>
  <c r="S17" i="106"/>
  <c r="Q17" i="106"/>
  <c r="O17" i="106"/>
  <c r="M17" i="106"/>
  <c r="J17" i="106"/>
  <c r="BG10" i="106"/>
  <c r="BF10" i="106"/>
  <c r="BE10" i="106"/>
  <c r="BD10" i="106"/>
  <c r="BC10" i="106"/>
  <c r="BB10" i="106"/>
  <c r="BA10" i="106"/>
  <c r="AZ10" i="106"/>
  <c r="AY10" i="106"/>
  <c r="AU10" i="106"/>
  <c r="AT10" i="106"/>
  <c r="AS10" i="106"/>
  <c r="AR10" i="106"/>
  <c r="AQ10" i="106"/>
  <c r="AP10" i="106"/>
  <c r="AO10" i="106"/>
  <c r="AN10" i="106"/>
  <c r="AM10" i="106"/>
  <c r="AI10" i="106"/>
  <c r="AH10" i="106"/>
  <c r="AG10" i="106"/>
  <c r="AF10" i="106"/>
  <c r="AE10" i="106"/>
  <c r="AD10" i="106"/>
  <c r="AC10" i="106"/>
  <c r="AB10" i="106"/>
  <c r="AA10" i="106"/>
  <c r="H6" i="106"/>
  <c r="H5" i="106"/>
  <c r="G5" i="106"/>
  <c r="E3" i="106"/>
  <c r="E2" i="106"/>
  <c r="E1" i="106"/>
  <c r="AW300" i="105"/>
  <c r="AK300" i="105"/>
  <c r="Y300" i="105"/>
  <c r="M300" i="105"/>
  <c r="J300" i="105"/>
  <c r="E278" i="105"/>
  <c r="M260" i="105"/>
  <c r="J260" i="105"/>
  <c r="AX246" i="105"/>
  <c r="AW239" i="105"/>
  <c r="AK239" i="105"/>
  <c r="Y239" i="105"/>
  <c r="M239" i="105"/>
  <c r="J239" i="105"/>
  <c r="AW232" i="105"/>
  <c r="AK232" i="105"/>
  <c r="Y232" i="105"/>
  <c r="M232" i="105"/>
  <c r="J232" i="105"/>
  <c r="AW219" i="105"/>
  <c r="AK219" i="105"/>
  <c r="Y219" i="105"/>
  <c r="W219" i="105"/>
  <c r="V219" i="105"/>
  <c r="U219" i="105"/>
  <c r="T219" i="105"/>
  <c r="S219" i="105"/>
  <c r="R219" i="105"/>
  <c r="Q219" i="105"/>
  <c r="P219" i="105"/>
  <c r="O219" i="105"/>
  <c r="M219" i="105"/>
  <c r="J219" i="105"/>
  <c r="AW207" i="105"/>
  <c r="AK207" i="105"/>
  <c r="Y207" i="105"/>
  <c r="W207" i="105"/>
  <c r="Q207" i="105"/>
  <c r="P207" i="105"/>
  <c r="O207" i="105"/>
  <c r="M207" i="105"/>
  <c r="J207" i="105"/>
  <c r="BG201" i="105"/>
  <c r="BF201" i="105"/>
  <c r="BE201" i="105"/>
  <c r="BD201" i="105"/>
  <c r="BC201" i="105"/>
  <c r="BB201" i="105"/>
  <c r="BA201" i="105"/>
  <c r="AZ201" i="105"/>
  <c r="AY201" i="105"/>
  <c r="AU201" i="105"/>
  <c r="AT201" i="105"/>
  <c r="AS201" i="105"/>
  <c r="AR201" i="105"/>
  <c r="AQ201" i="105"/>
  <c r="AP201" i="105"/>
  <c r="AO201" i="105"/>
  <c r="AN201" i="105"/>
  <c r="AM201" i="105"/>
  <c r="AI201" i="105"/>
  <c r="AH201" i="105"/>
  <c r="AG201" i="105"/>
  <c r="AF201" i="105"/>
  <c r="AE201" i="105"/>
  <c r="AD201" i="105"/>
  <c r="AC201" i="105"/>
  <c r="AB201" i="105"/>
  <c r="AA201" i="105"/>
  <c r="W201" i="105"/>
  <c r="V201" i="105"/>
  <c r="U201" i="105"/>
  <c r="T201" i="105"/>
  <c r="S201" i="105"/>
  <c r="R201" i="105"/>
  <c r="Q201" i="105"/>
  <c r="P201" i="105"/>
  <c r="O201" i="105"/>
  <c r="AW195" i="105"/>
  <c r="AK195" i="105"/>
  <c r="Y195" i="105"/>
  <c r="W195" i="105"/>
  <c r="V195" i="105"/>
  <c r="U195" i="105"/>
  <c r="T195" i="105"/>
  <c r="S195" i="105"/>
  <c r="R195" i="105"/>
  <c r="Q195" i="105"/>
  <c r="P195" i="105"/>
  <c r="O195" i="105"/>
  <c r="M195" i="105"/>
  <c r="J195" i="105"/>
  <c r="H188" i="105"/>
  <c r="H187" i="105"/>
  <c r="H186" i="105"/>
  <c r="AW184" i="105"/>
  <c r="AK184" i="105"/>
  <c r="Y184" i="105"/>
  <c r="W184" i="105"/>
  <c r="V184" i="105"/>
  <c r="U184" i="105"/>
  <c r="T184" i="105"/>
  <c r="S184" i="105"/>
  <c r="R184" i="105"/>
  <c r="Q184" i="105"/>
  <c r="P184" i="105"/>
  <c r="O184" i="105"/>
  <c r="M184" i="105"/>
  <c r="W165" i="105"/>
  <c r="V165" i="105"/>
  <c r="U165" i="105"/>
  <c r="T165" i="105"/>
  <c r="S165" i="105"/>
  <c r="R165" i="105"/>
  <c r="Q165" i="105"/>
  <c r="P165" i="105"/>
  <c r="O165" i="105"/>
  <c r="J165" i="105"/>
  <c r="BD158" i="105"/>
  <c r="AR158" i="105"/>
  <c r="AF158" i="105"/>
  <c r="T158" i="105"/>
  <c r="BA151" i="105"/>
  <c r="AZ151" i="105"/>
  <c r="AY151" i="105"/>
  <c r="AO151" i="105"/>
  <c r="AN151" i="105"/>
  <c r="AM151" i="105"/>
  <c r="AC151" i="105"/>
  <c r="AB151" i="105"/>
  <c r="AA151" i="105"/>
  <c r="Q151" i="105"/>
  <c r="P151" i="105"/>
  <c r="O151" i="105"/>
  <c r="V149" i="105"/>
  <c r="U149" i="105"/>
  <c r="T149" i="105"/>
  <c r="S149" i="105"/>
  <c r="R149" i="105"/>
  <c r="Q149" i="105"/>
  <c r="P149" i="105"/>
  <c r="O149" i="105"/>
  <c r="BA136" i="105"/>
  <c r="AZ136" i="105"/>
  <c r="AZ138" i="105" s="1"/>
  <c r="AY136" i="105"/>
  <c r="AO136" i="105"/>
  <c r="AN136" i="105"/>
  <c r="AN138" i="105" s="1"/>
  <c r="AM136" i="105"/>
  <c r="AC136" i="105"/>
  <c r="AB136" i="105"/>
  <c r="AB138" i="105" s="1"/>
  <c r="AA136" i="105"/>
  <c r="Q136" i="105"/>
  <c r="P136" i="105"/>
  <c r="P138" i="105" s="1"/>
  <c r="O136" i="105"/>
  <c r="BA129" i="105"/>
  <c r="AZ129" i="105"/>
  <c r="AY129" i="105"/>
  <c r="AO129" i="105"/>
  <c r="AN129" i="105"/>
  <c r="AM129" i="105"/>
  <c r="AC129" i="105"/>
  <c r="AB129" i="105"/>
  <c r="AA129" i="105"/>
  <c r="Q129" i="105"/>
  <c r="P129" i="105"/>
  <c r="O129" i="105"/>
  <c r="BA125" i="105"/>
  <c r="AZ125" i="105"/>
  <c r="AY125" i="105"/>
  <c r="AO125" i="105"/>
  <c r="AN125" i="105"/>
  <c r="AM125" i="105"/>
  <c r="AC125" i="105"/>
  <c r="AB125" i="105"/>
  <c r="AA125" i="105"/>
  <c r="Q125" i="105"/>
  <c r="P125" i="105"/>
  <c r="O125" i="105"/>
  <c r="BA124" i="105"/>
  <c r="AZ124" i="105"/>
  <c r="AY124" i="105"/>
  <c r="AO124" i="105"/>
  <c r="AN124" i="105"/>
  <c r="AM124" i="105"/>
  <c r="AC124" i="105"/>
  <c r="AB124" i="105"/>
  <c r="AA124" i="105"/>
  <c r="Q124" i="105"/>
  <c r="P124" i="105"/>
  <c r="O124" i="105"/>
  <c r="AZ112" i="105"/>
  <c r="AN112" i="105"/>
  <c r="AB112" i="105"/>
  <c r="P112" i="105"/>
  <c r="BA111" i="105"/>
  <c r="AY111" i="105"/>
  <c r="AO111" i="105"/>
  <c r="AM111" i="105"/>
  <c r="AC111" i="105"/>
  <c r="AA111" i="105"/>
  <c r="Q111" i="105"/>
  <c r="O111" i="105"/>
  <c r="BA108" i="105"/>
  <c r="AZ108" i="105"/>
  <c r="AY108" i="105"/>
  <c r="AO108" i="105"/>
  <c r="AN108" i="105"/>
  <c r="AM108" i="105"/>
  <c r="AC108" i="105"/>
  <c r="AB108" i="105"/>
  <c r="AA108" i="105"/>
  <c r="Q108" i="105"/>
  <c r="P108" i="105"/>
  <c r="O108" i="105"/>
  <c r="BA105" i="105"/>
  <c r="BA134" i="105" s="1"/>
  <c r="AZ105" i="105"/>
  <c r="AZ134" i="105" s="1"/>
  <c r="AY105" i="105"/>
  <c r="AY134" i="105" s="1"/>
  <c r="AO105" i="105"/>
  <c r="AO134" i="105" s="1"/>
  <c r="AN105" i="105"/>
  <c r="AM105" i="105"/>
  <c r="AM134" i="105" s="1"/>
  <c r="AC105" i="105"/>
  <c r="AC134" i="105" s="1"/>
  <c r="AB105" i="105"/>
  <c r="AB134" i="105" s="1"/>
  <c r="AA105" i="105"/>
  <c r="AA131" i="105" s="1"/>
  <c r="Q105" i="105"/>
  <c r="Q134" i="105" s="1"/>
  <c r="P105" i="105"/>
  <c r="P134" i="105" s="1"/>
  <c r="O105" i="105"/>
  <c r="O131" i="105" s="1"/>
  <c r="BA102" i="105"/>
  <c r="BA197" i="105" s="1"/>
  <c r="AZ102" i="105"/>
  <c r="AZ197" i="105" s="1"/>
  <c r="AY102" i="105"/>
  <c r="AY197" i="105" s="1"/>
  <c r="AO102" i="105"/>
  <c r="AO197" i="105" s="1"/>
  <c r="AN102" i="105"/>
  <c r="AN197" i="105" s="1"/>
  <c r="AM102" i="105"/>
  <c r="AM197" i="105" s="1"/>
  <c r="AC102" i="105"/>
  <c r="AC197" i="105" s="1"/>
  <c r="AB102" i="105"/>
  <c r="AB197" i="105" s="1"/>
  <c r="AA102" i="105"/>
  <c r="AA197" i="105" s="1"/>
  <c r="Q102" i="105"/>
  <c r="Q197" i="105" s="1"/>
  <c r="P102" i="105"/>
  <c r="P197" i="105" s="1"/>
  <c r="O102" i="105"/>
  <c r="O197" i="105" s="1"/>
  <c r="BA101" i="105"/>
  <c r="BA110" i="105" s="1"/>
  <c r="AZ101" i="105"/>
  <c r="AZ131" i="105" s="1"/>
  <c r="AY101" i="105"/>
  <c r="AY110" i="105" s="1"/>
  <c r="AO101" i="105"/>
  <c r="AO110" i="105" s="1"/>
  <c r="AN101" i="105"/>
  <c r="AN131" i="105" s="1"/>
  <c r="AM101" i="105"/>
  <c r="AM110" i="105" s="1"/>
  <c r="AC101" i="105"/>
  <c r="AC110" i="105" s="1"/>
  <c r="AB101" i="105"/>
  <c r="AB131" i="105" s="1"/>
  <c r="AA101" i="105"/>
  <c r="AA110" i="105" s="1"/>
  <c r="Q101" i="105"/>
  <c r="Q110" i="105" s="1"/>
  <c r="P101" i="105"/>
  <c r="P131" i="105" s="1"/>
  <c r="O101" i="105"/>
  <c r="O110" i="105" s="1"/>
  <c r="AW99" i="105"/>
  <c r="AK99" i="105"/>
  <c r="Y99" i="105"/>
  <c r="Q99" i="105"/>
  <c r="P99" i="105"/>
  <c r="O99" i="105"/>
  <c r="M99" i="105"/>
  <c r="J99" i="105"/>
  <c r="BA83" i="105"/>
  <c r="AZ83" i="105"/>
  <c r="AY83" i="105"/>
  <c r="AO83" i="105"/>
  <c r="AN83" i="105"/>
  <c r="AM83" i="105"/>
  <c r="AC83" i="105"/>
  <c r="AB83" i="105"/>
  <c r="AA83" i="105"/>
  <c r="Q83" i="105"/>
  <c r="O83" i="105"/>
  <c r="AZ81" i="105"/>
  <c r="AZ221" i="105" s="1"/>
  <c r="AN81" i="105"/>
  <c r="AN221" i="105" s="1"/>
  <c r="AB81" i="105"/>
  <c r="AB221" i="105" s="1"/>
  <c r="P81" i="105"/>
  <c r="P221" i="105" s="1"/>
  <c r="E81" i="105"/>
  <c r="AW73" i="105"/>
  <c r="AK73" i="105"/>
  <c r="Y73" i="105"/>
  <c r="W73" i="105"/>
  <c r="V73" i="105"/>
  <c r="U73" i="105"/>
  <c r="T73" i="105"/>
  <c r="S73" i="105"/>
  <c r="R73" i="105"/>
  <c r="Q73" i="105"/>
  <c r="P73" i="105"/>
  <c r="O73" i="105"/>
  <c r="M73" i="105"/>
  <c r="J73" i="105"/>
  <c r="E68" i="105"/>
  <c r="E66" i="105"/>
  <c r="E65" i="105"/>
  <c r="E64" i="105"/>
  <c r="E63" i="105"/>
  <c r="E62" i="105"/>
  <c r="E61" i="105"/>
  <c r="E60" i="105"/>
  <c r="AW58" i="105"/>
  <c r="AK58" i="105"/>
  <c r="Y58" i="105"/>
  <c r="M58" i="105"/>
  <c r="J58" i="105"/>
  <c r="AW38" i="105"/>
  <c r="AK38" i="105"/>
  <c r="Y38" i="105"/>
  <c r="M38" i="105"/>
  <c r="AX29" i="105"/>
  <c r="BG24" i="105"/>
  <c r="BF24" i="105"/>
  <c r="BE24" i="105"/>
  <c r="BD24" i="105"/>
  <c r="BC24" i="105"/>
  <c r="BB24" i="105"/>
  <c r="BA24" i="105"/>
  <c r="AZ24" i="105"/>
  <c r="AY24" i="105"/>
  <c r="AW24" i="105" s="1"/>
  <c r="BF29" i="105" s="1"/>
  <c r="AU24" i="105"/>
  <c r="AT24" i="105"/>
  <c r="AS24" i="105"/>
  <c r="AR24" i="105"/>
  <c r="AQ24" i="105"/>
  <c r="AP24" i="105"/>
  <c r="AO24" i="105"/>
  <c r="AN24" i="105"/>
  <c r="AM24" i="105"/>
  <c r="AI24" i="105"/>
  <c r="AH24" i="105"/>
  <c r="AG24" i="105"/>
  <c r="AF24" i="105"/>
  <c r="AE24" i="105"/>
  <c r="AD24" i="105"/>
  <c r="AC24" i="105"/>
  <c r="AB24" i="105"/>
  <c r="AA24" i="105"/>
  <c r="W24" i="105"/>
  <c r="V24" i="105"/>
  <c r="U24" i="105"/>
  <c r="T24" i="105"/>
  <c r="S24" i="105"/>
  <c r="R24" i="105"/>
  <c r="Q24" i="105"/>
  <c r="P24" i="105"/>
  <c r="O24" i="105"/>
  <c r="BG20" i="105"/>
  <c r="BF20" i="105"/>
  <c r="BE20" i="105"/>
  <c r="BD20" i="105"/>
  <c r="BC20" i="105"/>
  <c r="BB20" i="105"/>
  <c r="BA20" i="105"/>
  <c r="AZ20" i="105"/>
  <c r="AY20" i="105"/>
  <c r="AU20" i="105"/>
  <c r="AT20" i="105"/>
  <c r="AS20" i="105"/>
  <c r="AR20" i="105"/>
  <c r="AQ20" i="105"/>
  <c r="AP20" i="105"/>
  <c r="AO20" i="105"/>
  <c r="AN20" i="105"/>
  <c r="AM20" i="105"/>
  <c r="AI20" i="105"/>
  <c r="AH20" i="105"/>
  <c r="AG20" i="105"/>
  <c r="AF20" i="105"/>
  <c r="AE20" i="105"/>
  <c r="AD20" i="105"/>
  <c r="AC20" i="105"/>
  <c r="AB20" i="105"/>
  <c r="AA20" i="105"/>
  <c r="W20" i="105"/>
  <c r="V20" i="105"/>
  <c r="U20" i="105"/>
  <c r="T20" i="105"/>
  <c r="S20" i="105"/>
  <c r="R20" i="105"/>
  <c r="Q20" i="105"/>
  <c r="P20" i="105"/>
  <c r="O20" i="105"/>
  <c r="BG19" i="105"/>
  <c r="BF19" i="105"/>
  <c r="BE19" i="105"/>
  <c r="BD19" i="105"/>
  <c r="BC19" i="105"/>
  <c r="BB19" i="105"/>
  <c r="BA19" i="105"/>
  <c r="AZ19" i="105"/>
  <c r="AY19" i="105"/>
  <c r="AU19" i="105"/>
  <c r="AU17" i="105" s="1"/>
  <c r="AT19" i="105"/>
  <c r="AS19" i="105"/>
  <c r="AS35" i="105" s="1"/>
  <c r="AR19" i="105"/>
  <c r="AR66" i="105" s="1"/>
  <c r="AQ19" i="105"/>
  <c r="AQ35" i="105" s="1"/>
  <c r="AP19" i="105"/>
  <c r="AO19" i="105"/>
  <c r="AN19" i="105"/>
  <c r="AM19" i="105"/>
  <c r="AM17" i="105" s="1"/>
  <c r="AI19" i="105"/>
  <c r="AH19" i="105"/>
  <c r="AG19" i="105"/>
  <c r="AG31" i="105" s="1"/>
  <c r="AF19" i="105"/>
  <c r="AF17" i="105" s="1"/>
  <c r="AF58" i="105" s="1"/>
  <c r="AE19" i="105"/>
  <c r="AD19" i="105"/>
  <c r="AD66" i="105" s="1"/>
  <c r="AC19" i="105"/>
  <c r="AB19" i="105"/>
  <c r="AA19" i="105"/>
  <c r="W19" i="105"/>
  <c r="W35" i="105" s="1"/>
  <c r="V19" i="105"/>
  <c r="U19" i="105"/>
  <c r="U35" i="105" s="1"/>
  <c r="T19" i="105"/>
  <c r="S19" i="105"/>
  <c r="S17" i="105" s="1"/>
  <c r="R19" i="105"/>
  <c r="Q19" i="105"/>
  <c r="Q17" i="105" s="1"/>
  <c r="Q38" i="105" s="1"/>
  <c r="P19" i="105"/>
  <c r="O19" i="105"/>
  <c r="O40" i="105" s="1"/>
  <c r="BG17" i="105"/>
  <c r="BG38" i="105" s="1"/>
  <c r="BF17" i="105"/>
  <c r="BE17" i="105"/>
  <c r="BD17" i="105"/>
  <c r="BD58" i="105" s="1"/>
  <c r="BC17" i="105"/>
  <c r="BC38" i="105" s="1"/>
  <c r="BB17" i="105"/>
  <c r="BB38" i="105" s="1"/>
  <c r="BA17" i="105"/>
  <c r="AZ17" i="105"/>
  <c r="AZ58" i="105" s="1"/>
  <c r="AY17" i="105"/>
  <c r="AW17" i="105"/>
  <c r="AT17" i="105"/>
  <c r="AT58" i="105" s="1"/>
  <c r="AQ17" i="105"/>
  <c r="AP17" i="105"/>
  <c r="AP38" i="105" s="1"/>
  <c r="AO17" i="105"/>
  <c r="AO38" i="105" s="1"/>
  <c r="AK17" i="105"/>
  <c r="AI17" i="105"/>
  <c r="AI38" i="105" s="1"/>
  <c r="AH17" i="105"/>
  <c r="AH38" i="105" s="1"/>
  <c r="AE17" i="105"/>
  <c r="AB17" i="105"/>
  <c r="AB58" i="105" s="1"/>
  <c r="AA17" i="105"/>
  <c r="Y17" i="105"/>
  <c r="U17" i="105"/>
  <c r="U38" i="105" s="1"/>
  <c r="T17" i="105"/>
  <c r="P17" i="105"/>
  <c r="P38" i="105" s="1"/>
  <c r="M17" i="105"/>
  <c r="J17" i="105"/>
  <c r="BG10" i="105"/>
  <c r="BF10" i="105"/>
  <c r="BE10" i="105"/>
  <c r="BD10" i="105"/>
  <c r="BC10" i="105"/>
  <c r="BB10" i="105"/>
  <c r="BA10" i="105"/>
  <c r="AZ10" i="105"/>
  <c r="AY10" i="105"/>
  <c r="AU10" i="105"/>
  <c r="AT10" i="105"/>
  <c r="AS10" i="105"/>
  <c r="AR10" i="105"/>
  <c r="AQ10" i="105"/>
  <c r="AP10" i="105"/>
  <c r="AO10" i="105"/>
  <c r="AN10" i="105"/>
  <c r="AM10" i="105"/>
  <c r="AI10" i="105"/>
  <c r="AH10" i="105"/>
  <c r="AG10" i="105"/>
  <c r="AF10" i="105"/>
  <c r="AE10" i="105"/>
  <c r="AD10" i="105"/>
  <c r="AC10" i="105"/>
  <c r="AB10" i="105"/>
  <c r="AA10" i="105"/>
  <c r="H6" i="105"/>
  <c r="H5" i="105"/>
  <c r="G5" i="105"/>
  <c r="E3" i="105"/>
  <c r="E2" i="105"/>
  <c r="E1" i="105"/>
  <c r="AW300" i="104"/>
  <c r="AK300" i="104"/>
  <c r="Y300" i="104"/>
  <c r="M300" i="104"/>
  <c r="J300" i="104"/>
  <c r="E278" i="104"/>
  <c r="M260" i="104"/>
  <c r="J260" i="104"/>
  <c r="AX246" i="104"/>
  <c r="AW239" i="104"/>
  <c r="AK239" i="104"/>
  <c r="Y239" i="104"/>
  <c r="M239" i="104"/>
  <c r="J239" i="104"/>
  <c r="AW232" i="104"/>
  <c r="AK232" i="104"/>
  <c r="Y232" i="104"/>
  <c r="M232" i="104"/>
  <c r="J232" i="104"/>
  <c r="AB221" i="104"/>
  <c r="AW219" i="104"/>
  <c r="AK219" i="104"/>
  <c r="Y219" i="104"/>
  <c r="W219" i="104"/>
  <c r="V219" i="104"/>
  <c r="U219" i="104"/>
  <c r="T219" i="104"/>
  <c r="S219" i="104"/>
  <c r="R219" i="104"/>
  <c r="Q219" i="104"/>
  <c r="P219" i="104"/>
  <c r="O219" i="104"/>
  <c r="M219" i="104"/>
  <c r="J219" i="104"/>
  <c r="AW207" i="104"/>
  <c r="AK207" i="104"/>
  <c r="Y207" i="104"/>
  <c r="W207" i="104"/>
  <c r="Q207" i="104"/>
  <c r="P207" i="104"/>
  <c r="O207" i="104"/>
  <c r="M207" i="104"/>
  <c r="J207" i="104"/>
  <c r="BG201" i="104"/>
  <c r="BF201" i="104"/>
  <c r="BE201" i="104"/>
  <c r="BD201" i="104"/>
  <c r="BC201" i="104"/>
  <c r="BB201" i="104"/>
  <c r="BA201" i="104"/>
  <c r="AZ201" i="104"/>
  <c r="AY201" i="104"/>
  <c r="AU201" i="104"/>
  <c r="AT201" i="104"/>
  <c r="AS201" i="104"/>
  <c r="AR201" i="104"/>
  <c r="AQ201" i="104"/>
  <c r="AP201" i="104"/>
  <c r="AO201" i="104"/>
  <c r="AN201" i="104"/>
  <c r="AM201" i="104"/>
  <c r="AI201" i="104"/>
  <c r="AH201" i="104"/>
  <c r="AG201" i="104"/>
  <c r="AF201" i="104"/>
  <c r="AE201" i="104"/>
  <c r="AD201" i="104"/>
  <c r="AC201" i="104"/>
  <c r="AB201" i="104"/>
  <c r="AA201" i="104"/>
  <c r="W201" i="104"/>
  <c r="V201" i="104"/>
  <c r="U201" i="104"/>
  <c r="T201" i="104"/>
  <c r="S201" i="104"/>
  <c r="R201" i="104"/>
  <c r="Q201" i="104"/>
  <c r="P201" i="104"/>
  <c r="O201" i="104"/>
  <c r="AW195" i="104"/>
  <c r="AK195" i="104"/>
  <c r="Y195" i="104"/>
  <c r="W195" i="104"/>
  <c r="V195" i="104"/>
  <c r="U195" i="104"/>
  <c r="T195" i="104"/>
  <c r="S195" i="104"/>
  <c r="R195" i="104"/>
  <c r="Q195" i="104"/>
  <c r="P195" i="104"/>
  <c r="O195" i="104"/>
  <c r="M195" i="104"/>
  <c r="J195" i="104"/>
  <c r="H188" i="104"/>
  <c r="H187" i="104"/>
  <c r="H186" i="104"/>
  <c r="AW184" i="104"/>
  <c r="AK184" i="104"/>
  <c r="Y184" i="104"/>
  <c r="W184" i="104"/>
  <c r="V184" i="104"/>
  <c r="U184" i="104"/>
  <c r="T184" i="104"/>
  <c r="S184" i="104"/>
  <c r="R184" i="104"/>
  <c r="Q184" i="104"/>
  <c r="P184" i="104"/>
  <c r="O184" i="104"/>
  <c r="M184" i="104"/>
  <c r="W165" i="104"/>
  <c r="V165" i="104"/>
  <c r="U165" i="104"/>
  <c r="T165" i="104"/>
  <c r="S165" i="104"/>
  <c r="R165" i="104"/>
  <c r="Q165" i="104"/>
  <c r="P165" i="104"/>
  <c r="O165" i="104"/>
  <c r="J165" i="104"/>
  <c r="BD158" i="104"/>
  <c r="AR158" i="104"/>
  <c r="AF158" i="104"/>
  <c r="T158" i="104"/>
  <c r="BA151" i="104"/>
  <c r="AZ151" i="104"/>
  <c r="AY151" i="104"/>
  <c r="AO151" i="104"/>
  <c r="AN151" i="104"/>
  <c r="AM151" i="104"/>
  <c r="AC151" i="104"/>
  <c r="AB151" i="104"/>
  <c r="AA151" i="104"/>
  <c r="Q151" i="104"/>
  <c r="P151" i="104"/>
  <c r="O151" i="104"/>
  <c r="V149" i="104"/>
  <c r="U149" i="104"/>
  <c r="T149" i="104"/>
  <c r="S149" i="104"/>
  <c r="R149" i="104"/>
  <c r="Q149" i="104"/>
  <c r="P149" i="104"/>
  <c r="O149" i="104"/>
  <c r="BA136" i="104"/>
  <c r="AZ136" i="104"/>
  <c r="AZ138" i="104" s="1"/>
  <c r="AY136" i="104"/>
  <c r="AO136" i="104"/>
  <c r="AN136" i="104"/>
  <c r="AN138" i="104" s="1"/>
  <c r="AM136" i="104"/>
  <c r="AC136" i="104"/>
  <c r="AB136" i="104"/>
  <c r="AB138" i="104" s="1"/>
  <c r="AA136" i="104"/>
  <c r="Q136" i="104"/>
  <c r="P136" i="104"/>
  <c r="P138" i="104" s="1"/>
  <c r="O136" i="104"/>
  <c r="BA129" i="104"/>
  <c r="AZ129" i="104"/>
  <c r="AY129" i="104"/>
  <c r="AO129" i="104"/>
  <c r="AN129" i="104"/>
  <c r="AM129" i="104"/>
  <c r="AC129" i="104"/>
  <c r="AB129" i="104"/>
  <c r="AA129" i="104"/>
  <c r="Q129" i="104"/>
  <c r="P129" i="104"/>
  <c r="O129" i="104"/>
  <c r="BA125" i="104"/>
  <c r="AZ125" i="104"/>
  <c r="AY125" i="104"/>
  <c r="AO125" i="104"/>
  <c r="AN125" i="104"/>
  <c r="AM125" i="104"/>
  <c r="AC125" i="104"/>
  <c r="AB125" i="104"/>
  <c r="AA125" i="104"/>
  <c r="Q125" i="104"/>
  <c r="P125" i="104"/>
  <c r="O125" i="104"/>
  <c r="BA124" i="104"/>
  <c r="AZ124" i="104"/>
  <c r="AY124" i="104"/>
  <c r="AO124" i="104"/>
  <c r="AN124" i="104"/>
  <c r="AM124" i="104"/>
  <c r="AC124" i="104"/>
  <c r="AB124" i="104"/>
  <c r="AA124" i="104"/>
  <c r="Q124" i="104"/>
  <c r="P124" i="104"/>
  <c r="O124" i="104"/>
  <c r="AZ112" i="104"/>
  <c r="AN112" i="104"/>
  <c r="AB112" i="104"/>
  <c r="P112" i="104"/>
  <c r="BA111" i="104"/>
  <c r="AY111" i="104"/>
  <c r="AO111" i="104"/>
  <c r="AM111" i="104"/>
  <c r="AC111" i="104"/>
  <c r="AA111" i="104"/>
  <c r="Q111" i="104"/>
  <c r="O111" i="104"/>
  <c r="BA108" i="104"/>
  <c r="AZ108" i="104"/>
  <c r="AY108" i="104"/>
  <c r="AO108" i="104"/>
  <c r="AN108" i="104"/>
  <c r="AM108" i="104"/>
  <c r="AC108" i="104"/>
  <c r="AB108" i="104"/>
  <c r="AA108" i="104"/>
  <c r="Q108" i="104"/>
  <c r="P108" i="104"/>
  <c r="O108" i="104"/>
  <c r="BA105" i="104"/>
  <c r="BA134" i="104" s="1"/>
  <c r="AZ105" i="104"/>
  <c r="AZ134" i="104" s="1"/>
  <c r="AY105" i="104"/>
  <c r="AY134" i="104" s="1"/>
  <c r="AO105" i="104"/>
  <c r="AO131" i="104" s="1"/>
  <c r="AN105" i="104"/>
  <c r="AN134" i="104" s="1"/>
  <c r="AM105" i="104"/>
  <c r="AM134" i="104" s="1"/>
  <c r="AC105" i="104"/>
  <c r="AC131" i="104" s="1"/>
  <c r="AB105" i="104"/>
  <c r="AB134" i="104" s="1"/>
  <c r="AA105" i="104"/>
  <c r="AA134" i="104" s="1"/>
  <c r="Q105" i="104"/>
  <c r="Q131" i="104" s="1"/>
  <c r="P105" i="104"/>
  <c r="P134" i="104" s="1"/>
  <c r="O105" i="104"/>
  <c r="O131" i="104" s="1"/>
  <c r="BA102" i="104"/>
  <c r="BA197" i="104" s="1"/>
  <c r="AZ102" i="104"/>
  <c r="AY102" i="104"/>
  <c r="AO102" i="104"/>
  <c r="AO197" i="104" s="1"/>
  <c r="AN102" i="104"/>
  <c r="AN197" i="104" s="1"/>
  <c r="AM102" i="104"/>
  <c r="AC102" i="104"/>
  <c r="AB102" i="104"/>
  <c r="AB197" i="104" s="1"/>
  <c r="AA102" i="104"/>
  <c r="AA197" i="104" s="1"/>
  <c r="Q102" i="104"/>
  <c r="P102" i="104"/>
  <c r="O102" i="104"/>
  <c r="O197" i="104" s="1"/>
  <c r="BA101" i="104"/>
  <c r="BA110" i="104" s="1"/>
  <c r="AZ101" i="104"/>
  <c r="AZ131" i="104" s="1"/>
  <c r="AY101" i="104"/>
  <c r="AY110" i="104" s="1"/>
  <c r="AO101" i="104"/>
  <c r="AO110" i="104" s="1"/>
  <c r="AN101" i="104"/>
  <c r="AN131" i="104" s="1"/>
  <c r="AM101" i="104"/>
  <c r="AM110" i="104" s="1"/>
  <c r="AC101" i="104"/>
  <c r="AC110" i="104" s="1"/>
  <c r="AB101" i="104"/>
  <c r="AB131" i="104" s="1"/>
  <c r="AA101" i="104"/>
  <c r="AA110" i="104" s="1"/>
  <c r="Q101" i="104"/>
  <c r="Q110" i="104" s="1"/>
  <c r="P101" i="104"/>
  <c r="P131" i="104" s="1"/>
  <c r="O101" i="104"/>
  <c r="O110" i="104" s="1"/>
  <c r="AW99" i="104"/>
  <c r="AK99" i="104"/>
  <c r="Y99" i="104"/>
  <c r="Q99" i="104"/>
  <c r="P99" i="104"/>
  <c r="O99" i="104"/>
  <c r="M99" i="104"/>
  <c r="J99" i="104"/>
  <c r="BA83" i="104"/>
  <c r="AZ83" i="104"/>
  <c r="AY83" i="104"/>
  <c r="AO83" i="104"/>
  <c r="AN83" i="104"/>
  <c r="AM83" i="104"/>
  <c r="AC83" i="104"/>
  <c r="AB83" i="104"/>
  <c r="AA83" i="104"/>
  <c r="Q83" i="104"/>
  <c r="O83" i="104"/>
  <c r="AZ81" i="104"/>
  <c r="AZ221" i="104" s="1"/>
  <c r="AN81" i="104"/>
  <c r="AN221" i="104" s="1"/>
  <c r="AB81" i="104"/>
  <c r="P81" i="104"/>
  <c r="P221" i="104" s="1"/>
  <c r="E81" i="104"/>
  <c r="AW73" i="104"/>
  <c r="AK73" i="104"/>
  <c r="Y73" i="104"/>
  <c r="W73" i="104"/>
  <c r="V73" i="104"/>
  <c r="U73" i="104"/>
  <c r="T73" i="104"/>
  <c r="S73" i="104"/>
  <c r="R73" i="104"/>
  <c r="Q73" i="104"/>
  <c r="P73" i="104"/>
  <c r="O73" i="104"/>
  <c r="M73" i="104"/>
  <c r="J73" i="104"/>
  <c r="E68" i="104"/>
  <c r="E66" i="104"/>
  <c r="E65" i="104"/>
  <c r="E64" i="104"/>
  <c r="E63" i="104"/>
  <c r="E62" i="104"/>
  <c r="E61" i="104"/>
  <c r="E60" i="104"/>
  <c r="AW58" i="104"/>
  <c r="AK58" i="104"/>
  <c r="Y58" i="104"/>
  <c r="M58" i="104"/>
  <c r="J58" i="104"/>
  <c r="AW38" i="104"/>
  <c r="AK38" i="104"/>
  <c r="Y38" i="104"/>
  <c r="M38" i="104"/>
  <c r="BD31" i="104"/>
  <c r="AZ31" i="104"/>
  <c r="AX29" i="104"/>
  <c r="BG24" i="104"/>
  <c r="BF24" i="104"/>
  <c r="BF55" i="104" s="1" a="1"/>
  <c r="BF55" i="104" s="1"/>
  <c r="BE24" i="104"/>
  <c r="BE55" i="104" s="1" a="1"/>
  <c r="BE55" i="104" s="1"/>
  <c r="BD24" i="104"/>
  <c r="BC24" i="104"/>
  <c r="BB24" i="104"/>
  <c r="BB55" i="104" s="1" a="1"/>
  <c r="BB55" i="104" s="1"/>
  <c r="BA24" i="104"/>
  <c r="BA55" i="104" s="1" a="1"/>
  <c r="BA55" i="104" s="1"/>
  <c r="AZ24" i="104"/>
  <c r="AY24" i="104"/>
  <c r="AU24" i="104"/>
  <c r="AT24" i="104"/>
  <c r="AT55" i="104" s="1" a="1"/>
  <c r="AT55" i="104" s="1"/>
  <c r="AS24" i="104"/>
  <c r="AR24" i="104"/>
  <c r="AQ24" i="104"/>
  <c r="AP24" i="104"/>
  <c r="AP55" i="104" s="1" a="1"/>
  <c r="AP55" i="104" s="1"/>
  <c r="AO24" i="104"/>
  <c r="AN24" i="104"/>
  <c r="AM24" i="104"/>
  <c r="AI24" i="104"/>
  <c r="AH24" i="104"/>
  <c r="AH55" i="104" s="1" a="1"/>
  <c r="AH55" i="104" s="1"/>
  <c r="AG24" i="104"/>
  <c r="AG55" i="104" s="1" a="1"/>
  <c r="AG55" i="104" s="1"/>
  <c r="AF24" i="104"/>
  <c r="AE24" i="104"/>
  <c r="AD24" i="104"/>
  <c r="AD55" i="104" s="1" a="1"/>
  <c r="AD55" i="104" s="1"/>
  <c r="AC24" i="104"/>
  <c r="AC55" i="104" s="1" a="1"/>
  <c r="AC55" i="104" s="1"/>
  <c r="AB24" i="104"/>
  <c r="AA24" i="104"/>
  <c r="W24" i="104"/>
  <c r="V24" i="104"/>
  <c r="V55" i="104" s="1" a="1"/>
  <c r="V55" i="104" s="1"/>
  <c r="U24" i="104"/>
  <c r="T24" i="104"/>
  <c r="S24" i="104"/>
  <c r="R24" i="104"/>
  <c r="R55" i="104" s="1" a="1"/>
  <c r="R55" i="104" s="1"/>
  <c r="Q24" i="104"/>
  <c r="P24" i="104"/>
  <c r="O24" i="104"/>
  <c r="BG20" i="104"/>
  <c r="BF20" i="104"/>
  <c r="BE20" i="104"/>
  <c r="BD20" i="104"/>
  <c r="BC20" i="104"/>
  <c r="BB20" i="104"/>
  <c r="BA20" i="104"/>
  <c r="AZ20" i="104"/>
  <c r="AY20" i="104"/>
  <c r="AU20" i="104"/>
  <c r="AT20" i="104"/>
  <c r="AS20" i="104"/>
  <c r="AR20" i="104"/>
  <c r="AQ20" i="104"/>
  <c r="AP20" i="104"/>
  <c r="AO20" i="104"/>
  <c r="AN20" i="104"/>
  <c r="AM20" i="104"/>
  <c r="AI20" i="104"/>
  <c r="AH20" i="104"/>
  <c r="AG20" i="104"/>
  <c r="AF20" i="104"/>
  <c r="AE20" i="104"/>
  <c r="AD20" i="104"/>
  <c r="AC20" i="104"/>
  <c r="AB20" i="104"/>
  <c r="AA20" i="104"/>
  <c r="W20" i="104"/>
  <c r="V20" i="104"/>
  <c r="U20" i="104"/>
  <c r="T20" i="104"/>
  <c r="S20" i="104"/>
  <c r="R20" i="104"/>
  <c r="Q20" i="104"/>
  <c r="P20" i="104"/>
  <c r="O20" i="104"/>
  <c r="BG19" i="104"/>
  <c r="BF19" i="104"/>
  <c r="BE19" i="104"/>
  <c r="BD19" i="104"/>
  <c r="BC19" i="104"/>
  <c r="BB19" i="104"/>
  <c r="BA19" i="104"/>
  <c r="AZ19" i="104"/>
  <c r="AY19" i="104"/>
  <c r="AU19" i="104"/>
  <c r="AT19" i="104"/>
  <c r="AT66" i="104" s="1"/>
  <c r="AS19" i="104"/>
  <c r="AR19" i="104"/>
  <c r="AR66" i="104" s="1"/>
  <c r="AQ19" i="104"/>
  <c r="AP19" i="104"/>
  <c r="AP17" i="104" s="1"/>
  <c r="AO19" i="104"/>
  <c r="AN19" i="104"/>
  <c r="AN17" i="104" s="1"/>
  <c r="AM19" i="104"/>
  <c r="AI19" i="104"/>
  <c r="AI64" i="104" s="1"/>
  <c r="AH19" i="104"/>
  <c r="AG19" i="104"/>
  <c r="AG64" i="104" s="1"/>
  <c r="AF19" i="104"/>
  <c r="AF64" i="104" s="1"/>
  <c r="AE19" i="104"/>
  <c r="AE64" i="104" s="1"/>
  <c r="AD19" i="104"/>
  <c r="AC19" i="104"/>
  <c r="AC64" i="104" s="1"/>
  <c r="AB19" i="104"/>
  <c r="AB64" i="104" s="1"/>
  <c r="AA19" i="104"/>
  <c r="AA64" i="104" s="1"/>
  <c r="W19" i="104"/>
  <c r="V19" i="104"/>
  <c r="U19" i="104"/>
  <c r="T19" i="104"/>
  <c r="S19" i="104"/>
  <c r="R19" i="104"/>
  <c r="R66" i="104" s="1"/>
  <c r="Q19" i="104"/>
  <c r="Q66" i="104" s="1"/>
  <c r="P19" i="104"/>
  <c r="O19" i="104"/>
  <c r="BG17" i="104"/>
  <c r="BG58" i="104" s="1"/>
  <c r="BF17" i="104"/>
  <c r="BF58" i="104" s="1"/>
  <c r="BE17" i="104"/>
  <c r="BE58" i="104" s="1"/>
  <c r="BD17" i="104"/>
  <c r="BC17" i="104"/>
  <c r="BC58" i="104" s="1"/>
  <c r="BB17" i="104"/>
  <c r="BB58" i="104" s="1"/>
  <c r="BA17" i="104"/>
  <c r="BA58" i="104" s="1"/>
  <c r="AZ17" i="104"/>
  <c r="AY17" i="104"/>
  <c r="AY58" i="104" s="1"/>
  <c r="AW17" i="104"/>
  <c r="AU17" i="104"/>
  <c r="AU58" i="104" s="1"/>
  <c r="AS17" i="104"/>
  <c r="AS58" i="104" s="1"/>
  <c r="AQ17" i="104"/>
  <c r="AQ58" i="104" s="1"/>
  <c r="AO17" i="104"/>
  <c r="AO58" i="104" s="1"/>
  <c r="AM17" i="104"/>
  <c r="AM58" i="104" s="1"/>
  <c r="AK17" i="104"/>
  <c r="AH17" i="104"/>
  <c r="AH58" i="104" s="1"/>
  <c r="AG17" i="104"/>
  <c r="AG58" i="104" s="1"/>
  <c r="AF17" i="104"/>
  <c r="AD17" i="104"/>
  <c r="AD58" i="104" s="1"/>
  <c r="AC17" i="104"/>
  <c r="AC58" i="104" s="1"/>
  <c r="AB17" i="104"/>
  <c r="Y17" i="104"/>
  <c r="W17" i="104"/>
  <c r="W58" i="104" s="1"/>
  <c r="U17" i="104"/>
  <c r="U58" i="104" s="1"/>
  <c r="S17" i="104"/>
  <c r="S58" i="104" s="1"/>
  <c r="Q17" i="104"/>
  <c r="Q58" i="104" s="1"/>
  <c r="O17" i="104"/>
  <c r="O58" i="104" s="1"/>
  <c r="M17" i="104"/>
  <c r="J17" i="104"/>
  <c r="BG10" i="104"/>
  <c r="BF10" i="104"/>
  <c r="BE10" i="104"/>
  <c r="BD10" i="104"/>
  <c r="BC10" i="104"/>
  <c r="BB10" i="104"/>
  <c r="BB73" i="104" s="1"/>
  <c r="BA10" i="104"/>
  <c r="AZ10" i="104"/>
  <c r="AY10" i="104"/>
  <c r="AU10" i="104"/>
  <c r="AT10" i="104"/>
  <c r="AS10" i="104"/>
  <c r="AR10" i="104"/>
  <c r="AR73" i="104" s="1"/>
  <c r="AQ10" i="104"/>
  <c r="AP10" i="104"/>
  <c r="AO10" i="104"/>
  <c r="AN10" i="104"/>
  <c r="AN73" i="104" s="1"/>
  <c r="AM10" i="104"/>
  <c r="AI10" i="104"/>
  <c r="AH10" i="104"/>
  <c r="AG10" i="104"/>
  <c r="AF10" i="104"/>
  <c r="AE10" i="104"/>
  <c r="AD10" i="104"/>
  <c r="AC10" i="104"/>
  <c r="AB10" i="104"/>
  <c r="AB73" i="104" s="1"/>
  <c r="AA10" i="104"/>
  <c r="H6" i="104"/>
  <c r="H5" i="104"/>
  <c r="G5" i="104"/>
  <c r="E3" i="104"/>
  <c r="E2" i="104"/>
  <c r="E1" i="104"/>
  <c r="AW300" i="103"/>
  <c r="AK300" i="103"/>
  <c r="Y300" i="103"/>
  <c r="M300" i="103"/>
  <c r="J300" i="103"/>
  <c r="E278" i="103"/>
  <c r="M260" i="103"/>
  <c r="J260" i="103"/>
  <c r="AX246" i="103"/>
  <c r="AW239" i="103"/>
  <c r="AK239" i="103"/>
  <c r="Y239" i="103"/>
  <c r="M239" i="103"/>
  <c r="J239" i="103"/>
  <c r="AW232" i="103"/>
  <c r="AK232" i="103"/>
  <c r="Y232" i="103"/>
  <c r="M232" i="103"/>
  <c r="J232" i="103"/>
  <c r="AW219" i="103"/>
  <c r="AK219" i="103"/>
  <c r="Y219" i="103"/>
  <c r="W219" i="103"/>
  <c r="V219" i="103"/>
  <c r="U219" i="103"/>
  <c r="T219" i="103"/>
  <c r="S219" i="103"/>
  <c r="R219" i="103"/>
  <c r="Q219" i="103"/>
  <c r="P219" i="103"/>
  <c r="O219" i="103"/>
  <c r="M219" i="103"/>
  <c r="J219" i="103"/>
  <c r="AW207" i="103"/>
  <c r="AK207" i="103"/>
  <c r="Y207" i="103"/>
  <c r="W207" i="103"/>
  <c r="Q207" i="103"/>
  <c r="P207" i="103"/>
  <c r="O207" i="103"/>
  <c r="M207" i="103"/>
  <c r="J207" i="103"/>
  <c r="BG201" i="103"/>
  <c r="BF201" i="103"/>
  <c r="BE201" i="103"/>
  <c r="BD201" i="103"/>
  <c r="BC201" i="103"/>
  <c r="BB201" i="103"/>
  <c r="BA201" i="103"/>
  <c r="AZ201" i="103"/>
  <c r="AY201" i="103"/>
  <c r="AU201" i="103"/>
  <c r="AT201" i="103"/>
  <c r="AS201" i="103"/>
  <c r="AR201" i="103"/>
  <c r="AQ201" i="103"/>
  <c r="AP201" i="103"/>
  <c r="AO201" i="103"/>
  <c r="AN201" i="103"/>
  <c r="AM201" i="103"/>
  <c r="AI201" i="103"/>
  <c r="AH201" i="103"/>
  <c r="AG201" i="103"/>
  <c r="AF201" i="103"/>
  <c r="AE201" i="103"/>
  <c r="AD201" i="103"/>
  <c r="AC201" i="103"/>
  <c r="AB201" i="103"/>
  <c r="AA201" i="103"/>
  <c r="W201" i="103"/>
  <c r="V201" i="103"/>
  <c r="U201" i="103"/>
  <c r="T201" i="103"/>
  <c r="S201" i="103"/>
  <c r="R201" i="103"/>
  <c r="Q201" i="103"/>
  <c r="P201" i="103"/>
  <c r="O201" i="103"/>
  <c r="AW195" i="103"/>
  <c r="AK195" i="103"/>
  <c r="Y195" i="103"/>
  <c r="W195" i="103"/>
  <c r="V195" i="103"/>
  <c r="U195" i="103"/>
  <c r="T195" i="103"/>
  <c r="S195" i="103"/>
  <c r="R195" i="103"/>
  <c r="Q195" i="103"/>
  <c r="P195" i="103"/>
  <c r="O195" i="103"/>
  <c r="M195" i="103"/>
  <c r="J195" i="103"/>
  <c r="H188" i="103"/>
  <c r="H187" i="103"/>
  <c r="H186" i="103"/>
  <c r="AW184" i="103"/>
  <c r="AK184" i="103"/>
  <c r="Y184" i="103"/>
  <c r="W184" i="103"/>
  <c r="V184" i="103"/>
  <c r="U184" i="103"/>
  <c r="T184" i="103"/>
  <c r="S184" i="103"/>
  <c r="R184" i="103"/>
  <c r="Q184" i="103"/>
  <c r="P184" i="103"/>
  <c r="O184" i="103"/>
  <c r="M184" i="103"/>
  <c r="W165" i="103"/>
  <c r="V165" i="103"/>
  <c r="U165" i="103"/>
  <c r="T165" i="103"/>
  <c r="S165" i="103"/>
  <c r="R165" i="103"/>
  <c r="Q165" i="103"/>
  <c r="P165" i="103"/>
  <c r="O165" i="103"/>
  <c r="J165" i="103"/>
  <c r="BD158" i="103"/>
  <c r="AR158" i="103"/>
  <c r="AF158" i="103"/>
  <c r="T158" i="103"/>
  <c r="BA151" i="103"/>
  <c r="AZ151" i="103"/>
  <c r="AY151" i="103"/>
  <c r="AO151" i="103"/>
  <c r="AN151" i="103"/>
  <c r="AM151" i="103"/>
  <c r="AC151" i="103"/>
  <c r="AB151" i="103"/>
  <c r="AA151" i="103"/>
  <c r="Q151" i="103"/>
  <c r="P151" i="103"/>
  <c r="O151" i="103"/>
  <c r="V149" i="103"/>
  <c r="U149" i="103"/>
  <c r="T149" i="103"/>
  <c r="S149" i="103"/>
  <c r="R149" i="103"/>
  <c r="Q149" i="103"/>
  <c r="P149" i="103"/>
  <c r="O149" i="103"/>
  <c r="BA136" i="103"/>
  <c r="AZ136" i="103"/>
  <c r="AZ138" i="103" s="1"/>
  <c r="AY136" i="103"/>
  <c r="AO136" i="103"/>
  <c r="AN136" i="103"/>
  <c r="AN138" i="103" s="1"/>
  <c r="AM136" i="103"/>
  <c r="AC136" i="103"/>
  <c r="AB136" i="103"/>
  <c r="AB138" i="103" s="1"/>
  <c r="AA136" i="103"/>
  <c r="Q136" i="103"/>
  <c r="P136" i="103"/>
  <c r="P138" i="103" s="1"/>
  <c r="O136" i="103"/>
  <c r="BA129" i="103"/>
  <c r="AZ129" i="103"/>
  <c r="AY129" i="103"/>
  <c r="AO129" i="103"/>
  <c r="AN129" i="103"/>
  <c r="AM129" i="103"/>
  <c r="AC129" i="103"/>
  <c r="AB129" i="103"/>
  <c r="AA129" i="103"/>
  <c r="Q129" i="103"/>
  <c r="P129" i="103"/>
  <c r="O129" i="103"/>
  <c r="BA125" i="103"/>
  <c r="AZ125" i="103"/>
  <c r="AY125" i="103"/>
  <c r="AO125" i="103"/>
  <c r="AN125" i="103"/>
  <c r="AM125" i="103"/>
  <c r="AC125" i="103"/>
  <c r="AB125" i="103"/>
  <c r="AA125" i="103"/>
  <c r="Q125" i="103"/>
  <c r="P125" i="103"/>
  <c r="O125" i="103"/>
  <c r="BA124" i="103"/>
  <c r="AZ124" i="103"/>
  <c r="AY124" i="103"/>
  <c r="AO124" i="103"/>
  <c r="AN124" i="103"/>
  <c r="AM124" i="103"/>
  <c r="AC124" i="103"/>
  <c r="AB124" i="103"/>
  <c r="AA124" i="103"/>
  <c r="Q124" i="103"/>
  <c r="P124" i="103"/>
  <c r="O124" i="103"/>
  <c r="AZ112" i="103"/>
  <c r="AN112" i="103"/>
  <c r="AB112" i="103"/>
  <c r="P112" i="103"/>
  <c r="BA111" i="103"/>
  <c r="AY111" i="103"/>
  <c r="AO111" i="103"/>
  <c r="AM111" i="103"/>
  <c r="AC111" i="103"/>
  <c r="AA111" i="103"/>
  <c r="Q111" i="103"/>
  <c r="O111" i="103"/>
  <c r="BA108" i="103"/>
  <c r="AZ108" i="103"/>
  <c r="AY108" i="103"/>
  <c r="AO108" i="103"/>
  <c r="AN108" i="103"/>
  <c r="AM108" i="103"/>
  <c r="AC108" i="103"/>
  <c r="AB108" i="103"/>
  <c r="AA108" i="103"/>
  <c r="Q108" i="103"/>
  <c r="P108" i="103"/>
  <c r="O108" i="103"/>
  <c r="BA105" i="103"/>
  <c r="BA134" i="103" s="1"/>
  <c r="AZ105" i="103"/>
  <c r="AZ134" i="103" s="1"/>
  <c r="AY105" i="103"/>
  <c r="AY134" i="103" s="1"/>
  <c r="AO105" i="103"/>
  <c r="AO134" i="103" s="1"/>
  <c r="AN105" i="103"/>
  <c r="AN134" i="103" s="1"/>
  <c r="AM105" i="103"/>
  <c r="AM131" i="103" s="1"/>
  <c r="AC105" i="103"/>
  <c r="AC134" i="103" s="1"/>
  <c r="AB105" i="103"/>
  <c r="AB134" i="103" s="1"/>
  <c r="AA105" i="103"/>
  <c r="AA131" i="103" s="1"/>
  <c r="Q105" i="103"/>
  <c r="Q131" i="103" s="1"/>
  <c r="P105" i="103"/>
  <c r="P134" i="103" s="1"/>
  <c r="O105" i="103"/>
  <c r="O131" i="103" s="1"/>
  <c r="BA102" i="103"/>
  <c r="BA197" i="103" s="1"/>
  <c r="AZ102" i="103"/>
  <c r="AZ197" i="103" s="1"/>
  <c r="AY102" i="103"/>
  <c r="AY197" i="103" s="1"/>
  <c r="AO102" i="103"/>
  <c r="AO197" i="103" s="1"/>
  <c r="AN102" i="103"/>
  <c r="AN197" i="103" s="1"/>
  <c r="AM102" i="103"/>
  <c r="AM197" i="103" s="1"/>
  <c r="AC102" i="103"/>
  <c r="AC197" i="103" s="1"/>
  <c r="AB102" i="103"/>
  <c r="AB197" i="103" s="1"/>
  <c r="AA102" i="103"/>
  <c r="AA197" i="103" s="1"/>
  <c r="Q102" i="103"/>
  <c r="Q197" i="103" s="1"/>
  <c r="P102" i="103"/>
  <c r="P197" i="103" s="1"/>
  <c r="O102" i="103"/>
  <c r="O197" i="103" s="1"/>
  <c r="BA101" i="103"/>
  <c r="BA110" i="103" s="1"/>
  <c r="AZ101" i="103"/>
  <c r="AZ131" i="103" s="1"/>
  <c r="AY101" i="103"/>
  <c r="AY110" i="103" s="1"/>
  <c r="AO101" i="103"/>
  <c r="AO110" i="103" s="1"/>
  <c r="AN101" i="103"/>
  <c r="AN131" i="103" s="1"/>
  <c r="AM101" i="103"/>
  <c r="AM110" i="103" s="1"/>
  <c r="AC101" i="103"/>
  <c r="AC110" i="103" s="1"/>
  <c r="AB101" i="103"/>
  <c r="AB131" i="103" s="1"/>
  <c r="AA101" i="103"/>
  <c r="AA110" i="103" s="1"/>
  <c r="Q101" i="103"/>
  <c r="Q110" i="103" s="1"/>
  <c r="P101" i="103"/>
  <c r="P131" i="103" s="1"/>
  <c r="O101" i="103"/>
  <c r="O110" i="103" s="1"/>
  <c r="AW99" i="103"/>
  <c r="AK99" i="103"/>
  <c r="Y99" i="103"/>
  <c r="Q99" i="103"/>
  <c r="P99" i="103"/>
  <c r="O99" i="103"/>
  <c r="M99" i="103"/>
  <c r="J99" i="103"/>
  <c r="BA83" i="103"/>
  <c r="AZ83" i="103"/>
  <c r="AY83" i="103"/>
  <c r="AO83" i="103"/>
  <c r="AN83" i="103"/>
  <c r="AM83" i="103"/>
  <c r="AC83" i="103"/>
  <c r="AB83" i="103"/>
  <c r="AA83" i="103"/>
  <c r="Q83" i="103"/>
  <c r="O83" i="103"/>
  <c r="AZ81" i="103"/>
  <c r="AZ221" i="103" s="1"/>
  <c r="AN81" i="103"/>
  <c r="AN221" i="103" s="1"/>
  <c r="AB81" i="103"/>
  <c r="AB221" i="103" s="1"/>
  <c r="P81" i="103"/>
  <c r="P221" i="103" s="1"/>
  <c r="E81" i="103"/>
  <c r="AW73" i="103"/>
  <c r="AK73" i="103"/>
  <c r="Y73" i="103"/>
  <c r="W73" i="103"/>
  <c r="V73" i="103"/>
  <c r="U73" i="103"/>
  <c r="T73" i="103"/>
  <c r="S73" i="103"/>
  <c r="R73" i="103"/>
  <c r="Q73" i="103"/>
  <c r="P73" i="103"/>
  <c r="O73" i="103"/>
  <c r="M73" i="103"/>
  <c r="J73" i="103"/>
  <c r="E68" i="103"/>
  <c r="E66" i="103"/>
  <c r="E65" i="103"/>
  <c r="E64" i="103"/>
  <c r="E63" i="103"/>
  <c r="E62" i="103"/>
  <c r="E61" i="103"/>
  <c r="E60" i="103"/>
  <c r="AW58" i="103"/>
  <c r="AK58" i="103"/>
  <c r="Y58" i="103"/>
  <c r="M58" i="103"/>
  <c r="J58" i="103"/>
  <c r="AW38" i="103"/>
  <c r="AK38" i="103"/>
  <c r="Y38" i="103"/>
  <c r="M38" i="103"/>
  <c r="AX29" i="103"/>
  <c r="BG24" i="103"/>
  <c r="BF24" i="103"/>
  <c r="BE24" i="103"/>
  <c r="BD24" i="103"/>
  <c r="BC24" i="103"/>
  <c r="BB24" i="103"/>
  <c r="BA24" i="103"/>
  <c r="AZ24" i="103"/>
  <c r="AY24" i="103"/>
  <c r="AU24" i="103"/>
  <c r="AT24" i="103"/>
  <c r="AS24" i="103"/>
  <c r="AR24" i="103"/>
  <c r="AQ24" i="103"/>
  <c r="AP24" i="103"/>
  <c r="AO24" i="103"/>
  <c r="AN24" i="103"/>
  <c r="AM24" i="103"/>
  <c r="AI24" i="103"/>
  <c r="AH24" i="103"/>
  <c r="AG24" i="103"/>
  <c r="AF24" i="103"/>
  <c r="AE24" i="103"/>
  <c r="AD24" i="103"/>
  <c r="AC24" i="103"/>
  <c r="AB24" i="103"/>
  <c r="AA24" i="103"/>
  <c r="Y24" i="103" s="1"/>
  <c r="W24" i="103"/>
  <c r="V24" i="103"/>
  <c r="U24" i="103"/>
  <c r="T24" i="103"/>
  <c r="S24" i="103"/>
  <c r="R24" i="103"/>
  <c r="Q24" i="103"/>
  <c r="P24" i="103"/>
  <c r="O24" i="103"/>
  <c r="BG20" i="103"/>
  <c r="BF20" i="103"/>
  <c r="BE20" i="103"/>
  <c r="BD20" i="103"/>
  <c r="BC20" i="103"/>
  <c r="BB20" i="103"/>
  <c r="BA20" i="103"/>
  <c r="AZ20" i="103"/>
  <c r="AY20" i="103"/>
  <c r="AU20" i="103"/>
  <c r="AT20" i="103"/>
  <c r="AS20" i="103"/>
  <c r="AR20" i="103"/>
  <c r="AQ20" i="103"/>
  <c r="AP20" i="103"/>
  <c r="AO20" i="103"/>
  <c r="AN20" i="103"/>
  <c r="AM20" i="103"/>
  <c r="AI20" i="103"/>
  <c r="AH20" i="103"/>
  <c r="AG20" i="103"/>
  <c r="AF20" i="103"/>
  <c r="AE20" i="103"/>
  <c r="AD20" i="103"/>
  <c r="AC20" i="103"/>
  <c r="AB20" i="103"/>
  <c r="AA20" i="103"/>
  <c r="W20" i="103"/>
  <c r="V20" i="103"/>
  <c r="U20" i="103"/>
  <c r="T20" i="103"/>
  <c r="S20" i="103"/>
  <c r="R20" i="103"/>
  <c r="Q20" i="103"/>
  <c r="P20" i="103"/>
  <c r="O20" i="103"/>
  <c r="BG19" i="103"/>
  <c r="BF19" i="103"/>
  <c r="BF64" i="103" s="1"/>
  <c r="BE19" i="103"/>
  <c r="BD19" i="103"/>
  <c r="BC19" i="103"/>
  <c r="BB19" i="103"/>
  <c r="BA19" i="103"/>
  <c r="AZ19" i="103"/>
  <c r="AY19" i="103"/>
  <c r="AU19" i="103"/>
  <c r="AU17" i="103" s="1"/>
  <c r="AT19" i="103"/>
  <c r="AT64" i="103" s="1"/>
  <c r="AS19" i="103"/>
  <c r="AR19" i="103"/>
  <c r="AR17" i="103" s="1"/>
  <c r="AR38" i="103" s="1"/>
  <c r="AQ19" i="103"/>
  <c r="AQ17" i="103" s="1"/>
  <c r="AP19" i="103"/>
  <c r="AO19" i="103"/>
  <c r="AN19" i="103"/>
  <c r="AN17" i="103" s="1"/>
  <c r="AN58" i="103" s="1"/>
  <c r="AM19" i="103"/>
  <c r="AM17" i="103" s="1"/>
  <c r="AI19" i="103"/>
  <c r="AH19" i="103"/>
  <c r="AH64" i="103" s="1"/>
  <c r="AG19" i="103"/>
  <c r="AG17" i="103" s="1"/>
  <c r="AF19" i="103"/>
  <c r="AF17" i="103" s="1"/>
  <c r="AE19" i="103"/>
  <c r="AD19" i="103"/>
  <c r="AC19" i="103"/>
  <c r="AC17" i="103" s="1"/>
  <c r="AB19" i="103"/>
  <c r="AB17" i="103" s="1"/>
  <c r="AB58" i="103" s="1"/>
  <c r="AA19" i="103"/>
  <c r="W19" i="103"/>
  <c r="V19" i="103"/>
  <c r="V17" i="103" s="1"/>
  <c r="U19" i="103"/>
  <c r="U50" i="103" s="1"/>
  <c r="T19" i="103"/>
  <c r="S19" i="103"/>
  <c r="R19" i="103"/>
  <c r="R17" i="103" s="1"/>
  <c r="R58" i="103" s="1"/>
  <c r="Q19" i="103"/>
  <c r="Q50" i="103" s="1"/>
  <c r="P19" i="103"/>
  <c r="O19" i="103"/>
  <c r="BG17" i="103"/>
  <c r="BF17" i="103"/>
  <c r="BF58" i="103" s="1"/>
  <c r="BE17" i="103"/>
  <c r="BD17" i="103"/>
  <c r="BD58" i="103" s="1"/>
  <c r="BC17" i="103"/>
  <c r="BB17" i="103"/>
  <c r="BB38" i="103" s="1"/>
  <c r="BA17" i="103"/>
  <c r="AZ17" i="103"/>
  <c r="AY17" i="103"/>
  <c r="AW17" i="103"/>
  <c r="AT17" i="103"/>
  <c r="AT58" i="103" s="1"/>
  <c r="AS17" i="103"/>
  <c r="AP17" i="103"/>
  <c r="AO17" i="103"/>
  <c r="AK17" i="103"/>
  <c r="AI17" i="103"/>
  <c r="AH17" i="103"/>
  <c r="AH38" i="103" s="1"/>
  <c r="AE17" i="103"/>
  <c r="AD17" i="103"/>
  <c r="AD58" i="103" s="1"/>
  <c r="AA17" i="103"/>
  <c r="Y17" i="103"/>
  <c r="W17" i="103"/>
  <c r="U17" i="103"/>
  <c r="T17" i="103"/>
  <c r="T58" i="103" s="1"/>
  <c r="S17" i="103"/>
  <c r="Q17" i="103"/>
  <c r="P17" i="103"/>
  <c r="P38" i="103" s="1"/>
  <c r="O17" i="103"/>
  <c r="M17" i="103"/>
  <c r="J17" i="103"/>
  <c r="BG10" i="103"/>
  <c r="BF10" i="103"/>
  <c r="BE10" i="103"/>
  <c r="BD10" i="103"/>
  <c r="BC10" i="103"/>
  <c r="BB10" i="103"/>
  <c r="BA10" i="103"/>
  <c r="AZ10" i="103"/>
  <c r="AY10" i="103"/>
  <c r="AU10" i="103"/>
  <c r="AT10" i="103"/>
  <c r="AS10" i="103"/>
  <c r="AR10" i="103"/>
  <c r="AQ10" i="103"/>
  <c r="AP10" i="103"/>
  <c r="AO10" i="103"/>
  <c r="AN10" i="103"/>
  <c r="AM10" i="103"/>
  <c r="AI10" i="103"/>
  <c r="AH10" i="103"/>
  <c r="AG10" i="103"/>
  <c r="AF10" i="103"/>
  <c r="AE10" i="103"/>
  <c r="AD10" i="103"/>
  <c r="AC10" i="103"/>
  <c r="AB10" i="103"/>
  <c r="AA10" i="103"/>
  <c r="H6" i="103"/>
  <c r="H5" i="103"/>
  <c r="G5" i="103"/>
  <c r="E3" i="103"/>
  <c r="E2" i="103"/>
  <c r="E1" i="103"/>
  <c r="M262" i="24"/>
  <c r="L262" i="24"/>
  <c r="L263" i="24" s="1"/>
  <c r="J263" i="24"/>
  <c r="AW176" i="107" s="1"/>
  <c r="M263" i="24"/>
  <c r="K263" i="24"/>
  <c r="K262" i="24"/>
  <c r="AK176" i="103" l="1"/>
  <c r="AW176" i="104"/>
  <c r="Y176" i="105"/>
  <c r="AK176" i="106"/>
  <c r="M176" i="107"/>
  <c r="AW176" i="103"/>
  <c r="M176" i="104"/>
  <c r="AK176" i="105"/>
  <c r="AW176" i="106"/>
  <c r="Y176" i="107"/>
  <c r="M176" i="103"/>
  <c r="Y176" i="104"/>
  <c r="AW176" i="105"/>
  <c r="M176" i="106"/>
  <c r="AK176" i="107"/>
  <c r="Y176" i="103"/>
  <c r="AK176" i="104"/>
  <c r="M176" i="105"/>
  <c r="Y176" i="106"/>
  <c r="M24" i="106"/>
  <c r="O4" i="106" s="1"/>
  <c r="BG50" i="105"/>
  <c r="AK24" i="104"/>
  <c r="AM8" i="104" s="1"/>
  <c r="AK24" i="107"/>
  <c r="AM5" i="107" s="1"/>
  <c r="M24" i="107"/>
  <c r="V29" i="107" s="1"/>
  <c r="V14" i="107" s="1"/>
  <c r="Y24" i="106"/>
  <c r="AE29" i="106" s="1"/>
  <c r="AZ119" i="106"/>
  <c r="Y24" i="105"/>
  <c r="AA8" i="105" s="1"/>
  <c r="M24" i="104"/>
  <c r="O4" i="104" s="1"/>
  <c r="P119" i="104"/>
  <c r="AW24" i="103"/>
  <c r="BG29" i="103" s="1"/>
  <c r="AA8" i="103"/>
  <c r="AA5" i="103"/>
  <c r="AA4" i="103"/>
  <c r="AT29" i="104"/>
  <c r="O29" i="106"/>
  <c r="O5" i="106"/>
  <c r="O8" i="106"/>
  <c r="O3" i="106"/>
  <c r="O8" i="104"/>
  <c r="O8" i="107"/>
  <c r="AY8" i="105"/>
  <c r="W17" i="105"/>
  <c r="W239" i="105" s="1"/>
  <c r="AD17" i="105"/>
  <c r="AM3" i="106"/>
  <c r="AE17" i="106"/>
  <c r="AE260" i="106" s="1"/>
  <c r="AP22" i="106"/>
  <c r="AD31" i="106"/>
  <c r="AD32" i="106" s="1"/>
  <c r="AZ31" i="106"/>
  <c r="AZ32" i="106" s="1"/>
  <c r="AH34" i="106"/>
  <c r="BD34" i="106"/>
  <c r="AD35" i="106"/>
  <c r="AI50" i="103"/>
  <c r="BE50" i="103"/>
  <c r="AB31" i="104"/>
  <c r="AB273" i="104" s="1"/>
  <c r="AM8" i="106"/>
  <c r="T21" i="106"/>
  <c r="T26" i="106" s="1"/>
  <c r="AT22" i="106"/>
  <c r="AE17" i="107"/>
  <c r="AE260" i="107" s="1"/>
  <c r="AI17" i="107"/>
  <c r="AI260" i="107" s="1"/>
  <c r="AU50" i="103"/>
  <c r="AF31" i="104"/>
  <c r="AY4" i="105"/>
  <c r="O17" i="105"/>
  <c r="AS17" i="105"/>
  <c r="AM4" i="106"/>
  <c r="AM5" i="106"/>
  <c r="AH31" i="106"/>
  <c r="AH32" i="106" s="1"/>
  <c r="AP17" i="107"/>
  <c r="Y179" i="107"/>
  <c r="BE161" i="107"/>
  <c r="BA161" i="107"/>
  <c r="AS161" i="107"/>
  <c r="AO161" i="107"/>
  <c r="AG161" i="107"/>
  <c r="AC161" i="107"/>
  <c r="U161" i="107"/>
  <c r="Q161" i="107"/>
  <c r="M179" i="107"/>
  <c r="BD161" i="107"/>
  <c r="AZ161" i="107"/>
  <c r="AR161" i="107"/>
  <c r="AN161" i="107"/>
  <c r="AF161" i="107"/>
  <c r="AB161" i="107"/>
  <c r="T161" i="107"/>
  <c r="P161" i="107"/>
  <c r="AW179" i="107"/>
  <c r="BC161" i="107"/>
  <c r="AY161" i="107"/>
  <c r="AQ161" i="107"/>
  <c r="AM161" i="107"/>
  <c r="AE161" i="107"/>
  <c r="AA161" i="107"/>
  <c r="S161" i="107"/>
  <c r="O161" i="107"/>
  <c r="AK179" i="107"/>
  <c r="BF161" i="107"/>
  <c r="BB161" i="107"/>
  <c r="AT161" i="107"/>
  <c r="AP161" i="107"/>
  <c r="AH161" i="107"/>
  <c r="AD161" i="107"/>
  <c r="V161" i="107"/>
  <c r="R161" i="107"/>
  <c r="AC219" i="107"/>
  <c r="AC207" i="107"/>
  <c r="AC195" i="107"/>
  <c r="AC165" i="107"/>
  <c r="AC149" i="107"/>
  <c r="AC99" i="107"/>
  <c r="AC184" i="107"/>
  <c r="AC73" i="107"/>
  <c r="AG219" i="107"/>
  <c r="AG195" i="107"/>
  <c r="AG165" i="107"/>
  <c r="AG149" i="107"/>
  <c r="AG184" i="107"/>
  <c r="AG73" i="107"/>
  <c r="AN219" i="107"/>
  <c r="AN195" i="107"/>
  <c r="AN207" i="107"/>
  <c r="AN165" i="107"/>
  <c r="AN184" i="107"/>
  <c r="AN149" i="107"/>
  <c r="AN73" i="107"/>
  <c r="AN99" i="107"/>
  <c r="AR219" i="107"/>
  <c r="AR195" i="107"/>
  <c r="AR165" i="107"/>
  <c r="AR184" i="107"/>
  <c r="AR149" i="107"/>
  <c r="AR73" i="107"/>
  <c r="AY195" i="107"/>
  <c r="AY219" i="107"/>
  <c r="AY207" i="107"/>
  <c r="AY99" i="107"/>
  <c r="AY184" i="107"/>
  <c r="AY165" i="107"/>
  <c r="AY73" i="107"/>
  <c r="AY149" i="107"/>
  <c r="BC195" i="107"/>
  <c r="BC219" i="107"/>
  <c r="BC184" i="107"/>
  <c r="BC165" i="107"/>
  <c r="BC73" i="107"/>
  <c r="BC149" i="107"/>
  <c r="BG207" i="107"/>
  <c r="BG195" i="107"/>
  <c r="BG219" i="107"/>
  <c r="BG184" i="107"/>
  <c r="BG165" i="107"/>
  <c r="BG73" i="107"/>
  <c r="Q300" i="107"/>
  <c r="Q260" i="107"/>
  <c r="Q278" i="107"/>
  <c r="Q239" i="107"/>
  <c r="Q225" i="107"/>
  <c r="Q232" i="107"/>
  <c r="Q58" i="107"/>
  <c r="U300" i="107"/>
  <c r="U260" i="107"/>
  <c r="U278" i="107"/>
  <c r="U239" i="107"/>
  <c r="U225" i="107"/>
  <c r="U232" i="107"/>
  <c r="U58" i="107"/>
  <c r="AA300" i="107"/>
  <c r="AA260" i="107"/>
  <c r="AA278" i="107"/>
  <c r="AA239" i="107"/>
  <c r="AA225" i="107"/>
  <c r="AA232" i="107"/>
  <c r="AA58" i="107"/>
  <c r="AE225" i="107"/>
  <c r="AI300" i="107"/>
  <c r="AI225" i="107"/>
  <c r="AO300" i="107"/>
  <c r="AO260" i="107"/>
  <c r="AO278" i="107"/>
  <c r="AO239" i="107"/>
  <c r="AO232" i="107"/>
  <c r="AO225" i="107"/>
  <c r="AO58" i="107"/>
  <c r="AS300" i="107"/>
  <c r="AS260" i="107"/>
  <c r="AS278" i="107"/>
  <c r="AS239" i="107"/>
  <c r="AS232" i="107"/>
  <c r="AS225" i="107"/>
  <c r="AS58" i="107"/>
  <c r="AY300" i="107"/>
  <c r="AY278" i="107"/>
  <c r="AY260" i="107"/>
  <c r="AY239" i="107"/>
  <c r="AY232" i="107"/>
  <c r="AY225" i="107"/>
  <c r="AY58" i="107"/>
  <c r="BC300" i="107"/>
  <c r="BC278" i="107"/>
  <c r="BC260" i="107"/>
  <c r="BC239" i="107"/>
  <c r="BC232" i="107"/>
  <c r="BC225" i="107"/>
  <c r="BC58" i="107"/>
  <c r="BG300" i="107"/>
  <c r="BG278" i="107"/>
  <c r="BG260" i="107"/>
  <c r="BG239" i="107"/>
  <c r="BG232" i="107"/>
  <c r="BG225" i="107"/>
  <c r="BG58" i="107"/>
  <c r="R229" i="107"/>
  <c r="R227" i="107"/>
  <c r="V229" i="107"/>
  <c r="V227" i="107"/>
  <c r="AC229" i="107"/>
  <c r="AC227" i="107"/>
  <c r="AC66" i="107"/>
  <c r="AC64" i="107"/>
  <c r="AG229" i="107"/>
  <c r="AG227" i="107"/>
  <c r="AG66" i="107"/>
  <c r="AG64" i="107"/>
  <c r="AR229" i="107"/>
  <c r="AR227" i="107"/>
  <c r="AY64" i="107"/>
  <c r="BC229" i="107"/>
  <c r="BC227" i="107"/>
  <c r="BC66" i="107"/>
  <c r="BC64" i="107"/>
  <c r="BG229" i="107"/>
  <c r="BG227" i="107"/>
  <c r="BG66" i="107"/>
  <c r="BG64" i="107"/>
  <c r="R21" i="107"/>
  <c r="V21" i="107"/>
  <c r="V63" i="107" s="1"/>
  <c r="AC21" i="107"/>
  <c r="AG21" i="107"/>
  <c r="AN21" i="107"/>
  <c r="AR21" i="107"/>
  <c r="AR63" i="107" s="1"/>
  <c r="AY21" i="107"/>
  <c r="BC21" i="107"/>
  <c r="BG21" i="107"/>
  <c r="R22" i="107"/>
  <c r="V22" i="107"/>
  <c r="AC22" i="107"/>
  <c r="AG22" i="107"/>
  <c r="AN22" i="107"/>
  <c r="AR22" i="107"/>
  <c r="AY22" i="107"/>
  <c r="BC22" i="107"/>
  <c r="BG22" i="107"/>
  <c r="T244" i="107"/>
  <c r="T243" i="107"/>
  <c r="Y24" i="107"/>
  <c r="AD244" i="107"/>
  <c r="AD243" i="107"/>
  <c r="AD241" i="107"/>
  <c r="AH244" i="107"/>
  <c r="AH243" i="107"/>
  <c r="AH241" i="107"/>
  <c r="AR244" i="107"/>
  <c r="AR243" i="107"/>
  <c r="AR241" i="107"/>
  <c r="AW24" i="107"/>
  <c r="BB244" i="107"/>
  <c r="BB243" i="107"/>
  <c r="BB241" i="107"/>
  <c r="BB55" i="107" a="1"/>
  <c r="BB55" i="107" s="1"/>
  <c r="BF244" i="107"/>
  <c r="BF243" i="107"/>
  <c r="BF241" i="107"/>
  <c r="BF55" i="107" a="1"/>
  <c r="BF55" i="107" s="1"/>
  <c r="T31" i="107"/>
  <c r="T266" i="107" s="1"/>
  <c r="AD31" i="107"/>
  <c r="AH31" i="107"/>
  <c r="AR31" i="107"/>
  <c r="AR280" i="107" s="1"/>
  <c r="BB31" i="107"/>
  <c r="BB280" i="107" s="1"/>
  <c r="BF31" i="107"/>
  <c r="BF32" i="107" s="1"/>
  <c r="Q34" i="107"/>
  <c r="U34" i="107"/>
  <c r="AB34" i="107"/>
  <c r="AF34" i="107"/>
  <c r="AM34" i="107"/>
  <c r="AQ34" i="107"/>
  <c r="AU34" i="107"/>
  <c r="BB34" i="107"/>
  <c r="BF34" i="107"/>
  <c r="Q35" i="107"/>
  <c r="U35" i="107"/>
  <c r="AB35" i="107"/>
  <c r="AF35" i="107"/>
  <c r="AM35" i="107"/>
  <c r="AQ35" i="107"/>
  <c r="AU35" i="107"/>
  <c r="BB35" i="107"/>
  <c r="BF35" i="107"/>
  <c r="P38" i="107"/>
  <c r="T38" i="107"/>
  <c r="AH38" i="107"/>
  <c r="AN38" i="107"/>
  <c r="AR38" i="107"/>
  <c r="BB38" i="107"/>
  <c r="BF38" i="107"/>
  <c r="Q40" i="107"/>
  <c r="Q60" i="107" s="1"/>
  <c r="U40" i="107"/>
  <c r="AB40" i="107"/>
  <c r="AB61" i="107" s="1"/>
  <c r="AF40" i="107"/>
  <c r="AF60" i="107" s="1"/>
  <c r="AM40" i="107"/>
  <c r="AM52" i="107" s="1"/>
  <c r="AQ40" i="107"/>
  <c r="AU40" i="107"/>
  <c r="AU52" i="107" s="1"/>
  <c r="BB40" i="107"/>
  <c r="BB52" i="107" s="1"/>
  <c r="BF40" i="107"/>
  <c r="BF53" i="107" s="1"/>
  <c r="T50" i="107"/>
  <c r="AE50" i="107"/>
  <c r="AI50" i="107"/>
  <c r="AP50" i="107"/>
  <c r="AT50" i="107"/>
  <c r="BA50" i="107"/>
  <c r="BE50" i="107"/>
  <c r="AM53" i="107"/>
  <c r="AP55" i="107" a="1"/>
  <c r="AP55" i="107" s="1"/>
  <c r="BA55" i="107" a="1"/>
  <c r="BA55" i="107" s="1"/>
  <c r="AR62" i="107"/>
  <c r="T64" i="107"/>
  <c r="BF64" i="107"/>
  <c r="AR66" i="107"/>
  <c r="AZ199" i="107"/>
  <c r="AZ200" i="107" s="1"/>
  <c r="AZ132" i="107"/>
  <c r="Q132" i="107"/>
  <c r="Q199" i="107" s="1"/>
  <c r="AE26" i="106"/>
  <c r="AE28" i="106" s="1"/>
  <c r="AE291" i="106" s="1"/>
  <c r="AD219" i="107"/>
  <c r="AD195" i="107"/>
  <c r="AD165" i="107"/>
  <c r="AD149" i="107"/>
  <c r="AD184" i="107"/>
  <c r="AD73" i="107"/>
  <c r="AH219" i="107"/>
  <c r="AH195" i="107"/>
  <c r="AH165" i="107"/>
  <c r="AH149" i="107"/>
  <c r="AH184" i="107"/>
  <c r="AH73" i="107"/>
  <c r="AO195" i="107"/>
  <c r="AO207" i="107"/>
  <c r="AO219" i="107"/>
  <c r="AO165" i="107"/>
  <c r="AO184" i="107"/>
  <c r="AO149" i="107"/>
  <c r="AO73" i="107"/>
  <c r="AO99" i="107"/>
  <c r="AS195" i="107"/>
  <c r="AS219" i="107"/>
  <c r="AS165" i="107"/>
  <c r="AS184" i="107"/>
  <c r="AS149" i="107"/>
  <c r="AS73" i="107"/>
  <c r="AZ195" i="107"/>
  <c r="AZ219" i="107"/>
  <c r="AZ207" i="107"/>
  <c r="AZ184" i="107"/>
  <c r="AZ165" i="107"/>
  <c r="AZ73" i="107"/>
  <c r="AZ149" i="107"/>
  <c r="AZ99" i="107"/>
  <c r="BD195" i="107"/>
  <c r="BD219" i="107"/>
  <c r="BD184" i="107"/>
  <c r="BD165" i="107"/>
  <c r="BD73" i="107"/>
  <c r="BD149" i="107"/>
  <c r="R300" i="107"/>
  <c r="R278" i="107"/>
  <c r="R260" i="107"/>
  <c r="R239" i="107"/>
  <c r="R232" i="107"/>
  <c r="R225" i="107"/>
  <c r="V300" i="107"/>
  <c r="V278" i="107"/>
  <c r="V260" i="107"/>
  <c r="V232" i="107"/>
  <c r="V239" i="107"/>
  <c r="V225" i="107"/>
  <c r="AB300" i="107"/>
  <c r="AB260" i="107"/>
  <c r="AB278" i="107"/>
  <c r="AB239" i="107"/>
  <c r="AB225" i="107"/>
  <c r="AB232" i="107"/>
  <c r="AF300" i="107"/>
  <c r="AF260" i="107"/>
  <c r="AF278" i="107"/>
  <c r="AF225" i="107"/>
  <c r="AF232" i="107"/>
  <c r="AF239" i="107"/>
  <c r="AP300" i="107"/>
  <c r="AP260" i="107"/>
  <c r="AP278" i="107"/>
  <c r="AP232" i="107"/>
  <c r="AP225" i="107"/>
  <c r="AP239" i="107"/>
  <c r="AT300" i="107"/>
  <c r="AT260" i="107"/>
  <c r="AT278" i="107"/>
  <c r="AT239" i="107"/>
  <c r="AT232" i="107"/>
  <c r="AT225" i="107"/>
  <c r="AZ300" i="107"/>
  <c r="AZ260" i="107"/>
  <c r="AZ278" i="107"/>
  <c r="AZ232" i="107"/>
  <c r="AZ239" i="107"/>
  <c r="AZ225" i="107"/>
  <c r="BD300" i="107"/>
  <c r="BD260" i="107"/>
  <c r="BD278" i="107"/>
  <c r="BD239" i="107"/>
  <c r="BD232" i="107"/>
  <c r="BD225" i="107"/>
  <c r="S229" i="107"/>
  <c r="S227" i="107"/>
  <c r="S66" i="107"/>
  <c r="S64" i="107"/>
  <c r="W229" i="107"/>
  <c r="W227" i="107"/>
  <c r="W66" i="107"/>
  <c r="W64" i="107"/>
  <c r="AD287" i="107"/>
  <c r="AD286" i="107" a="1"/>
  <c r="AD286" i="107" s="1"/>
  <c r="AD271" i="107"/>
  <c r="AD266" i="107"/>
  <c r="AD269" i="107"/>
  <c r="AD265" i="107"/>
  <c r="AD275" i="107"/>
  <c r="AD268" i="107"/>
  <c r="AD264" i="107"/>
  <c r="AD280" i="107"/>
  <c r="AD273" i="107"/>
  <c r="AD267" i="107"/>
  <c r="AD262" i="107"/>
  <c r="AD229" i="107"/>
  <c r="AD227" i="107"/>
  <c r="AH268" i="107"/>
  <c r="AH229" i="107"/>
  <c r="AH227" i="107"/>
  <c r="AO229" i="107"/>
  <c r="AO227" i="107"/>
  <c r="AO66" i="107"/>
  <c r="AO64" i="107"/>
  <c r="AS229" i="107"/>
  <c r="AS227" i="107"/>
  <c r="AS66" i="107"/>
  <c r="AS64" i="107"/>
  <c r="AZ229" i="107"/>
  <c r="AZ227" i="107"/>
  <c r="AZ66" i="107"/>
  <c r="BD229" i="107"/>
  <c r="BD227" i="107"/>
  <c r="BD66" i="107"/>
  <c r="O21" i="107"/>
  <c r="S21" i="107"/>
  <c r="W21" i="107"/>
  <c r="W63" i="107" s="1"/>
  <c r="AD21" i="107"/>
  <c r="AD65" i="107" s="1"/>
  <c r="AH21" i="107"/>
  <c r="AO21" i="107"/>
  <c r="AS21" i="107"/>
  <c r="AZ21" i="107"/>
  <c r="BD21" i="107"/>
  <c r="O22" i="107"/>
  <c r="S22" i="107"/>
  <c r="W22" i="107"/>
  <c r="AD22" i="107"/>
  <c r="AH22" i="107"/>
  <c r="AO22" i="107"/>
  <c r="AS22" i="107"/>
  <c r="AZ22" i="107"/>
  <c r="BD22" i="107"/>
  <c r="Q244" i="107"/>
  <c r="Q243" i="107"/>
  <c r="U244" i="107"/>
  <c r="U243" i="107"/>
  <c r="AI75" i="107"/>
  <c r="AI168" i="107" s="1"/>
  <c r="Y70" i="107"/>
  <c r="AI215" i="107" s="1"/>
  <c r="AH75" i="107"/>
  <c r="AH154" i="107" s="1"/>
  <c r="Y68" i="107"/>
  <c r="AE244" i="107"/>
  <c r="AE243" i="107"/>
  <c r="AE241" i="107"/>
  <c r="AI244" i="107"/>
  <c r="AI243" i="107"/>
  <c r="AI241" i="107"/>
  <c r="AO244" i="107"/>
  <c r="AO243" i="107"/>
  <c r="AO241" i="107"/>
  <c r="AO55" i="107" a="1"/>
  <c r="AO55" i="107" s="1"/>
  <c r="AS244" i="107"/>
  <c r="AS243" i="107"/>
  <c r="AS241" i="107"/>
  <c r="AS55" i="107" a="1"/>
  <c r="AS55" i="107" s="1"/>
  <c r="BG75" i="107"/>
  <c r="BG168" i="107" s="1"/>
  <c r="BF75" i="107"/>
  <c r="BF154" i="107" s="1"/>
  <c r="AW70" i="107"/>
  <c r="BG215" i="107" s="1"/>
  <c r="AW68" i="107"/>
  <c r="BC244" i="107"/>
  <c r="BC243" i="107"/>
  <c r="BC241" i="107"/>
  <c r="BG244" i="107"/>
  <c r="BG243" i="107"/>
  <c r="BG241" i="107"/>
  <c r="R29" i="107"/>
  <c r="Q31" i="107"/>
  <c r="U31" i="107"/>
  <c r="AO31" i="107"/>
  <c r="AO269" i="107" s="1"/>
  <c r="AS31" i="107"/>
  <c r="AS265" i="107" s="1"/>
  <c r="BC31" i="107"/>
  <c r="BC266" i="107" s="1"/>
  <c r="BG31" i="107"/>
  <c r="BG269" i="107" s="1"/>
  <c r="AR32" i="107"/>
  <c r="BG32" i="107"/>
  <c r="R34" i="107"/>
  <c r="V34" i="107"/>
  <c r="AC34" i="107"/>
  <c r="AG34" i="107"/>
  <c r="AN34" i="107"/>
  <c r="AR34" i="107"/>
  <c r="AY34" i="107"/>
  <c r="BC34" i="107"/>
  <c r="BG34" i="107"/>
  <c r="R35" i="107"/>
  <c r="V35" i="107"/>
  <c r="AC35" i="107"/>
  <c r="AG35" i="107"/>
  <c r="AN35" i="107"/>
  <c r="AR35" i="107"/>
  <c r="AY35" i="107"/>
  <c r="BC35" i="107"/>
  <c r="BG35" i="107"/>
  <c r="Q38" i="107"/>
  <c r="U38" i="107"/>
  <c r="AA38" i="107"/>
  <c r="AO38" i="107"/>
  <c r="AS38" i="107"/>
  <c r="AY38" i="107"/>
  <c r="BC38" i="107"/>
  <c r="BG38" i="107"/>
  <c r="R40" i="107"/>
  <c r="R53" i="107" s="1"/>
  <c r="V40" i="107"/>
  <c r="AC40" i="107"/>
  <c r="AC52" i="107" s="1"/>
  <c r="AG40" i="107"/>
  <c r="AN40" i="107"/>
  <c r="AR40" i="107"/>
  <c r="AY40" i="107"/>
  <c r="AY52" i="107" s="1"/>
  <c r="AY55" i="107" s="1" a="1"/>
  <c r="AY55" i="107" s="1"/>
  <c r="BC40" i="107"/>
  <c r="BC53" i="107" s="1"/>
  <c r="BG40" i="107"/>
  <c r="BG53" i="107" s="1"/>
  <c r="Q50" i="107"/>
  <c r="U50" i="107"/>
  <c r="AB50" i="107"/>
  <c r="AF50" i="107"/>
  <c r="AQ50" i="107"/>
  <c r="AU50" i="107"/>
  <c r="BB50" i="107"/>
  <c r="BF50" i="107"/>
  <c r="AB52" i="107"/>
  <c r="AF52" i="107"/>
  <c r="AR53" i="107"/>
  <c r="BB53" i="107"/>
  <c r="T55" i="107" a="1"/>
  <c r="T55" i="107" s="1"/>
  <c r="AC55" i="107" a="1"/>
  <c r="AC55" i="107" s="1"/>
  <c r="AE55" i="107" a="1"/>
  <c r="AE55" i="107" s="1"/>
  <c r="AG55" i="107" a="1"/>
  <c r="AG55" i="107" s="1"/>
  <c r="AI55" i="107" a="1"/>
  <c r="AI55" i="107" s="1"/>
  <c r="BG55" i="107" a="1"/>
  <c r="BG55" i="107" s="1"/>
  <c r="AB58" i="107"/>
  <c r="AT58" i="107"/>
  <c r="AH63" i="107"/>
  <c r="V64" i="107"/>
  <c r="AF64" i="107"/>
  <c r="AZ64" i="107"/>
  <c r="R66" i="107"/>
  <c r="AB66" i="107"/>
  <c r="M68" i="107"/>
  <c r="AN199" i="107"/>
  <c r="AN200" i="107" s="1"/>
  <c r="AN132" i="107"/>
  <c r="T27" i="106"/>
  <c r="T28" i="106" s="1"/>
  <c r="T291" i="106" s="1"/>
  <c r="AA207" i="107"/>
  <c r="AA195" i="107"/>
  <c r="AA219" i="107"/>
  <c r="AA99" i="107"/>
  <c r="AA184" i="107"/>
  <c r="AA73" i="107"/>
  <c r="AA165" i="107"/>
  <c r="AA149" i="107"/>
  <c r="AE195" i="107"/>
  <c r="AE219" i="107"/>
  <c r="AE184" i="107"/>
  <c r="AE73" i="107"/>
  <c r="AE165" i="107"/>
  <c r="AE149" i="107"/>
  <c r="AI195" i="107"/>
  <c r="AI207" i="107"/>
  <c r="AI219" i="107"/>
  <c r="AI184" i="107"/>
  <c r="AI73" i="107"/>
  <c r="AI165" i="107"/>
  <c r="AP195" i="107"/>
  <c r="AP219" i="107"/>
  <c r="AP184" i="107"/>
  <c r="AP149" i="107"/>
  <c r="AP73" i="107"/>
  <c r="AP165" i="107"/>
  <c r="AT195" i="107"/>
  <c r="AT219" i="107"/>
  <c r="AT184" i="107"/>
  <c r="AT149" i="107"/>
  <c r="AT73" i="107"/>
  <c r="AT165" i="107"/>
  <c r="BA219" i="107"/>
  <c r="BA207" i="107"/>
  <c r="BA195" i="107"/>
  <c r="BA149" i="107"/>
  <c r="BA99" i="107"/>
  <c r="BA184" i="107"/>
  <c r="BA165" i="107"/>
  <c r="BA73" i="107"/>
  <c r="BE219" i="107"/>
  <c r="BE195" i="107"/>
  <c r="BE149" i="107"/>
  <c r="BE184" i="107"/>
  <c r="BE165" i="107"/>
  <c r="BE73" i="107"/>
  <c r="O300" i="107"/>
  <c r="O260" i="107"/>
  <c r="O278" i="107"/>
  <c r="O239" i="107"/>
  <c r="O232" i="107"/>
  <c r="O225" i="107"/>
  <c r="S300" i="107"/>
  <c r="S260" i="107"/>
  <c r="S278" i="107"/>
  <c r="S239" i="107"/>
  <c r="S232" i="107"/>
  <c r="S225" i="107"/>
  <c r="W300" i="107"/>
  <c r="W260" i="107"/>
  <c r="W278" i="107"/>
  <c r="W239" i="107"/>
  <c r="W232" i="107"/>
  <c r="W225" i="107"/>
  <c r="AC300" i="107"/>
  <c r="AC278" i="107"/>
  <c r="AC260" i="107"/>
  <c r="AC239" i="107"/>
  <c r="AC232" i="107"/>
  <c r="AC225" i="107"/>
  <c r="AG300" i="107"/>
  <c r="AG278" i="107"/>
  <c r="AG260" i="107"/>
  <c r="AG239" i="107"/>
  <c r="AG232" i="107"/>
  <c r="AG225" i="107"/>
  <c r="AM300" i="107"/>
  <c r="AM260" i="107"/>
  <c r="AM278" i="107"/>
  <c r="AM239" i="107"/>
  <c r="AM232" i="107"/>
  <c r="AM225" i="107"/>
  <c r="AQ300" i="107"/>
  <c r="AQ260" i="107"/>
  <c r="AQ278" i="107"/>
  <c r="AQ239" i="107"/>
  <c r="AQ232" i="107"/>
  <c r="AQ225" i="107"/>
  <c r="AU300" i="107"/>
  <c r="AU260" i="107"/>
  <c r="AU278" i="107"/>
  <c r="AU239" i="107"/>
  <c r="AU232" i="107"/>
  <c r="AU225" i="107"/>
  <c r="BA300" i="107"/>
  <c r="BA260" i="107"/>
  <c r="BA278" i="107"/>
  <c r="BA239" i="107"/>
  <c r="BA232" i="107"/>
  <c r="BA225" i="107"/>
  <c r="BE300" i="107"/>
  <c r="BE260" i="107"/>
  <c r="BE278" i="107"/>
  <c r="BE239" i="107"/>
  <c r="BE232" i="107"/>
  <c r="BE225" i="107"/>
  <c r="T229" i="107"/>
  <c r="T227" i="107"/>
  <c r="AA64" i="107"/>
  <c r="AE287" i="107"/>
  <c r="AE286" i="107" a="1"/>
  <c r="AE286" i="107" s="1"/>
  <c r="AE269" i="107"/>
  <c r="AE265" i="107"/>
  <c r="AE275" i="107"/>
  <c r="AE268" i="107"/>
  <c r="AE264" i="107"/>
  <c r="AE280" i="107"/>
  <c r="AE273" i="107"/>
  <c r="AE267" i="107"/>
  <c r="AE262" i="107"/>
  <c r="AE271" i="107"/>
  <c r="AE266" i="107"/>
  <c r="AE229" i="107"/>
  <c r="AE227" i="107"/>
  <c r="AE66" i="107"/>
  <c r="AE64" i="107"/>
  <c r="AE62" i="107"/>
  <c r="AI287" i="107"/>
  <c r="AI286" i="107" a="1"/>
  <c r="AI286" i="107" s="1"/>
  <c r="AI269" i="107"/>
  <c r="AI265" i="107"/>
  <c r="AI275" i="107"/>
  <c r="AI268" i="107"/>
  <c r="AI264" i="107"/>
  <c r="AI280" i="107"/>
  <c r="AI273" i="107"/>
  <c r="AI267" i="107"/>
  <c r="AI262" i="107"/>
  <c r="AI271" i="107"/>
  <c r="AI266" i="107"/>
  <c r="AI229" i="107"/>
  <c r="AI227" i="107"/>
  <c r="AI66" i="107"/>
  <c r="AI64" i="107"/>
  <c r="AI62" i="107"/>
  <c r="AP229" i="107"/>
  <c r="AP227" i="107"/>
  <c r="AT229" i="107"/>
  <c r="AT227" i="107"/>
  <c r="AT66" i="107"/>
  <c r="BA229" i="107"/>
  <c r="BA227" i="107"/>
  <c r="BA66" i="107"/>
  <c r="BA64" i="107"/>
  <c r="BE229" i="107"/>
  <c r="BE227" i="107"/>
  <c r="BE66" i="107"/>
  <c r="BE64" i="107"/>
  <c r="P21" i="107"/>
  <c r="T21" i="107"/>
  <c r="T63" i="107" s="1"/>
  <c r="AA21" i="107"/>
  <c r="AE21" i="107"/>
  <c r="AE65" i="107" s="1"/>
  <c r="AI21" i="107"/>
  <c r="AI65" i="107" s="1"/>
  <c r="AP21" i="107"/>
  <c r="AT21" i="107"/>
  <c r="BA21" i="107"/>
  <c r="BA63" i="107" s="1"/>
  <c r="BE21" i="107"/>
  <c r="BE63" i="107" s="1"/>
  <c r="P22" i="107"/>
  <c r="T22" i="107"/>
  <c r="AA22" i="107"/>
  <c r="AE22" i="107"/>
  <c r="AI22" i="107"/>
  <c r="AP22" i="107"/>
  <c r="AT22" i="107"/>
  <c r="BA22" i="107"/>
  <c r="BE22" i="107"/>
  <c r="R243" i="107"/>
  <c r="R244" i="107"/>
  <c r="V243" i="107"/>
  <c r="V244" i="107"/>
  <c r="AB243" i="107"/>
  <c r="AB244" i="107"/>
  <c r="AB241" i="107"/>
  <c r="AF243" i="107"/>
  <c r="AF244" i="107"/>
  <c r="AF241" i="107"/>
  <c r="AP243" i="107"/>
  <c r="AP244" i="107"/>
  <c r="AP241" i="107"/>
  <c r="AT243" i="107"/>
  <c r="AT244" i="107"/>
  <c r="AT241" i="107"/>
  <c r="AZ243" i="107"/>
  <c r="AZ244" i="107"/>
  <c r="AZ241" i="107"/>
  <c r="AZ55" i="107" a="1"/>
  <c r="AZ55" i="107" s="1"/>
  <c r="BD243" i="107"/>
  <c r="BD244" i="107"/>
  <c r="BD241" i="107"/>
  <c r="BD55" i="107" a="1"/>
  <c r="BD55" i="107" s="1"/>
  <c r="R31" i="107"/>
  <c r="R275" i="107" s="1"/>
  <c r="V31" i="107"/>
  <c r="V280" i="107" s="1"/>
  <c r="AB31" i="107"/>
  <c r="AB262" i="107" s="1"/>
  <c r="AF31" i="107"/>
  <c r="AF268" i="107" s="1"/>
  <c r="AP31" i="107"/>
  <c r="AP287" i="107" s="1"/>
  <c r="AT31" i="107"/>
  <c r="AT65" i="107" s="1"/>
  <c r="AZ31" i="107"/>
  <c r="AZ287" i="107" s="1"/>
  <c r="BD31" i="107"/>
  <c r="BD275" i="107" s="1"/>
  <c r="AD32" i="107"/>
  <c r="O34" i="107"/>
  <c r="S34" i="107"/>
  <c r="W34" i="107"/>
  <c r="AD34" i="107"/>
  <c r="AH34" i="107"/>
  <c r="AO34" i="107"/>
  <c r="AS34" i="107"/>
  <c r="AZ34" i="107"/>
  <c r="BD34" i="107"/>
  <c r="O35" i="107"/>
  <c r="S35" i="107"/>
  <c r="W35" i="107"/>
  <c r="AD35" i="107"/>
  <c r="AH35" i="107"/>
  <c r="AO35" i="107"/>
  <c r="AS35" i="107"/>
  <c r="AZ35" i="107"/>
  <c r="BD35" i="107"/>
  <c r="R38" i="107"/>
  <c r="V38" i="107"/>
  <c r="AB38" i="107"/>
  <c r="AF38" i="107"/>
  <c r="AP38" i="107"/>
  <c r="AT38" i="107"/>
  <c r="AZ38" i="107"/>
  <c r="BD38" i="107"/>
  <c r="O40" i="107"/>
  <c r="O53" i="107" s="1"/>
  <c r="S40" i="107"/>
  <c r="S60" i="107" s="1"/>
  <c r="W40" i="107"/>
  <c r="W60" i="107" s="1"/>
  <c r="AD40" i="107"/>
  <c r="AD61" i="107" s="1"/>
  <c r="AH40" i="107"/>
  <c r="AO40" i="107"/>
  <c r="AO60" i="107" s="1"/>
  <c r="AS40" i="107"/>
  <c r="AS60" i="107" s="1"/>
  <c r="AZ40" i="107"/>
  <c r="AZ61" i="107" s="1"/>
  <c r="BD40" i="107"/>
  <c r="BD61" i="107" s="1"/>
  <c r="R50" i="107"/>
  <c r="V50" i="107"/>
  <c r="AC50" i="107"/>
  <c r="AG50" i="107"/>
  <c r="AR50" i="107"/>
  <c r="AY50" i="107"/>
  <c r="BC50" i="107"/>
  <c r="BG50" i="107"/>
  <c r="V52" i="107"/>
  <c r="AG52" i="107"/>
  <c r="AR52" i="107"/>
  <c r="AO53" i="107"/>
  <c r="AT55" i="107" a="1"/>
  <c r="AT55" i="107" s="1"/>
  <c r="V58" i="107"/>
  <c r="AC58" i="107"/>
  <c r="AP58" i="107"/>
  <c r="AU58" i="107"/>
  <c r="V60" i="107"/>
  <c r="BC60" i="107"/>
  <c r="V61" i="107"/>
  <c r="AD62" i="107"/>
  <c r="BD63" i="107"/>
  <c r="P64" i="107"/>
  <c r="AH64" i="107"/>
  <c r="AR64" i="107"/>
  <c r="BB64" i="107"/>
  <c r="T66" i="107"/>
  <c r="AD66" i="107"/>
  <c r="AB199" i="107"/>
  <c r="AB200" i="107" s="1"/>
  <c r="AB132" i="107"/>
  <c r="AO132" i="107"/>
  <c r="AO199" i="107" s="1"/>
  <c r="AK175" i="107"/>
  <c r="BF158" i="107"/>
  <c r="BF159" i="107" s="1"/>
  <c r="BF12" i="107" s="1"/>
  <c r="BB158" i="107"/>
  <c r="AT158" i="107"/>
  <c r="AP158" i="107"/>
  <c r="AH158" i="107"/>
  <c r="AH159" i="107" s="1"/>
  <c r="AH12" i="107" s="1"/>
  <c r="AD158" i="107"/>
  <c r="V158" i="107"/>
  <c r="R158" i="107"/>
  <c r="Y175" i="107"/>
  <c r="BE158" i="107"/>
  <c r="BA158" i="107"/>
  <c r="AS158" i="107"/>
  <c r="AO158" i="107"/>
  <c r="AG158" i="107"/>
  <c r="AC158" i="107"/>
  <c r="U158" i="107"/>
  <c r="Q158" i="107"/>
  <c r="M175" i="107"/>
  <c r="AZ158" i="107"/>
  <c r="AN158" i="107"/>
  <c r="AB158" i="107"/>
  <c r="P158" i="107"/>
  <c r="AW175" i="107"/>
  <c r="BC158" i="107"/>
  <c r="AY158" i="107"/>
  <c r="AQ158" i="107"/>
  <c r="AM158" i="107"/>
  <c r="AE158" i="107"/>
  <c r="AA158" i="107"/>
  <c r="S158" i="107"/>
  <c r="O158" i="107"/>
  <c r="AB207" i="107"/>
  <c r="AB195" i="107"/>
  <c r="AB219" i="107"/>
  <c r="AB184" i="107"/>
  <c r="AB73" i="107"/>
  <c r="AB165" i="107"/>
  <c r="AB149" i="107"/>
  <c r="AB99" i="107"/>
  <c r="AF195" i="107"/>
  <c r="AF219" i="107"/>
  <c r="AF184" i="107"/>
  <c r="AF73" i="107"/>
  <c r="AF165" i="107"/>
  <c r="AF149" i="107"/>
  <c r="AM207" i="107"/>
  <c r="AM219" i="107"/>
  <c r="AM195" i="107"/>
  <c r="AM99" i="107"/>
  <c r="AM165" i="107"/>
  <c r="AM184" i="107"/>
  <c r="AM149" i="107"/>
  <c r="AM73" i="107"/>
  <c r="AQ219" i="107"/>
  <c r="AQ195" i="107"/>
  <c r="AQ165" i="107"/>
  <c r="AQ184" i="107"/>
  <c r="AQ149" i="107"/>
  <c r="AQ73" i="107"/>
  <c r="AU219" i="107"/>
  <c r="AU207" i="107"/>
  <c r="AU195" i="107"/>
  <c r="AU165" i="107"/>
  <c r="AU184" i="107"/>
  <c r="AU73" i="107"/>
  <c r="BB219" i="107"/>
  <c r="BB195" i="107"/>
  <c r="BB149" i="107"/>
  <c r="BB184" i="107"/>
  <c r="BB165" i="107"/>
  <c r="BB73" i="107"/>
  <c r="BF219" i="107"/>
  <c r="BF195" i="107"/>
  <c r="BF149" i="107"/>
  <c r="BF184" i="107"/>
  <c r="BF165" i="107"/>
  <c r="BF73" i="107"/>
  <c r="P300" i="107"/>
  <c r="P260" i="107"/>
  <c r="P278" i="107"/>
  <c r="P239" i="107"/>
  <c r="P225" i="107"/>
  <c r="P232" i="107"/>
  <c r="T300" i="107"/>
  <c r="T260" i="107"/>
  <c r="T278" i="107"/>
  <c r="T225" i="107"/>
  <c r="T239" i="107"/>
  <c r="T232" i="107"/>
  <c r="AD300" i="107"/>
  <c r="AD260" i="107"/>
  <c r="AD278" i="107"/>
  <c r="AD225" i="107"/>
  <c r="AD239" i="107"/>
  <c r="AD232" i="107"/>
  <c r="AH300" i="107"/>
  <c r="AH260" i="107"/>
  <c r="AH278" i="107"/>
  <c r="AH239" i="107"/>
  <c r="AH225" i="107"/>
  <c r="AH232" i="107"/>
  <c r="AN300" i="107"/>
  <c r="AN278" i="107"/>
  <c r="AN260" i="107"/>
  <c r="AN239" i="107"/>
  <c r="AN232" i="107"/>
  <c r="AN225" i="107"/>
  <c r="AR300" i="107"/>
  <c r="AR278" i="107"/>
  <c r="AR260" i="107"/>
  <c r="AR239" i="107"/>
  <c r="AR232" i="107"/>
  <c r="AR225" i="107"/>
  <c r="BB300" i="107"/>
  <c r="BB260" i="107"/>
  <c r="BB278" i="107"/>
  <c r="BB225" i="107"/>
  <c r="BB239" i="107"/>
  <c r="BB232" i="107"/>
  <c r="BF300" i="107"/>
  <c r="BF260" i="107"/>
  <c r="BF278" i="107"/>
  <c r="BF225" i="107"/>
  <c r="BF239" i="107"/>
  <c r="BF232" i="107"/>
  <c r="Q286" i="107" a="1"/>
  <c r="Q286" i="107" s="1"/>
  <c r="Q287" i="107"/>
  <c r="Q269" i="107"/>
  <c r="Q265" i="107"/>
  <c r="Q280" i="107"/>
  <c r="Q275" i="107"/>
  <c r="Q268" i="107"/>
  <c r="Q264" i="107"/>
  <c r="Q273" i="107"/>
  <c r="Q267" i="107"/>
  <c r="Q262" i="107"/>
  <c r="Q271" i="107"/>
  <c r="Q266" i="107"/>
  <c r="Q229" i="107"/>
  <c r="Q227" i="107"/>
  <c r="Q66" i="107"/>
  <c r="Q64" i="107"/>
  <c r="Q62" i="107"/>
  <c r="U265" i="107"/>
  <c r="U264" i="107"/>
  <c r="U229" i="107"/>
  <c r="U227" i="107"/>
  <c r="U66" i="107"/>
  <c r="U64" i="107"/>
  <c r="AB229" i="107"/>
  <c r="AB227" i="107"/>
  <c r="AF287" i="107"/>
  <c r="AF275" i="107"/>
  <c r="AF280" i="107"/>
  <c r="AF294" i="107" s="1"/>
  <c r="AF273" i="107"/>
  <c r="AF271" i="107"/>
  <c r="AF266" i="107"/>
  <c r="AF229" i="107"/>
  <c r="AF227" i="107"/>
  <c r="AQ229" i="107"/>
  <c r="AQ227" i="107"/>
  <c r="AQ66" i="107"/>
  <c r="AQ64" i="107"/>
  <c r="AU229" i="107"/>
  <c r="AU227" i="107"/>
  <c r="AU61" i="107"/>
  <c r="AU66" i="107"/>
  <c r="AU64" i="107"/>
  <c r="BB275" i="107"/>
  <c r="BB229" i="107"/>
  <c r="BB227" i="107"/>
  <c r="BF286" i="107" a="1"/>
  <c r="BF286" i="107" s="1"/>
  <c r="BF287" i="107"/>
  <c r="BF271" i="107"/>
  <c r="BF266" i="107"/>
  <c r="BF280" i="107"/>
  <c r="BF269" i="107"/>
  <c r="BF265" i="107"/>
  <c r="BF275" i="107"/>
  <c r="BF268" i="107"/>
  <c r="BF264" i="107"/>
  <c r="BF273" i="107"/>
  <c r="BF267" i="107"/>
  <c r="BF262" i="107"/>
  <c r="BF229" i="107"/>
  <c r="BF227" i="107"/>
  <c r="Q21" i="107"/>
  <c r="U21" i="107"/>
  <c r="U63" i="107" s="1"/>
  <c r="AB21" i="107"/>
  <c r="AF21" i="107"/>
  <c r="AF63" i="107" s="1"/>
  <c r="AM21" i="107"/>
  <c r="AQ21" i="107"/>
  <c r="AQ63" i="107" s="1"/>
  <c r="AU21" i="107"/>
  <c r="BB21" i="107"/>
  <c r="BF21" i="107"/>
  <c r="Q22" i="107"/>
  <c r="U22" i="107"/>
  <c r="AB22" i="107"/>
  <c r="AF22" i="107"/>
  <c r="AM22" i="107"/>
  <c r="AQ22" i="107"/>
  <c r="AU22" i="107"/>
  <c r="BB22" i="107"/>
  <c r="BF22" i="107"/>
  <c r="M70" i="107"/>
  <c r="W75" i="107"/>
  <c r="W168" i="107" s="1"/>
  <c r="V75" i="107"/>
  <c r="V154" i="107" s="1"/>
  <c r="S243" i="107"/>
  <c r="S244" i="107"/>
  <c r="W243" i="107"/>
  <c r="W244" i="107"/>
  <c r="AC243" i="107"/>
  <c r="AC241" i="107"/>
  <c r="AC244" i="107"/>
  <c r="AG243" i="107"/>
  <c r="AG241" i="107"/>
  <c r="AG244" i="107"/>
  <c r="AK68" i="107"/>
  <c r="AU75" i="107"/>
  <c r="AU168" i="107" s="1"/>
  <c r="AT75" i="107"/>
  <c r="AT154" i="107" s="1"/>
  <c r="AK70" i="107"/>
  <c r="AU215" i="107" s="1"/>
  <c r="AQ243" i="107"/>
  <c r="AQ241" i="107"/>
  <c r="AQ244" i="107"/>
  <c r="AQ55" i="107" a="1"/>
  <c r="AQ55" i="107" s="1"/>
  <c r="AU243" i="107"/>
  <c r="AU241" i="107"/>
  <c r="AU244" i="107"/>
  <c r="AU55" i="107" a="1"/>
  <c r="AU55" i="107" s="1"/>
  <c r="BA243" i="107"/>
  <c r="BA241" i="107"/>
  <c r="BA244" i="107"/>
  <c r="BE243" i="107"/>
  <c r="BE241" i="107"/>
  <c r="BE244" i="107"/>
  <c r="S31" i="107"/>
  <c r="S264" i="107" s="1"/>
  <c r="W31" i="107"/>
  <c r="AC31" i="107"/>
  <c r="AC267" i="107" s="1"/>
  <c r="AG31" i="107"/>
  <c r="AG275" i="107" s="1"/>
  <c r="AQ31" i="107"/>
  <c r="AQ262" i="107" s="1"/>
  <c r="AU31" i="107"/>
  <c r="AU286" i="107" s="1" a="1"/>
  <c r="AU286" i="107" s="1"/>
  <c r="BA31" i="107"/>
  <c r="BA267" i="107" s="1"/>
  <c r="BE31" i="107"/>
  <c r="BE268" i="107" s="1"/>
  <c r="AE32" i="107"/>
  <c r="AI32" i="107"/>
  <c r="AT32" i="107"/>
  <c r="P34" i="107"/>
  <c r="T34" i="107"/>
  <c r="AA34" i="107"/>
  <c r="AE34" i="107"/>
  <c r="AI34" i="107"/>
  <c r="AP34" i="107"/>
  <c r="AT34" i="107"/>
  <c r="BA34" i="107"/>
  <c r="BE34" i="107"/>
  <c r="P35" i="107"/>
  <c r="T35" i="107"/>
  <c r="AA35" i="107"/>
  <c r="AE35" i="107"/>
  <c r="AI35" i="107"/>
  <c r="AP35" i="107"/>
  <c r="AT35" i="107"/>
  <c r="BA35" i="107"/>
  <c r="BE35" i="107"/>
  <c r="O38" i="107"/>
  <c r="S38" i="107"/>
  <c r="W38" i="107"/>
  <c r="AC38" i="107"/>
  <c r="AG38" i="107"/>
  <c r="AM38" i="107"/>
  <c r="AQ38" i="107"/>
  <c r="AU38" i="107"/>
  <c r="BA38" i="107"/>
  <c r="BE38" i="107"/>
  <c r="P40" i="107"/>
  <c r="P50" i="107" s="1"/>
  <c r="T40" i="107"/>
  <c r="AA40" i="107"/>
  <c r="AE40" i="107"/>
  <c r="AI40" i="107"/>
  <c r="AI60" i="107" s="1"/>
  <c r="AP40" i="107"/>
  <c r="AP53" i="107" s="1"/>
  <c r="AT40" i="107"/>
  <c r="AT53" i="107" s="1"/>
  <c r="BA40" i="107"/>
  <c r="BA52" i="107" s="1"/>
  <c r="BE40" i="107"/>
  <c r="O50" i="107"/>
  <c r="S50" i="107"/>
  <c r="W50" i="107"/>
  <c r="AD50" i="107"/>
  <c r="AH50" i="107"/>
  <c r="AO50" i="107"/>
  <c r="AS50" i="107"/>
  <c r="AZ50" i="107"/>
  <c r="BD50" i="107"/>
  <c r="O52" i="107"/>
  <c r="AD52" i="107"/>
  <c r="AH52" i="107"/>
  <c r="AZ52" i="107"/>
  <c r="BD52" i="107"/>
  <c r="V53" i="107"/>
  <c r="AB53" i="107"/>
  <c r="AF53" i="107"/>
  <c r="AZ53" i="107"/>
  <c r="BD53" i="107"/>
  <c r="O55" i="107" a="1"/>
  <c r="O55" i="107" s="1"/>
  <c r="Q55" i="107" a="1"/>
  <c r="Q55" i="107" s="1"/>
  <c r="S55" i="107" a="1"/>
  <c r="S55" i="107" s="1"/>
  <c r="U55" i="107" a="1"/>
  <c r="U55" i="107" s="1"/>
  <c r="W55" i="107" a="1"/>
  <c r="W55" i="107" s="1"/>
  <c r="AB55" i="107" a="1"/>
  <c r="AB55" i="107" s="1"/>
  <c r="AD55" i="107" a="1"/>
  <c r="AD55" i="107" s="1"/>
  <c r="AF55" i="107" a="1"/>
  <c r="AF55" i="107" s="1"/>
  <c r="AH55" i="107" a="1"/>
  <c r="AH55" i="107" s="1"/>
  <c r="AM55" i="107" a="1"/>
  <c r="AM55" i="107" s="1"/>
  <c r="AR55" i="107" a="1"/>
  <c r="AR55" i="107" s="1"/>
  <c r="BC55" i="107" a="1"/>
  <c r="BC55" i="107" s="1"/>
  <c r="R58" i="107"/>
  <c r="W58" i="107"/>
  <c r="AD58" i="107"/>
  <c r="AQ58" i="107"/>
  <c r="BD58" i="107"/>
  <c r="AR60" i="107"/>
  <c r="BD60" i="107"/>
  <c r="AH61" i="107"/>
  <c r="AR61" i="107"/>
  <c r="V62" i="107"/>
  <c r="AF62" i="107"/>
  <c r="AP62" i="107"/>
  <c r="AZ62" i="107"/>
  <c r="AN63" i="107"/>
  <c r="BF63" i="107"/>
  <c r="R64" i="107"/>
  <c r="AB64" i="107"/>
  <c r="AT64" i="107"/>
  <c r="BD64" i="107"/>
  <c r="V66" i="107"/>
  <c r="AF66" i="107"/>
  <c r="AP66" i="107"/>
  <c r="BF66" i="107"/>
  <c r="P199" i="107"/>
  <c r="P200" i="107" s="1"/>
  <c r="P132" i="107"/>
  <c r="AC132" i="107"/>
  <c r="AC199" i="107" s="1"/>
  <c r="E302" i="107"/>
  <c r="E241" i="107"/>
  <c r="E306" i="107"/>
  <c r="E245" i="107"/>
  <c r="AA115" i="107"/>
  <c r="AN115" i="107"/>
  <c r="BA115" i="107"/>
  <c r="Q119" i="107"/>
  <c r="AM119" i="107"/>
  <c r="AZ119" i="107"/>
  <c r="O134" i="107"/>
  <c r="AO134" i="107"/>
  <c r="E303" i="107"/>
  <c r="E242" i="107"/>
  <c r="E307" i="107"/>
  <c r="E246" i="107"/>
  <c r="O115" i="107"/>
  <c r="AB115" i="107"/>
  <c r="AO115" i="107"/>
  <c r="AA119" i="107"/>
  <c r="AN119" i="107"/>
  <c r="BA119" i="107"/>
  <c r="AA131" i="107"/>
  <c r="AM131" i="107"/>
  <c r="AY131" i="107"/>
  <c r="AC134" i="107"/>
  <c r="E304" i="107"/>
  <c r="E243" i="107"/>
  <c r="E308" i="107"/>
  <c r="E247" i="107"/>
  <c r="P115" i="107"/>
  <c r="AC115" i="107"/>
  <c r="AY115" i="107"/>
  <c r="O119" i="107"/>
  <c r="AB119" i="107"/>
  <c r="AO119" i="107"/>
  <c r="Q134" i="107"/>
  <c r="E305" i="107"/>
  <c r="E244" i="107"/>
  <c r="E309" i="107"/>
  <c r="E248" i="107"/>
  <c r="Q115" i="107"/>
  <c r="AM115" i="107"/>
  <c r="AZ115" i="107"/>
  <c r="P119" i="107"/>
  <c r="AC119" i="107"/>
  <c r="AY119" i="107"/>
  <c r="BA131" i="107"/>
  <c r="AN26" i="106"/>
  <c r="AN28" i="106" s="1"/>
  <c r="AN291" i="106" s="1"/>
  <c r="AN27" i="106"/>
  <c r="R27" i="106"/>
  <c r="R26" i="106"/>
  <c r="AC27" i="106"/>
  <c r="AC26" i="106"/>
  <c r="AY27" i="106"/>
  <c r="AY26" i="106"/>
  <c r="BG27" i="106"/>
  <c r="BG26" i="106"/>
  <c r="AI29" i="106"/>
  <c r="AD29" i="106"/>
  <c r="AA4" i="106"/>
  <c r="AU14" i="106"/>
  <c r="AW175" i="106"/>
  <c r="BC158" i="106"/>
  <c r="AY158" i="106"/>
  <c r="AQ158" i="106"/>
  <c r="AM158" i="106"/>
  <c r="AE158" i="106"/>
  <c r="AA158" i="106"/>
  <c r="S158" i="106"/>
  <c r="O158" i="106"/>
  <c r="AK175" i="106"/>
  <c r="BF158" i="106"/>
  <c r="BB158" i="106"/>
  <c r="AT158" i="106"/>
  <c r="AP158" i="106"/>
  <c r="AH158" i="106"/>
  <c r="AD158" i="106"/>
  <c r="V158" i="106"/>
  <c r="R158" i="106"/>
  <c r="Y175" i="106"/>
  <c r="BE158" i="106"/>
  <c r="BA158" i="106"/>
  <c r="AS158" i="106"/>
  <c r="AO158" i="106"/>
  <c r="AG158" i="106"/>
  <c r="AC158" i="106"/>
  <c r="U158" i="106"/>
  <c r="Q158" i="106"/>
  <c r="M175" i="106"/>
  <c r="AZ158" i="106"/>
  <c r="AN158" i="106"/>
  <c r="AB158" i="106"/>
  <c r="P158" i="106"/>
  <c r="AB99" i="106"/>
  <c r="AB207" i="106"/>
  <c r="AB195" i="106"/>
  <c r="AB184" i="106"/>
  <c r="AB219" i="106"/>
  <c r="AB165" i="106"/>
  <c r="AB149" i="106"/>
  <c r="AB73" i="106"/>
  <c r="AF195" i="106"/>
  <c r="AF184" i="106"/>
  <c r="AF219" i="106"/>
  <c r="AF165" i="106"/>
  <c r="AF149" i="106"/>
  <c r="AF73" i="106"/>
  <c r="AM195" i="106"/>
  <c r="AM184" i="106"/>
  <c r="AM149" i="106"/>
  <c r="AM207" i="106"/>
  <c r="AM219" i="106"/>
  <c r="AM165" i="106"/>
  <c r="AM99" i="106"/>
  <c r="AM73" i="106"/>
  <c r="AQ195" i="106"/>
  <c r="AQ184" i="106"/>
  <c r="AQ149" i="106"/>
  <c r="AQ219" i="106"/>
  <c r="AQ165" i="106"/>
  <c r="AQ73" i="106"/>
  <c r="AU195" i="106"/>
  <c r="AU184" i="106"/>
  <c r="AU219" i="106"/>
  <c r="AU207" i="106"/>
  <c r="AU165" i="106"/>
  <c r="AU73" i="106"/>
  <c r="BB219" i="106"/>
  <c r="BB149" i="106"/>
  <c r="BB195" i="106"/>
  <c r="BB184" i="106"/>
  <c r="BB165" i="106"/>
  <c r="BB73" i="106"/>
  <c r="BF219" i="106"/>
  <c r="BF149" i="106"/>
  <c r="BF195" i="106"/>
  <c r="BF184" i="106"/>
  <c r="BF165" i="106"/>
  <c r="BF73" i="106"/>
  <c r="O300" i="106"/>
  <c r="O278" i="106"/>
  <c r="O260" i="106"/>
  <c r="O239" i="106"/>
  <c r="O232" i="106"/>
  <c r="O225" i="106"/>
  <c r="O58" i="106"/>
  <c r="O38" i="106"/>
  <c r="W300" i="106"/>
  <c r="W260" i="106"/>
  <c r="W278" i="106"/>
  <c r="W239" i="106"/>
  <c r="W232" i="106"/>
  <c r="W225" i="106"/>
  <c r="W58" i="106"/>
  <c r="W38" i="106"/>
  <c r="AC17" i="106"/>
  <c r="AG17" i="106"/>
  <c r="AM300" i="106"/>
  <c r="AM278" i="106"/>
  <c r="AM239" i="106"/>
  <c r="AM260" i="106"/>
  <c r="AM225" i="106"/>
  <c r="AM232" i="106"/>
  <c r="AM58" i="106"/>
  <c r="AM38" i="106"/>
  <c r="AU300" i="106"/>
  <c r="AU278" i="106"/>
  <c r="AU239" i="106"/>
  <c r="AU260" i="106"/>
  <c r="AU225" i="106"/>
  <c r="AU232" i="106"/>
  <c r="AU58" i="106"/>
  <c r="AU38" i="106"/>
  <c r="BA300" i="106"/>
  <c r="BA278" i="106"/>
  <c r="BA260" i="106"/>
  <c r="BA239" i="106"/>
  <c r="BA225" i="106"/>
  <c r="BA232" i="106"/>
  <c r="BA58" i="106"/>
  <c r="BA38" i="106"/>
  <c r="BE300" i="106"/>
  <c r="BE278" i="106"/>
  <c r="BE260" i="106"/>
  <c r="BE239" i="106"/>
  <c r="BE225" i="106"/>
  <c r="BE232" i="106"/>
  <c r="BE58" i="106"/>
  <c r="BE38" i="106"/>
  <c r="P63" i="106"/>
  <c r="P66" i="106"/>
  <c r="P64" i="106"/>
  <c r="P40" i="106"/>
  <c r="P50" i="106" s="1"/>
  <c r="P35" i="106"/>
  <c r="P34" i="106"/>
  <c r="P17" i="106"/>
  <c r="T229" i="106"/>
  <c r="T227" i="106"/>
  <c r="T63" i="106"/>
  <c r="T66" i="106"/>
  <c r="T64" i="106"/>
  <c r="T50" i="106"/>
  <c r="T31" i="106"/>
  <c r="T268" i="106" s="1"/>
  <c r="T40" i="106"/>
  <c r="T61" i="106" s="1"/>
  <c r="T35" i="106"/>
  <c r="T34" i="106"/>
  <c r="T17" i="106"/>
  <c r="AA64" i="106"/>
  <c r="AA63" i="106"/>
  <c r="AA40" i="106"/>
  <c r="AA52" i="106" s="1"/>
  <c r="AA55" i="106" s="1" a="1"/>
  <c r="AA55" i="106" s="1"/>
  <c r="AA35" i="106"/>
  <c r="AA34" i="106"/>
  <c r="AE229" i="106"/>
  <c r="AE227" i="106"/>
  <c r="AE66" i="106"/>
  <c r="AE64" i="106"/>
  <c r="AE31" i="106"/>
  <c r="AE275" i="106" s="1"/>
  <c r="AE50" i="106"/>
  <c r="AE63" i="106"/>
  <c r="AE40" i="106"/>
  <c r="AE53" i="106" s="1"/>
  <c r="AE35" i="106"/>
  <c r="AE34" i="106"/>
  <c r="AI229" i="106"/>
  <c r="AI227" i="106"/>
  <c r="AI66" i="106"/>
  <c r="AI64" i="106"/>
  <c r="AI31" i="106"/>
  <c r="AI273" i="106" s="1"/>
  <c r="AI50" i="106"/>
  <c r="AI63" i="106"/>
  <c r="AI40" i="106"/>
  <c r="AI60" i="106" s="1"/>
  <c r="AI35" i="106"/>
  <c r="AI34" i="106"/>
  <c r="AP229" i="106"/>
  <c r="AP227" i="106"/>
  <c r="AP66" i="106"/>
  <c r="AP64" i="106"/>
  <c r="AP17" i="106"/>
  <c r="AP63" i="106"/>
  <c r="AP50" i="106"/>
  <c r="AP40" i="106"/>
  <c r="AP53" i="106" s="1"/>
  <c r="AP35" i="106"/>
  <c r="AP34" i="106"/>
  <c r="AT286" i="106" a="1"/>
  <c r="AT286" i="106" s="1"/>
  <c r="AT275" i="106"/>
  <c r="AT287" i="106"/>
  <c r="AT273" i="106"/>
  <c r="AT267" i="106"/>
  <c r="AT280" i="106"/>
  <c r="AT271" i="106"/>
  <c r="AT266" i="106"/>
  <c r="AT269" i="106"/>
  <c r="AT262" i="106"/>
  <c r="AT268" i="106"/>
  <c r="AT265" i="106"/>
  <c r="AT229" i="106"/>
  <c r="AT227" i="106"/>
  <c r="AT264" i="106"/>
  <c r="AT66" i="106"/>
  <c r="AT64" i="106"/>
  <c r="AT62" i="106"/>
  <c r="AT17" i="106"/>
  <c r="AT65" i="106"/>
  <c r="AT63" i="106"/>
  <c r="AT50" i="106"/>
  <c r="AT40" i="106"/>
  <c r="AT35" i="106"/>
  <c r="AT34" i="106"/>
  <c r="BA229" i="106"/>
  <c r="BA227" i="106"/>
  <c r="BA63" i="106"/>
  <c r="BA50" i="106"/>
  <c r="BA66" i="106"/>
  <c r="BA64" i="106"/>
  <c r="BA40" i="106"/>
  <c r="BA53" i="106" s="1"/>
  <c r="BA35" i="106"/>
  <c r="BA34" i="106"/>
  <c r="BA31" i="106"/>
  <c r="BA273" i="106" s="1"/>
  <c r="BE229" i="106"/>
  <c r="BE227" i="106"/>
  <c r="BE63" i="106"/>
  <c r="BE50" i="106"/>
  <c r="BE66" i="106"/>
  <c r="BE64" i="106"/>
  <c r="BE40" i="106"/>
  <c r="BE61" i="106" s="1"/>
  <c r="BE35" i="106"/>
  <c r="BE34" i="106"/>
  <c r="BE31" i="106"/>
  <c r="BE273" i="106" s="1"/>
  <c r="AI26" i="106"/>
  <c r="AI28" i="106" s="1"/>
  <c r="AI291" i="106" s="1"/>
  <c r="W29" i="106"/>
  <c r="AQ29" i="106"/>
  <c r="AK179" i="106"/>
  <c r="BF161" i="106"/>
  <c r="BB161" i="106"/>
  <c r="AT161" i="106"/>
  <c r="AP161" i="106"/>
  <c r="AH161" i="106"/>
  <c r="AD161" i="106"/>
  <c r="V161" i="106"/>
  <c r="R161" i="106"/>
  <c r="Y179" i="106"/>
  <c r="BE161" i="106"/>
  <c r="BA161" i="106"/>
  <c r="AS161" i="106"/>
  <c r="AO161" i="106"/>
  <c r="AG161" i="106"/>
  <c r="AC161" i="106"/>
  <c r="U161" i="106"/>
  <c r="Q161" i="106"/>
  <c r="M179" i="106"/>
  <c r="BD161" i="106"/>
  <c r="AZ161" i="106"/>
  <c r="AR161" i="106"/>
  <c r="AN161" i="106"/>
  <c r="AF161" i="106"/>
  <c r="AB161" i="106"/>
  <c r="T161" i="106"/>
  <c r="P161" i="106"/>
  <c r="AW179" i="106"/>
  <c r="BC161" i="106"/>
  <c r="AY161" i="106"/>
  <c r="AQ161" i="106"/>
  <c r="AM161" i="106"/>
  <c r="AE161" i="106"/>
  <c r="AA161" i="106"/>
  <c r="S161" i="106"/>
  <c r="O161" i="106"/>
  <c r="AC207" i="106"/>
  <c r="AC195" i="106"/>
  <c r="AC184" i="106"/>
  <c r="AC219" i="106"/>
  <c r="AC165" i="106"/>
  <c r="AC149" i="106"/>
  <c r="AC99" i="106"/>
  <c r="AC73" i="106"/>
  <c r="AG195" i="106"/>
  <c r="AG184" i="106"/>
  <c r="AG219" i="106"/>
  <c r="AG165" i="106"/>
  <c r="AG149" i="106"/>
  <c r="AG73" i="106"/>
  <c r="AN207" i="106"/>
  <c r="AN99" i="106"/>
  <c r="AN219" i="106"/>
  <c r="AN165" i="106"/>
  <c r="AN195" i="106"/>
  <c r="AN184" i="106"/>
  <c r="AN149" i="106"/>
  <c r="AN73" i="106"/>
  <c r="AR219" i="106"/>
  <c r="AR165" i="106"/>
  <c r="AR195" i="106"/>
  <c r="AR184" i="106"/>
  <c r="AR149" i="106"/>
  <c r="AR73" i="106"/>
  <c r="AY219" i="106"/>
  <c r="AY207" i="106"/>
  <c r="AY149" i="106"/>
  <c r="AY195" i="106"/>
  <c r="AY184" i="106"/>
  <c r="AY165" i="106"/>
  <c r="AY99" i="106"/>
  <c r="AY73" i="106"/>
  <c r="BC219" i="106"/>
  <c r="BC149" i="106"/>
  <c r="BC195" i="106"/>
  <c r="BC184" i="106"/>
  <c r="BC165" i="106"/>
  <c r="BC73" i="106"/>
  <c r="BG219" i="106"/>
  <c r="BG207" i="106"/>
  <c r="BG195" i="106"/>
  <c r="BG184" i="106"/>
  <c r="BG165" i="106"/>
  <c r="BG73" i="106"/>
  <c r="Q300" i="106"/>
  <c r="Q278" i="106"/>
  <c r="Q260" i="106"/>
  <c r="Q239" i="106"/>
  <c r="Q232" i="106"/>
  <c r="Q225" i="106"/>
  <c r="Q38" i="106"/>
  <c r="Q58" i="106"/>
  <c r="AO300" i="106"/>
  <c r="AO278" i="106"/>
  <c r="AO260" i="106"/>
  <c r="AO239" i="106"/>
  <c r="AO232" i="106"/>
  <c r="AO225" i="106"/>
  <c r="AO38" i="106"/>
  <c r="AO58" i="106"/>
  <c r="AP27" i="106"/>
  <c r="AP26" i="106"/>
  <c r="BA27" i="106"/>
  <c r="BA26" i="106"/>
  <c r="P22" i="106"/>
  <c r="AA22" i="106"/>
  <c r="T243" i="106"/>
  <c r="T244" i="106"/>
  <c r="T55" i="106" a="1"/>
  <c r="T55" i="106" s="1"/>
  <c r="AD243" i="106"/>
  <c r="AD241" i="106"/>
  <c r="AD244" i="106"/>
  <c r="AD55" i="106" a="1"/>
  <c r="AD55" i="106" s="1"/>
  <c r="AH243" i="106"/>
  <c r="AH241" i="106"/>
  <c r="AH244" i="106"/>
  <c r="AH55" i="106" a="1"/>
  <c r="AH55" i="106" s="1"/>
  <c r="AR243" i="106"/>
  <c r="AR241" i="106"/>
  <c r="AR244" i="106"/>
  <c r="AR55" i="106" a="1"/>
  <c r="AR55" i="106" s="1"/>
  <c r="AW24" i="106"/>
  <c r="BB243" i="106"/>
  <c r="BB241" i="106"/>
  <c r="BB244" i="106"/>
  <c r="BB32" i="106"/>
  <c r="BB55" i="106" a="1"/>
  <c r="BB55" i="106" s="1"/>
  <c r="BF243" i="106"/>
  <c r="BF241" i="106"/>
  <c r="BF244" i="106"/>
  <c r="BF32" i="106"/>
  <c r="BF55" i="106" a="1"/>
  <c r="BF55" i="106" s="1"/>
  <c r="AA26" i="106"/>
  <c r="AA28" i="106" s="1"/>
  <c r="AP31" i="106"/>
  <c r="AP280" i="106" s="1"/>
  <c r="AD219" i="106"/>
  <c r="AD165" i="106"/>
  <c r="AD149" i="106"/>
  <c r="AD195" i="106"/>
  <c r="AD184" i="106"/>
  <c r="AD73" i="106"/>
  <c r="AH219" i="106"/>
  <c r="AH165" i="106"/>
  <c r="AH149" i="106"/>
  <c r="AH195" i="106"/>
  <c r="AH184" i="106"/>
  <c r="AH73" i="106"/>
  <c r="AO219" i="106"/>
  <c r="AO165" i="106"/>
  <c r="AO195" i="106"/>
  <c r="AO184" i="106"/>
  <c r="AO149" i="106"/>
  <c r="AO207" i="106"/>
  <c r="AO73" i="106"/>
  <c r="AO99" i="106"/>
  <c r="AS219" i="106"/>
  <c r="AS165" i="106"/>
  <c r="AS195" i="106"/>
  <c r="AS184" i="106"/>
  <c r="AS149" i="106"/>
  <c r="AS73" i="106"/>
  <c r="AZ99" i="106"/>
  <c r="AZ195" i="106"/>
  <c r="AZ184" i="106"/>
  <c r="AZ165" i="106"/>
  <c r="AZ219" i="106"/>
  <c r="AZ207" i="106"/>
  <c r="AZ149" i="106"/>
  <c r="AZ73" i="106"/>
  <c r="BD195" i="106"/>
  <c r="BD184" i="106"/>
  <c r="BD165" i="106"/>
  <c r="BD219" i="106"/>
  <c r="BD149" i="106"/>
  <c r="BD73" i="106"/>
  <c r="S300" i="106"/>
  <c r="S278" i="106"/>
  <c r="S260" i="106"/>
  <c r="S239" i="106"/>
  <c r="S232" i="106"/>
  <c r="S225" i="106"/>
  <c r="S58" i="106"/>
  <c r="S38" i="106"/>
  <c r="AA300" i="106"/>
  <c r="AA278" i="106"/>
  <c r="AA260" i="106"/>
  <c r="AA239" i="106"/>
  <c r="AA225" i="106"/>
  <c r="AA232" i="106"/>
  <c r="AA38" i="106"/>
  <c r="AA58" i="106"/>
  <c r="AI300" i="106"/>
  <c r="AI278" i="106"/>
  <c r="AI260" i="106"/>
  <c r="AI239" i="106"/>
  <c r="AI225" i="106"/>
  <c r="AI232" i="106"/>
  <c r="AI38" i="106"/>
  <c r="AI58" i="106"/>
  <c r="AQ300" i="106"/>
  <c r="AQ278" i="106"/>
  <c r="AQ260" i="106"/>
  <c r="AQ239" i="106"/>
  <c r="AQ225" i="106"/>
  <c r="AQ232" i="106"/>
  <c r="AQ58" i="106"/>
  <c r="AQ38" i="106"/>
  <c r="AY300" i="106"/>
  <c r="AY278" i="106"/>
  <c r="AY225" i="106"/>
  <c r="AY260" i="106"/>
  <c r="AY239" i="106"/>
  <c r="AY232" i="106"/>
  <c r="AY38" i="106"/>
  <c r="AY58" i="106"/>
  <c r="BC300" i="106"/>
  <c r="BC278" i="106"/>
  <c r="BC225" i="106"/>
  <c r="BC239" i="106"/>
  <c r="BC260" i="106"/>
  <c r="BC232" i="106"/>
  <c r="BC38" i="106"/>
  <c r="BC58" i="106"/>
  <c r="BG300" i="106"/>
  <c r="BG278" i="106"/>
  <c r="BG225" i="106"/>
  <c r="BG260" i="106"/>
  <c r="BG239" i="106"/>
  <c r="BG232" i="106"/>
  <c r="BG38" i="106"/>
  <c r="BG58" i="106"/>
  <c r="R229" i="106"/>
  <c r="R227" i="106"/>
  <c r="R66" i="106"/>
  <c r="R64" i="106"/>
  <c r="R50" i="106"/>
  <c r="R40" i="106"/>
  <c r="R60" i="106" s="1"/>
  <c r="R35" i="106"/>
  <c r="R34" i="106"/>
  <c r="R17" i="106"/>
  <c r="R63" i="106"/>
  <c r="V229" i="106"/>
  <c r="V227" i="106"/>
  <c r="V66" i="106"/>
  <c r="V64" i="106"/>
  <c r="V50" i="106"/>
  <c r="V40" i="106"/>
  <c r="V52" i="106" s="1"/>
  <c r="V35" i="106"/>
  <c r="V34" i="106"/>
  <c r="V17" i="106"/>
  <c r="V61" i="106"/>
  <c r="V53" i="106"/>
  <c r="AC229" i="106"/>
  <c r="AC227" i="106"/>
  <c r="AC50" i="106"/>
  <c r="AC63" i="106"/>
  <c r="AC40" i="106"/>
  <c r="AC52" i="106" s="1"/>
  <c r="AC35" i="106"/>
  <c r="AC34" i="106"/>
  <c r="AC66" i="106"/>
  <c r="AC64" i="106"/>
  <c r="AC31" i="106"/>
  <c r="AC286" i="106" s="1" a="1"/>
  <c r="AC286" i="106" s="1"/>
  <c r="AG229" i="106"/>
  <c r="AG227" i="106"/>
  <c r="AG50" i="106"/>
  <c r="AG40" i="106"/>
  <c r="AG52" i="106" s="1"/>
  <c r="AG35" i="106"/>
  <c r="AG34" i="106"/>
  <c r="AG66" i="106"/>
  <c r="AG64" i="106"/>
  <c r="AG31" i="106"/>
  <c r="AG273" i="106" s="1"/>
  <c r="AN63" i="106"/>
  <c r="AN40" i="106"/>
  <c r="AN53" i="106" s="1"/>
  <c r="AN35" i="106"/>
  <c r="AN34" i="106"/>
  <c r="AN64" i="106"/>
  <c r="AN17" i="106"/>
  <c r="AR229" i="106"/>
  <c r="AR227" i="106"/>
  <c r="AR50" i="106"/>
  <c r="AR40" i="106"/>
  <c r="AR61" i="106" s="1"/>
  <c r="AR35" i="106"/>
  <c r="AR34" i="106"/>
  <c r="AR66" i="106"/>
  <c r="AR64" i="106"/>
  <c r="AR31" i="106"/>
  <c r="AR17" i="106"/>
  <c r="AY50" i="106"/>
  <c r="AY64" i="106"/>
  <c r="AY40" i="106"/>
  <c r="AY53" i="106" s="1"/>
  <c r="AY35" i="106"/>
  <c r="AY34" i="106"/>
  <c r="AY63" i="106"/>
  <c r="BC229" i="106"/>
  <c r="BC227" i="106"/>
  <c r="BC50" i="106"/>
  <c r="BC66" i="106"/>
  <c r="BC64" i="106"/>
  <c r="BC40" i="106"/>
  <c r="BC60" i="106" s="1"/>
  <c r="BC35" i="106"/>
  <c r="BC34" i="106"/>
  <c r="BC31" i="106"/>
  <c r="BC286" i="106" s="1" a="1"/>
  <c r="BC286" i="106" s="1"/>
  <c r="BG229" i="106"/>
  <c r="BG227" i="106"/>
  <c r="BG50" i="106"/>
  <c r="BG66" i="106"/>
  <c r="BG64" i="106"/>
  <c r="BG40" i="106"/>
  <c r="BG35" i="106"/>
  <c r="BG34" i="106"/>
  <c r="BG31" i="106"/>
  <c r="BG287" i="106" s="1"/>
  <c r="BG63" i="106"/>
  <c r="V21" i="106"/>
  <c r="AG21" i="106"/>
  <c r="AG63" i="106" s="1"/>
  <c r="AR21" i="106"/>
  <c r="AR63" i="106" s="1"/>
  <c r="BC21" i="106"/>
  <c r="R22" i="106"/>
  <c r="AC22" i="106"/>
  <c r="AN22" i="106"/>
  <c r="AY22" i="106"/>
  <c r="BG22" i="106"/>
  <c r="AE32" i="106"/>
  <c r="P27" i="106"/>
  <c r="P28" i="106" s="1"/>
  <c r="P291" i="106" s="1"/>
  <c r="R31" i="106"/>
  <c r="R275" i="106" s="1"/>
  <c r="AA219" i="106"/>
  <c r="AA165" i="106"/>
  <c r="AA149" i="106"/>
  <c r="AA207" i="106"/>
  <c r="AA195" i="106"/>
  <c r="AA184" i="106"/>
  <c r="AA73" i="106"/>
  <c r="AA99" i="106"/>
  <c r="AE219" i="106"/>
  <c r="AE165" i="106"/>
  <c r="AE149" i="106"/>
  <c r="AE195" i="106"/>
  <c r="AE184" i="106"/>
  <c r="AE73" i="106"/>
  <c r="AI219" i="106"/>
  <c r="AI165" i="106"/>
  <c r="AI195" i="106"/>
  <c r="AI184" i="106"/>
  <c r="AI207" i="106"/>
  <c r="AI73" i="106"/>
  <c r="AP165" i="106"/>
  <c r="AP195" i="106"/>
  <c r="AP184" i="106"/>
  <c r="AP149" i="106"/>
  <c r="AP219" i="106"/>
  <c r="AP73" i="106"/>
  <c r="AT165" i="106"/>
  <c r="AT195" i="106"/>
  <c r="AT184" i="106"/>
  <c r="AT149" i="106"/>
  <c r="AT219" i="106"/>
  <c r="AT73" i="106"/>
  <c r="BA195" i="106"/>
  <c r="BA184" i="106"/>
  <c r="BA165" i="106"/>
  <c r="BA219" i="106"/>
  <c r="BA207" i="106"/>
  <c r="BA149" i="106"/>
  <c r="BA99" i="106"/>
  <c r="BA73" i="106"/>
  <c r="BE195" i="106"/>
  <c r="BE184" i="106"/>
  <c r="BE165" i="106"/>
  <c r="BE219" i="106"/>
  <c r="BE149" i="106"/>
  <c r="BE73" i="106"/>
  <c r="U300" i="106"/>
  <c r="U278" i="106"/>
  <c r="U260" i="106"/>
  <c r="U239" i="106"/>
  <c r="U232" i="106"/>
  <c r="U225" i="106"/>
  <c r="U38" i="106"/>
  <c r="U58" i="106"/>
  <c r="AS300" i="106"/>
  <c r="AS260" i="106"/>
  <c r="AS278" i="106"/>
  <c r="AS239" i="106"/>
  <c r="AS225" i="106"/>
  <c r="AS232" i="106"/>
  <c r="AS38" i="106"/>
  <c r="AS58" i="106"/>
  <c r="AT27" i="106"/>
  <c r="AT26" i="106"/>
  <c r="BE27" i="106"/>
  <c r="BE28" i="106" s="1"/>
  <c r="BE291" i="106" s="1"/>
  <c r="BE26" i="106"/>
  <c r="V29" i="106"/>
  <c r="R29" i="106"/>
  <c r="U29" i="106"/>
  <c r="Q29" i="106"/>
  <c r="T29" i="106"/>
  <c r="P29" i="106"/>
  <c r="R244" i="106"/>
  <c r="R243" i="106"/>
  <c r="R55" i="106" a="1"/>
  <c r="R55" i="106" s="1"/>
  <c r="R32" i="106"/>
  <c r="V244" i="106"/>
  <c r="V243" i="106"/>
  <c r="V55" i="106" a="1"/>
  <c r="V55" i="106" s="1"/>
  <c r="AB244" i="106"/>
  <c r="AB243" i="106"/>
  <c r="AB241" i="106"/>
  <c r="AB32" i="106"/>
  <c r="AB55" i="106" a="1"/>
  <c r="AB55" i="106" s="1"/>
  <c r="AF244" i="106"/>
  <c r="AF243" i="106"/>
  <c r="AF241" i="106"/>
  <c r="AF32" i="106"/>
  <c r="AF55" i="106" a="1"/>
  <c r="AF55" i="106" s="1"/>
  <c r="AT29" i="106"/>
  <c r="AP29" i="106"/>
  <c r="AS29" i="106"/>
  <c r="AO29" i="106"/>
  <c r="AR29" i="106"/>
  <c r="AN29" i="106"/>
  <c r="AP244" i="106"/>
  <c r="AP243" i="106"/>
  <c r="AP241" i="106"/>
  <c r="AP55" i="106" a="1"/>
  <c r="AP55" i="106" s="1"/>
  <c r="AT244" i="106"/>
  <c r="AT243" i="106"/>
  <c r="AT241" i="106"/>
  <c r="AT55" i="106" a="1"/>
  <c r="AT55" i="106" s="1"/>
  <c r="AT32" i="106"/>
  <c r="AZ244" i="106"/>
  <c r="AZ243" i="106"/>
  <c r="AZ241" i="106"/>
  <c r="AZ55" i="106" a="1"/>
  <c r="AZ55" i="106" s="1"/>
  <c r="BD244" i="106"/>
  <c r="BD243" i="106"/>
  <c r="BD241" i="106"/>
  <c r="BD55" i="106" a="1"/>
  <c r="BD55" i="106" s="1"/>
  <c r="S29" i="106"/>
  <c r="AM29" i="106"/>
  <c r="V31" i="106"/>
  <c r="V287" i="106" s="1"/>
  <c r="BD32" i="106"/>
  <c r="AD300" i="106"/>
  <c r="AD278" i="106"/>
  <c r="AD260" i="106"/>
  <c r="AD232" i="106"/>
  <c r="AD239" i="106"/>
  <c r="AD225" i="106"/>
  <c r="AH300" i="106"/>
  <c r="AH278" i="106"/>
  <c r="AH260" i="106"/>
  <c r="AH232" i="106"/>
  <c r="AH239" i="106"/>
  <c r="AH225" i="106"/>
  <c r="BB300" i="106"/>
  <c r="BB278" i="106"/>
  <c r="BB260" i="106"/>
  <c r="BB232" i="106"/>
  <c r="BB239" i="106"/>
  <c r="BB225" i="106"/>
  <c r="BF300" i="106"/>
  <c r="BF278" i="106"/>
  <c r="BF232" i="106"/>
  <c r="BF260" i="106"/>
  <c r="BF239" i="106"/>
  <c r="BF225" i="106"/>
  <c r="Q229" i="106"/>
  <c r="Q227" i="106"/>
  <c r="U227" i="106"/>
  <c r="U229" i="106"/>
  <c r="AB287" i="106"/>
  <c r="AB275" i="106"/>
  <c r="AB280" i="106"/>
  <c r="AB273" i="106"/>
  <c r="AB267" i="106"/>
  <c r="AB286" i="106" a="1"/>
  <c r="AB286" i="106" s="1"/>
  <c r="AB271" i="106"/>
  <c r="AB269" i="106"/>
  <c r="AB262" i="106"/>
  <c r="AB268" i="106"/>
  <c r="AB266" i="106"/>
  <c r="AB265" i="106"/>
  <c r="AB264" i="106"/>
  <c r="AB229" i="106"/>
  <c r="AB227" i="106"/>
  <c r="AF286" i="106" a="1"/>
  <c r="AF286" i="106" s="1"/>
  <c r="AF275" i="106"/>
  <c r="AF280" i="106"/>
  <c r="AF273" i="106"/>
  <c r="AF267" i="106"/>
  <c r="AF287" i="106"/>
  <c r="AF271" i="106"/>
  <c r="AF268" i="106"/>
  <c r="AF262" i="106"/>
  <c r="AF266" i="106"/>
  <c r="AF269" i="106"/>
  <c r="AF265" i="106"/>
  <c r="AF264" i="106"/>
  <c r="AF227" i="106"/>
  <c r="AF229" i="106"/>
  <c r="AQ227" i="106"/>
  <c r="AQ229" i="106"/>
  <c r="AU229" i="106"/>
  <c r="AU227" i="106"/>
  <c r="BB286" i="106" a="1"/>
  <c r="BB286" i="106" s="1"/>
  <c r="BB280" i="106"/>
  <c r="BB269" i="106"/>
  <c r="BB287" i="106"/>
  <c r="BB275" i="106"/>
  <c r="BB268" i="106"/>
  <c r="BB266" i="106"/>
  <c r="BB265" i="106"/>
  <c r="BB273" i="106"/>
  <c r="BB271" i="106"/>
  <c r="BB264" i="106"/>
  <c r="BB267" i="106"/>
  <c r="BB262" i="106"/>
  <c r="BB227" i="106"/>
  <c r="BB229" i="106"/>
  <c r="BF286" i="106" a="1"/>
  <c r="BF286" i="106" s="1"/>
  <c r="BF287" i="106"/>
  <c r="BF280" i="106"/>
  <c r="BF269" i="106"/>
  <c r="BF275" i="106"/>
  <c r="BF268" i="106"/>
  <c r="BF271" i="106"/>
  <c r="BF273" i="106"/>
  <c r="BF267" i="106"/>
  <c r="BF266" i="106"/>
  <c r="BF265" i="106"/>
  <c r="BF264" i="106"/>
  <c r="BF262" i="106"/>
  <c r="BF229" i="106"/>
  <c r="BF227" i="106"/>
  <c r="Q21" i="106"/>
  <c r="U21" i="106"/>
  <c r="U63" i="106" s="1"/>
  <c r="AB21" i="106"/>
  <c r="AB63" i="106" s="1"/>
  <c r="AF21" i="106"/>
  <c r="AF63" i="106" s="1"/>
  <c r="AM21" i="106"/>
  <c r="AQ21" i="106"/>
  <c r="AU21" i="106"/>
  <c r="BB21" i="106"/>
  <c r="BB63" i="106" s="1"/>
  <c r="BF21" i="106"/>
  <c r="Q22" i="106"/>
  <c r="U22" i="106"/>
  <c r="AB22" i="106"/>
  <c r="AF22" i="106"/>
  <c r="AM22" i="106"/>
  <c r="AQ22" i="106"/>
  <c r="AU22" i="106"/>
  <c r="BB22" i="106"/>
  <c r="BF22" i="106"/>
  <c r="S244" i="106"/>
  <c r="S243" i="106"/>
  <c r="W244" i="106"/>
  <c r="W243" i="106"/>
  <c r="AC244" i="106"/>
  <c r="AC243" i="106"/>
  <c r="AC241" i="106"/>
  <c r="AG244" i="106"/>
  <c r="AG243" i="106"/>
  <c r="AG241" i="106"/>
  <c r="AQ244" i="106"/>
  <c r="AQ243" i="106"/>
  <c r="AQ241" i="106"/>
  <c r="AU244" i="106"/>
  <c r="AU243" i="106"/>
  <c r="AU241" i="106"/>
  <c r="BA244" i="106"/>
  <c r="BA243" i="106"/>
  <c r="BA241" i="106"/>
  <c r="BE244" i="106"/>
  <c r="BE243" i="106"/>
  <c r="BE241" i="106"/>
  <c r="S31" i="106"/>
  <c r="S32" i="106" s="1"/>
  <c r="W31" i="106"/>
  <c r="W32" i="106" s="1"/>
  <c r="AQ31" i="106"/>
  <c r="AQ32" i="106" s="1"/>
  <c r="AU31" i="106"/>
  <c r="AU32" i="106" s="1"/>
  <c r="BA32" i="106"/>
  <c r="S50" i="106"/>
  <c r="W50" i="106"/>
  <c r="AD50" i="106"/>
  <c r="AH50" i="106"/>
  <c r="AO50" i="106"/>
  <c r="AS50" i="106"/>
  <c r="AZ50" i="106"/>
  <c r="BD50" i="106"/>
  <c r="S55" i="106" a="1"/>
  <c r="S55" i="106" s="1"/>
  <c r="W55" i="106" a="1"/>
  <c r="W55" i="106" s="1"/>
  <c r="AQ55" i="106" a="1"/>
  <c r="AQ55" i="106" s="1"/>
  <c r="AU55" i="106" a="1"/>
  <c r="AU55" i="106" s="1"/>
  <c r="S62" i="106"/>
  <c r="AQ62" i="106"/>
  <c r="Q63" i="106"/>
  <c r="S64" i="106"/>
  <c r="W64" i="106"/>
  <c r="AM64" i="106"/>
  <c r="AQ64" i="106"/>
  <c r="AU64" i="106"/>
  <c r="S66" i="106"/>
  <c r="W66" i="106"/>
  <c r="AQ66" i="106"/>
  <c r="AU66" i="106"/>
  <c r="AW68" i="106"/>
  <c r="AK70" i="106"/>
  <c r="AU215" i="106" s="1"/>
  <c r="E302" i="106"/>
  <c r="E241" i="106"/>
  <c r="E306" i="106"/>
  <c r="E245" i="106"/>
  <c r="V75" i="106"/>
  <c r="V154" i="106" s="1"/>
  <c r="AT75" i="106"/>
  <c r="AT154" i="106" s="1"/>
  <c r="AN199" i="106"/>
  <c r="AN200" i="106" s="1"/>
  <c r="AN132" i="106"/>
  <c r="AA115" i="106"/>
  <c r="AA197" i="106"/>
  <c r="AA119" i="106"/>
  <c r="AN115" i="106"/>
  <c r="AN197" i="106"/>
  <c r="AN119" i="106"/>
  <c r="BA115" i="106"/>
  <c r="BA197" i="106"/>
  <c r="BA119" i="106"/>
  <c r="Q132" i="106"/>
  <c r="Q199" i="106" s="1"/>
  <c r="Q34" i="106"/>
  <c r="U34" i="106"/>
  <c r="AB34" i="106"/>
  <c r="AF34" i="106"/>
  <c r="AM34" i="106"/>
  <c r="AQ34" i="106"/>
  <c r="AU34" i="106"/>
  <c r="BB34" i="106"/>
  <c r="BF34" i="106"/>
  <c r="Q35" i="106"/>
  <c r="U35" i="106"/>
  <c r="AB35" i="106"/>
  <c r="AF35" i="106"/>
  <c r="AM35" i="106"/>
  <c r="AQ35" i="106"/>
  <c r="AU35" i="106"/>
  <c r="BB35" i="106"/>
  <c r="BF35" i="106"/>
  <c r="AD38" i="106"/>
  <c r="AH38" i="106"/>
  <c r="BB38" i="106"/>
  <c r="BF38" i="106"/>
  <c r="Q40" i="106"/>
  <c r="Q52" i="106" s="1"/>
  <c r="U40" i="106"/>
  <c r="U60" i="106" s="1"/>
  <c r="AB40" i="106"/>
  <c r="AB282" i="106" s="1" a="1"/>
  <c r="AB282" i="106" s="1"/>
  <c r="AF40" i="106"/>
  <c r="AF52" i="106" s="1"/>
  <c r="AM40" i="106"/>
  <c r="AM53" i="106" s="1"/>
  <c r="AQ40" i="106"/>
  <c r="AQ61" i="106" s="1"/>
  <c r="AU40" i="106"/>
  <c r="AU61" i="106" s="1"/>
  <c r="BB40" i="106"/>
  <c r="BB53" i="106" s="1"/>
  <c r="BF40" i="106"/>
  <c r="BF60" i="106" s="1"/>
  <c r="AD62" i="106"/>
  <c r="AH62" i="106"/>
  <c r="BB62" i="106"/>
  <c r="BF62" i="106"/>
  <c r="AD64" i="106"/>
  <c r="AH64" i="106"/>
  <c r="BB64" i="106"/>
  <c r="BF64" i="106"/>
  <c r="BB66" i="106"/>
  <c r="BF66" i="106"/>
  <c r="M68" i="106"/>
  <c r="AW70" i="106"/>
  <c r="BG215" i="106" s="1"/>
  <c r="E303" i="106"/>
  <c r="E242" i="106"/>
  <c r="E307" i="106"/>
  <c r="E246" i="106"/>
  <c r="W75" i="106"/>
  <c r="W168" i="106" s="1"/>
  <c r="AU75" i="106"/>
  <c r="AU168" i="106" s="1"/>
  <c r="AB199" i="106"/>
  <c r="AB200" i="106" s="1"/>
  <c r="AB132" i="106"/>
  <c r="AB300" i="106"/>
  <c r="AB278" i="106"/>
  <c r="AB239" i="106"/>
  <c r="AB260" i="106"/>
  <c r="AB232" i="106"/>
  <c r="AB225" i="106"/>
  <c r="AF300" i="106"/>
  <c r="AF278" i="106"/>
  <c r="AF260" i="106"/>
  <c r="AF239" i="106"/>
  <c r="AF232" i="106"/>
  <c r="AF225" i="106"/>
  <c r="AZ300" i="106"/>
  <c r="AZ278" i="106"/>
  <c r="AZ260" i="106"/>
  <c r="AZ239" i="106"/>
  <c r="AZ232" i="106"/>
  <c r="AZ225" i="106"/>
  <c r="BD300" i="106"/>
  <c r="BD278" i="106"/>
  <c r="BD260" i="106"/>
  <c r="BD239" i="106"/>
  <c r="BD232" i="106"/>
  <c r="BD225" i="106"/>
  <c r="S287" i="106"/>
  <c r="S273" i="106"/>
  <c r="S271" i="106"/>
  <c r="S269" i="106"/>
  <c r="S286" i="106" a="1"/>
  <c r="S286" i="106" s="1"/>
  <c r="S268" i="106"/>
  <c r="S266" i="106"/>
  <c r="S265" i="106"/>
  <c r="S280" i="106"/>
  <c r="S275" i="106"/>
  <c r="S267" i="106"/>
  <c r="S264" i="106"/>
  <c r="S262" i="106"/>
  <c r="S227" i="106"/>
  <c r="S229" i="106"/>
  <c r="W286" i="106" a="1"/>
  <c r="W286" i="106" s="1"/>
  <c r="W280" i="106"/>
  <c r="W229" i="106"/>
  <c r="W227" i="106"/>
  <c r="AD287" i="106"/>
  <c r="AD269" i="106"/>
  <c r="AD275" i="106"/>
  <c r="AD268" i="106"/>
  <c r="AD271" i="106"/>
  <c r="AD266" i="106"/>
  <c r="AD286" i="106" a="1"/>
  <c r="AD286" i="106" s="1"/>
  <c r="AD280" i="106"/>
  <c r="AD267" i="106"/>
  <c r="AD265" i="106"/>
  <c r="AD264" i="106"/>
  <c r="AD273" i="106"/>
  <c r="AD262" i="106"/>
  <c r="AD227" i="106"/>
  <c r="AD229" i="106"/>
  <c r="AH287" i="106"/>
  <c r="AH286" i="106" a="1"/>
  <c r="AH286" i="106" s="1"/>
  <c r="AH269" i="106"/>
  <c r="AH275" i="106"/>
  <c r="AH268" i="106"/>
  <c r="AH280" i="106"/>
  <c r="AH266" i="106"/>
  <c r="AH265" i="106"/>
  <c r="AH273" i="106"/>
  <c r="AH271" i="106"/>
  <c r="AH264" i="106"/>
  <c r="AH267" i="106"/>
  <c r="AH262" i="106"/>
  <c r="AH229" i="106"/>
  <c r="AH227" i="106"/>
  <c r="AO227" i="106"/>
  <c r="AO229" i="106"/>
  <c r="AS229" i="106"/>
  <c r="AS227" i="106"/>
  <c r="AZ287" i="106"/>
  <c r="AZ286" i="106" a="1"/>
  <c r="AZ286" i="106" s="1"/>
  <c r="AZ275" i="106"/>
  <c r="AZ273" i="106"/>
  <c r="AZ267" i="106"/>
  <c r="AZ271" i="106"/>
  <c r="AZ266" i="106"/>
  <c r="AZ268" i="106"/>
  <c r="AZ280" i="106"/>
  <c r="AZ262" i="106"/>
  <c r="AZ269" i="106"/>
  <c r="AZ265" i="106"/>
  <c r="AZ264" i="106"/>
  <c r="AZ227" i="106"/>
  <c r="AZ229" i="106"/>
  <c r="BD287" i="106"/>
  <c r="BD286" i="106" a="1"/>
  <c r="BD286" i="106" s="1"/>
  <c r="BD275" i="106"/>
  <c r="BD273" i="106"/>
  <c r="BD267" i="106"/>
  <c r="BD271" i="106"/>
  <c r="BD266" i="106"/>
  <c r="BD280" i="106"/>
  <c r="BD264" i="106"/>
  <c r="BD269" i="106"/>
  <c r="BD262" i="106"/>
  <c r="BD268" i="106"/>
  <c r="BD265" i="106"/>
  <c r="BD229" i="106"/>
  <c r="BD227" i="106"/>
  <c r="O21" i="106"/>
  <c r="O63" i="106" s="1"/>
  <c r="S21" i="106"/>
  <c r="W21" i="106"/>
  <c r="W63" i="106" s="1"/>
  <c r="AD21" i="106"/>
  <c r="AH21" i="106"/>
  <c r="AH65" i="106" s="1"/>
  <c r="AO21" i="106"/>
  <c r="AS21" i="106"/>
  <c r="AS63" i="106" s="1"/>
  <c r="AZ21" i="106"/>
  <c r="BD21" i="106"/>
  <c r="O22" i="106"/>
  <c r="S22" i="106"/>
  <c r="W22" i="106"/>
  <c r="AD22" i="106"/>
  <c r="AH22" i="106"/>
  <c r="AO22" i="106"/>
  <c r="AS22" i="106"/>
  <c r="AZ22" i="106"/>
  <c r="BD22" i="106"/>
  <c r="Q243" i="106"/>
  <c r="Q244" i="106"/>
  <c r="U243" i="106"/>
  <c r="U244" i="106"/>
  <c r="AE243" i="106"/>
  <c r="AE241" i="106"/>
  <c r="AE244" i="106"/>
  <c r="AI243" i="106"/>
  <c r="AI241" i="106"/>
  <c r="AI244" i="106"/>
  <c r="AO243" i="106"/>
  <c r="AO241" i="106"/>
  <c r="AO244" i="106"/>
  <c r="AS243" i="106"/>
  <c r="AS241" i="106"/>
  <c r="AS244" i="106"/>
  <c r="BC243" i="106"/>
  <c r="BC241" i="106"/>
  <c r="BC244" i="106"/>
  <c r="BG243" i="106"/>
  <c r="BG241" i="106"/>
  <c r="BG244" i="106"/>
  <c r="Q31" i="106"/>
  <c r="Q62" i="106" s="1"/>
  <c r="U31" i="106"/>
  <c r="AO31" i="106"/>
  <c r="AO267" i="106" s="1"/>
  <c r="AS31" i="106"/>
  <c r="AS32" i="106" s="1"/>
  <c r="AG32" i="106"/>
  <c r="BC32" i="106"/>
  <c r="BG32" i="106"/>
  <c r="Q50" i="106"/>
  <c r="U50" i="106"/>
  <c r="AB50" i="106"/>
  <c r="AF50" i="106"/>
  <c r="AM50" i="106"/>
  <c r="AQ50" i="106"/>
  <c r="AU50" i="106"/>
  <c r="BB50" i="106"/>
  <c r="BF50" i="106"/>
  <c r="U52" i="106"/>
  <c r="AQ52" i="106"/>
  <c r="BF52" i="106"/>
  <c r="AC55" i="106" a="1"/>
  <c r="AC55" i="106" s="1"/>
  <c r="AE55" i="106" a="1"/>
  <c r="AE55" i="106" s="1"/>
  <c r="AG55" i="106" a="1"/>
  <c r="AG55" i="106" s="1"/>
  <c r="AI55" i="106" a="1"/>
  <c r="AI55" i="106" s="1"/>
  <c r="BA55" i="106" a="1"/>
  <c r="BA55" i="106" s="1"/>
  <c r="BC55" i="106" a="1"/>
  <c r="BC55" i="106" s="1"/>
  <c r="BE55" i="106" a="1"/>
  <c r="BE55" i="106" s="1"/>
  <c r="BG55" i="106" a="1"/>
  <c r="BG55" i="106" s="1"/>
  <c r="U62" i="106"/>
  <c r="AS62" i="106"/>
  <c r="S63" i="106"/>
  <c r="AM63" i="106"/>
  <c r="AU63" i="106"/>
  <c r="Q64" i="106"/>
  <c r="U64" i="106"/>
  <c r="AO64" i="106"/>
  <c r="AS64" i="106"/>
  <c r="S65" i="106"/>
  <c r="Q66" i="106"/>
  <c r="U66" i="106"/>
  <c r="AO66" i="106"/>
  <c r="AS66" i="106"/>
  <c r="Y68" i="106"/>
  <c r="M70" i="106"/>
  <c r="E304" i="106"/>
  <c r="E243" i="106"/>
  <c r="E308" i="106"/>
  <c r="E247" i="106"/>
  <c r="AH75" i="106"/>
  <c r="AH154" i="106" s="1"/>
  <c r="BF75" i="106"/>
  <c r="BF154" i="106" s="1"/>
  <c r="P199" i="106"/>
  <c r="P200" i="106" s="1"/>
  <c r="P132" i="106"/>
  <c r="P197" i="106"/>
  <c r="P119" i="106"/>
  <c r="P115" i="106"/>
  <c r="AC197" i="106"/>
  <c r="AC119" i="106"/>
  <c r="AC115" i="106"/>
  <c r="AY197" i="106"/>
  <c r="AY119" i="106"/>
  <c r="AY115" i="106"/>
  <c r="AB38" i="106"/>
  <c r="AF38" i="106"/>
  <c r="AZ38" i="106"/>
  <c r="BD38" i="106"/>
  <c r="O40" i="106"/>
  <c r="S40" i="106"/>
  <c r="W40" i="106"/>
  <c r="W294" i="106" s="1"/>
  <c r="AD40" i="106"/>
  <c r="AD52" i="106" s="1"/>
  <c r="AH40" i="106"/>
  <c r="AH53" i="106" s="1"/>
  <c r="AO40" i="106"/>
  <c r="AO53" i="106" s="1"/>
  <c r="AS40" i="106"/>
  <c r="AS53" i="106" s="1"/>
  <c r="AZ40" i="106"/>
  <c r="BD40" i="106"/>
  <c r="U53" i="106"/>
  <c r="AD58" i="106"/>
  <c r="AH58" i="106"/>
  <c r="BB58" i="106"/>
  <c r="BF58" i="106"/>
  <c r="AF60" i="106"/>
  <c r="AB62" i="106"/>
  <c r="AF62" i="106"/>
  <c r="AZ62" i="106"/>
  <c r="BD62" i="106"/>
  <c r="AD63" i="106"/>
  <c r="BF63" i="106"/>
  <c r="AB64" i="106"/>
  <c r="AF64" i="106"/>
  <c r="AZ64" i="106"/>
  <c r="BD64" i="106"/>
  <c r="AD65" i="106"/>
  <c r="BF65" i="106"/>
  <c r="AB66" i="106"/>
  <c r="AF66" i="106"/>
  <c r="AZ66" i="106"/>
  <c r="BD66" i="106"/>
  <c r="AK68" i="106"/>
  <c r="Y70" i="106"/>
  <c r="AI215" i="106" s="1"/>
  <c r="E305" i="106"/>
  <c r="E244" i="106"/>
  <c r="E309" i="106"/>
  <c r="E248" i="106"/>
  <c r="AI75" i="106"/>
  <c r="AI168" i="106" s="1"/>
  <c r="BG75" i="106"/>
  <c r="BG168" i="106" s="1"/>
  <c r="AZ199" i="106"/>
  <c r="AZ200" i="106" s="1"/>
  <c r="AZ132" i="106"/>
  <c r="Q119" i="106"/>
  <c r="AM119" i="106"/>
  <c r="AC132" i="106"/>
  <c r="AC199" i="106" s="1"/>
  <c r="O115" i="106"/>
  <c r="AB115" i="106"/>
  <c r="AO115" i="106"/>
  <c r="O131" i="106"/>
  <c r="AA131" i="106"/>
  <c r="AM131" i="106"/>
  <c r="AY131" i="106"/>
  <c r="AC134" i="106"/>
  <c r="Q197" i="106"/>
  <c r="AM197" i="106"/>
  <c r="AZ197" i="106"/>
  <c r="O119" i="106"/>
  <c r="AB119" i="106"/>
  <c r="AO119" i="106"/>
  <c r="Q134" i="106"/>
  <c r="Q115" i="106"/>
  <c r="AM115" i="106"/>
  <c r="AZ115" i="106"/>
  <c r="AO131" i="106"/>
  <c r="BA131" i="106"/>
  <c r="BF14" i="105"/>
  <c r="AA219" i="105"/>
  <c r="AA207" i="105"/>
  <c r="AA195" i="105"/>
  <c r="AA184" i="105"/>
  <c r="AA73" i="105"/>
  <c r="AA165" i="105"/>
  <c r="AA149" i="105"/>
  <c r="AA99" i="105"/>
  <c r="AE195" i="105"/>
  <c r="AE184" i="105"/>
  <c r="AE219" i="105"/>
  <c r="AE73" i="105"/>
  <c r="AE165" i="105"/>
  <c r="AE149" i="105"/>
  <c r="AI195" i="105"/>
  <c r="AI184" i="105"/>
  <c r="AI207" i="105"/>
  <c r="AI219" i="105"/>
  <c r="AI73" i="105"/>
  <c r="AI165" i="105"/>
  <c r="AP195" i="105"/>
  <c r="AP184" i="105"/>
  <c r="AP219" i="105"/>
  <c r="AP165" i="105"/>
  <c r="AP149" i="105"/>
  <c r="AP73" i="105"/>
  <c r="AT219" i="105"/>
  <c r="AT195" i="105"/>
  <c r="AT184" i="105"/>
  <c r="AT165" i="105"/>
  <c r="AT149" i="105"/>
  <c r="AT73" i="105"/>
  <c r="BA219" i="105"/>
  <c r="BA207" i="105"/>
  <c r="BA195" i="105"/>
  <c r="BA184" i="105"/>
  <c r="BA165" i="105"/>
  <c r="BA149" i="105"/>
  <c r="BA99" i="105"/>
  <c r="BA73" i="105"/>
  <c r="BE219" i="105"/>
  <c r="BE195" i="105"/>
  <c r="BE184" i="105"/>
  <c r="BE165" i="105"/>
  <c r="BE149" i="105"/>
  <c r="BE73" i="105"/>
  <c r="O300" i="105"/>
  <c r="O278" i="105"/>
  <c r="O260" i="105"/>
  <c r="O239" i="105"/>
  <c r="O232" i="105"/>
  <c r="O225" i="105"/>
  <c r="O58" i="105"/>
  <c r="O38" i="105"/>
  <c r="S300" i="105"/>
  <c r="S278" i="105"/>
  <c r="S260" i="105"/>
  <c r="S239" i="105"/>
  <c r="S225" i="105"/>
  <c r="S232" i="105"/>
  <c r="S58" i="105"/>
  <c r="S38" i="105"/>
  <c r="AC17" i="105"/>
  <c r="AG17" i="105"/>
  <c r="AM300" i="105"/>
  <c r="AM278" i="105"/>
  <c r="AM260" i="105"/>
  <c r="AM239" i="105"/>
  <c r="AM232" i="105"/>
  <c r="AM225" i="105"/>
  <c r="AM58" i="105"/>
  <c r="AM38" i="105"/>
  <c r="AQ300" i="105"/>
  <c r="AQ278" i="105"/>
  <c r="AQ260" i="105"/>
  <c r="AQ239" i="105"/>
  <c r="AQ232" i="105"/>
  <c r="AQ225" i="105"/>
  <c r="AQ58" i="105"/>
  <c r="AQ38" i="105"/>
  <c r="AU300" i="105"/>
  <c r="AU278" i="105"/>
  <c r="AU260" i="105"/>
  <c r="AU239" i="105"/>
  <c r="AU225" i="105"/>
  <c r="AU232" i="105"/>
  <c r="AU58" i="105"/>
  <c r="AU38" i="105"/>
  <c r="BA300" i="105"/>
  <c r="BA278" i="105"/>
  <c r="BA260" i="105"/>
  <c r="BA239" i="105"/>
  <c r="BA225" i="105"/>
  <c r="BA232" i="105"/>
  <c r="BA58" i="105"/>
  <c r="BA38" i="105"/>
  <c r="BE300" i="105"/>
  <c r="BE278" i="105"/>
  <c r="BE260" i="105"/>
  <c r="BE239" i="105"/>
  <c r="BE225" i="105"/>
  <c r="BE232" i="105"/>
  <c r="BE58" i="105"/>
  <c r="BE38" i="105"/>
  <c r="P40" i="105"/>
  <c r="P53" i="105" s="1"/>
  <c r="P35" i="105"/>
  <c r="T229" i="105"/>
  <c r="T227" i="105"/>
  <c r="T40" i="105"/>
  <c r="T60" i="105" s="1"/>
  <c r="T35" i="105"/>
  <c r="AA64" i="105"/>
  <c r="AA40" i="105"/>
  <c r="AA35" i="105"/>
  <c r="AE229" i="105"/>
  <c r="AE227" i="105"/>
  <c r="AE66" i="105"/>
  <c r="AE64" i="105"/>
  <c r="AE40" i="105"/>
  <c r="AE53" i="105" s="1"/>
  <c r="AE35" i="105"/>
  <c r="AI229" i="105"/>
  <c r="AI227" i="105"/>
  <c r="AI66" i="105"/>
  <c r="AI64" i="105"/>
  <c r="AI40" i="105"/>
  <c r="AI35" i="105"/>
  <c r="AP229" i="105"/>
  <c r="AP227" i="105"/>
  <c r="AP40" i="105"/>
  <c r="AP35" i="105"/>
  <c r="AP66" i="105"/>
  <c r="AP64" i="105"/>
  <c r="AT229" i="105"/>
  <c r="AT227" i="105"/>
  <c r="AT40" i="105"/>
  <c r="AT61" i="105" s="1"/>
  <c r="AT35" i="105"/>
  <c r="AT66" i="105"/>
  <c r="AT64" i="105"/>
  <c r="BA229" i="105"/>
  <c r="BA227" i="105"/>
  <c r="BA66" i="105"/>
  <c r="BA64" i="105"/>
  <c r="BA40" i="105"/>
  <c r="BA35" i="105"/>
  <c r="BE229" i="105"/>
  <c r="BE227" i="105"/>
  <c r="BE66" i="105"/>
  <c r="BE64" i="105"/>
  <c r="BE40" i="105"/>
  <c r="BE61" i="105" s="1"/>
  <c r="BE35" i="105"/>
  <c r="P21" i="105"/>
  <c r="T21" i="105"/>
  <c r="AA21" i="105"/>
  <c r="AE21" i="105"/>
  <c r="AI21" i="105"/>
  <c r="AP21" i="105"/>
  <c r="AP63" i="105" s="1"/>
  <c r="AT21" i="105"/>
  <c r="BA21" i="105"/>
  <c r="BA63" i="105" s="1"/>
  <c r="BE21" i="105"/>
  <c r="P22" i="105"/>
  <c r="T22" i="105"/>
  <c r="AA22" i="105"/>
  <c r="AE22" i="105"/>
  <c r="AI22" i="105"/>
  <c r="AP22" i="105"/>
  <c r="AT22" i="105"/>
  <c r="BA22" i="105"/>
  <c r="BE22" i="105"/>
  <c r="M24" i="105"/>
  <c r="R244" i="105"/>
  <c r="R243" i="105"/>
  <c r="R55" i="105" a="1"/>
  <c r="R55" i="105" s="1"/>
  <c r="V244" i="105"/>
  <c r="V243" i="105"/>
  <c r="V55" i="105" a="1"/>
  <c r="V55" i="105" s="1"/>
  <c r="AB244" i="105"/>
  <c r="AB243" i="105"/>
  <c r="AB241" i="105"/>
  <c r="AB55" i="105" a="1"/>
  <c r="AB55" i="105" s="1"/>
  <c r="AF244" i="105"/>
  <c r="AF243" i="105"/>
  <c r="AF241" i="105"/>
  <c r="AF55" i="105" a="1"/>
  <c r="AF55" i="105" s="1"/>
  <c r="AK24" i="105"/>
  <c r="AP244" i="105"/>
  <c r="AP243" i="105"/>
  <c r="AP241" i="105"/>
  <c r="AP55" i="105" a="1"/>
  <c r="AP55" i="105" s="1"/>
  <c r="AT244" i="105"/>
  <c r="AT243" i="105"/>
  <c r="AT241" i="105"/>
  <c r="AT55" i="105" a="1"/>
  <c r="AT55" i="105" s="1"/>
  <c r="AZ244" i="105"/>
  <c r="AZ243" i="105"/>
  <c r="AZ241" i="105"/>
  <c r="AZ55" i="105" a="1"/>
  <c r="AZ55" i="105" s="1"/>
  <c r="BD244" i="105"/>
  <c r="BD243" i="105"/>
  <c r="BD241" i="105"/>
  <c r="BD55" i="105" a="1"/>
  <c r="BD55" i="105" s="1"/>
  <c r="AG29" i="105"/>
  <c r="BA29" i="105"/>
  <c r="BE29" i="105"/>
  <c r="R31" i="105"/>
  <c r="R286" i="105" s="1" a="1"/>
  <c r="R286" i="105" s="1"/>
  <c r="V31" i="105"/>
  <c r="V271" i="105" s="1"/>
  <c r="AB31" i="105"/>
  <c r="AB286" i="105" s="1" a="1"/>
  <c r="AB286" i="105" s="1"/>
  <c r="AF31" i="105"/>
  <c r="AF273" i="105" s="1"/>
  <c r="AP31" i="105"/>
  <c r="AP273" i="105" s="1"/>
  <c r="AT31" i="105"/>
  <c r="AT286" i="105" s="1" a="1"/>
  <c r="AT286" i="105" s="1"/>
  <c r="AZ31" i="105"/>
  <c r="AZ280" i="105" s="1"/>
  <c r="BD31" i="105"/>
  <c r="BD32" i="105" s="1"/>
  <c r="O34" i="105"/>
  <c r="S34" i="105"/>
  <c r="W34" i="105"/>
  <c r="AD34" i="105"/>
  <c r="AH34" i="105"/>
  <c r="AO34" i="105"/>
  <c r="AS34" i="105"/>
  <c r="AZ34" i="105"/>
  <c r="BD34" i="105"/>
  <c r="O35" i="105"/>
  <c r="AC35" i="105"/>
  <c r="AH35" i="105"/>
  <c r="AY35" i="105"/>
  <c r="BD35" i="105"/>
  <c r="AB38" i="105"/>
  <c r="AT38" i="105"/>
  <c r="S40" i="105"/>
  <c r="S53" i="105" s="1"/>
  <c r="AB40" i="105"/>
  <c r="AB61" i="105" s="1"/>
  <c r="AH40" i="105"/>
  <c r="AH60" i="105" s="1"/>
  <c r="AS40" i="105"/>
  <c r="AS53" i="105" s="1"/>
  <c r="BD40" i="105"/>
  <c r="BD61" i="105" s="1"/>
  <c r="R50" i="105"/>
  <c r="AC50" i="105"/>
  <c r="AA53" i="105"/>
  <c r="AI53" i="105"/>
  <c r="AP58" i="105"/>
  <c r="AD64" i="105"/>
  <c r="T66" i="105"/>
  <c r="AZ199" i="105"/>
  <c r="AZ200" i="105" s="1"/>
  <c r="AZ132" i="105"/>
  <c r="AK175" i="105"/>
  <c r="Y175" i="105"/>
  <c r="M175" i="105"/>
  <c r="AW175" i="105"/>
  <c r="BE158" i="105"/>
  <c r="BA158" i="105"/>
  <c r="AS158" i="105"/>
  <c r="AO158" i="105"/>
  <c r="AG158" i="105"/>
  <c r="AC158" i="105"/>
  <c r="U158" i="105"/>
  <c r="Q158" i="105"/>
  <c r="AZ158" i="105"/>
  <c r="AN158" i="105"/>
  <c r="AB158" i="105"/>
  <c r="P158" i="105"/>
  <c r="BC158" i="105"/>
  <c r="AY158" i="105"/>
  <c r="AQ158" i="105"/>
  <c r="AM158" i="105"/>
  <c r="AE158" i="105"/>
  <c r="AA158" i="105"/>
  <c r="S158" i="105"/>
  <c r="O158" i="105"/>
  <c r="BF158" i="105"/>
  <c r="BB158" i="105"/>
  <c r="AT158" i="105"/>
  <c r="AP158" i="105"/>
  <c r="AH158" i="105"/>
  <c r="AD158" i="105"/>
  <c r="V158" i="105"/>
  <c r="R158" i="105"/>
  <c r="AB219" i="105"/>
  <c r="AB207" i="105"/>
  <c r="AB195" i="105"/>
  <c r="AB184" i="105"/>
  <c r="AB165" i="105"/>
  <c r="AB149" i="105"/>
  <c r="AB99" i="105"/>
  <c r="AB73" i="105"/>
  <c r="AF195" i="105"/>
  <c r="AF184" i="105"/>
  <c r="AF219" i="105"/>
  <c r="AF165" i="105"/>
  <c r="AF149" i="105"/>
  <c r="AF73" i="105"/>
  <c r="AM219" i="105"/>
  <c r="AM207" i="105"/>
  <c r="AM195" i="105"/>
  <c r="AM184" i="105"/>
  <c r="AM165" i="105"/>
  <c r="AM149" i="105"/>
  <c r="AM73" i="105"/>
  <c r="AM99" i="105"/>
  <c r="AQ219" i="105"/>
  <c r="AQ195" i="105"/>
  <c r="AQ184" i="105"/>
  <c r="AQ165" i="105"/>
  <c r="AQ149" i="105"/>
  <c r="AQ73" i="105"/>
  <c r="AU219" i="105"/>
  <c r="AU207" i="105"/>
  <c r="AU195" i="105"/>
  <c r="AU184" i="105"/>
  <c r="AU165" i="105"/>
  <c r="AU73" i="105"/>
  <c r="BB219" i="105"/>
  <c r="BB195" i="105"/>
  <c r="BB184" i="105"/>
  <c r="BB165" i="105"/>
  <c r="BB73" i="105"/>
  <c r="BB149" i="105"/>
  <c r="BF219" i="105"/>
  <c r="BF195" i="105"/>
  <c r="BF184" i="105"/>
  <c r="BF165" i="105"/>
  <c r="BF73" i="105"/>
  <c r="BF149" i="105"/>
  <c r="P300" i="105"/>
  <c r="P278" i="105"/>
  <c r="P260" i="105"/>
  <c r="P232" i="105"/>
  <c r="P225" i="105"/>
  <c r="P239" i="105"/>
  <c r="T300" i="105"/>
  <c r="T278" i="105"/>
  <c r="T260" i="105"/>
  <c r="T232" i="105"/>
  <c r="T225" i="105"/>
  <c r="T239" i="105"/>
  <c r="AD300" i="105"/>
  <c r="AD278" i="105"/>
  <c r="AD260" i="105"/>
  <c r="AD232" i="105"/>
  <c r="AD239" i="105"/>
  <c r="AD225" i="105"/>
  <c r="AH300" i="105"/>
  <c r="AH278" i="105"/>
  <c r="AH260" i="105"/>
  <c r="AH232" i="105"/>
  <c r="AH239" i="105"/>
  <c r="AH225" i="105"/>
  <c r="AN17" i="105"/>
  <c r="AR17" i="105"/>
  <c r="BB300" i="105"/>
  <c r="BB278" i="105"/>
  <c r="BB260" i="105"/>
  <c r="BB232" i="105"/>
  <c r="BB239" i="105"/>
  <c r="BB225" i="105"/>
  <c r="BF300" i="105"/>
  <c r="BF278" i="105"/>
  <c r="BF260" i="105"/>
  <c r="BF232" i="105"/>
  <c r="BF239" i="105"/>
  <c r="BF225" i="105"/>
  <c r="Q227" i="105"/>
  <c r="Q229" i="105"/>
  <c r="Q66" i="105"/>
  <c r="Q64" i="105"/>
  <c r="Q50" i="105"/>
  <c r="U229" i="105"/>
  <c r="U227" i="105"/>
  <c r="U66" i="105"/>
  <c r="U64" i="105"/>
  <c r="U50" i="105"/>
  <c r="AB273" i="105"/>
  <c r="AB265" i="105"/>
  <c r="AB269" i="105"/>
  <c r="AB229" i="105"/>
  <c r="AB227" i="105"/>
  <c r="AB50" i="105"/>
  <c r="AB53" i="105"/>
  <c r="AB66" i="105"/>
  <c r="AB64" i="105"/>
  <c r="AF287" i="105"/>
  <c r="AF286" i="105" a="1"/>
  <c r="AF286" i="105" s="1"/>
  <c r="AF271" i="105"/>
  <c r="AF275" i="105"/>
  <c r="AF265" i="105"/>
  <c r="AF267" i="105"/>
  <c r="AF262" i="105"/>
  <c r="AF229" i="105"/>
  <c r="AF227" i="105"/>
  <c r="AF50" i="105"/>
  <c r="AF66" i="105"/>
  <c r="AF64" i="105"/>
  <c r="AQ229" i="105"/>
  <c r="AQ227" i="105"/>
  <c r="AQ50" i="105"/>
  <c r="AQ66" i="105"/>
  <c r="AQ64" i="105"/>
  <c r="AU229" i="105"/>
  <c r="AU227" i="105"/>
  <c r="AU50" i="105"/>
  <c r="AU66" i="105"/>
  <c r="AU64" i="105"/>
  <c r="BB229" i="105"/>
  <c r="BB227" i="105"/>
  <c r="BB50" i="105"/>
  <c r="BB66" i="105"/>
  <c r="BF227" i="105"/>
  <c r="BF229" i="105"/>
  <c r="BF50" i="105"/>
  <c r="BF66" i="105"/>
  <c r="Q21" i="105"/>
  <c r="U21" i="105"/>
  <c r="AB21" i="105"/>
  <c r="AF21" i="105"/>
  <c r="AF63" i="105" s="1"/>
  <c r="AM21" i="105"/>
  <c r="AM64" i="105" s="1"/>
  <c r="AQ21" i="105"/>
  <c r="AU21" i="105"/>
  <c r="AU63" i="105" s="1"/>
  <c r="BB21" i="105"/>
  <c r="BB63" i="105" s="1"/>
  <c r="BF21" i="105"/>
  <c r="Q22" i="105"/>
  <c r="U22" i="105"/>
  <c r="AB22" i="105"/>
  <c r="AF22" i="105"/>
  <c r="AM22" i="105"/>
  <c r="AQ22" i="105"/>
  <c r="AU22" i="105"/>
  <c r="BB22" i="105"/>
  <c r="BF22" i="105"/>
  <c r="M70" i="105"/>
  <c r="W75" i="105"/>
  <c r="W168" i="105" s="1"/>
  <c r="M68" i="105"/>
  <c r="V75" i="105"/>
  <c r="V154" i="105" s="1"/>
  <c r="S244" i="105"/>
  <c r="S243" i="105"/>
  <c r="S55" i="105" a="1"/>
  <c r="S55" i="105" s="1"/>
  <c r="W244" i="105"/>
  <c r="W243" i="105"/>
  <c r="W55" i="105" a="1"/>
  <c r="W55" i="105" s="1"/>
  <c r="AC244" i="105"/>
  <c r="AC243" i="105"/>
  <c r="AC241" i="105"/>
  <c r="AC55" i="105" a="1"/>
  <c r="AC55" i="105" s="1"/>
  <c r="AG244" i="105"/>
  <c r="AG243" i="105"/>
  <c r="AG241" i="105"/>
  <c r="AG55" i="105" a="1"/>
  <c r="AG55" i="105" s="1"/>
  <c r="AU75" i="105"/>
  <c r="AU168" i="105" s="1"/>
  <c r="AT75" i="105"/>
  <c r="AT154" i="105" s="1"/>
  <c r="AK70" i="105"/>
  <c r="AU215" i="105" s="1"/>
  <c r="AK68" i="105"/>
  <c r="AQ244" i="105"/>
  <c r="AQ243" i="105"/>
  <c r="AQ241" i="105"/>
  <c r="AQ55" i="105" a="1"/>
  <c r="AQ55" i="105" s="1"/>
  <c r="AU244" i="105"/>
  <c r="AU243" i="105"/>
  <c r="AU241" i="105"/>
  <c r="AU55" i="105" a="1"/>
  <c r="AU55" i="105" s="1"/>
  <c r="BA244" i="105"/>
  <c r="BA243" i="105"/>
  <c r="BA241" i="105"/>
  <c r="BA55" i="105" a="1"/>
  <c r="BA55" i="105" s="1"/>
  <c r="BE244" i="105"/>
  <c r="BE243" i="105"/>
  <c r="BE241" i="105"/>
  <c r="BE55" i="105" a="1"/>
  <c r="BE55" i="105" s="1"/>
  <c r="BB29" i="105"/>
  <c r="S31" i="105"/>
  <c r="S32" i="105" s="1"/>
  <c r="W31" i="105"/>
  <c r="W287" i="105" s="1"/>
  <c r="AC31" i="105"/>
  <c r="AQ31" i="105"/>
  <c r="AQ287" i="105" s="1"/>
  <c r="AU31" i="105"/>
  <c r="AU275" i="105" s="1"/>
  <c r="BA31" i="105"/>
  <c r="BA273" i="105" s="1"/>
  <c r="BE31" i="105"/>
  <c r="BE286" i="105" s="1" a="1"/>
  <c r="BE286" i="105" s="1"/>
  <c r="P34" i="105"/>
  <c r="T34" i="105"/>
  <c r="AA34" i="105"/>
  <c r="AE34" i="105"/>
  <c r="AI34" i="105"/>
  <c r="AP34" i="105"/>
  <c r="AT34" i="105"/>
  <c r="BA34" i="105"/>
  <c r="BE34" i="105"/>
  <c r="Q35" i="105"/>
  <c r="V35" i="105"/>
  <c r="AD35" i="105"/>
  <c r="AM35" i="105"/>
  <c r="AR35" i="105"/>
  <c r="AZ35" i="105"/>
  <c r="BF35" i="105"/>
  <c r="AD38" i="105"/>
  <c r="U40" i="105"/>
  <c r="U53" i="105" s="1"/>
  <c r="AC40" i="105"/>
  <c r="AC53" i="105" s="1"/>
  <c r="AM40" i="105"/>
  <c r="AM53" i="105" s="1"/>
  <c r="AU40" i="105"/>
  <c r="AU53" i="105" s="1"/>
  <c r="BF40" i="105"/>
  <c r="BF61" i="105" s="1"/>
  <c r="T50" i="105"/>
  <c r="AE50" i="105"/>
  <c r="AP50" i="105"/>
  <c r="BA50" i="105"/>
  <c r="AA52" i="105"/>
  <c r="AA55" i="105" s="1" a="1"/>
  <c r="AA55" i="105" s="1"/>
  <c r="AI52" i="105"/>
  <c r="BE52" i="105"/>
  <c r="BE53" i="105"/>
  <c r="P58" i="105"/>
  <c r="AH58" i="105"/>
  <c r="BB58" i="105"/>
  <c r="AP60" i="105"/>
  <c r="BD62" i="105"/>
  <c r="P63" i="105"/>
  <c r="P64" i="105"/>
  <c r="AH64" i="105"/>
  <c r="BB64" i="105"/>
  <c r="AN199" i="105"/>
  <c r="AN200" i="105" s="1"/>
  <c r="AN132" i="105"/>
  <c r="Y179" i="105"/>
  <c r="M179" i="105"/>
  <c r="AW179" i="105"/>
  <c r="AK179" i="105"/>
  <c r="BD161" i="105"/>
  <c r="AZ161" i="105"/>
  <c r="AR161" i="105"/>
  <c r="AN161" i="105"/>
  <c r="AF161" i="105"/>
  <c r="AB161" i="105"/>
  <c r="T161" i="105"/>
  <c r="P161" i="105"/>
  <c r="BC161" i="105"/>
  <c r="AY161" i="105"/>
  <c r="AQ161" i="105"/>
  <c r="AM161" i="105"/>
  <c r="AE161" i="105"/>
  <c r="AA161" i="105"/>
  <c r="S161" i="105"/>
  <c r="O161" i="105"/>
  <c r="BF161" i="105"/>
  <c r="BB161" i="105"/>
  <c r="AT161" i="105"/>
  <c r="AP161" i="105"/>
  <c r="AH161" i="105"/>
  <c r="AD161" i="105"/>
  <c r="V161" i="105"/>
  <c r="R161" i="105"/>
  <c r="BE161" i="105"/>
  <c r="BA161" i="105"/>
  <c r="AS161" i="105"/>
  <c r="AO161" i="105"/>
  <c r="AG161" i="105"/>
  <c r="AC161" i="105"/>
  <c r="U161" i="105"/>
  <c r="Q161" i="105"/>
  <c r="AC219" i="105"/>
  <c r="AC207" i="105"/>
  <c r="AC195" i="105"/>
  <c r="AC184" i="105"/>
  <c r="AC165" i="105"/>
  <c r="AC149" i="105"/>
  <c r="AC99" i="105"/>
  <c r="AC73" i="105"/>
  <c r="AG219" i="105"/>
  <c r="AG195" i="105"/>
  <c r="AG184" i="105"/>
  <c r="AG165" i="105"/>
  <c r="AG149" i="105"/>
  <c r="AG73" i="105"/>
  <c r="AN219" i="105"/>
  <c r="AN195" i="105"/>
  <c r="AN184" i="105"/>
  <c r="AN207" i="105"/>
  <c r="AN165" i="105"/>
  <c r="AN149" i="105"/>
  <c r="AN73" i="105"/>
  <c r="AN99" i="105"/>
  <c r="AR219" i="105"/>
  <c r="AR195" i="105"/>
  <c r="AR184" i="105"/>
  <c r="AR165" i="105"/>
  <c r="AR149" i="105"/>
  <c r="AR73" i="105"/>
  <c r="AY195" i="105"/>
  <c r="AY184" i="105"/>
  <c r="AY219" i="105"/>
  <c r="AY207" i="105"/>
  <c r="AY73" i="105"/>
  <c r="AY165" i="105"/>
  <c r="AY149" i="105"/>
  <c r="AY99" i="105"/>
  <c r="BC195" i="105"/>
  <c r="BC184" i="105"/>
  <c r="BC219" i="105"/>
  <c r="BC73" i="105"/>
  <c r="BC149" i="105"/>
  <c r="BC165" i="105"/>
  <c r="BG219" i="105"/>
  <c r="BG207" i="105"/>
  <c r="BG195" i="105"/>
  <c r="BG184" i="105"/>
  <c r="BG73" i="105"/>
  <c r="BG165" i="105"/>
  <c r="Q278" i="105"/>
  <c r="Q300" i="105"/>
  <c r="Q260" i="105"/>
  <c r="Q239" i="105"/>
  <c r="Q232" i="105"/>
  <c r="Q225" i="105"/>
  <c r="Q58" i="105"/>
  <c r="U300" i="105"/>
  <c r="U278" i="105"/>
  <c r="U260" i="105"/>
  <c r="U239" i="105"/>
  <c r="U232" i="105"/>
  <c r="U225" i="105"/>
  <c r="U58" i="105"/>
  <c r="AA300" i="105"/>
  <c r="AA278" i="105"/>
  <c r="AA260" i="105"/>
  <c r="AA239" i="105"/>
  <c r="AA225" i="105"/>
  <c r="AA232" i="105"/>
  <c r="AA58" i="105"/>
  <c r="AE300" i="105"/>
  <c r="AE278" i="105"/>
  <c r="AE260" i="105"/>
  <c r="AE239" i="105"/>
  <c r="AE225" i="105"/>
  <c r="AE232" i="105"/>
  <c r="AE58" i="105"/>
  <c r="AI300" i="105"/>
  <c r="AI278" i="105"/>
  <c r="AI260" i="105"/>
  <c r="AI239" i="105"/>
  <c r="AI225" i="105"/>
  <c r="AI232" i="105"/>
  <c r="AI58" i="105"/>
  <c r="AO300" i="105"/>
  <c r="AO278" i="105"/>
  <c r="AO260" i="105"/>
  <c r="AO239" i="105"/>
  <c r="AO232" i="105"/>
  <c r="AO225" i="105"/>
  <c r="AO58" i="105"/>
  <c r="AS300" i="105"/>
  <c r="AS278" i="105"/>
  <c r="AS260" i="105"/>
  <c r="AS239" i="105"/>
  <c r="AS232" i="105"/>
  <c r="AS225" i="105"/>
  <c r="AS58" i="105"/>
  <c r="AY300" i="105"/>
  <c r="AY278" i="105"/>
  <c r="AY260" i="105"/>
  <c r="AY225" i="105"/>
  <c r="AY239" i="105"/>
  <c r="AY232" i="105"/>
  <c r="AY58" i="105"/>
  <c r="BC300" i="105"/>
  <c r="BC260" i="105"/>
  <c r="BC278" i="105"/>
  <c r="BC225" i="105"/>
  <c r="BC239" i="105"/>
  <c r="BC232" i="105"/>
  <c r="BC58" i="105"/>
  <c r="BG300" i="105"/>
  <c r="BG260" i="105"/>
  <c r="BG278" i="105"/>
  <c r="BG225" i="105"/>
  <c r="BG239" i="105"/>
  <c r="BG232" i="105"/>
  <c r="BG58" i="105"/>
  <c r="R265" i="105"/>
  <c r="R229" i="105"/>
  <c r="R227" i="105"/>
  <c r="R66" i="105"/>
  <c r="R64" i="105"/>
  <c r="V273" i="105"/>
  <c r="V266" i="105"/>
  <c r="V264" i="105"/>
  <c r="V229" i="105"/>
  <c r="V227" i="105"/>
  <c r="V66" i="105"/>
  <c r="V64" i="105"/>
  <c r="AC286" i="105" a="1"/>
  <c r="AC286" i="105" s="1"/>
  <c r="AC287" i="105"/>
  <c r="AC275" i="105"/>
  <c r="AC271" i="105"/>
  <c r="AC269" i="105"/>
  <c r="AC265" i="105"/>
  <c r="AC268" i="105"/>
  <c r="AC264" i="105"/>
  <c r="AC273" i="105"/>
  <c r="AC267" i="105"/>
  <c r="AC262" i="105"/>
  <c r="AC280" i="105"/>
  <c r="AC266" i="105"/>
  <c r="AC229" i="105"/>
  <c r="AC227" i="105"/>
  <c r="AC61" i="105"/>
  <c r="AC66" i="105"/>
  <c r="AC64" i="105"/>
  <c r="AC62" i="105"/>
  <c r="AC60" i="105"/>
  <c r="AG286" i="105" a="1"/>
  <c r="AG286" i="105" s="1"/>
  <c r="AG275" i="105"/>
  <c r="AG287" i="105"/>
  <c r="AG271" i="105"/>
  <c r="AG269" i="105"/>
  <c r="AG273" i="105"/>
  <c r="AG265" i="105"/>
  <c r="AG268" i="105"/>
  <c r="AG264" i="105"/>
  <c r="AG280" i="105"/>
  <c r="AG267" i="105"/>
  <c r="AG262" i="105"/>
  <c r="AG266" i="105"/>
  <c r="AG229" i="105"/>
  <c r="AG227" i="105"/>
  <c r="AG40" i="105"/>
  <c r="AG52" i="105" s="1"/>
  <c r="AG66" i="105"/>
  <c r="AG64" i="105"/>
  <c r="AG62" i="105"/>
  <c r="AN40" i="105"/>
  <c r="AN52" i="105" s="1"/>
  <c r="AN55" i="105" s="1" a="1"/>
  <c r="AN55" i="105" s="1"/>
  <c r="AR229" i="105"/>
  <c r="AR227" i="105"/>
  <c r="AR40" i="105"/>
  <c r="AR60" i="105" s="1"/>
  <c r="AY40" i="105"/>
  <c r="AY53" i="105" s="1"/>
  <c r="BC229" i="105"/>
  <c r="BC227" i="105"/>
  <c r="BC66" i="105"/>
  <c r="BC64" i="105"/>
  <c r="BC40" i="105"/>
  <c r="BC53" i="105" s="1"/>
  <c r="BG229" i="105"/>
  <c r="BG227" i="105"/>
  <c r="BG66" i="105"/>
  <c r="BG64" i="105"/>
  <c r="BG40" i="105"/>
  <c r="BG60" i="105" s="1"/>
  <c r="R21" i="105"/>
  <c r="R63" i="105" s="1"/>
  <c r="V21" i="105"/>
  <c r="AC21" i="105"/>
  <c r="AC65" i="105" s="1"/>
  <c r="AG21" i="105"/>
  <c r="AG65" i="105" s="1"/>
  <c r="AN21" i="105"/>
  <c r="AN64" i="105" s="1"/>
  <c r="AR21" i="105"/>
  <c r="AY21" i="105"/>
  <c r="AY63" i="105" s="1"/>
  <c r="BC21" i="105"/>
  <c r="BC63" i="105" s="1"/>
  <c r="BG21" i="105"/>
  <c r="BG63" i="105" s="1"/>
  <c r="R22" i="105"/>
  <c r="V22" i="105"/>
  <c r="AC22" i="105"/>
  <c r="AG22" i="105"/>
  <c r="AN22" i="105"/>
  <c r="AR22" i="105"/>
  <c r="AY22" i="105"/>
  <c r="BC22" i="105"/>
  <c r="BG22" i="105"/>
  <c r="T243" i="105"/>
  <c r="T244" i="105"/>
  <c r="T55" i="105" a="1"/>
  <c r="T55" i="105" s="1"/>
  <c r="AD243" i="105"/>
  <c r="AD244" i="105"/>
  <c r="AD241" i="105"/>
  <c r="AD55" i="105" a="1"/>
  <c r="AD55" i="105" s="1"/>
  <c r="AH243" i="105"/>
  <c r="AH244" i="105"/>
  <c r="AH241" i="105"/>
  <c r="AH55" i="105" a="1"/>
  <c r="AH55" i="105" s="1"/>
  <c r="AR243" i="105"/>
  <c r="AR244" i="105"/>
  <c r="AR241" i="105"/>
  <c r="AR55" i="105" a="1"/>
  <c r="AR55" i="105" s="1"/>
  <c r="BB243" i="105"/>
  <c r="BB241" i="105"/>
  <c r="BB244" i="105"/>
  <c r="BB55" i="105" a="1"/>
  <c r="BB55" i="105" s="1"/>
  <c r="BF243" i="105"/>
  <c r="BF241" i="105"/>
  <c r="BF244" i="105"/>
  <c r="BF55" i="105" a="1"/>
  <c r="BF55" i="105" s="1"/>
  <c r="AI29" i="105"/>
  <c r="AY29" i="105"/>
  <c r="BC29" i="105"/>
  <c r="BG29" i="105"/>
  <c r="T31" i="105"/>
  <c r="T286" i="105" s="1" a="1"/>
  <c r="T286" i="105" s="1"/>
  <c r="AD31" i="105"/>
  <c r="AD32" i="105" s="1"/>
  <c r="AH31" i="105"/>
  <c r="AH32" i="105" s="1"/>
  <c r="AR31" i="105"/>
  <c r="AR264" i="105" s="1"/>
  <c r="BB31" i="105"/>
  <c r="BB62" i="105" s="1"/>
  <c r="BF31" i="105"/>
  <c r="BF280" i="105" s="1"/>
  <c r="AB32" i="105"/>
  <c r="AF32" i="105"/>
  <c r="AQ32" i="105"/>
  <c r="Q34" i="105"/>
  <c r="U34" i="105"/>
  <c r="AB34" i="105"/>
  <c r="AF34" i="105"/>
  <c r="AM34" i="105"/>
  <c r="AQ34" i="105"/>
  <c r="AU34" i="105"/>
  <c r="BB34" i="105"/>
  <c r="BF34" i="105"/>
  <c r="R35" i="105"/>
  <c r="AF35" i="105"/>
  <c r="AN35" i="105"/>
  <c r="BB35" i="105"/>
  <c r="BG35" i="105"/>
  <c r="AE38" i="105"/>
  <c r="AY38" i="105"/>
  <c r="BD38" i="105"/>
  <c r="Q40" i="105"/>
  <c r="Q53" i="105" s="1"/>
  <c r="V40" i="105"/>
  <c r="V60" i="105" s="1"/>
  <c r="AD40" i="105"/>
  <c r="AD60" i="105" s="1"/>
  <c r="AO40" i="105"/>
  <c r="AO53" i="105" s="1"/>
  <c r="AZ40" i="105"/>
  <c r="AZ61" i="105" s="1"/>
  <c r="V50" i="105"/>
  <c r="AG50" i="105"/>
  <c r="AR50" i="105"/>
  <c r="BC50" i="105"/>
  <c r="AC52" i="105"/>
  <c r="AP61" i="105"/>
  <c r="BF62" i="105"/>
  <c r="AB63" i="105"/>
  <c r="AT63" i="105"/>
  <c r="T64" i="105"/>
  <c r="BF64" i="105"/>
  <c r="AP65" i="105"/>
  <c r="AB199" i="105"/>
  <c r="AB200" i="105" s="1"/>
  <c r="AB132" i="105"/>
  <c r="AD195" i="105"/>
  <c r="AD184" i="105"/>
  <c r="AD219" i="105"/>
  <c r="AD73" i="105"/>
  <c r="AD165" i="105"/>
  <c r="AD149" i="105"/>
  <c r="AH219" i="105"/>
  <c r="AH195" i="105"/>
  <c r="AH184" i="105"/>
  <c r="AH73" i="105"/>
  <c r="AH165" i="105"/>
  <c r="AH149" i="105"/>
  <c r="AO219" i="105"/>
  <c r="AO195" i="105"/>
  <c r="AO184" i="105"/>
  <c r="AO207" i="105"/>
  <c r="AO149" i="105"/>
  <c r="AO73" i="105"/>
  <c r="AO99" i="105"/>
  <c r="AO165" i="105"/>
  <c r="AS219" i="105"/>
  <c r="AS195" i="105"/>
  <c r="AS184" i="105"/>
  <c r="AS149" i="105"/>
  <c r="AS73" i="105"/>
  <c r="AS165" i="105"/>
  <c r="AZ195" i="105"/>
  <c r="AZ184" i="105"/>
  <c r="AZ219" i="105"/>
  <c r="AZ207" i="105"/>
  <c r="AZ165" i="105"/>
  <c r="AZ149" i="105"/>
  <c r="AZ99" i="105"/>
  <c r="AZ73" i="105"/>
  <c r="BD195" i="105"/>
  <c r="BD184" i="105"/>
  <c r="BD219" i="105"/>
  <c r="BD149" i="105"/>
  <c r="BD165" i="105"/>
  <c r="BD73" i="105"/>
  <c r="R17" i="105"/>
  <c r="V17" i="105"/>
  <c r="AB300" i="105"/>
  <c r="AB278" i="105"/>
  <c r="AB260" i="105"/>
  <c r="AB232" i="105"/>
  <c r="AB239" i="105"/>
  <c r="AB225" i="105"/>
  <c r="AF300" i="105"/>
  <c r="AF278" i="105"/>
  <c r="AF260" i="105"/>
  <c r="AF232" i="105"/>
  <c r="AF225" i="105"/>
  <c r="AF239" i="105"/>
  <c r="AP300" i="105"/>
  <c r="AP278" i="105"/>
  <c r="AP260" i="105"/>
  <c r="AP232" i="105"/>
  <c r="AP225" i="105"/>
  <c r="AP239" i="105"/>
  <c r="AT300" i="105"/>
  <c r="AT278" i="105"/>
  <c r="AT260" i="105"/>
  <c r="AT232" i="105"/>
  <c r="AT225" i="105"/>
  <c r="AT239" i="105"/>
  <c r="AZ300" i="105"/>
  <c r="AZ278" i="105"/>
  <c r="AZ260" i="105"/>
  <c r="AZ232" i="105"/>
  <c r="AZ225" i="105"/>
  <c r="AZ239" i="105"/>
  <c r="BD300" i="105"/>
  <c r="BD278" i="105"/>
  <c r="BD260" i="105"/>
  <c r="BD232" i="105"/>
  <c r="BD239" i="105"/>
  <c r="BD225" i="105"/>
  <c r="O52" i="105"/>
  <c r="S229" i="105"/>
  <c r="S227" i="105"/>
  <c r="S61" i="105"/>
  <c r="S66" i="105"/>
  <c r="S64" i="105"/>
  <c r="S52" i="105"/>
  <c r="S50" i="105"/>
  <c r="W280" i="105"/>
  <c r="W269" i="105"/>
  <c r="W264" i="105"/>
  <c r="W266" i="105"/>
  <c r="W229" i="105"/>
  <c r="W227" i="105"/>
  <c r="W66" i="105"/>
  <c r="W64" i="105"/>
  <c r="W50" i="105"/>
  <c r="AD275" i="105"/>
  <c r="AD268" i="105"/>
  <c r="AD264" i="105"/>
  <c r="AD267" i="105"/>
  <c r="AD262" i="105"/>
  <c r="AD269" i="105"/>
  <c r="AD265" i="105"/>
  <c r="AD229" i="105"/>
  <c r="AD227" i="105"/>
  <c r="AD50" i="105"/>
  <c r="AH287" i="105"/>
  <c r="AH268" i="105"/>
  <c r="AH266" i="105"/>
  <c r="AH229" i="105"/>
  <c r="AH227" i="105"/>
  <c r="AH50" i="105"/>
  <c r="AO229" i="105"/>
  <c r="AO227" i="105"/>
  <c r="AO66" i="105"/>
  <c r="AO64" i="105"/>
  <c r="AO50" i="105"/>
  <c r="AS229" i="105"/>
  <c r="AS227" i="105"/>
  <c r="AS66" i="105"/>
  <c r="AS64" i="105"/>
  <c r="AS60" i="105"/>
  <c r="AS61" i="105"/>
  <c r="AS52" i="105"/>
  <c r="AS50" i="105"/>
  <c r="AZ287" i="105"/>
  <c r="AZ269" i="105"/>
  <c r="AZ267" i="105"/>
  <c r="AZ229" i="105"/>
  <c r="AZ227" i="105"/>
  <c r="AZ50" i="105"/>
  <c r="AZ66" i="105"/>
  <c r="AZ64" i="105"/>
  <c r="BD280" i="105"/>
  <c r="BD297" i="105" s="1"/>
  <c r="BD287" i="105"/>
  <c r="BD286" i="105" a="1"/>
  <c r="BD286" i="105" s="1"/>
  <c r="BD273" i="105"/>
  <c r="BD271" i="105"/>
  <c r="BD275" i="105"/>
  <c r="BD268" i="105"/>
  <c r="BD266" i="105"/>
  <c r="BD265" i="105"/>
  <c r="BD264" i="105"/>
  <c r="BD269" i="105"/>
  <c r="BD267" i="105"/>
  <c r="BD262" i="105"/>
  <c r="BD229" i="105"/>
  <c r="BD227" i="105"/>
  <c r="BD50" i="105"/>
  <c r="BD66" i="105"/>
  <c r="BD64" i="105"/>
  <c r="O21" i="105"/>
  <c r="S21" i="105"/>
  <c r="S63" i="105" s="1"/>
  <c r="W21" i="105"/>
  <c r="AD21" i="105"/>
  <c r="AD63" i="105" s="1"/>
  <c r="AH21" i="105"/>
  <c r="AO21" i="105"/>
  <c r="AO63" i="105" s="1"/>
  <c r="AS21" i="105"/>
  <c r="AZ21" i="105"/>
  <c r="BD21" i="105"/>
  <c r="BD63" i="105" s="1"/>
  <c r="O22" i="105"/>
  <c r="S22" i="105"/>
  <c r="W22" i="105"/>
  <c r="AD22" i="105"/>
  <c r="AH22" i="105"/>
  <c r="AO22" i="105"/>
  <c r="AS22" i="105"/>
  <c r="AZ22" i="105"/>
  <c r="BD22" i="105"/>
  <c r="Q243" i="105"/>
  <c r="Q244" i="105"/>
  <c r="Q55" i="105" a="1"/>
  <c r="Q55" i="105" s="1"/>
  <c r="U243" i="105"/>
  <c r="U244" i="105"/>
  <c r="U55" i="105" a="1"/>
  <c r="U55" i="105" s="1"/>
  <c r="AH75" i="105"/>
  <c r="AH154" i="105" s="1"/>
  <c r="Y68" i="105"/>
  <c r="AI75" i="105"/>
  <c r="AI168" i="105" s="1"/>
  <c r="Y70" i="105"/>
  <c r="AI215" i="105" s="1"/>
  <c r="AE243" i="105"/>
  <c r="AE241" i="105"/>
  <c r="AE244" i="105"/>
  <c r="AE55" i="105" a="1"/>
  <c r="AE55" i="105" s="1"/>
  <c r="AI243" i="105"/>
  <c r="AI241" i="105"/>
  <c r="AI244" i="105"/>
  <c r="AI55" i="105" a="1"/>
  <c r="AI55" i="105" s="1"/>
  <c r="AO243" i="105"/>
  <c r="AO241" i="105"/>
  <c r="AO244" i="105"/>
  <c r="AO55" i="105" a="1"/>
  <c r="AO55" i="105" s="1"/>
  <c r="AS243" i="105"/>
  <c r="AS241" i="105"/>
  <c r="AS244" i="105"/>
  <c r="AS55" i="105" a="1"/>
  <c r="AS55" i="105" s="1"/>
  <c r="BF75" i="105"/>
  <c r="BF154" i="105" s="1"/>
  <c r="AW70" i="105"/>
  <c r="BG215" i="105" s="1"/>
  <c r="AW68" i="105"/>
  <c r="BG75" i="105"/>
  <c r="BG168" i="105" s="1"/>
  <c r="BC243" i="105"/>
  <c r="BC241" i="105"/>
  <c r="BC244" i="105"/>
  <c r="BC55" i="105" a="1"/>
  <c r="BC55" i="105" s="1"/>
  <c r="BG243" i="105"/>
  <c r="BG241" i="105"/>
  <c r="BG244" i="105"/>
  <c r="BG55" i="105" a="1"/>
  <c r="BG55" i="105" s="1"/>
  <c r="AZ29" i="105"/>
  <c r="BD29" i="105"/>
  <c r="Q31" i="105"/>
  <c r="U31" i="105"/>
  <c r="U280" i="105" s="1"/>
  <c r="AE31" i="105"/>
  <c r="AE286" i="105" s="1" a="1"/>
  <c r="AE286" i="105" s="1"/>
  <c r="AI31" i="105"/>
  <c r="AO31" i="105"/>
  <c r="AO273" i="105" s="1"/>
  <c r="AS31" i="105"/>
  <c r="AS275" i="105" s="1"/>
  <c r="BC31" i="105"/>
  <c r="BG31" i="105"/>
  <c r="BG287" i="105" s="1"/>
  <c r="R32" i="105"/>
  <c r="AC32" i="105"/>
  <c r="AG32" i="105"/>
  <c r="R34" i="105"/>
  <c r="V34" i="105"/>
  <c r="AC34" i="105"/>
  <c r="AG34" i="105"/>
  <c r="AN34" i="105"/>
  <c r="AR34" i="105"/>
  <c r="AY34" i="105"/>
  <c r="BC34" i="105"/>
  <c r="BG34" i="105"/>
  <c r="S35" i="105"/>
  <c r="AB35" i="105"/>
  <c r="AG35" i="105"/>
  <c r="AO35" i="105"/>
  <c r="AU35" i="105"/>
  <c r="BC35" i="105"/>
  <c r="T38" i="105"/>
  <c r="AA38" i="105"/>
  <c r="AF38" i="105"/>
  <c r="AS38" i="105"/>
  <c r="AZ38" i="105"/>
  <c r="BF38" i="105"/>
  <c r="R40" i="105"/>
  <c r="W40" i="105"/>
  <c r="W53" i="105" s="1"/>
  <c r="AF40" i="105"/>
  <c r="AQ40" i="105"/>
  <c r="AQ53" i="105" s="1"/>
  <c r="BB40" i="105"/>
  <c r="BB52" i="105" s="1"/>
  <c r="P50" i="105"/>
  <c r="AA50" i="105"/>
  <c r="AI50" i="105"/>
  <c r="AT50" i="105"/>
  <c r="BE50" i="105"/>
  <c r="AP52" i="105"/>
  <c r="BA52" i="105"/>
  <c r="O53" i="105"/>
  <c r="BA53" i="105"/>
  <c r="T58" i="105"/>
  <c r="AD58" i="105"/>
  <c r="BF58" i="105"/>
  <c r="BD60" i="105"/>
  <c r="AF62" i="105"/>
  <c r="T63" i="105"/>
  <c r="BF63" i="105"/>
  <c r="AR64" i="105"/>
  <c r="P66" i="105"/>
  <c r="AH66" i="105"/>
  <c r="P199" i="105"/>
  <c r="P200" i="105" s="1"/>
  <c r="P132" i="105"/>
  <c r="E305" i="105"/>
  <c r="E244" i="105"/>
  <c r="E309" i="105"/>
  <c r="E248" i="105"/>
  <c r="Q115" i="105"/>
  <c r="AM115" i="105"/>
  <c r="AZ115" i="105"/>
  <c r="P119" i="105"/>
  <c r="AC119" i="105"/>
  <c r="AY119" i="105"/>
  <c r="Q131" i="105"/>
  <c r="AC131" i="105"/>
  <c r="AO131" i="105"/>
  <c r="BA131" i="105"/>
  <c r="AA134" i="105"/>
  <c r="AN134" i="105"/>
  <c r="E302" i="105"/>
  <c r="E241" i="105"/>
  <c r="E306" i="105"/>
  <c r="E245" i="105"/>
  <c r="AA115" i="105"/>
  <c r="AN115" i="105"/>
  <c r="BA115" i="105"/>
  <c r="Q119" i="105"/>
  <c r="AM119" i="105"/>
  <c r="AZ119" i="105"/>
  <c r="O134" i="105"/>
  <c r="E303" i="105"/>
  <c r="E242" i="105"/>
  <c r="E307" i="105"/>
  <c r="E246" i="105"/>
  <c r="O115" i="105"/>
  <c r="AB115" i="105"/>
  <c r="AO115" i="105"/>
  <c r="AA119" i="105"/>
  <c r="AN119" i="105"/>
  <c r="BA119" i="105"/>
  <c r="AM131" i="105"/>
  <c r="AY131" i="105"/>
  <c r="E304" i="105"/>
  <c r="E243" i="105"/>
  <c r="E308" i="105"/>
  <c r="E247" i="105"/>
  <c r="P115" i="105"/>
  <c r="AC115" i="105"/>
  <c r="AY115" i="105"/>
  <c r="O119" i="105"/>
  <c r="AB119" i="105"/>
  <c r="AO119" i="105"/>
  <c r="AP300" i="104"/>
  <c r="AP278" i="104"/>
  <c r="AP260" i="104"/>
  <c r="AP239" i="104"/>
  <c r="AP232" i="104"/>
  <c r="AP225" i="104"/>
  <c r="AP58" i="104"/>
  <c r="AP38" i="104"/>
  <c r="AN300" i="104"/>
  <c r="AN278" i="104"/>
  <c r="AN260" i="104"/>
  <c r="AN232" i="104"/>
  <c r="AN225" i="104"/>
  <c r="AN239" i="104"/>
  <c r="AN38" i="104"/>
  <c r="AN58" i="104"/>
  <c r="AT14" i="104"/>
  <c r="AA3" i="103"/>
  <c r="AM3" i="104"/>
  <c r="AM4" i="104"/>
  <c r="AD165" i="104"/>
  <c r="AD149" i="104"/>
  <c r="AD219" i="104"/>
  <c r="AD195" i="104"/>
  <c r="AD184" i="104"/>
  <c r="AH165" i="104"/>
  <c r="AH149" i="104"/>
  <c r="AH195" i="104"/>
  <c r="AH184" i="104"/>
  <c r="AH219" i="104"/>
  <c r="AO219" i="104"/>
  <c r="AO165" i="104"/>
  <c r="AO195" i="104"/>
  <c r="AO184" i="104"/>
  <c r="AO149" i="104"/>
  <c r="AO73" i="104"/>
  <c r="AO207" i="104"/>
  <c r="AO99" i="104"/>
  <c r="AS219" i="104"/>
  <c r="AS165" i="104"/>
  <c r="AS195" i="104"/>
  <c r="AS184" i="104"/>
  <c r="AS149" i="104"/>
  <c r="AS73" i="104"/>
  <c r="AZ219" i="104"/>
  <c r="AZ195" i="104"/>
  <c r="AZ184" i="104"/>
  <c r="AZ165" i="104"/>
  <c r="AZ207" i="104"/>
  <c r="AZ149" i="104"/>
  <c r="AZ99" i="104"/>
  <c r="BD219" i="104"/>
  <c r="BD195" i="104"/>
  <c r="BD184" i="104"/>
  <c r="BD165" i="104"/>
  <c r="BD149" i="104"/>
  <c r="R17" i="104"/>
  <c r="V17" i="104"/>
  <c r="AB300" i="104"/>
  <c r="AB278" i="104"/>
  <c r="AB260" i="104"/>
  <c r="AB239" i="104"/>
  <c r="AB232" i="104"/>
  <c r="AB225" i="104"/>
  <c r="AF300" i="104"/>
  <c r="AF278" i="104"/>
  <c r="AF260" i="104"/>
  <c r="AF239" i="104"/>
  <c r="AF232" i="104"/>
  <c r="AF225" i="104"/>
  <c r="AT17" i="104"/>
  <c r="AZ300" i="104"/>
  <c r="AZ278" i="104"/>
  <c r="AZ260" i="104"/>
  <c r="AZ239" i="104"/>
  <c r="AZ232" i="104"/>
  <c r="AZ225" i="104"/>
  <c r="BD300" i="104"/>
  <c r="BD278" i="104"/>
  <c r="BD260" i="104"/>
  <c r="BD239" i="104"/>
  <c r="BD232" i="104"/>
  <c r="BD225" i="104"/>
  <c r="S229" i="104"/>
  <c r="S227" i="104"/>
  <c r="S66" i="104"/>
  <c r="W229" i="104"/>
  <c r="W227" i="104"/>
  <c r="W66" i="104"/>
  <c r="AD229" i="104"/>
  <c r="AD227" i="104"/>
  <c r="AH229" i="104"/>
  <c r="AH227" i="104"/>
  <c r="AO229" i="104"/>
  <c r="AO227" i="104"/>
  <c r="AS229" i="104"/>
  <c r="AS227" i="104"/>
  <c r="AZ275" i="104"/>
  <c r="AZ273" i="104"/>
  <c r="AZ271" i="104"/>
  <c r="AZ287" i="104"/>
  <c r="AZ286" i="104" a="1"/>
  <c r="AZ286" i="104" s="1"/>
  <c r="AZ280" i="104"/>
  <c r="AZ269" i="104"/>
  <c r="AZ268" i="104"/>
  <c r="AZ264" i="104"/>
  <c r="AZ267" i="104"/>
  <c r="AZ262" i="104"/>
  <c r="AZ266" i="104"/>
  <c r="AZ265" i="104"/>
  <c r="AZ229" i="104"/>
  <c r="AZ227" i="104"/>
  <c r="BD275" i="104"/>
  <c r="BD273" i="104"/>
  <c r="BD271" i="104"/>
  <c r="BD287" i="104"/>
  <c r="BD286" i="104" a="1"/>
  <c r="BD286" i="104" s="1"/>
  <c r="BD280" i="104"/>
  <c r="BD268" i="104"/>
  <c r="BD264" i="104"/>
  <c r="BD269" i="104"/>
  <c r="BD267" i="104"/>
  <c r="BD262" i="104"/>
  <c r="BD266" i="104"/>
  <c r="BD265" i="104"/>
  <c r="BD229" i="104"/>
  <c r="BD227" i="104"/>
  <c r="O21" i="104"/>
  <c r="O63" i="104" s="1"/>
  <c r="S21" i="104"/>
  <c r="S63" i="104" s="1"/>
  <c r="W21" i="104"/>
  <c r="W63" i="104" s="1"/>
  <c r="AD21" i="104"/>
  <c r="AD63" i="104" s="1"/>
  <c r="AH21" i="104"/>
  <c r="AH63" i="104" s="1"/>
  <c r="AO21" i="104"/>
  <c r="AS21" i="104"/>
  <c r="AZ21" i="104"/>
  <c r="AZ65" i="104" s="1"/>
  <c r="BD21" i="104"/>
  <c r="O22" i="104"/>
  <c r="S22" i="104"/>
  <c r="W22" i="104"/>
  <c r="AD22" i="104"/>
  <c r="AH22" i="104"/>
  <c r="AO22" i="104"/>
  <c r="AS22" i="104"/>
  <c r="AZ22" i="104"/>
  <c r="BD22" i="104"/>
  <c r="Q243" i="104"/>
  <c r="Q244" i="104"/>
  <c r="U243" i="104"/>
  <c r="U244" i="104"/>
  <c r="AI75" i="104"/>
  <c r="AI168" i="104" s="1"/>
  <c r="AH75" i="104"/>
  <c r="AH154" i="104" s="1"/>
  <c r="AE243" i="104"/>
  <c r="AE241" i="104"/>
  <c r="AE244" i="104"/>
  <c r="AI243" i="104"/>
  <c r="AI241" i="104"/>
  <c r="AI244" i="104"/>
  <c r="AO243" i="104"/>
  <c r="AO241" i="104"/>
  <c r="AO244" i="104"/>
  <c r="AS243" i="104"/>
  <c r="AS241" i="104"/>
  <c r="AS244" i="104"/>
  <c r="BG75" i="104"/>
  <c r="BG168" i="104" s="1"/>
  <c r="BF75" i="104"/>
  <c r="BF154" i="104" s="1"/>
  <c r="AW68" i="104"/>
  <c r="BC243" i="104"/>
  <c r="BC241" i="104"/>
  <c r="BC244" i="104"/>
  <c r="BG243" i="104"/>
  <c r="BG241" i="104"/>
  <c r="BG244" i="104"/>
  <c r="R29" i="104"/>
  <c r="AP29" i="104"/>
  <c r="Q31" i="104"/>
  <c r="Q32" i="104" s="1"/>
  <c r="U31" i="104"/>
  <c r="U32" i="104" s="1"/>
  <c r="AE31" i="104"/>
  <c r="AE275" i="104" s="1"/>
  <c r="AI31" i="104"/>
  <c r="AI280" i="104" s="1"/>
  <c r="AO31" i="104"/>
  <c r="AO32" i="104" s="1"/>
  <c r="AS31" i="104"/>
  <c r="AS32" i="104" s="1"/>
  <c r="BC31" i="104"/>
  <c r="BC62" i="104" s="1"/>
  <c r="BG31" i="104"/>
  <c r="BG286" i="104" s="1" a="1"/>
  <c r="BG286" i="104" s="1"/>
  <c r="R34" i="104"/>
  <c r="V34" i="104"/>
  <c r="AC34" i="104"/>
  <c r="AG34" i="104"/>
  <c r="AN34" i="104"/>
  <c r="AR34" i="104"/>
  <c r="AY34" i="104"/>
  <c r="BC34" i="104"/>
  <c r="BG34" i="104"/>
  <c r="R35" i="104"/>
  <c r="V35" i="104"/>
  <c r="AC35" i="104"/>
  <c r="AG35" i="104"/>
  <c r="AN35" i="104"/>
  <c r="AR35" i="104"/>
  <c r="AY35" i="104"/>
  <c r="BC35" i="104"/>
  <c r="BG35" i="104"/>
  <c r="Q38" i="104"/>
  <c r="U38" i="104"/>
  <c r="AO38" i="104"/>
  <c r="AS38" i="104"/>
  <c r="AY38" i="104"/>
  <c r="BC38" i="104"/>
  <c r="BG38" i="104"/>
  <c r="R40" i="104"/>
  <c r="R52" i="104" s="1"/>
  <c r="V40" i="104"/>
  <c r="V53" i="104" s="1"/>
  <c r="AC40" i="104"/>
  <c r="AC61" i="104" s="1"/>
  <c r="AG40" i="104"/>
  <c r="AG61" i="104" s="1"/>
  <c r="AN40" i="104"/>
  <c r="AN53" i="104" s="1"/>
  <c r="AR40" i="104"/>
  <c r="AR60" i="104" s="1"/>
  <c r="AY40" i="104"/>
  <c r="AY53" i="104" s="1"/>
  <c r="BC40" i="104"/>
  <c r="BC60" i="104" s="1"/>
  <c r="BG40" i="104"/>
  <c r="BG60" i="104" s="1"/>
  <c r="Q50" i="104"/>
  <c r="U50" i="104"/>
  <c r="AB50" i="104"/>
  <c r="AF50" i="104"/>
  <c r="AQ50" i="104"/>
  <c r="AU50" i="104"/>
  <c r="BB50" i="104"/>
  <c r="BF50" i="104"/>
  <c r="AR53" i="104"/>
  <c r="T55" i="104" a="1"/>
  <c r="T55" i="104" s="1"/>
  <c r="AE55" i="104" a="1"/>
  <c r="AE55" i="104" s="1"/>
  <c r="AI55" i="104" a="1"/>
  <c r="AI55" i="104" s="1"/>
  <c r="AR55" i="104" a="1"/>
  <c r="AR55" i="104" s="1"/>
  <c r="BC55" i="104" a="1"/>
  <c r="BC55" i="104" s="1"/>
  <c r="BG55" i="104" a="1"/>
  <c r="BG55" i="104" s="1"/>
  <c r="BG62" i="104"/>
  <c r="Q64" i="104"/>
  <c r="U64" i="104"/>
  <c r="AO64" i="104"/>
  <c r="AS64" i="104"/>
  <c r="BC64" i="104"/>
  <c r="BG64" i="104"/>
  <c r="U66" i="104"/>
  <c r="AB66" i="104"/>
  <c r="AH66" i="104"/>
  <c r="AO66" i="104"/>
  <c r="BB66" i="104"/>
  <c r="BG66" i="104"/>
  <c r="AK68" i="104"/>
  <c r="AW70" i="104"/>
  <c r="BG215" i="104" s="1"/>
  <c r="E303" i="104"/>
  <c r="E242" i="104"/>
  <c r="E307" i="104"/>
  <c r="E246" i="104"/>
  <c r="AH73" i="104"/>
  <c r="W75" i="104"/>
  <c r="W168" i="104" s="1"/>
  <c r="AZ199" i="104"/>
  <c r="AZ200" i="104" s="1"/>
  <c r="AZ132" i="104"/>
  <c r="Q115" i="104"/>
  <c r="AM115" i="104"/>
  <c r="AZ115" i="104"/>
  <c r="Q132" i="104"/>
  <c r="Q199" i="104" s="1"/>
  <c r="AA219" i="104"/>
  <c r="AA99" i="104"/>
  <c r="AA207" i="104"/>
  <c r="AA195" i="104"/>
  <c r="AA184" i="104"/>
  <c r="AA73" i="104"/>
  <c r="AA165" i="104"/>
  <c r="AA149" i="104"/>
  <c r="AE219" i="104"/>
  <c r="AE195" i="104"/>
  <c r="AE184" i="104"/>
  <c r="AE73" i="104"/>
  <c r="AE165" i="104"/>
  <c r="AE149" i="104"/>
  <c r="AI219" i="104"/>
  <c r="AI195" i="104"/>
  <c r="AI184" i="104"/>
  <c r="AI73" i="104"/>
  <c r="AI207" i="104"/>
  <c r="AI165" i="104"/>
  <c r="AP219" i="104"/>
  <c r="AP195" i="104"/>
  <c r="AP184" i="104"/>
  <c r="AP149" i="104"/>
  <c r="AP165" i="104"/>
  <c r="AT219" i="104"/>
  <c r="AT195" i="104"/>
  <c r="AT184" i="104"/>
  <c r="AT149" i="104"/>
  <c r="AT165" i="104"/>
  <c r="BA219" i="104"/>
  <c r="BA207" i="104"/>
  <c r="BA149" i="104"/>
  <c r="BA99" i="104"/>
  <c r="BA195" i="104"/>
  <c r="BA184" i="104"/>
  <c r="BA165" i="104"/>
  <c r="BA73" i="104"/>
  <c r="BE219" i="104"/>
  <c r="BE149" i="104"/>
  <c r="BE195" i="104"/>
  <c r="BE184" i="104"/>
  <c r="BE165" i="104"/>
  <c r="BE73" i="104"/>
  <c r="O300" i="104"/>
  <c r="O278" i="104"/>
  <c r="O260" i="104"/>
  <c r="O239" i="104"/>
  <c r="O232" i="104"/>
  <c r="O225" i="104"/>
  <c r="S300" i="104"/>
  <c r="S278" i="104"/>
  <c r="S260" i="104"/>
  <c r="S239" i="104"/>
  <c r="S232" i="104"/>
  <c r="S225" i="104"/>
  <c r="W300" i="104"/>
  <c r="W278" i="104"/>
  <c r="W260" i="104"/>
  <c r="W239" i="104"/>
  <c r="W232" i="104"/>
  <c r="W225" i="104"/>
  <c r="AC300" i="104"/>
  <c r="AC278" i="104"/>
  <c r="AC260" i="104"/>
  <c r="AC239" i="104"/>
  <c r="AC225" i="104"/>
  <c r="AC232" i="104"/>
  <c r="AG300" i="104"/>
  <c r="AG278" i="104"/>
  <c r="AG260" i="104"/>
  <c r="AG239" i="104"/>
  <c r="AG225" i="104"/>
  <c r="AG232" i="104"/>
  <c r="AM300" i="104"/>
  <c r="AM278" i="104"/>
  <c r="AM260" i="104"/>
  <c r="AM239" i="104"/>
  <c r="AM232" i="104"/>
  <c r="AM225" i="104"/>
  <c r="AQ300" i="104"/>
  <c r="AQ278" i="104"/>
  <c r="AQ260" i="104"/>
  <c r="AQ239" i="104"/>
  <c r="AQ232" i="104"/>
  <c r="AQ225" i="104"/>
  <c r="AU300" i="104"/>
  <c r="AU278" i="104"/>
  <c r="AU260" i="104"/>
  <c r="AU239" i="104"/>
  <c r="AU232" i="104"/>
  <c r="AU225" i="104"/>
  <c r="BA300" i="104"/>
  <c r="BA278" i="104"/>
  <c r="BA260" i="104"/>
  <c r="BA239" i="104"/>
  <c r="BA232" i="104"/>
  <c r="BA225" i="104"/>
  <c r="BE300" i="104"/>
  <c r="BE278" i="104"/>
  <c r="BE260" i="104"/>
  <c r="BE239" i="104"/>
  <c r="BE232" i="104"/>
  <c r="BE225" i="104"/>
  <c r="T229" i="104"/>
  <c r="T227" i="104"/>
  <c r="AE286" i="104" a="1"/>
  <c r="AE286" i="104" s="1"/>
  <c r="AE269" i="104"/>
  <c r="AE262" i="104"/>
  <c r="AE229" i="104"/>
  <c r="AE227" i="104"/>
  <c r="AI275" i="104"/>
  <c r="AI287" i="104"/>
  <c r="AI271" i="104"/>
  <c r="AI269" i="104"/>
  <c r="AI264" i="104"/>
  <c r="AI267" i="104"/>
  <c r="AI229" i="104"/>
  <c r="AI227" i="104"/>
  <c r="AP229" i="104"/>
  <c r="AP227" i="104"/>
  <c r="AT229" i="104"/>
  <c r="AT227" i="104"/>
  <c r="BA229" i="104"/>
  <c r="BA227" i="104"/>
  <c r="BA66" i="104"/>
  <c r="BE229" i="104"/>
  <c r="BE227" i="104"/>
  <c r="BE66" i="104"/>
  <c r="P21" i="104"/>
  <c r="P63" i="104" s="1"/>
  <c r="T21" i="104"/>
  <c r="T63" i="104" s="1"/>
  <c r="AA21" i="104"/>
  <c r="AA63" i="104" s="1"/>
  <c r="AE21" i="104"/>
  <c r="AI21" i="104"/>
  <c r="AI65" i="104" s="1"/>
  <c r="AP21" i="104"/>
  <c r="AP63" i="104" s="1"/>
  <c r="AT21" i="104"/>
  <c r="AT63" i="104" s="1"/>
  <c r="BA21" i="104"/>
  <c r="BE21" i="104"/>
  <c r="BE63" i="104" s="1"/>
  <c r="P22" i="104"/>
  <c r="T22" i="104"/>
  <c r="AA22" i="104"/>
  <c r="AE22" i="104"/>
  <c r="AI22" i="104"/>
  <c r="AP22" i="104"/>
  <c r="AT22" i="104"/>
  <c r="BA22" i="104"/>
  <c r="BE22" i="104"/>
  <c r="R244" i="104"/>
  <c r="R243" i="104"/>
  <c r="V244" i="104"/>
  <c r="V243" i="104"/>
  <c r="AB244" i="104"/>
  <c r="AB243" i="104"/>
  <c r="AB241" i="104"/>
  <c r="AF244" i="104"/>
  <c r="AF243" i="104"/>
  <c r="AF241" i="104"/>
  <c r="AP244" i="104"/>
  <c r="AP243" i="104"/>
  <c r="AP241" i="104"/>
  <c r="AT244" i="104"/>
  <c r="AT243" i="104"/>
  <c r="AT241" i="104"/>
  <c r="AZ244" i="104"/>
  <c r="AZ243" i="104"/>
  <c r="AZ241" i="104"/>
  <c r="BD244" i="104"/>
  <c r="BD243" i="104"/>
  <c r="BD241" i="104"/>
  <c r="S29" i="104"/>
  <c r="W29" i="104"/>
  <c r="AM29" i="104"/>
  <c r="AQ29" i="104"/>
  <c r="AU29" i="104"/>
  <c r="R31" i="104"/>
  <c r="R62" i="104" s="1"/>
  <c r="V31" i="104"/>
  <c r="V32" i="104" s="1"/>
  <c r="AP31" i="104"/>
  <c r="AP275" i="104" s="1"/>
  <c r="AT31" i="104"/>
  <c r="AT273" i="104" s="1"/>
  <c r="AZ32" i="104"/>
  <c r="BD32" i="104"/>
  <c r="O34" i="104"/>
  <c r="S34" i="104"/>
  <c r="W34" i="104"/>
  <c r="AD34" i="104"/>
  <c r="AH34" i="104"/>
  <c r="AO34" i="104"/>
  <c r="AS34" i="104"/>
  <c r="AZ34" i="104"/>
  <c r="BD34" i="104"/>
  <c r="O35" i="104"/>
  <c r="S35" i="104"/>
  <c r="W35" i="104"/>
  <c r="AD35" i="104"/>
  <c r="AH35" i="104"/>
  <c r="AO35" i="104"/>
  <c r="AS35" i="104"/>
  <c r="AZ35" i="104"/>
  <c r="BD35" i="104"/>
  <c r="AB38" i="104"/>
  <c r="AF38" i="104"/>
  <c r="AZ38" i="104"/>
  <c r="BD38" i="104"/>
  <c r="O40" i="104"/>
  <c r="O53" i="104" s="1"/>
  <c r="S40" i="104"/>
  <c r="W40" i="104"/>
  <c r="W52" i="104" s="1"/>
  <c r="AD40" i="104"/>
  <c r="AD61" i="104" s="1"/>
  <c r="AH40" i="104"/>
  <c r="AH60" i="104" s="1"/>
  <c r="AO40" i="104"/>
  <c r="AO53" i="104" s="1"/>
  <c r="AS40" i="104"/>
  <c r="AS52" i="104" s="1"/>
  <c r="AZ40" i="104"/>
  <c r="AZ52" i="104" s="1"/>
  <c r="BD40" i="104"/>
  <c r="BD297" i="104" s="1"/>
  <c r="R50" i="104"/>
  <c r="V50" i="104"/>
  <c r="AC50" i="104"/>
  <c r="AG50" i="104"/>
  <c r="AR50" i="104"/>
  <c r="BC50" i="104"/>
  <c r="BG50" i="104"/>
  <c r="AR52" i="104"/>
  <c r="BG52" i="104"/>
  <c r="AR61" i="104"/>
  <c r="AF62" i="104"/>
  <c r="AZ62" i="104"/>
  <c r="BD62" i="104"/>
  <c r="R64" i="104"/>
  <c r="V64" i="104"/>
  <c r="AP64" i="104"/>
  <c r="AT64" i="104"/>
  <c r="AZ64" i="104"/>
  <c r="BD64" i="104"/>
  <c r="V66" i="104"/>
  <c r="AD66" i="104"/>
  <c r="AI66" i="104"/>
  <c r="AP66" i="104"/>
  <c r="BC66" i="104"/>
  <c r="AT73" i="104"/>
  <c r="BD73" i="104"/>
  <c r="AN199" i="104"/>
  <c r="AN200" i="104" s="1"/>
  <c r="AN132" i="104"/>
  <c r="O3" i="104"/>
  <c r="AK175" i="104"/>
  <c r="BF158" i="104"/>
  <c r="BF159" i="104" s="1"/>
  <c r="BF12" i="104" s="1"/>
  <c r="BB158" i="104"/>
  <c r="AT158" i="104"/>
  <c r="AP158" i="104"/>
  <c r="AH158" i="104"/>
  <c r="AH159" i="104" s="1"/>
  <c r="AH12" i="104" s="1"/>
  <c r="AD158" i="104"/>
  <c r="V158" i="104"/>
  <c r="R158" i="104"/>
  <c r="Y175" i="104"/>
  <c r="BE158" i="104"/>
  <c r="BA158" i="104"/>
  <c r="AS158" i="104"/>
  <c r="AO158" i="104"/>
  <c r="AG158" i="104"/>
  <c r="AC158" i="104"/>
  <c r="U158" i="104"/>
  <c r="Q158" i="104"/>
  <c r="M175" i="104"/>
  <c r="AZ158" i="104"/>
  <c r="AN158" i="104"/>
  <c r="AB158" i="104"/>
  <c r="P158" i="104"/>
  <c r="AW175" i="104"/>
  <c r="BC158" i="104"/>
  <c r="AY158" i="104"/>
  <c r="AQ158" i="104"/>
  <c r="AM158" i="104"/>
  <c r="AE158" i="104"/>
  <c r="AA158" i="104"/>
  <c r="S158" i="104"/>
  <c r="O158" i="104"/>
  <c r="AM5" i="104"/>
  <c r="AB207" i="104"/>
  <c r="AB195" i="104"/>
  <c r="AB184" i="104"/>
  <c r="AB219" i="104"/>
  <c r="AB165" i="104"/>
  <c r="AB149" i="104"/>
  <c r="AB99" i="104"/>
  <c r="AF219" i="104"/>
  <c r="AF195" i="104"/>
  <c r="AF184" i="104"/>
  <c r="AF165" i="104"/>
  <c r="AF149" i="104"/>
  <c r="AM219" i="104"/>
  <c r="AM207" i="104"/>
  <c r="AM99" i="104"/>
  <c r="AM165" i="104"/>
  <c r="AM195" i="104"/>
  <c r="AM184" i="104"/>
  <c r="AM149" i="104"/>
  <c r="AM73" i="104"/>
  <c r="AQ219" i="104"/>
  <c r="AQ165" i="104"/>
  <c r="AQ195" i="104"/>
  <c r="AQ184" i="104"/>
  <c r="AQ149" i="104"/>
  <c r="AQ73" i="104"/>
  <c r="AU219" i="104"/>
  <c r="AU207" i="104"/>
  <c r="AU165" i="104"/>
  <c r="AU195" i="104"/>
  <c r="AU184" i="104"/>
  <c r="AU73" i="104"/>
  <c r="BB149" i="104"/>
  <c r="BB219" i="104"/>
  <c r="BB195" i="104"/>
  <c r="BB184" i="104"/>
  <c r="BB165" i="104"/>
  <c r="BF149" i="104"/>
  <c r="BF219" i="104"/>
  <c r="BF195" i="104"/>
  <c r="BF184" i="104"/>
  <c r="BF165" i="104"/>
  <c r="P17" i="104"/>
  <c r="T17" i="104"/>
  <c r="AD300" i="104"/>
  <c r="AD278" i="104"/>
  <c r="AD260" i="104"/>
  <c r="AD232" i="104"/>
  <c r="AD239" i="104"/>
  <c r="AD225" i="104"/>
  <c r="AH300" i="104"/>
  <c r="AH278" i="104"/>
  <c r="AH260" i="104"/>
  <c r="AH232" i="104"/>
  <c r="AH239" i="104"/>
  <c r="AH225" i="104"/>
  <c r="AR17" i="104"/>
  <c r="BB300" i="104"/>
  <c r="BB278" i="104"/>
  <c r="BB260" i="104"/>
  <c r="BB232" i="104"/>
  <c r="BB225" i="104"/>
  <c r="BB239" i="104"/>
  <c r="BF300" i="104"/>
  <c r="BF278" i="104"/>
  <c r="BF260" i="104"/>
  <c r="BF232" i="104"/>
  <c r="BF225" i="104"/>
  <c r="BF239" i="104"/>
  <c r="Q287" i="104"/>
  <c r="Q286" i="104" a="1"/>
  <c r="Q286" i="104" s="1"/>
  <c r="Q264" i="104"/>
  <c r="Q266" i="104"/>
  <c r="Q229" i="104"/>
  <c r="Q227" i="104"/>
  <c r="U280" i="104"/>
  <c r="U271" i="104"/>
  <c r="U264" i="104"/>
  <c r="U229" i="104"/>
  <c r="U227" i="104"/>
  <c r="AB280" i="104"/>
  <c r="AB268" i="104"/>
  <c r="AB266" i="104"/>
  <c r="AB229" i="104"/>
  <c r="AB227" i="104"/>
  <c r="AF275" i="104"/>
  <c r="AF287" i="104"/>
  <c r="AF280" i="104"/>
  <c r="AF273" i="104"/>
  <c r="AF271" i="104"/>
  <c r="AF286" i="104" a="1"/>
  <c r="AF286" i="104" s="1"/>
  <c r="AF268" i="104"/>
  <c r="AF264" i="104"/>
  <c r="AF267" i="104"/>
  <c r="AF262" i="104"/>
  <c r="AF266" i="104"/>
  <c r="AF269" i="104"/>
  <c r="AF265" i="104"/>
  <c r="AF229" i="104"/>
  <c r="AF227" i="104"/>
  <c r="AQ229" i="104"/>
  <c r="AQ227" i="104"/>
  <c r="AQ66" i="104"/>
  <c r="AU229" i="104"/>
  <c r="AU227" i="104"/>
  <c r="AU66" i="104"/>
  <c r="BB229" i="104"/>
  <c r="BB227" i="104"/>
  <c r="BF229" i="104"/>
  <c r="BF227" i="104"/>
  <c r="Q21" i="104"/>
  <c r="U21" i="104"/>
  <c r="AB21" i="104"/>
  <c r="AB63" i="104" s="1"/>
  <c r="AF21" i="104"/>
  <c r="AM21" i="104"/>
  <c r="AQ21" i="104"/>
  <c r="AU21" i="104"/>
  <c r="BB21" i="104"/>
  <c r="BF21" i="104"/>
  <c r="Q22" i="104"/>
  <c r="U22" i="104"/>
  <c r="AB22" i="104"/>
  <c r="AF22" i="104"/>
  <c r="AM22" i="104"/>
  <c r="AQ22" i="104"/>
  <c r="AU22" i="104"/>
  <c r="BB22" i="104"/>
  <c r="BF22" i="104"/>
  <c r="V75" i="104"/>
  <c r="V154" i="104" s="1"/>
  <c r="S244" i="104"/>
  <c r="S243" i="104"/>
  <c r="W244" i="104"/>
  <c r="W243" i="104"/>
  <c r="AC244" i="104"/>
  <c r="AC243" i="104"/>
  <c r="AC241" i="104"/>
  <c r="AG244" i="104"/>
  <c r="AG243" i="104"/>
  <c r="AG241" i="104"/>
  <c r="AU75" i="104"/>
  <c r="AU168" i="104" s="1"/>
  <c r="AT75" i="104"/>
  <c r="AT154" i="104" s="1"/>
  <c r="AK70" i="104"/>
  <c r="AU215" i="104" s="1"/>
  <c r="AQ244" i="104"/>
  <c r="AQ243" i="104"/>
  <c r="AQ241" i="104"/>
  <c r="AU244" i="104"/>
  <c r="AU243" i="104"/>
  <c r="AU241" i="104"/>
  <c r="BA244" i="104"/>
  <c r="BA243" i="104"/>
  <c r="BA241" i="104"/>
  <c r="BE244" i="104"/>
  <c r="BE243" i="104"/>
  <c r="BE241" i="104"/>
  <c r="AN29" i="104"/>
  <c r="AR29" i="104"/>
  <c r="S31" i="104"/>
  <c r="S32" i="104" s="1"/>
  <c r="W31" i="104"/>
  <c r="W32" i="104" s="1"/>
  <c r="AC31" i="104"/>
  <c r="AC32" i="104" s="1"/>
  <c r="AG31" i="104"/>
  <c r="AQ31" i="104"/>
  <c r="AQ32" i="104" s="1"/>
  <c r="AU31" i="104"/>
  <c r="AU32" i="104" s="1"/>
  <c r="BA31" i="104"/>
  <c r="BA275" i="104" s="1"/>
  <c r="BE31" i="104"/>
  <c r="BE273" i="104" s="1"/>
  <c r="AE32" i="104"/>
  <c r="AI32" i="104"/>
  <c r="AP32" i="104"/>
  <c r="P34" i="104"/>
  <c r="T34" i="104"/>
  <c r="AA34" i="104"/>
  <c r="AE34" i="104"/>
  <c r="AI34" i="104"/>
  <c r="AP34" i="104"/>
  <c r="AT34" i="104"/>
  <c r="BA34" i="104"/>
  <c r="BE34" i="104"/>
  <c r="P35" i="104"/>
  <c r="T35" i="104"/>
  <c r="AA35" i="104"/>
  <c r="AE35" i="104"/>
  <c r="AI35" i="104"/>
  <c r="AP35" i="104"/>
  <c r="AT35" i="104"/>
  <c r="BA35" i="104"/>
  <c r="BE35" i="104"/>
  <c r="O38" i="104"/>
  <c r="S38" i="104"/>
  <c r="W38" i="104"/>
  <c r="AC38" i="104"/>
  <c r="AG38" i="104"/>
  <c r="AM38" i="104"/>
  <c r="AQ38" i="104"/>
  <c r="AU38" i="104"/>
  <c r="BA38" i="104"/>
  <c r="BE38" i="104"/>
  <c r="P40" i="104"/>
  <c r="P52" i="104" s="1"/>
  <c r="T40" i="104"/>
  <c r="T52" i="104" s="1"/>
  <c r="AA40" i="104"/>
  <c r="AA50" i="104" s="1"/>
  <c r="AE40" i="104"/>
  <c r="AI40" i="104"/>
  <c r="AP40" i="104"/>
  <c r="AP60" i="104" s="1"/>
  <c r="AT40" i="104"/>
  <c r="AT53" i="104" s="1"/>
  <c r="BA40" i="104"/>
  <c r="BA52" i="104" s="1"/>
  <c r="BE40" i="104"/>
  <c r="BE61" i="104" s="1"/>
  <c r="S50" i="104"/>
  <c r="W50" i="104"/>
  <c r="AD50" i="104"/>
  <c r="AH50" i="104"/>
  <c r="AO50" i="104"/>
  <c r="AS50" i="104"/>
  <c r="AZ50" i="104"/>
  <c r="BD50" i="104"/>
  <c r="S52" i="104"/>
  <c r="Q55" i="104" a="1"/>
  <c r="Q55" i="104" s="1"/>
  <c r="S55" i="104" a="1"/>
  <c r="S55" i="104" s="1"/>
  <c r="U55" i="104" a="1"/>
  <c r="U55" i="104" s="1"/>
  <c r="W55" i="104" a="1"/>
  <c r="W55" i="104" s="1"/>
  <c r="AB55" i="104" a="1"/>
  <c r="AB55" i="104" s="1"/>
  <c r="AF55" i="104" a="1"/>
  <c r="AF55" i="104" s="1"/>
  <c r="AO55" i="104" a="1"/>
  <c r="AO55" i="104" s="1"/>
  <c r="AQ55" i="104" a="1"/>
  <c r="AQ55" i="104" s="1"/>
  <c r="AS55" i="104" a="1"/>
  <c r="AS55" i="104" s="1"/>
  <c r="AU55" i="104" a="1"/>
  <c r="AU55" i="104" s="1"/>
  <c r="AZ55" i="104" a="1"/>
  <c r="AZ55" i="104" s="1"/>
  <c r="BD55" i="104" a="1"/>
  <c r="BD55" i="104" s="1"/>
  <c r="S60" i="104"/>
  <c r="AG60" i="104"/>
  <c r="AO61" i="104"/>
  <c r="BC61" i="104"/>
  <c r="AG62" i="104"/>
  <c r="Q63" i="104"/>
  <c r="U63" i="104"/>
  <c r="AE63" i="104"/>
  <c r="AO63" i="104"/>
  <c r="AS63" i="104"/>
  <c r="O64" i="104"/>
  <c r="S64" i="104"/>
  <c r="W64" i="104"/>
  <c r="AM64" i="104"/>
  <c r="AQ64" i="104"/>
  <c r="AU64" i="104"/>
  <c r="BA64" i="104"/>
  <c r="BE64" i="104"/>
  <c r="BD65" i="104"/>
  <c r="AE66" i="104"/>
  <c r="BD66" i="104"/>
  <c r="M68" i="104"/>
  <c r="M70" i="104"/>
  <c r="E305" i="104"/>
  <c r="E244" i="104"/>
  <c r="E309" i="104"/>
  <c r="E248" i="104"/>
  <c r="AD73" i="104"/>
  <c r="BF73" i="104"/>
  <c r="AB199" i="104"/>
  <c r="AB200" i="104" s="1"/>
  <c r="AB132" i="104"/>
  <c r="AO132" i="104"/>
  <c r="AO199" i="104" s="1"/>
  <c r="Y179" i="104"/>
  <c r="BE161" i="104"/>
  <c r="BA161" i="104"/>
  <c r="AS161" i="104"/>
  <c r="AO161" i="104"/>
  <c r="AG161" i="104"/>
  <c r="AC161" i="104"/>
  <c r="U161" i="104"/>
  <c r="Q161" i="104"/>
  <c r="M179" i="104"/>
  <c r="BD161" i="104"/>
  <c r="AZ161" i="104"/>
  <c r="AR161" i="104"/>
  <c r="AN161" i="104"/>
  <c r="AF161" i="104"/>
  <c r="AB161" i="104"/>
  <c r="T161" i="104"/>
  <c r="P161" i="104"/>
  <c r="AW179" i="104"/>
  <c r="BC161" i="104"/>
  <c r="AY161" i="104"/>
  <c r="AQ161" i="104"/>
  <c r="AM161" i="104"/>
  <c r="AE161" i="104"/>
  <c r="AA161" i="104"/>
  <c r="S161" i="104"/>
  <c r="O161" i="104"/>
  <c r="AK179" i="104"/>
  <c r="BF161" i="104"/>
  <c r="BF162" i="104" s="1"/>
  <c r="BF13" i="104" s="1"/>
  <c r="BB161" i="104"/>
  <c r="AT161" i="104"/>
  <c r="AP161" i="104"/>
  <c r="AH161" i="104"/>
  <c r="AH162" i="104" s="1"/>
  <c r="AH13" i="104" s="1"/>
  <c r="AD161" i="104"/>
  <c r="V161" i="104"/>
  <c r="R161" i="104"/>
  <c r="AC219" i="104"/>
  <c r="AC165" i="104"/>
  <c r="AC149" i="104"/>
  <c r="AC99" i="104"/>
  <c r="AC207" i="104"/>
  <c r="AC195" i="104"/>
  <c r="AC184" i="104"/>
  <c r="AC73" i="104"/>
  <c r="AG219" i="104"/>
  <c r="AG165" i="104"/>
  <c r="AG149" i="104"/>
  <c r="AG195" i="104"/>
  <c r="AG184" i="104"/>
  <c r="AG73" i="104"/>
  <c r="AN219" i="104"/>
  <c r="AN165" i="104"/>
  <c r="AN195" i="104"/>
  <c r="AN184" i="104"/>
  <c r="AN149" i="104"/>
  <c r="AN207" i="104"/>
  <c r="AN99" i="104"/>
  <c r="AR219" i="104"/>
  <c r="AR165" i="104"/>
  <c r="AR195" i="104"/>
  <c r="AR184" i="104"/>
  <c r="AR149" i="104"/>
  <c r="AY219" i="104"/>
  <c r="AY99" i="104"/>
  <c r="AY195" i="104"/>
  <c r="AY184" i="104"/>
  <c r="AY165" i="104"/>
  <c r="AY73" i="104"/>
  <c r="AY207" i="104"/>
  <c r="AY149" i="104"/>
  <c r="BC219" i="104"/>
  <c r="BC195" i="104"/>
  <c r="BC184" i="104"/>
  <c r="BC165" i="104"/>
  <c r="BC73" i="104"/>
  <c r="BC149" i="104"/>
  <c r="BG219" i="104"/>
  <c r="BG207" i="104"/>
  <c r="BG195" i="104"/>
  <c r="BG184" i="104"/>
  <c r="BG165" i="104"/>
  <c r="BG73" i="104"/>
  <c r="Q300" i="104"/>
  <c r="Q278" i="104"/>
  <c r="Q260" i="104"/>
  <c r="Q239" i="104"/>
  <c r="Q232" i="104"/>
  <c r="Q225" i="104"/>
  <c r="U300" i="104"/>
  <c r="U278" i="104"/>
  <c r="U260" i="104"/>
  <c r="U239" i="104"/>
  <c r="U232" i="104"/>
  <c r="U225" i="104"/>
  <c r="AA17" i="104"/>
  <c r="AE17" i="104"/>
  <c r="AI17" i="104"/>
  <c r="AO300" i="104"/>
  <c r="AO278" i="104"/>
  <c r="AO260" i="104"/>
  <c r="AO239" i="104"/>
  <c r="AO232" i="104"/>
  <c r="AO225" i="104"/>
  <c r="AS300" i="104"/>
  <c r="AS278" i="104"/>
  <c r="AS260" i="104"/>
  <c r="AS239" i="104"/>
  <c r="AS232" i="104"/>
  <c r="AS225" i="104"/>
  <c r="AY300" i="104"/>
  <c r="AY278" i="104"/>
  <c r="AY260" i="104"/>
  <c r="AY225" i="104"/>
  <c r="AY239" i="104"/>
  <c r="AY232" i="104"/>
  <c r="BC300" i="104"/>
  <c r="BC278" i="104"/>
  <c r="BC260" i="104"/>
  <c r="BC225" i="104"/>
  <c r="BC239" i="104"/>
  <c r="BC232" i="104"/>
  <c r="BG300" i="104"/>
  <c r="BG278" i="104"/>
  <c r="BG260" i="104"/>
  <c r="BG225" i="104"/>
  <c r="BG239" i="104"/>
  <c r="BG232" i="104"/>
  <c r="R280" i="104"/>
  <c r="R271" i="104"/>
  <c r="R262" i="104"/>
  <c r="R229" i="104"/>
  <c r="R227" i="104"/>
  <c r="V287" i="104"/>
  <c r="V280" i="104"/>
  <c r="V275" i="104"/>
  <c r="V286" i="104" a="1"/>
  <c r="V286" i="104" s="1"/>
  <c r="V273" i="104"/>
  <c r="V271" i="104"/>
  <c r="V268" i="104"/>
  <c r="V264" i="104"/>
  <c r="V267" i="104"/>
  <c r="V262" i="104"/>
  <c r="V266" i="104"/>
  <c r="V269" i="104"/>
  <c r="V265" i="104"/>
  <c r="V229" i="104"/>
  <c r="V227" i="104"/>
  <c r="AC271" i="104"/>
  <c r="AC229" i="104"/>
  <c r="AC227" i="104"/>
  <c r="AC66" i="104"/>
  <c r="AG287" i="104"/>
  <c r="AG280" i="104"/>
  <c r="AG273" i="104"/>
  <c r="AG286" i="104" a="1"/>
  <c r="AG286" i="104" s="1"/>
  <c r="AG271" i="104"/>
  <c r="AG275" i="104"/>
  <c r="AG267" i="104"/>
  <c r="AG262" i="104"/>
  <c r="AG266" i="104"/>
  <c r="AG269" i="104"/>
  <c r="AG265" i="104"/>
  <c r="AG268" i="104"/>
  <c r="AG264" i="104"/>
  <c r="AG229" i="104"/>
  <c r="AG227" i="104"/>
  <c r="AG66" i="104"/>
  <c r="AR229" i="104"/>
  <c r="AR227" i="104"/>
  <c r="BC287" i="104"/>
  <c r="BC280" i="104"/>
  <c r="BC269" i="104"/>
  <c r="BC286" i="104" a="1"/>
  <c r="BC286" i="104" s="1"/>
  <c r="BC275" i="104"/>
  <c r="BC273" i="104"/>
  <c r="BC271" i="104"/>
  <c r="BC265" i="104"/>
  <c r="BC268" i="104"/>
  <c r="BC264" i="104"/>
  <c r="BC267" i="104"/>
  <c r="BC262" i="104"/>
  <c r="BC266" i="104"/>
  <c r="BC229" i="104"/>
  <c r="BC227" i="104"/>
  <c r="BG287" i="104"/>
  <c r="BG280" i="104"/>
  <c r="BG297" i="104" s="1"/>
  <c r="BG269" i="104"/>
  <c r="BG275" i="104"/>
  <c r="BG273" i="104"/>
  <c r="BG265" i="104"/>
  <c r="BG268" i="104"/>
  <c r="BG264" i="104"/>
  <c r="BG262" i="104"/>
  <c r="BG266" i="104"/>
  <c r="BG229" i="104"/>
  <c r="BG227" i="104"/>
  <c r="R21" i="104"/>
  <c r="R63" i="104" s="1"/>
  <c r="V21" i="104"/>
  <c r="V63" i="104" s="1"/>
  <c r="AC21" i="104"/>
  <c r="AG21" i="104"/>
  <c r="AN21" i="104"/>
  <c r="AR21" i="104"/>
  <c r="AY21" i="104"/>
  <c r="BC21" i="104"/>
  <c r="BC63" i="104" s="1"/>
  <c r="BG21" i="104"/>
  <c r="BG65" i="104" s="1"/>
  <c r="R22" i="104"/>
  <c r="V22" i="104"/>
  <c r="AC22" i="104"/>
  <c r="AG22" i="104"/>
  <c r="AN22" i="104"/>
  <c r="AR22" i="104"/>
  <c r="AY22" i="104"/>
  <c r="BC22" i="104"/>
  <c r="BG22" i="104"/>
  <c r="T243" i="104"/>
  <c r="T244" i="104"/>
  <c r="Y24" i="104"/>
  <c r="J24" i="104" s="1"/>
  <c r="AD243" i="104"/>
  <c r="AD241" i="104"/>
  <c r="AD244" i="104"/>
  <c r="AH243" i="104"/>
  <c r="AH241" i="104"/>
  <c r="AH244" i="104"/>
  <c r="AR243" i="104"/>
  <c r="AR241" i="104"/>
  <c r="AR244" i="104"/>
  <c r="AW24" i="104"/>
  <c r="BB243" i="104"/>
  <c r="BB241" i="104"/>
  <c r="BB244" i="104"/>
  <c r="BF243" i="104"/>
  <c r="BF241" i="104"/>
  <c r="BF244" i="104"/>
  <c r="AO29" i="104"/>
  <c r="AS29" i="104"/>
  <c r="T31" i="104"/>
  <c r="T273" i="104" s="1"/>
  <c r="AD31" i="104"/>
  <c r="AD32" i="104" s="1"/>
  <c r="AH31" i="104"/>
  <c r="AH32" i="104" s="1"/>
  <c r="AR31" i="104"/>
  <c r="AR32" i="104" s="1"/>
  <c r="BB31" i="104"/>
  <c r="BB271" i="104" s="1"/>
  <c r="BF31" i="104"/>
  <c r="BF65" i="104" s="1"/>
  <c r="AB32" i="104"/>
  <c r="AF32" i="104"/>
  <c r="BB32" i="104"/>
  <c r="BF32" i="104"/>
  <c r="Q34" i="104"/>
  <c r="U34" i="104"/>
  <c r="AB34" i="104"/>
  <c r="AF34" i="104"/>
  <c r="AM34" i="104"/>
  <c r="AQ34" i="104"/>
  <c r="AU34" i="104"/>
  <c r="BB34" i="104"/>
  <c r="BF34" i="104"/>
  <c r="Q35" i="104"/>
  <c r="U35" i="104"/>
  <c r="AB35" i="104"/>
  <c r="AF35" i="104"/>
  <c r="AM35" i="104"/>
  <c r="AQ35" i="104"/>
  <c r="AU35" i="104"/>
  <c r="BB35" i="104"/>
  <c r="BF35" i="104"/>
  <c r="AD38" i="104"/>
  <c r="AH38" i="104"/>
  <c r="BB38" i="104"/>
  <c r="BF38" i="104"/>
  <c r="Q40" i="104"/>
  <c r="Q52" i="104" s="1"/>
  <c r="U40" i="104"/>
  <c r="U60" i="104" s="1"/>
  <c r="AB40" i="104"/>
  <c r="AB61" i="104" s="1"/>
  <c r="AF40" i="104"/>
  <c r="AF297" i="104" s="1"/>
  <c r="AM40" i="104"/>
  <c r="AM52" i="104" s="1"/>
  <c r="AM55" i="104" s="1" a="1"/>
  <c r="AM55" i="104" s="1"/>
  <c r="AQ40" i="104"/>
  <c r="AQ60" i="104" s="1"/>
  <c r="AU40" i="104"/>
  <c r="AU61" i="104" s="1"/>
  <c r="BB40" i="104"/>
  <c r="BB61" i="104" s="1"/>
  <c r="BF40" i="104"/>
  <c r="BF52" i="104" s="1"/>
  <c r="P50" i="104"/>
  <c r="T50" i="104"/>
  <c r="AE50" i="104"/>
  <c r="AI50" i="104"/>
  <c r="AP50" i="104"/>
  <c r="AT50" i="104"/>
  <c r="BA50" i="104"/>
  <c r="BE50" i="104"/>
  <c r="AE52" i="104"/>
  <c r="AI52" i="104"/>
  <c r="S53" i="104"/>
  <c r="AC53" i="104"/>
  <c r="AQ53" i="104"/>
  <c r="BA53" i="104"/>
  <c r="BE53" i="104"/>
  <c r="AB58" i="104"/>
  <c r="AF58" i="104"/>
  <c r="AZ58" i="104"/>
  <c r="BD58" i="104"/>
  <c r="V61" i="104"/>
  <c r="AR62" i="104"/>
  <c r="BB62" i="104"/>
  <c r="AF63" i="104"/>
  <c r="AZ63" i="104"/>
  <c r="BD63" i="104"/>
  <c r="P64" i="104"/>
  <c r="T64" i="104"/>
  <c r="AD64" i="104"/>
  <c r="AH64" i="104"/>
  <c r="AN64" i="104"/>
  <c r="AR64" i="104"/>
  <c r="BB64" i="104"/>
  <c r="BF64" i="104"/>
  <c r="AF65" i="104"/>
  <c r="T66" i="104"/>
  <c r="AF66" i="104"/>
  <c r="AS66" i="104"/>
  <c r="AZ66" i="104"/>
  <c r="BF66" i="104"/>
  <c r="Y68" i="104"/>
  <c r="Y70" i="104"/>
  <c r="AI215" i="104" s="1"/>
  <c r="AF73" i="104"/>
  <c r="AP73" i="104"/>
  <c r="AZ73" i="104"/>
  <c r="P199" i="104"/>
  <c r="P200" i="104" s="1"/>
  <c r="P132" i="104"/>
  <c r="AC119" i="104"/>
  <c r="AY119" i="104"/>
  <c r="AC132" i="104"/>
  <c r="AC199" i="104" s="1"/>
  <c r="E302" i="104"/>
  <c r="E241" i="104"/>
  <c r="E306" i="104"/>
  <c r="E245" i="104"/>
  <c r="AA115" i="104"/>
  <c r="AN115" i="104"/>
  <c r="BA115" i="104"/>
  <c r="Q119" i="104"/>
  <c r="AM119" i="104"/>
  <c r="AZ119" i="104"/>
  <c r="O134" i="104"/>
  <c r="AO134" i="104"/>
  <c r="P197" i="104"/>
  <c r="AC197" i="104"/>
  <c r="AY197" i="104"/>
  <c r="O115" i="104"/>
  <c r="AB115" i="104"/>
  <c r="AO115" i="104"/>
  <c r="AA119" i="104"/>
  <c r="AN119" i="104"/>
  <c r="BA119" i="104"/>
  <c r="AA131" i="104"/>
  <c r="AM131" i="104"/>
  <c r="AY131" i="104"/>
  <c r="AC134" i="104"/>
  <c r="Q197" i="104"/>
  <c r="AM197" i="104"/>
  <c r="AZ197" i="104"/>
  <c r="E304" i="104"/>
  <c r="E243" i="104"/>
  <c r="E308" i="104"/>
  <c r="E247" i="104"/>
  <c r="P115" i="104"/>
  <c r="AC115" i="104"/>
  <c r="AY115" i="104"/>
  <c r="O119" i="104"/>
  <c r="AB119" i="104"/>
  <c r="AO119" i="104"/>
  <c r="Q134" i="104"/>
  <c r="BA131" i="104"/>
  <c r="M179" i="103"/>
  <c r="AW179" i="103"/>
  <c r="AK179" i="103"/>
  <c r="Y179" i="103"/>
  <c r="BC161" i="103"/>
  <c r="AY161" i="103"/>
  <c r="AQ161" i="103"/>
  <c r="AM161" i="103"/>
  <c r="AE161" i="103"/>
  <c r="AA161" i="103"/>
  <c r="S161" i="103"/>
  <c r="O161" i="103"/>
  <c r="BF161" i="103"/>
  <c r="BB161" i="103"/>
  <c r="AT161" i="103"/>
  <c r="AP161" i="103"/>
  <c r="AH161" i="103"/>
  <c r="AD161" i="103"/>
  <c r="V161" i="103"/>
  <c r="R161" i="103"/>
  <c r="BE161" i="103"/>
  <c r="BA161" i="103"/>
  <c r="AS161" i="103"/>
  <c r="AO161" i="103"/>
  <c r="AG161" i="103"/>
  <c r="AC161" i="103"/>
  <c r="U161" i="103"/>
  <c r="Q161" i="103"/>
  <c r="BD161" i="103"/>
  <c r="AZ161" i="103"/>
  <c r="AR161" i="103"/>
  <c r="AN161" i="103"/>
  <c r="AF161" i="103"/>
  <c r="AB161" i="103"/>
  <c r="T161" i="103"/>
  <c r="P161" i="103"/>
  <c r="AC219" i="103"/>
  <c r="AC207" i="103"/>
  <c r="AC195" i="103"/>
  <c r="AC184" i="103"/>
  <c r="AC99" i="103"/>
  <c r="AC73" i="103"/>
  <c r="AC165" i="103"/>
  <c r="AC149" i="103"/>
  <c r="AG219" i="103"/>
  <c r="AG195" i="103"/>
  <c r="AG184" i="103"/>
  <c r="AG73" i="103"/>
  <c r="AG165" i="103"/>
  <c r="AG149" i="103"/>
  <c r="AN195" i="103"/>
  <c r="AN184" i="103"/>
  <c r="AN207" i="103"/>
  <c r="AN219" i="103"/>
  <c r="AN149" i="103"/>
  <c r="AN73" i="103"/>
  <c r="AN99" i="103"/>
  <c r="AN165" i="103"/>
  <c r="AR195" i="103"/>
  <c r="AR184" i="103"/>
  <c r="AR219" i="103"/>
  <c r="AR149" i="103"/>
  <c r="AR73" i="103"/>
  <c r="AR165" i="103"/>
  <c r="AY195" i="103"/>
  <c r="AY184" i="103"/>
  <c r="AY219" i="103"/>
  <c r="AY207" i="103"/>
  <c r="AY149" i="103"/>
  <c r="AY99" i="103"/>
  <c r="AY165" i="103"/>
  <c r="AY73" i="103"/>
  <c r="BC195" i="103"/>
  <c r="BC184" i="103"/>
  <c r="BC219" i="103"/>
  <c r="BC149" i="103"/>
  <c r="BC165" i="103"/>
  <c r="BC73" i="103"/>
  <c r="BG195" i="103"/>
  <c r="BG184" i="103"/>
  <c r="BG219" i="103"/>
  <c r="BG207" i="103"/>
  <c r="BG165" i="103"/>
  <c r="BG73" i="103"/>
  <c r="Q300" i="103"/>
  <c r="Q260" i="103"/>
  <c r="Q278" i="103"/>
  <c r="Q239" i="103"/>
  <c r="Q225" i="103"/>
  <c r="Q232" i="103"/>
  <c r="Q58" i="103"/>
  <c r="U300" i="103"/>
  <c r="U260" i="103"/>
  <c r="U278" i="103"/>
  <c r="U239" i="103"/>
  <c r="U232" i="103"/>
  <c r="U225" i="103"/>
  <c r="U58" i="103"/>
  <c r="AA300" i="103"/>
  <c r="AA278" i="103"/>
  <c r="AA260" i="103"/>
  <c r="AA239" i="103"/>
  <c r="AA225" i="103"/>
  <c r="AA232" i="103"/>
  <c r="AA58" i="103"/>
  <c r="AE300" i="103"/>
  <c r="AE278" i="103"/>
  <c r="AE260" i="103"/>
  <c r="AE239" i="103"/>
  <c r="AE225" i="103"/>
  <c r="AE232" i="103"/>
  <c r="AE58" i="103"/>
  <c r="AI300" i="103"/>
  <c r="AI278" i="103"/>
  <c r="AI260" i="103"/>
  <c r="AI239" i="103"/>
  <c r="AI225" i="103"/>
  <c r="AI232" i="103"/>
  <c r="AI58" i="103"/>
  <c r="AO300" i="103"/>
  <c r="AO278" i="103"/>
  <c r="AO260" i="103"/>
  <c r="AO239" i="103"/>
  <c r="AO225" i="103"/>
  <c r="AO232" i="103"/>
  <c r="AO58" i="103"/>
  <c r="AS300" i="103"/>
  <c r="AS278" i="103"/>
  <c r="AS260" i="103"/>
  <c r="AS239" i="103"/>
  <c r="AS225" i="103"/>
  <c r="AS232" i="103"/>
  <c r="AS58" i="103"/>
  <c r="AY300" i="103"/>
  <c r="AY278" i="103"/>
  <c r="AY260" i="103"/>
  <c r="AY225" i="103"/>
  <c r="AY239" i="103"/>
  <c r="AY232" i="103"/>
  <c r="AY58" i="103"/>
  <c r="BC300" i="103"/>
  <c r="BC278" i="103"/>
  <c r="BC260" i="103"/>
  <c r="BC225" i="103"/>
  <c r="BC239" i="103"/>
  <c r="BC232" i="103"/>
  <c r="BC58" i="103"/>
  <c r="BG300" i="103"/>
  <c r="BG278" i="103"/>
  <c r="BG260" i="103"/>
  <c r="BG225" i="103"/>
  <c r="BG239" i="103"/>
  <c r="BG232" i="103"/>
  <c r="BG58" i="103"/>
  <c r="R229" i="103"/>
  <c r="R227" i="103"/>
  <c r="R66" i="103"/>
  <c r="V229" i="103"/>
  <c r="V227" i="103"/>
  <c r="V66" i="103"/>
  <c r="AC229" i="103"/>
  <c r="AC227" i="103"/>
  <c r="AC66" i="103"/>
  <c r="AC64" i="103"/>
  <c r="AG229" i="103"/>
  <c r="AG227" i="103"/>
  <c r="AG66" i="103"/>
  <c r="AG64" i="103"/>
  <c r="AR229" i="103"/>
  <c r="AR227" i="103"/>
  <c r="AR66" i="103"/>
  <c r="BC229" i="103"/>
  <c r="BC227" i="103"/>
  <c r="BC66" i="103"/>
  <c r="BC64" i="103"/>
  <c r="BG229" i="103"/>
  <c r="BG227" i="103"/>
  <c r="BG66" i="103"/>
  <c r="BG64" i="103"/>
  <c r="R21" i="103"/>
  <c r="R63" i="103" s="1"/>
  <c r="V21" i="103"/>
  <c r="V63" i="103" s="1"/>
  <c r="AC21" i="103"/>
  <c r="AG21" i="103"/>
  <c r="AG63" i="103" s="1"/>
  <c r="AN21" i="103"/>
  <c r="AR21" i="103"/>
  <c r="AY21" i="103"/>
  <c r="BC21" i="103"/>
  <c r="BC63" i="103" s="1"/>
  <c r="BG21" i="103"/>
  <c r="BG63" i="103" s="1"/>
  <c r="R22" i="103"/>
  <c r="V22" i="103"/>
  <c r="AC22" i="103"/>
  <c r="AG22" i="103"/>
  <c r="AN22" i="103"/>
  <c r="AR22" i="103"/>
  <c r="AY22" i="103"/>
  <c r="BC22" i="103"/>
  <c r="BG22" i="103"/>
  <c r="T243" i="103"/>
  <c r="T244" i="103"/>
  <c r="T55" i="103" a="1"/>
  <c r="T55" i="103" s="1"/>
  <c r="AD243" i="103"/>
  <c r="AD244" i="103"/>
  <c r="AD241" i="103"/>
  <c r="AD55" i="103" a="1"/>
  <c r="AD55" i="103" s="1"/>
  <c r="AH243" i="103"/>
  <c r="AH244" i="103"/>
  <c r="AH241" i="103"/>
  <c r="AH55" i="103" a="1"/>
  <c r="AH55" i="103" s="1"/>
  <c r="AR243" i="103"/>
  <c r="AR244" i="103"/>
  <c r="AR241" i="103"/>
  <c r="AR55" i="103" a="1"/>
  <c r="AR55" i="103" s="1"/>
  <c r="BB243" i="103"/>
  <c r="BB244" i="103"/>
  <c r="BB241" i="103"/>
  <c r="BB55" i="103" a="1"/>
  <c r="BB55" i="103" s="1"/>
  <c r="BF243" i="103"/>
  <c r="BF244" i="103"/>
  <c r="BF241" i="103"/>
  <c r="BF55" i="103" a="1"/>
  <c r="BF55" i="103" s="1"/>
  <c r="AA29" i="103"/>
  <c r="AE29" i="103"/>
  <c r="AI29" i="103"/>
  <c r="T31" i="103"/>
  <c r="T62" i="103" s="1"/>
  <c r="AD31" i="103"/>
  <c r="AD62" i="103" s="1"/>
  <c r="AH31" i="103"/>
  <c r="AH271" i="103" s="1"/>
  <c r="AR31" i="103"/>
  <c r="AR271" i="103" s="1"/>
  <c r="BB31" i="103"/>
  <c r="BF31" i="103"/>
  <c r="BF32" i="103" s="1"/>
  <c r="Q34" i="103"/>
  <c r="U34" i="103"/>
  <c r="AB34" i="103"/>
  <c r="AF34" i="103"/>
  <c r="AM34" i="103"/>
  <c r="AQ34" i="103"/>
  <c r="AU34" i="103"/>
  <c r="BB34" i="103"/>
  <c r="BF34" i="103"/>
  <c r="Q35" i="103"/>
  <c r="U35" i="103"/>
  <c r="AB35" i="103"/>
  <c r="AF35" i="103"/>
  <c r="AM35" i="103"/>
  <c r="AQ35" i="103"/>
  <c r="AU35" i="103"/>
  <c r="BB35" i="103"/>
  <c r="BF35" i="103"/>
  <c r="T38" i="103"/>
  <c r="AD38" i="103"/>
  <c r="AN38" i="103"/>
  <c r="BF38" i="103"/>
  <c r="Q40" i="103"/>
  <c r="U40" i="103"/>
  <c r="U53" i="103" s="1"/>
  <c r="AB40" i="103"/>
  <c r="AB52" i="103" s="1"/>
  <c r="AF40" i="103"/>
  <c r="AF52" i="103" s="1"/>
  <c r="AM40" i="103"/>
  <c r="AQ40" i="103"/>
  <c r="AQ60" i="103" s="1"/>
  <c r="AU40" i="103"/>
  <c r="AU60" i="103" s="1"/>
  <c r="BC40" i="103"/>
  <c r="BC61" i="103" s="1"/>
  <c r="T50" i="103"/>
  <c r="AB50" i="103"/>
  <c r="AG50" i="103"/>
  <c r="AP50" i="103"/>
  <c r="BC50" i="103"/>
  <c r="U52" i="103"/>
  <c r="AR64" i="103"/>
  <c r="BB64" i="103"/>
  <c r="AZ199" i="103"/>
  <c r="AZ200" i="103" s="1"/>
  <c r="AZ132" i="103"/>
  <c r="Q132" i="103"/>
  <c r="Q199" i="103" s="1"/>
  <c r="AD195" i="103"/>
  <c r="AD184" i="103"/>
  <c r="AD219" i="103"/>
  <c r="AD73" i="103"/>
  <c r="AD165" i="103"/>
  <c r="AD149" i="103"/>
  <c r="AH195" i="103"/>
  <c r="AH184" i="103"/>
  <c r="AH219" i="103"/>
  <c r="AH73" i="103"/>
  <c r="AH165" i="103"/>
  <c r="AH149" i="103"/>
  <c r="AO195" i="103"/>
  <c r="AO184" i="103"/>
  <c r="AO207" i="103"/>
  <c r="AO219" i="103"/>
  <c r="AO99" i="103"/>
  <c r="AO165" i="103"/>
  <c r="AO149" i="103"/>
  <c r="AO73" i="103"/>
  <c r="AS195" i="103"/>
  <c r="AS184" i="103"/>
  <c r="AS219" i="103"/>
  <c r="AS165" i="103"/>
  <c r="AS149" i="103"/>
  <c r="AS73" i="103"/>
  <c r="AZ219" i="103"/>
  <c r="AZ207" i="103"/>
  <c r="AZ195" i="103"/>
  <c r="AZ184" i="103"/>
  <c r="AZ149" i="103"/>
  <c r="AZ99" i="103"/>
  <c r="AZ165" i="103"/>
  <c r="AZ73" i="103"/>
  <c r="BD219" i="103"/>
  <c r="BD195" i="103"/>
  <c r="BD184" i="103"/>
  <c r="BD149" i="103"/>
  <c r="BD165" i="103"/>
  <c r="BD73" i="103"/>
  <c r="R300" i="103"/>
  <c r="R278" i="103"/>
  <c r="R260" i="103"/>
  <c r="R232" i="103"/>
  <c r="R239" i="103"/>
  <c r="R225" i="103"/>
  <c r="V300" i="103"/>
  <c r="V278" i="103"/>
  <c r="V260" i="103"/>
  <c r="V225" i="103"/>
  <c r="V232" i="103"/>
  <c r="V239" i="103"/>
  <c r="AB300" i="103"/>
  <c r="AB260" i="103"/>
  <c r="AB278" i="103"/>
  <c r="AB232" i="103"/>
  <c r="AB239" i="103"/>
  <c r="AB225" i="103"/>
  <c r="AF300" i="103"/>
  <c r="AF260" i="103"/>
  <c r="AF278" i="103"/>
  <c r="AF232" i="103"/>
  <c r="AF239" i="103"/>
  <c r="AF225" i="103"/>
  <c r="AP300" i="103"/>
  <c r="AP278" i="103"/>
  <c r="AP260" i="103"/>
  <c r="AP232" i="103"/>
  <c r="AP225" i="103"/>
  <c r="AP239" i="103"/>
  <c r="AT300" i="103"/>
  <c r="AT278" i="103"/>
  <c r="AT260" i="103"/>
  <c r="AT232" i="103"/>
  <c r="AT225" i="103"/>
  <c r="AT239" i="103"/>
  <c r="AZ300" i="103"/>
  <c r="AZ278" i="103"/>
  <c r="AZ260" i="103"/>
  <c r="AZ232" i="103"/>
  <c r="AZ239" i="103"/>
  <c r="AZ225" i="103"/>
  <c r="BD300" i="103"/>
  <c r="BD278" i="103"/>
  <c r="BD260" i="103"/>
  <c r="BD232" i="103"/>
  <c r="BD225" i="103"/>
  <c r="BD239" i="103"/>
  <c r="S227" i="103"/>
  <c r="S229" i="103"/>
  <c r="S66" i="103"/>
  <c r="S64" i="103"/>
  <c r="S50" i="103"/>
  <c r="W229" i="103"/>
  <c r="W227" i="103"/>
  <c r="W66" i="103"/>
  <c r="W64" i="103"/>
  <c r="W50" i="103"/>
  <c r="AD287" i="103"/>
  <c r="AD266" i="103"/>
  <c r="AD269" i="103"/>
  <c r="AD264" i="103"/>
  <c r="AD273" i="103"/>
  <c r="AD227" i="103"/>
  <c r="AD229" i="103"/>
  <c r="AD66" i="103"/>
  <c r="AD50" i="103"/>
  <c r="AH229" i="103"/>
  <c r="AH227" i="103"/>
  <c r="AH66" i="103"/>
  <c r="AH50" i="103"/>
  <c r="AO227" i="103"/>
  <c r="AO229" i="103"/>
  <c r="AO50" i="103"/>
  <c r="AO66" i="103"/>
  <c r="AO64" i="103"/>
  <c r="AS229" i="103"/>
  <c r="AS227" i="103"/>
  <c r="AS50" i="103"/>
  <c r="AS66" i="103"/>
  <c r="AS64" i="103"/>
  <c r="AZ227" i="103"/>
  <c r="AZ229" i="103"/>
  <c r="AZ50" i="103"/>
  <c r="AZ66" i="103"/>
  <c r="BD229" i="103"/>
  <c r="BD227" i="103"/>
  <c r="BD50" i="103"/>
  <c r="BD66" i="103"/>
  <c r="O21" i="103"/>
  <c r="S21" i="103"/>
  <c r="S63" i="103" s="1"/>
  <c r="W21" i="103"/>
  <c r="AD21" i="103"/>
  <c r="AD63" i="103" s="1"/>
  <c r="AH21" i="103"/>
  <c r="AO21" i="103"/>
  <c r="AO63" i="103" s="1"/>
  <c r="AS21" i="103"/>
  <c r="AZ21" i="103"/>
  <c r="AZ63" i="103" s="1"/>
  <c r="BD21" i="103"/>
  <c r="BD63" i="103" s="1"/>
  <c r="O22" i="103"/>
  <c r="S22" i="103"/>
  <c r="W22" i="103"/>
  <c r="AD22" i="103"/>
  <c r="AH22" i="103"/>
  <c r="AO22" i="103"/>
  <c r="AS22" i="103"/>
  <c r="AZ22" i="103"/>
  <c r="BD22" i="103"/>
  <c r="Q243" i="103"/>
  <c r="Q244" i="103"/>
  <c r="Q55" i="103" a="1"/>
  <c r="Q55" i="103" s="1"/>
  <c r="U243" i="103"/>
  <c r="U244" i="103"/>
  <c r="U55" i="103" a="1"/>
  <c r="U55" i="103" s="1"/>
  <c r="AI75" i="103"/>
  <c r="AI168" i="103" s="1"/>
  <c r="Y70" i="103"/>
  <c r="AI215" i="103" s="1"/>
  <c r="AH75" i="103"/>
  <c r="AH154" i="103" s="1"/>
  <c r="Y68" i="103"/>
  <c r="AE243" i="103"/>
  <c r="AE241" i="103"/>
  <c r="AE244" i="103"/>
  <c r="AE55" i="103" a="1"/>
  <c r="AE55" i="103" s="1"/>
  <c r="AI243" i="103"/>
  <c r="AI241" i="103"/>
  <c r="AI244" i="103"/>
  <c r="AI55" i="103" a="1"/>
  <c r="AI55" i="103" s="1"/>
  <c r="AO243" i="103"/>
  <c r="AO241" i="103"/>
  <c r="AO244" i="103"/>
  <c r="AO55" i="103" a="1"/>
  <c r="AO55" i="103" s="1"/>
  <c r="AS243" i="103"/>
  <c r="AS241" i="103"/>
  <c r="AS244" i="103"/>
  <c r="AS55" i="103" a="1"/>
  <c r="AS55" i="103" s="1"/>
  <c r="AW70" i="103"/>
  <c r="BG215" i="103" s="1"/>
  <c r="AW68" i="103"/>
  <c r="BG75" i="103"/>
  <c r="BG168" i="103" s="1"/>
  <c r="BF75" i="103"/>
  <c r="BF154" i="103" s="1"/>
  <c r="BC243" i="103"/>
  <c r="BC241" i="103"/>
  <c r="BC244" i="103"/>
  <c r="BC55" i="103" a="1"/>
  <c r="BC55" i="103" s="1"/>
  <c r="BG243" i="103"/>
  <c r="BG241" i="103"/>
  <c r="BG244" i="103"/>
  <c r="BG55" i="103" a="1"/>
  <c r="BG55" i="103" s="1"/>
  <c r="AB29" i="103"/>
  <c r="AF29" i="103"/>
  <c r="Q31" i="103"/>
  <c r="Q32" i="103" s="1"/>
  <c r="U31" i="103"/>
  <c r="U265" i="103" s="1"/>
  <c r="AE31" i="103"/>
  <c r="AE280" i="103" s="1"/>
  <c r="AI31" i="103"/>
  <c r="AI287" i="103" s="1"/>
  <c r="AO31" i="103"/>
  <c r="AO280" i="103" s="1"/>
  <c r="AS31" i="103"/>
  <c r="AS286" i="103" s="1" a="1"/>
  <c r="AS286" i="103" s="1"/>
  <c r="BC31" i="103"/>
  <c r="BC286" i="103" s="1" a="1"/>
  <c r="BC286" i="103" s="1"/>
  <c r="BG31" i="103"/>
  <c r="BG286" i="103" s="1" a="1"/>
  <c r="BG286" i="103" s="1"/>
  <c r="R34" i="103"/>
  <c r="V34" i="103"/>
  <c r="AC34" i="103"/>
  <c r="AG34" i="103"/>
  <c r="AN34" i="103"/>
  <c r="AR34" i="103"/>
  <c r="AY34" i="103"/>
  <c r="BC34" i="103"/>
  <c r="BG34" i="103"/>
  <c r="R35" i="103"/>
  <c r="V35" i="103"/>
  <c r="AC35" i="103"/>
  <c r="AG35" i="103"/>
  <c r="AN35" i="103"/>
  <c r="AR35" i="103"/>
  <c r="AY35" i="103"/>
  <c r="BC35" i="103"/>
  <c r="BG35" i="103"/>
  <c r="Q38" i="103"/>
  <c r="U38" i="103"/>
  <c r="AA38" i="103"/>
  <c r="AE38" i="103"/>
  <c r="AI38" i="103"/>
  <c r="AO38" i="103"/>
  <c r="AS38" i="103"/>
  <c r="AY38" i="103"/>
  <c r="BC38" i="103"/>
  <c r="BG38" i="103"/>
  <c r="R40" i="103"/>
  <c r="R60" i="103" s="1"/>
  <c r="V40" i="103"/>
  <c r="V52" i="103" s="1"/>
  <c r="AC40" i="103"/>
  <c r="AC52" i="103" s="1"/>
  <c r="AG40" i="103"/>
  <c r="AG52" i="103" s="1"/>
  <c r="AN40" i="103"/>
  <c r="AR40" i="103"/>
  <c r="AR52" i="103" s="1"/>
  <c r="AY40" i="103"/>
  <c r="AY50" i="103" s="1"/>
  <c r="BD40" i="103"/>
  <c r="BD60" i="103" s="1"/>
  <c r="AC50" i="103"/>
  <c r="AQ50" i="103"/>
  <c r="Q52" i="103"/>
  <c r="AM52" i="103"/>
  <c r="Q53" i="103"/>
  <c r="AN63" i="103"/>
  <c r="R64" i="103"/>
  <c r="AB64" i="103"/>
  <c r="BD64" i="103"/>
  <c r="AH65" i="103"/>
  <c r="AN199" i="103"/>
  <c r="AN200" i="103" s="1"/>
  <c r="AN132" i="103"/>
  <c r="AA207" i="103"/>
  <c r="AA195" i="103"/>
  <c r="AA184" i="103"/>
  <c r="AA219" i="103"/>
  <c r="AA165" i="103"/>
  <c r="AA149" i="103"/>
  <c r="AA99" i="103"/>
  <c r="AA73" i="103"/>
  <c r="AE195" i="103"/>
  <c r="AE184" i="103"/>
  <c r="AE219" i="103"/>
  <c r="AE165" i="103"/>
  <c r="AE149" i="103"/>
  <c r="AE73" i="103"/>
  <c r="AI195" i="103"/>
  <c r="AI184" i="103"/>
  <c r="AI207" i="103"/>
  <c r="AI219" i="103"/>
  <c r="AI165" i="103"/>
  <c r="AI73" i="103"/>
  <c r="AP219" i="103"/>
  <c r="AP195" i="103"/>
  <c r="AP184" i="103"/>
  <c r="AP165" i="103"/>
  <c r="AP149" i="103"/>
  <c r="AP73" i="103"/>
  <c r="AT219" i="103"/>
  <c r="AT195" i="103"/>
  <c r="AT184" i="103"/>
  <c r="AT165" i="103"/>
  <c r="AT149" i="103"/>
  <c r="AT73" i="103"/>
  <c r="BA219" i="103"/>
  <c r="BA207" i="103"/>
  <c r="BA195" i="103"/>
  <c r="BA184" i="103"/>
  <c r="BA99" i="103"/>
  <c r="BA165" i="103"/>
  <c r="BA73" i="103"/>
  <c r="BA149" i="103"/>
  <c r="BE219" i="103"/>
  <c r="BE195" i="103"/>
  <c r="BE184" i="103"/>
  <c r="BE165" i="103"/>
  <c r="BE73" i="103"/>
  <c r="BE149" i="103"/>
  <c r="O300" i="103"/>
  <c r="O278" i="103"/>
  <c r="O260" i="103"/>
  <c r="O239" i="103"/>
  <c r="O232" i="103"/>
  <c r="O225" i="103"/>
  <c r="O58" i="103"/>
  <c r="S300" i="103"/>
  <c r="S278" i="103"/>
  <c r="S260" i="103"/>
  <c r="S239" i="103"/>
  <c r="S232" i="103"/>
  <c r="S225" i="103"/>
  <c r="S58" i="103"/>
  <c r="W300" i="103"/>
  <c r="W278" i="103"/>
  <c r="W260" i="103"/>
  <c r="W239" i="103"/>
  <c r="W232" i="103"/>
  <c r="W225" i="103"/>
  <c r="W58" i="103"/>
  <c r="AC300" i="103"/>
  <c r="AC278" i="103"/>
  <c r="AC260" i="103"/>
  <c r="AC239" i="103"/>
  <c r="AC225" i="103"/>
  <c r="AC232" i="103"/>
  <c r="AC58" i="103"/>
  <c r="AG300" i="103"/>
  <c r="AG278" i="103"/>
  <c r="AG260" i="103"/>
  <c r="AG239" i="103"/>
  <c r="AG225" i="103"/>
  <c r="AG232" i="103"/>
  <c r="AG58" i="103"/>
  <c r="AM300" i="103"/>
  <c r="AM260" i="103"/>
  <c r="AM278" i="103"/>
  <c r="AM239" i="103"/>
  <c r="AM232" i="103"/>
  <c r="AM225" i="103"/>
  <c r="AM58" i="103"/>
  <c r="AQ300" i="103"/>
  <c r="AQ260" i="103"/>
  <c r="AQ278" i="103"/>
  <c r="AQ239" i="103"/>
  <c r="AQ225" i="103"/>
  <c r="AQ232" i="103"/>
  <c r="AQ58" i="103"/>
  <c r="AU300" i="103"/>
  <c r="AU260" i="103"/>
  <c r="AU278" i="103"/>
  <c r="AU239" i="103"/>
  <c r="AU232" i="103"/>
  <c r="AU225" i="103"/>
  <c r="AU58" i="103"/>
  <c r="BA300" i="103"/>
  <c r="BA278" i="103"/>
  <c r="BA260" i="103"/>
  <c r="BA239" i="103"/>
  <c r="BA225" i="103"/>
  <c r="BA232" i="103"/>
  <c r="BA58" i="103"/>
  <c r="BE300" i="103"/>
  <c r="BE278" i="103"/>
  <c r="BE260" i="103"/>
  <c r="BE239" i="103"/>
  <c r="BE225" i="103"/>
  <c r="BE232" i="103"/>
  <c r="BE58" i="103"/>
  <c r="T286" i="103" a="1"/>
  <c r="T286" i="103" s="1"/>
  <c r="T287" i="103"/>
  <c r="T280" i="103"/>
  <c r="T271" i="103"/>
  <c r="T266" i="103"/>
  <c r="T269" i="103"/>
  <c r="T265" i="103"/>
  <c r="T275" i="103"/>
  <c r="T268" i="103"/>
  <c r="T264" i="103"/>
  <c r="T273" i="103"/>
  <c r="T267" i="103"/>
  <c r="T262" i="103"/>
  <c r="T229" i="103"/>
  <c r="T227" i="103"/>
  <c r="T66" i="103"/>
  <c r="AA64" i="103"/>
  <c r="AE287" i="103"/>
  <c r="AE286" i="103" a="1"/>
  <c r="AE286" i="103" s="1"/>
  <c r="AE265" i="103"/>
  <c r="AE275" i="103"/>
  <c r="AE273" i="103"/>
  <c r="AE267" i="103"/>
  <c r="AE266" i="103"/>
  <c r="AE229" i="103"/>
  <c r="AE227" i="103"/>
  <c r="AE66" i="103"/>
  <c r="AE64" i="103"/>
  <c r="AE62" i="103"/>
  <c r="AI229" i="103"/>
  <c r="AI227" i="103"/>
  <c r="AI66" i="103"/>
  <c r="AI64" i="103"/>
  <c r="AP229" i="103"/>
  <c r="AP227" i="103"/>
  <c r="AP66" i="103"/>
  <c r="AT229" i="103"/>
  <c r="AT227" i="103"/>
  <c r="AT66" i="103"/>
  <c r="BA229" i="103"/>
  <c r="BA227" i="103"/>
  <c r="BA66" i="103"/>
  <c r="BA64" i="103"/>
  <c r="BA40" i="103"/>
  <c r="BA53" i="103" s="1"/>
  <c r="BE229" i="103"/>
  <c r="BE227" i="103"/>
  <c r="BE66" i="103"/>
  <c r="BE64" i="103"/>
  <c r="BE40" i="103"/>
  <c r="BE52" i="103" s="1"/>
  <c r="P21" i="103"/>
  <c r="P66" i="103" s="1"/>
  <c r="T21" i="103"/>
  <c r="T65" i="103" s="1"/>
  <c r="AA21" i="103"/>
  <c r="AE21" i="103"/>
  <c r="AI21" i="103"/>
  <c r="AP21" i="103"/>
  <c r="AP63" i="103" s="1"/>
  <c r="AT21" i="103"/>
  <c r="BA21" i="103"/>
  <c r="BE21" i="103"/>
  <c r="BE63" i="103" s="1"/>
  <c r="P22" i="103"/>
  <c r="T22" i="103"/>
  <c r="AA22" i="103"/>
  <c r="AE22" i="103"/>
  <c r="AI22" i="103"/>
  <c r="AP22" i="103"/>
  <c r="AT22" i="103"/>
  <c r="BA22" i="103"/>
  <c r="BE22" i="103"/>
  <c r="M24" i="103"/>
  <c r="R244" i="103"/>
  <c r="R243" i="103"/>
  <c r="R55" i="103" a="1"/>
  <c r="R55" i="103" s="1"/>
  <c r="V244" i="103"/>
  <c r="V243" i="103"/>
  <c r="V55" i="103" a="1"/>
  <c r="V55" i="103" s="1"/>
  <c r="AB244" i="103"/>
  <c r="AB243" i="103"/>
  <c r="AB241" i="103"/>
  <c r="AB55" i="103" a="1"/>
  <c r="AB55" i="103" s="1"/>
  <c r="AF244" i="103"/>
  <c r="AF243" i="103"/>
  <c r="AF241" i="103"/>
  <c r="AF55" i="103" a="1"/>
  <c r="AF55" i="103" s="1"/>
  <c r="AK24" i="103"/>
  <c r="AP244" i="103"/>
  <c r="AP243" i="103"/>
  <c r="AP241" i="103"/>
  <c r="AP55" i="103" a="1"/>
  <c r="AP55" i="103" s="1"/>
  <c r="AT244" i="103"/>
  <c r="AT243" i="103"/>
  <c r="AT241" i="103"/>
  <c r="AT55" i="103" a="1"/>
  <c r="AT55" i="103" s="1"/>
  <c r="AZ244" i="103"/>
  <c r="AZ243" i="103"/>
  <c r="AZ241" i="103"/>
  <c r="AZ55" i="103" a="1"/>
  <c r="AZ55" i="103" s="1"/>
  <c r="BD244" i="103"/>
  <c r="BD243" i="103"/>
  <c r="BD241" i="103"/>
  <c r="BD55" i="103" a="1"/>
  <c r="BD55" i="103" s="1"/>
  <c r="AC29" i="103"/>
  <c r="AG29" i="103"/>
  <c r="R31" i="103"/>
  <c r="R287" i="103" s="1"/>
  <c r="V31" i="103"/>
  <c r="V32" i="103" s="1"/>
  <c r="AB31" i="103"/>
  <c r="AB286" i="103" s="1" a="1"/>
  <c r="AB286" i="103" s="1"/>
  <c r="AF31" i="103"/>
  <c r="AF32" i="103" s="1"/>
  <c r="AP31" i="103"/>
  <c r="AP62" i="103" s="1"/>
  <c r="AT31" i="103"/>
  <c r="AT280" i="103" s="1"/>
  <c r="AZ31" i="103"/>
  <c r="AZ280" i="103" s="1"/>
  <c r="BD31" i="103"/>
  <c r="BD264" i="103" s="1"/>
  <c r="AO32" i="103"/>
  <c r="O34" i="103"/>
  <c r="S34" i="103"/>
  <c r="W34" i="103"/>
  <c r="AD34" i="103"/>
  <c r="AH34" i="103"/>
  <c r="AO34" i="103"/>
  <c r="AS34" i="103"/>
  <c r="AZ34" i="103"/>
  <c r="BD34" i="103"/>
  <c r="O35" i="103"/>
  <c r="S35" i="103"/>
  <c r="W35" i="103"/>
  <c r="AD35" i="103"/>
  <c r="AH35" i="103"/>
  <c r="AO35" i="103"/>
  <c r="AS35" i="103"/>
  <c r="AZ35" i="103"/>
  <c r="BD35" i="103"/>
  <c r="R38" i="103"/>
  <c r="V38" i="103"/>
  <c r="AB38" i="103"/>
  <c r="AF38" i="103"/>
  <c r="AP38" i="103"/>
  <c r="AT38" i="103"/>
  <c r="AZ38" i="103"/>
  <c r="BD38" i="103"/>
  <c r="O40" i="103"/>
  <c r="S40" i="103"/>
  <c r="S53" i="103" s="1"/>
  <c r="W40" i="103"/>
  <c r="AD40" i="103"/>
  <c r="AH40" i="103"/>
  <c r="AH60" i="103" s="1"/>
  <c r="AO40" i="103"/>
  <c r="AS40" i="103"/>
  <c r="AS61" i="103" s="1"/>
  <c r="AZ40" i="103"/>
  <c r="AZ60" i="103" s="1"/>
  <c r="BF40" i="103"/>
  <c r="BF60" i="103" s="1"/>
  <c r="V50" i="103"/>
  <c r="AE50" i="103"/>
  <c r="AR50" i="103"/>
  <c r="BA50" i="103"/>
  <c r="BF50" i="103"/>
  <c r="AN52" i="103"/>
  <c r="AS53" i="103"/>
  <c r="V58" i="103"/>
  <c r="AF58" i="103"/>
  <c r="AP58" i="103"/>
  <c r="AZ58" i="103"/>
  <c r="BD61" i="103"/>
  <c r="T64" i="103"/>
  <c r="AD64" i="103"/>
  <c r="AN64" i="103"/>
  <c r="AB199" i="103"/>
  <c r="AB200" i="103" s="1"/>
  <c r="AB132" i="103"/>
  <c r="M175" i="103"/>
  <c r="AZ158" i="103"/>
  <c r="AN158" i="103"/>
  <c r="AB158" i="103"/>
  <c r="P158" i="103"/>
  <c r="AW175" i="103"/>
  <c r="BC158" i="103"/>
  <c r="AY158" i="103"/>
  <c r="AQ158" i="103"/>
  <c r="AM158" i="103"/>
  <c r="AE158" i="103"/>
  <c r="AA158" i="103"/>
  <c r="S158" i="103"/>
  <c r="O158" i="103"/>
  <c r="AK175" i="103"/>
  <c r="BF158" i="103"/>
  <c r="BB158" i="103"/>
  <c r="AT158" i="103"/>
  <c r="AP158" i="103"/>
  <c r="AH158" i="103"/>
  <c r="AD158" i="103"/>
  <c r="V158" i="103"/>
  <c r="R158" i="103"/>
  <c r="Y175" i="103"/>
  <c r="BE158" i="103"/>
  <c r="BA158" i="103"/>
  <c r="AS158" i="103"/>
  <c r="AO158" i="103"/>
  <c r="AG158" i="103"/>
  <c r="AC158" i="103"/>
  <c r="U158" i="103"/>
  <c r="Q158" i="103"/>
  <c r="AB219" i="103"/>
  <c r="AB207" i="103"/>
  <c r="AB195" i="103"/>
  <c r="AB184" i="103"/>
  <c r="AB165" i="103"/>
  <c r="AB149" i="103"/>
  <c r="AB99" i="103"/>
  <c r="AB73" i="103"/>
  <c r="AF219" i="103"/>
  <c r="AF195" i="103"/>
  <c r="AF184" i="103"/>
  <c r="AF165" i="103"/>
  <c r="AF149" i="103"/>
  <c r="AF73" i="103"/>
  <c r="AM219" i="103"/>
  <c r="AM195" i="103"/>
  <c r="AM184" i="103"/>
  <c r="AM207" i="103"/>
  <c r="AM165" i="103"/>
  <c r="AM149" i="103"/>
  <c r="AM73" i="103"/>
  <c r="AM99" i="103"/>
  <c r="AQ219" i="103"/>
  <c r="AQ195" i="103"/>
  <c r="AQ184" i="103"/>
  <c r="AQ165" i="103"/>
  <c r="AQ149" i="103"/>
  <c r="AQ73" i="103"/>
  <c r="AU219" i="103"/>
  <c r="AU207" i="103"/>
  <c r="AU195" i="103"/>
  <c r="AU184" i="103"/>
  <c r="AU165" i="103"/>
  <c r="AU73" i="103"/>
  <c r="BB195" i="103"/>
  <c r="BB184" i="103"/>
  <c r="BB219" i="103"/>
  <c r="BB165" i="103"/>
  <c r="BB73" i="103"/>
  <c r="BB149" i="103"/>
  <c r="BF195" i="103"/>
  <c r="BF184" i="103"/>
  <c r="BF219" i="103"/>
  <c r="BF165" i="103"/>
  <c r="BF73" i="103"/>
  <c r="BF149" i="103"/>
  <c r="P300" i="103"/>
  <c r="P278" i="103"/>
  <c r="P260" i="103"/>
  <c r="P232" i="103"/>
  <c r="P225" i="103"/>
  <c r="P239" i="103"/>
  <c r="T300" i="103"/>
  <c r="T278" i="103"/>
  <c r="T260" i="103"/>
  <c r="T232" i="103"/>
  <c r="T225" i="103"/>
  <c r="T239" i="103"/>
  <c r="AD300" i="103"/>
  <c r="AD278" i="103"/>
  <c r="AD260" i="103"/>
  <c r="AD232" i="103"/>
  <c r="AD239" i="103"/>
  <c r="AD225" i="103"/>
  <c r="AH300" i="103"/>
  <c r="AH278" i="103"/>
  <c r="AH260" i="103"/>
  <c r="AH232" i="103"/>
  <c r="AH225" i="103"/>
  <c r="AH239" i="103"/>
  <c r="AN300" i="103"/>
  <c r="AN278" i="103"/>
  <c r="AN260" i="103"/>
  <c r="AN232" i="103"/>
  <c r="AN225" i="103"/>
  <c r="AN239" i="103"/>
  <c r="AR300" i="103"/>
  <c r="AR278" i="103"/>
  <c r="AR260" i="103"/>
  <c r="AR232" i="103"/>
  <c r="AR225" i="103"/>
  <c r="AR239" i="103"/>
  <c r="BB300" i="103"/>
  <c r="BB260" i="103"/>
  <c r="BB278" i="103"/>
  <c r="BB232" i="103"/>
  <c r="BB225" i="103"/>
  <c r="BB239" i="103"/>
  <c r="BF300" i="103"/>
  <c r="BF260" i="103"/>
  <c r="BF278" i="103"/>
  <c r="BF232" i="103"/>
  <c r="BF239" i="103"/>
  <c r="BF225" i="103"/>
  <c r="Q287" i="103"/>
  <c r="Q280" i="103"/>
  <c r="Q297" i="103" s="1"/>
  <c r="Q269" i="103"/>
  <c r="Q265" i="103"/>
  <c r="Q268" i="103"/>
  <c r="Q264" i="103"/>
  <c r="Q273" i="103"/>
  <c r="Q267" i="103"/>
  <c r="Q262" i="103"/>
  <c r="Q271" i="103"/>
  <c r="Q266" i="103"/>
  <c r="Q227" i="103"/>
  <c r="Q229" i="103"/>
  <c r="Q61" i="103"/>
  <c r="Q66" i="103"/>
  <c r="Q64" i="103"/>
  <c r="Q62" i="103"/>
  <c r="Q60" i="103"/>
  <c r="U269" i="103"/>
  <c r="U229" i="103"/>
  <c r="U227" i="103"/>
  <c r="U61" i="103"/>
  <c r="U66" i="103"/>
  <c r="U64" i="103"/>
  <c r="U62" i="103"/>
  <c r="U60" i="103"/>
  <c r="AB265" i="103"/>
  <c r="AB227" i="103"/>
  <c r="AB229" i="103"/>
  <c r="AB66" i="103"/>
  <c r="AF229" i="103"/>
  <c r="AF227" i="103"/>
  <c r="AF53" i="103"/>
  <c r="AF66" i="103"/>
  <c r="AQ229" i="103"/>
  <c r="AQ227" i="103"/>
  <c r="AQ66" i="103"/>
  <c r="AQ64" i="103"/>
  <c r="AQ61" i="103"/>
  <c r="AU227" i="103"/>
  <c r="AU229" i="103"/>
  <c r="AU66" i="103"/>
  <c r="AU64" i="103"/>
  <c r="BB286" i="103" a="1"/>
  <c r="BB286" i="103" s="1"/>
  <c r="BB287" i="103"/>
  <c r="BB280" i="103"/>
  <c r="BB271" i="103"/>
  <c r="BB266" i="103"/>
  <c r="BB269" i="103"/>
  <c r="BB265" i="103"/>
  <c r="BB275" i="103"/>
  <c r="BB268" i="103"/>
  <c r="BB264" i="103"/>
  <c r="BB273" i="103"/>
  <c r="BB267" i="103"/>
  <c r="BB262" i="103"/>
  <c r="BB229" i="103"/>
  <c r="BB227" i="103"/>
  <c r="BB66" i="103"/>
  <c r="BF286" i="103" a="1"/>
  <c r="BF286" i="103" s="1"/>
  <c r="BF287" i="103"/>
  <c r="BF280" i="103"/>
  <c r="BF275" i="103"/>
  <c r="BF271" i="103"/>
  <c r="BF266" i="103"/>
  <c r="BF269" i="103"/>
  <c r="BF265" i="103"/>
  <c r="BF268" i="103"/>
  <c r="BF264" i="103"/>
  <c r="BF273" i="103"/>
  <c r="BF267" i="103"/>
  <c r="BF262" i="103"/>
  <c r="BF227" i="103"/>
  <c r="BF229" i="103"/>
  <c r="BF66" i="103"/>
  <c r="BF53" i="103"/>
  <c r="Q21" i="103"/>
  <c r="Q63" i="103" s="1"/>
  <c r="U21" i="103"/>
  <c r="U63" i="103" s="1"/>
  <c r="AB21" i="103"/>
  <c r="AF21" i="103"/>
  <c r="AM21" i="103"/>
  <c r="AM64" i="103" s="1"/>
  <c r="AQ21" i="103"/>
  <c r="AU21" i="103"/>
  <c r="BB21" i="103"/>
  <c r="BB65" i="103" s="1"/>
  <c r="BF21" i="103"/>
  <c r="BF65" i="103" s="1"/>
  <c r="Q22" i="103"/>
  <c r="U22" i="103"/>
  <c r="AB22" i="103"/>
  <c r="AF22" i="103"/>
  <c r="AM22" i="103"/>
  <c r="AQ22" i="103"/>
  <c r="AU22" i="103"/>
  <c r="BB22" i="103"/>
  <c r="BF22" i="103"/>
  <c r="W75" i="103"/>
  <c r="W168" i="103" s="1"/>
  <c r="M68" i="103"/>
  <c r="V75" i="103"/>
  <c r="V154" i="103" s="1"/>
  <c r="M70" i="103"/>
  <c r="S244" i="103"/>
  <c r="S243" i="103"/>
  <c r="S55" i="103" a="1"/>
  <c r="S55" i="103" s="1"/>
  <c r="W244" i="103"/>
  <c r="W243" i="103"/>
  <c r="W55" i="103" a="1"/>
  <c r="W55" i="103" s="1"/>
  <c r="AC244" i="103"/>
  <c r="AC243" i="103"/>
  <c r="AC241" i="103"/>
  <c r="AC55" i="103" a="1"/>
  <c r="AC55" i="103" s="1"/>
  <c r="AG244" i="103"/>
  <c r="AG243" i="103"/>
  <c r="AG241" i="103"/>
  <c r="AG55" i="103" a="1"/>
  <c r="AG55" i="103" s="1"/>
  <c r="AU75" i="103"/>
  <c r="AU168" i="103" s="1"/>
  <c r="AT75" i="103"/>
  <c r="AT154" i="103" s="1"/>
  <c r="AK70" i="103"/>
  <c r="AU215" i="103" s="1"/>
  <c r="AK68" i="103"/>
  <c r="AQ244" i="103"/>
  <c r="AQ243" i="103"/>
  <c r="AQ241" i="103"/>
  <c r="AQ55" i="103" a="1"/>
  <c r="AQ55" i="103" s="1"/>
  <c r="AU244" i="103"/>
  <c r="AU243" i="103"/>
  <c r="AU241" i="103"/>
  <c r="AU55" i="103" a="1"/>
  <c r="AU55" i="103" s="1"/>
  <c r="BA244" i="103"/>
  <c r="BA243" i="103"/>
  <c r="BA241" i="103"/>
  <c r="BA55" i="103" a="1"/>
  <c r="BA55" i="103" s="1"/>
  <c r="BE244" i="103"/>
  <c r="BE243" i="103"/>
  <c r="BE241" i="103"/>
  <c r="BE55" i="103" a="1"/>
  <c r="BE55" i="103" s="1"/>
  <c r="AD29" i="103"/>
  <c r="AH29" i="103"/>
  <c r="BB29" i="103"/>
  <c r="S31" i="103"/>
  <c r="W31" i="103"/>
  <c r="AC31" i="103"/>
  <c r="AG31" i="103"/>
  <c r="AQ31" i="103"/>
  <c r="AQ286" i="103" s="1" a="1"/>
  <c r="AQ286" i="103" s="1"/>
  <c r="AU31" i="103"/>
  <c r="AU286" i="103" s="1" a="1"/>
  <c r="AU286" i="103" s="1"/>
  <c r="BA31" i="103"/>
  <c r="BA32" i="103" s="1"/>
  <c r="BE31" i="103"/>
  <c r="BE32" i="103" s="1"/>
  <c r="T32" i="103"/>
  <c r="AE32" i="103"/>
  <c r="AP32" i="103"/>
  <c r="P34" i="103"/>
  <c r="T34" i="103"/>
  <c r="AA34" i="103"/>
  <c r="AE34" i="103"/>
  <c r="AI34" i="103"/>
  <c r="AP34" i="103"/>
  <c r="AT34" i="103"/>
  <c r="BA34" i="103"/>
  <c r="BE34" i="103"/>
  <c r="P35" i="103"/>
  <c r="T35" i="103"/>
  <c r="AA35" i="103"/>
  <c r="AE35" i="103"/>
  <c r="AI35" i="103"/>
  <c r="AP35" i="103"/>
  <c r="AT35" i="103"/>
  <c r="BA35" i="103"/>
  <c r="BE35" i="103"/>
  <c r="O38" i="103"/>
  <c r="S38" i="103"/>
  <c r="W38" i="103"/>
  <c r="AC38" i="103"/>
  <c r="AG38" i="103"/>
  <c r="AM38" i="103"/>
  <c r="AQ38" i="103"/>
  <c r="AU38" i="103"/>
  <c r="BA38" i="103"/>
  <c r="BE38" i="103"/>
  <c r="P40" i="103"/>
  <c r="T40" i="103"/>
  <c r="T53" i="103" s="1"/>
  <c r="AA40" i="103"/>
  <c r="AE40" i="103"/>
  <c r="AI40" i="103"/>
  <c r="AP40" i="103"/>
  <c r="AP52" i="103" s="1"/>
  <c r="AT40" i="103"/>
  <c r="BB40" i="103"/>
  <c r="BG40" i="103"/>
  <c r="R50" i="103"/>
  <c r="AA50" i="103"/>
  <c r="AF50" i="103"/>
  <c r="AN50" i="103"/>
  <c r="AT50" i="103"/>
  <c r="BB50" i="103"/>
  <c r="BG50" i="103"/>
  <c r="O53" i="103"/>
  <c r="AM53" i="103"/>
  <c r="P58" i="103"/>
  <c r="AH58" i="103"/>
  <c r="AR58" i="103"/>
  <c r="BB58" i="103"/>
  <c r="R62" i="103"/>
  <c r="AH63" i="103"/>
  <c r="V64" i="103"/>
  <c r="AF64" i="103"/>
  <c r="AP64" i="103"/>
  <c r="AZ64" i="103"/>
  <c r="P199" i="103"/>
  <c r="P200" i="103" s="1"/>
  <c r="P132" i="103"/>
  <c r="E304" i="103"/>
  <c r="E243" i="103"/>
  <c r="E308" i="103"/>
  <c r="E247" i="103"/>
  <c r="P115" i="103"/>
  <c r="AC115" i="103"/>
  <c r="AY115" i="103"/>
  <c r="O119" i="103"/>
  <c r="AB119" i="103"/>
  <c r="AO119" i="103"/>
  <c r="Q134" i="103"/>
  <c r="AM134" i="103"/>
  <c r="E305" i="103"/>
  <c r="E244" i="103"/>
  <c r="E309" i="103"/>
  <c r="E248" i="103"/>
  <c r="Q115" i="103"/>
  <c r="AM115" i="103"/>
  <c r="AZ115" i="103"/>
  <c r="P119" i="103"/>
  <c r="AC119" i="103"/>
  <c r="AY119" i="103"/>
  <c r="AC131" i="103"/>
  <c r="AO131" i="103"/>
  <c r="BA131" i="103"/>
  <c r="AA134" i="103"/>
  <c r="E302" i="103"/>
  <c r="E241" i="103"/>
  <c r="E306" i="103"/>
  <c r="E245" i="103"/>
  <c r="AA115" i="103"/>
  <c r="AN115" i="103"/>
  <c r="BA115" i="103"/>
  <c r="Q119" i="103"/>
  <c r="AM119" i="103"/>
  <c r="AZ119" i="103"/>
  <c r="O134" i="103"/>
  <c r="E303" i="103"/>
  <c r="E242" i="103"/>
  <c r="E307" i="103"/>
  <c r="E246" i="103"/>
  <c r="O115" i="103"/>
  <c r="AB115" i="103"/>
  <c r="AO115" i="103"/>
  <c r="AA119" i="103"/>
  <c r="AN119" i="103"/>
  <c r="BA119" i="103"/>
  <c r="AY131" i="103"/>
  <c r="L39" i="24"/>
  <c r="L40" i="24" s="1"/>
  <c r="M39" i="24"/>
  <c r="M40" i="24" s="1"/>
  <c r="N39" i="24"/>
  <c r="N40" i="24" s="1"/>
  <c r="O39" i="24"/>
  <c r="O40" i="24" s="1"/>
  <c r="P39" i="24"/>
  <c r="P40" i="24" s="1"/>
  <c r="Q39" i="24"/>
  <c r="Q40" i="24" s="1"/>
  <c r="L41" i="24"/>
  <c r="M41" i="24"/>
  <c r="N41" i="24"/>
  <c r="O41" i="24"/>
  <c r="P41" i="24"/>
  <c r="Q41" i="24"/>
  <c r="L42" i="24"/>
  <c r="M42" i="24"/>
  <c r="N42" i="24"/>
  <c r="O42" i="24"/>
  <c r="P42" i="24"/>
  <c r="Q42" i="24"/>
  <c r="L43" i="24"/>
  <c r="M43" i="24"/>
  <c r="N43" i="24"/>
  <c r="O43" i="24"/>
  <c r="P43" i="24"/>
  <c r="Q43" i="24"/>
  <c r="V62" i="104" l="1"/>
  <c r="AE267" i="104"/>
  <c r="AE273" i="104"/>
  <c r="AD52" i="105"/>
  <c r="R271" i="105"/>
  <c r="S62" i="104"/>
  <c r="AE268" i="104"/>
  <c r="AE280" i="104"/>
  <c r="AO52" i="104"/>
  <c r="AE65" i="104"/>
  <c r="AE266" i="104"/>
  <c r="AE265" i="104"/>
  <c r="AE287" i="104"/>
  <c r="S268" i="105"/>
  <c r="R267" i="105"/>
  <c r="T32" i="107"/>
  <c r="BB266" i="107"/>
  <c r="AB269" i="107"/>
  <c r="AZ32" i="107"/>
  <c r="T273" i="107"/>
  <c r="AI239" i="107"/>
  <c r="AB264" i="107"/>
  <c r="T280" i="107"/>
  <c r="T288" i="107" s="1"/>
  <c r="AI38" i="107"/>
  <c r="AI58" i="107"/>
  <c r="AI278" i="107"/>
  <c r="AZ65" i="107"/>
  <c r="T271" i="107"/>
  <c r="AI232" i="107"/>
  <c r="BB294" i="107"/>
  <c r="BB282" i="107" a="1"/>
  <c r="BB282" i="107" s="1"/>
  <c r="AP29" i="107"/>
  <c r="AP14" i="107" s="1"/>
  <c r="AM3" i="107"/>
  <c r="AT29" i="107"/>
  <c r="AT14" i="107" s="1"/>
  <c r="AR29" i="107"/>
  <c r="BB267" i="107"/>
  <c r="Q61" i="107"/>
  <c r="AP65" i="107"/>
  <c r="AU29" i="107"/>
  <c r="AU187" i="107" s="1"/>
  <c r="T264" i="107"/>
  <c r="T286" i="107" a="1"/>
  <c r="T286" i="107" s="1"/>
  <c r="BF60" i="107"/>
  <c r="AR65" i="107"/>
  <c r="AS52" i="107"/>
  <c r="W52" i="107"/>
  <c r="AN29" i="107"/>
  <c r="BF282" i="107" a="1"/>
  <c r="BF282" i="107" s="1"/>
  <c r="BB273" i="107"/>
  <c r="BB265" i="107"/>
  <c r="BB286" i="107" a="1"/>
  <c r="BB286" i="107" s="1"/>
  <c r="AF265" i="107"/>
  <c r="AF262" i="107"/>
  <c r="AF264" i="107"/>
  <c r="AF286" i="107" a="1"/>
  <c r="AF286" i="107" s="1"/>
  <c r="V65" i="107"/>
  <c r="AF61" i="107"/>
  <c r="BC52" i="107"/>
  <c r="AS32" i="107"/>
  <c r="AQ29" i="107"/>
  <c r="AQ14" i="107" s="1"/>
  <c r="T262" i="107"/>
  <c r="T268" i="107"/>
  <c r="T269" i="107"/>
  <c r="T287" i="107"/>
  <c r="BB60" i="107"/>
  <c r="BF52" i="107"/>
  <c r="Q52" i="107"/>
  <c r="AR297" i="107"/>
  <c r="AE38" i="107"/>
  <c r="AO29" i="107"/>
  <c r="AE278" i="107"/>
  <c r="AM4" i="107"/>
  <c r="BB65" i="107"/>
  <c r="AD63" i="107"/>
  <c r="AP32" i="107"/>
  <c r="BB271" i="107"/>
  <c r="T62" i="107"/>
  <c r="Q53" i="107"/>
  <c r="T265" i="107"/>
  <c r="BF61" i="107"/>
  <c r="AS29" i="107"/>
  <c r="AS14" i="107" s="1"/>
  <c r="AE239" i="107"/>
  <c r="AM8" i="107"/>
  <c r="BB61" i="107"/>
  <c r="AO52" i="107"/>
  <c r="S52" i="107"/>
  <c r="BA32" i="107"/>
  <c r="BB264" i="107"/>
  <c r="AF269" i="107"/>
  <c r="AF267" i="107"/>
  <c r="AO32" i="107"/>
  <c r="AM29" i="107"/>
  <c r="T267" i="107"/>
  <c r="T275" i="107"/>
  <c r="AE58" i="107"/>
  <c r="AE300" i="107"/>
  <c r="AH63" i="106"/>
  <c r="BB52" i="106"/>
  <c r="AF65" i="106"/>
  <c r="AP32" i="106"/>
  <c r="AP28" i="106"/>
  <c r="AP291" i="106" s="1"/>
  <c r="R28" i="106"/>
  <c r="R291" i="106" s="1"/>
  <c r="AF61" i="106"/>
  <c r="AQ65" i="106"/>
  <c r="AE232" i="106"/>
  <c r="BB61" i="106"/>
  <c r="AE278" i="106"/>
  <c r="AT294" i="106"/>
  <c r="AT293" i="106" s="1"/>
  <c r="BF61" i="106"/>
  <c r="Q53" i="106"/>
  <c r="Q60" i="106"/>
  <c r="W264" i="106"/>
  <c r="W266" i="106"/>
  <c r="W287" i="106"/>
  <c r="AF297" i="106"/>
  <c r="AI32" i="106"/>
  <c r="AE225" i="106"/>
  <c r="AE300" i="106"/>
  <c r="AQ63" i="106"/>
  <c r="BF53" i="106"/>
  <c r="W268" i="106"/>
  <c r="W269" i="106"/>
  <c r="AG62" i="106"/>
  <c r="AE58" i="106"/>
  <c r="AE239" i="106"/>
  <c r="AM52" i="106"/>
  <c r="AM55" i="106" s="1" a="1"/>
  <c r="AM55" i="106" s="1"/>
  <c r="W275" i="106"/>
  <c r="W271" i="106"/>
  <c r="AE38" i="106"/>
  <c r="T32" i="106"/>
  <c r="AG60" i="105"/>
  <c r="AP62" i="105"/>
  <c r="AR32" i="105"/>
  <c r="S60" i="105"/>
  <c r="S287" i="105"/>
  <c r="R264" i="105"/>
  <c r="R269" i="105"/>
  <c r="R273" i="105"/>
  <c r="AP32" i="105"/>
  <c r="W58" i="105"/>
  <c r="AG53" i="105"/>
  <c r="BD52" i="105"/>
  <c r="R268" i="105"/>
  <c r="R280" i="105"/>
  <c r="R297" i="105" s="1"/>
  <c r="R287" i="105"/>
  <c r="R62" i="105"/>
  <c r="W260" i="105"/>
  <c r="AR61" i="105"/>
  <c r="BD53" i="105"/>
  <c r="BD294" i="105"/>
  <c r="S262" i="105"/>
  <c r="R262" i="105"/>
  <c r="R275" i="105"/>
  <c r="R266" i="105"/>
  <c r="AB65" i="105"/>
  <c r="AZ62" i="105"/>
  <c r="AH61" i="105"/>
  <c r="AZ65" i="105"/>
  <c r="AZ268" i="105"/>
  <c r="AZ275" i="105"/>
  <c r="AZ273" i="105"/>
  <c r="AO52" i="105"/>
  <c r="AH52" i="105"/>
  <c r="AH265" i="105"/>
  <c r="AH262" i="105"/>
  <c r="AH271" i="105"/>
  <c r="AH280" i="105"/>
  <c r="AH294" i="105" s="1"/>
  <c r="S62" i="105"/>
  <c r="S267" i="105"/>
  <c r="S275" i="105"/>
  <c r="S271" i="105"/>
  <c r="AU32" i="105"/>
  <c r="AB62" i="105"/>
  <c r="AB264" i="105"/>
  <c r="AB266" i="105"/>
  <c r="AB280" i="105"/>
  <c r="W225" i="105"/>
  <c r="W278" i="105"/>
  <c r="AZ264" i="105"/>
  <c r="AZ266" i="105"/>
  <c r="AZ286" i="105" a="1"/>
  <c r="AZ286" i="105" s="1"/>
  <c r="AO61" i="105"/>
  <c r="AH53" i="105"/>
  <c r="AH269" i="105"/>
  <c r="AH267" i="105"/>
  <c r="AH275" i="105"/>
  <c r="S273" i="105"/>
  <c r="S265" i="105"/>
  <c r="S286" i="105" a="1"/>
  <c r="S286" i="105" s="1"/>
  <c r="V162" i="105"/>
  <c r="V13" i="105" s="1"/>
  <c r="AT162" i="105"/>
  <c r="AT13" i="105" s="1"/>
  <c r="AB262" i="105"/>
  <c r="AB268" i="105"/>
  <c r="AB271" i="105"/>
  <c r="AB287" i="105"/>
  <c r="W232" i="105"/>
  <c r="W300" i="105"/>
  <c r="AZ262" i="105"/>
  <c r="AZ265" i="105"/>
  <c r="AZ271" i="105"/>
  <c r="AO60" i="105"/>
  <c r="AH273" i="105"/>
  <c r="AH264" i="105"/>
  <c r="AH286" i="105" a="1"/>
  <c r="AH286" i="105" s="1"/>
  <c r="S266" i="105"/>
  <c r="S264" i="105"/>
  <c r="S269" i="105"/>
  <c r="S280" i="105"/>
  <c r="AB267" i="105"/>
  <c r="AB275" i="105"/>
  <c r="W38" i="105"/>
  <c r="BE65" i="104"/>
  <c r="AH62" i="104"/>
  <c r="R61" i="104"/>
  <c r="BG61" i="104"/>
  <c r="AQ65" i="104"/>
  <c r="U65" i="104"/>
  <c r="AB262" i="104"/>
  <c r="AB286" i="104" a="1"/>
  <c r="AB286" i="104" s="1"/>
  <c r="AB287" i="104"/>
  <c r="U266" i="104"/>
  <c r="U268" i="104"/>
  <c r="U286" i="104" a="1"/>
  <c r="U286" i="104" s="1"/>
  <c r="U287" i="104"/>
  <c r="R60" i="104"/>
  <c r="AZ61" i="104"/>
  <c r="T60" i="104"/>
  <c r="R297" i="104"/>
  <c r="AQ62" i="104"/>
  <c r="R53" i="104"/>
  <c r="AB265" i="104"/>
  <c r="AB267" i="104"/>
  <c r="AB271" i="104"/>
  <c r="AB275" i="104"/>
  <c r="U262" i="104"/>
  <c r="U265" i="104"/>
  <c r="U273" i="104"/>
  <c r="AB62" i="104"/>
  <c r="BG53" i="104"/>
  <c r="AN52" i="104"/>
  <c r="S65" i="104"/>
  <c r="AP61" i="104"/>
  <c r="AB269" i="104"/>
  <c r="AB264" i="104"/>
  <c r="U267" i="104"/>
  <c r="U269" i="104"/>
  <c r="U275" i="104"/>
  <c r="AF269" i="103"/>
  <c r="BE53" i="103"/>
  <c r="AF268" i="103"/>
  <c r="U280" i="103"/>
  <c r="U284" i="103" s="1" a="1"/>
  <c r="U284" i="103" s="1"/>
  <c r="AS32" i="103"/>
  <c r="AH273" i="103"/>
  <c r="AR65" i="103"/>
  <c r="U264" i="103"/>
  <c r="BC29" i="103"/>
  <c r="U262" i="103"/>
  <c r="U268" i="103"/>
  <c r="U286" i="103" a="1"/>
  <c r="U286" i="103" s="1"/>
  <c r="AH265" i="103"/>
  <c r="AY29" i="103"/>
  <c r="AY4" i="103"/>
  <c r="U266" i="103"/>
  <c r="U267" i="103"/>
  <c r="U275" i="103"/>
  <c r="U287" i="103"/>
  <c r="BE29" i="103"/>
  <c r="BE14" i="103" s="1"/>
  <c r="BD29" i="103"/>
  <c r="AH280" i="103"/>
  <c r="AY8" i="103"/>
  <c r="V60" i="103"/>
  <c r="AT32" i="103"/>
  <c r="BF29" i="103"/>
  <c r="U271" i="103"/>
  <c r="U273" i="103"/>
  <c r="BA29" i="103"/>
  <c r="AZ29" i="103"/>
  <c r="BF202" i="107"/>
  <c r="BF204" i="107" s="1"/>
  <c r="AU60" i="107"/>
  <c r="W29" i="107"/>
  <c r="AB60" i="107"/>
  <c r="J24" i="107"/>
  <c r="AU53" i="107"/>
  <c r="U29" i="107"/>
  <c r="O4" i="107"/>
  <c r="AH202" i="107"/>
  <c r="AH204" i="107" s="1"/>
  <c r="T29" i="107"/>
  <c r="AY53" i="107"/>
  <c r="S29" i="107"/>
  <c r="S14" i="107" s="1"/>
  <c r="Q29" i="107"/>
  <c r="O5" i="107"/>
  <c r="P29" i="107"/>
  <c r="P186" i="107" s="1"/>
  <c r="P14" i="107" s="1"/>
  <c r="BF297" i="107"/>
  <c r="O29" i="107"/>
  <c r="O3" i="107"/>
  <c r="AH29" i="106"/>
  <c r="AR53" i="106"/>
  <c r="AA8" i="106"/>
  <c r="AG29" i="106"/>
  <c r="AA29" i="106"/>
  <c r="AF29" i="106"/>
  <c r="AC29" i="106"/>
  <c r="AB29" i="106"/>
  <c r="AB186" i="106" s="1"/>
  <c r="AB14" i="106" s="1"/>
  <c r="BB294" i="106"/>
  <c r="BB293" i="106" s="1"/>
  <c r="J24" i="106"/>
  <c r="AA3" i="106"/>
  <c r="AA5" i="106"/>
  <c r="AF29" i="105"/>
  <c r="AH297" i="105"/>
  <c r="V61" i="105"/>
  <c r="AE29" i="105"/>
  <c r="AC29" i="105"/>
  <c r="AH29" i="105"/>
  <c r="AH14" i="105" s="1"/>
  <c r="AA5" i="105"/>
  <c r="AB29" i="105"/>
  <c r="AA29" i="105"/>
  <c r="T61" i="105"/>
  <c r="AA3" i="105"/>
  <c r="T52" i="105"/>
  <c r="P52" i="105"/>
  <c r="P55" i="105" s="1" a="1"/>
  <c r="P55" i="105" s="1"/>
  <c r="AD29" i="105"/>
  <c r="AD14" i="105" s="1"/>
  <c r="AB294" i="105"/>
  <c r="AB293" i="105" s="1"/>
  <c r="AA4" i="105"/>
  <c r="BD53" i="104"/>
  <c r="AH52" i="104"/>
  <c r="AU53" i="104"/>
  <c r="BE52" i="104"/>
  <c r="U29" i="104"/>
  <c r="U14" i="104" s="1"/>
  <c r="T29" i="104"/>
  <c r="AH61" i="104"/>
  <c r="AC52" i="104"/>
  <c r="O29" i="104"/>
  <c r="O5" i="104"/>
  <c r="V29" i="104"/>
  <c r="V14" i="104" s="1"/>
  <c r="Q29" i="104"/>
  <c r="V297" i="104"/>
  <c r="BD52" i="104"/>
  <c r="O52" i="104"/>
  <c r="O55" i="104" s="1" a="1"/>
  <c r="O55" i="104" s="1"/>
  <c r="P29" i="104"/>
  <c r="V60" i="104"/>
  <c r="V52" i="104"/>
  <c r="AH282" i="105" a="1"/>
  <c r="AH282" i="105" s="1"/>
  <c r="BE32" i="105"/>
  <c r="AS267" i="106"/>
  <c r="AQ262" i="106"/>
  <c r="AQ267" i="106"/>
  <c r="BG265" i="106"/>
  <c r="V60" i="106"/>
  <c r="BA62" i="106"/>
  <c r="BA52" i="106"/>
  <c r="BA268" i="106"/>
  <c r="BE287" i="107"/>
  <c r="AP266" i="107"/>
  <c r="BD273" i="107"/>
  <c r="AS65" i="107"/>
  <c r="AO266" i="107"/>
  <c r="S61" i="107"/>
  <c r="AR268" i="107"/>
  <c r="V286" i="107" a="1"/>
  <c r="V286" i="107" s="1"/>
  <c r="R280" i="107"/>
  <c r="R294" i="107" s="1"/>
  <c r="AE232" i="107"/>
  <c r="V162" i="107"/>
  <c r="V13" i="107" s="1"/>
  <c r="AU52" i="103"/>
  <c r="AB53" i="103"/>
  <c r="AH32" i="103"/>
  <c r="AI271" i="103"/>
  <c r="AH264" i="103"/>
  <c r="AH269" i="103"/>
  <c r="AH286" i="103" a="1"/>
  <c r="AH286" i="103" s="1"/>
  <c r="AM53" i="104"/>
  <c r="BG282" i="104" a="1"/>
  <c r="BG282" i="104" s="1"/>
  <c r="AC280" i="104"/>
  <c r="AC294" i="104" s="1"/>
  <c r="V282" i="104" a="1"/>
  <c r="V282" i="104" s="1"/>
  <c r="AP65" i="104"/>
  <c r="AT62" i="104"/>
  <c r="BD282" i="105" a="1"/>
  <c r="BD282" i="105" s="1"/>
  <c r="AS287" i="106"/>
  <c r="BB282" i="106" a="1"/>
  <c r="BB282" i="106" s="1"/>
  <c r="AQ264" i="106"/>
  <c r="AQ287" i="106"/>
  <c r="BG273" i="106"/>
  <c r="BE60" i="106"/>
  <c r="BA280" i="106"/>
  <c r="BA297" i="106" s="1"/>
  <c r="AQ269" i="107"/>
  <c r="AP267" i="107"/>
  <c r="BD286" i="107" a="1"/>
  <c r="BD286" i="107" s="1"/>
  <c r="AZ280" i="107"/>
  <c r="AZ297" i="107" s="1"/>
  <c r="AS264" i="107"/>
  <c r="AO262" i="107"/>
  <c r="W61" i="107"/>
  <c r="BG262" i="107"/>
  <c r="AR286" i="107" a="1"/>
  <c r="AR286" i="107" s="1"/>
  <c r="V265" i="107"/>
  <c r="AZ65" i="103"/>
  <c r="P63" i="103"/>
  <c r="BF61" i="103"/>
  <c r="AU61" i="103"/>
  <c r="AB280" i="103"/>
  <c r="AB294" i="103" s="1"/>
  <c r="AB293" i="103" s="1"/>
  <c r="AB61" i="103"/>
  <c r="BB63" i="103"/>
  <c r="AT62" i="103"/>
  <c r="AD61" i="103"/>
  <c r="AU53" i="103"/>
  <c r="AF267" i="103"/>
  <c r="AB264" i="103"/>
  <c r="Q275" i="103"/>
  <c r="Q286" i="103" a="1"/>
  <c r="Q286" i="103" s="1"/>
  <c r="AH159" i="103"/>
  <c r="BF159" i="103"/>
  <c r="R61" i="103"/>
  <c r="R52" i="103"/>
  <c r="AD32" i="103"/>
  <c r="AI264" i="103"/>
  <c r="AE271" i="103"/>
  <c r="AE264" i="103"/>
  <c r="AE269" i="103"/>
  <c r="AB60" i="103"/>
  <c r="AH262" i="103"/>
  <c r="AH268" i="103"/>
  <c r="AH266" i="103"/>
  <c r="AH287" i="103"/>
  <c r="AD268" i="103"/>
  <c r="AD280" i="103"/>
  <c r="AD294" i="103" s="1"/>
  <c r="AR65" i="104"/>
  <c r="AF61" i="104"/>
  <c r="BG267" i="104"/>
  <c r="BG271" i="104"/>
  <c r="AC264" i="104"/>
  <c r="AH202" i="104"/>
  <c r="AH204" i="104" s="1"/>
  <c r="AI63" i="104"/>
  <c r="AC60" i="104"/>
  <c r="AZ53" i="104"/>
  <c r="AD52" i="104"/>
  <c r="AY52" i="104"/>
  <c r="AI266" i="104"/>
  <c r="AI268" i="104"/>
  <c r="AI273" i="104"/>
  <c r="AI286" i="104" a="1"/>
  <c r="AI286" i="104" s="1"/>
  <c r="AI62" i="104"/>
  <c r="BB60" i="106"/>
  <c r="AQ265" i="106"/>
  <c r="AQ271" i="106"/>
  <c r="BG65" i="106"/>
  <c r="BG275" i="106"/>
  <c r="AG264" i="106"/>
  <c r="AQ62" i="107"/>
  <c r="AQ65" i="107"/>
  <c r="BA268" i="107"/>
  <c r="AP268" i="107"/>
  <c r="AI294" i="107"/>
  <c r="BD265" i="107"/>
  <c r="AZ267" i="107"/>
  <c r="AS269" i="107"/>
  <c r="AO268" i="107"/>
  <c r="AR282" i="107" a="1"/>
  <c r="AR282" i="107" s="1"/>
  <c r="BG268" i="107"/>
  <c r="AG273" i="107"/>
  <c r="V262" i="107"/>
  <c r="AR63" i="103"/>
  <c r="AB62" i="103"/>
  <c r="AB287" i="103"/>
  <c r="AH62" i="103"/>
  <c r="AI269" i="103"/>
  <c r="AE262" i="103"/>
  <c r="AE268" i="103"/>
  <c r="AH267" i="103"/>
  <c r="AH275" i="103"/>
  <c r="AD262" i="103"/>
  <c r="AD265" i="103"/>
  <c r="AD286" i="103" a="1"/>
  <c r="AD286" i="103" s="1"/>
  <c r="T62" i="104"/>
  <c r="AD60" i="104"/>
  <c r="W53" i="104"/>
  <c r="AP52" i="104"/>
  <c r="AC266" i="104"/>
  <c r="V162" i="104"/>
  <c r="V13" i="104" s="1"/>
  <c r="AT162" i="104"/>
  <c r="AT13" i="104" s="1"/>
  <c r="W65" i="104"/>
  <c r="AS61" i="104"/>
  <c r="W60" i="104"/>
  <c r="AP53" i="104"/>
  <c r="AE297" i="104"/>
  <c r="AT32" i="104"/>
  <c r="AI262" i="104"/>
  <c r="AI265" i="104"/>
  <c r="AS280" i="106"/>
  <c r="AQ275" i="106"/>
  <c r="AQ273" i="106"/>
  <c r="AI52" i="106"/>
  <c r="AE60" i="106"/>
  <c r="R62" i="107"/>
  <c r="BD266" i="107"/>
  <c r="AZ268" i="107"/>
  <c r="AO62" i="107"/>
  <c r="AO286" i="107" a="1"/>
  <c r="AO286" i="107" s="1"/>
  <c r="S286" i="107" a="1"/>
  <c r="S286" i="107" s="1"/>
  <c r="BG280" i="107"/>
  <c r="BG284" i="107" s="1" a="1"/>
  <c r="BG284" i="107" s="1"/>
  <c r="AR262" i="107"/>
  <c r="V264" i="107"/>
  <c r="R271" i="107"/>
  <c r="AC264" i="106"/>
  <c r="BA132" i="107"/>
  <c r="BA199" i="107" s="1"/>
  <c r="AE282" i="107" a="1"/>
  <c r="AE282" i="107" s="1"/>
  <c r="AE61" i="107"/>
  <c r="AE53" i="107"/>
  <c r="AE297" i="107"/>
  <c r="W215" i="107"/>
  <c r="J70" i="107"/>
  <c r="AU27" i="107"/>
  <c r="AU26" i="107"/>
  <c r="AU267" i="107"/>
  <c r="AN50" i="107"/>
  <c r="AN52" i="107"/>
  <c r="AI216" i="107"/>
  <c r="Y215" i="107"/>
  <c r="AH287" i="107"/>
  <c r="AH269" i="107"/>
  <c r="AH264" i="107"/>
  <c r="AH267" i="107"/>
  <c r="AH32" i="107"/>
  <c r="AH286" i="107" a="1"/>
  <c r="AH286" i="107" s="1"/>
  <c r="AH265" i="107"/>
  <c r="AH262" i="107"/>
  <c r="AH62" i="107"/>
  <c r="AH271" i="107"/>
  <c r="AH275" i="107"/>
  <c r="AH280" i="107"/>
  <c r="AH282" i="107" s="1" a="1"/>
  <c r="AH282" i="107" s="1"/>
  <c r="AD65" i="103"/>
  <c r="BC52" i="103"/>
  <c r="AF266" i="103"/>
  <c r="AF273" i="103"/>
  <c r="AF275" i="103"/>
  <c r="AR62" i="103"/>
  <c r="AI65" i="103"/>
  <c r="AI262" i="103"/>
  <c r="AI268" i="103"/>
  <c r="AI280" i="103"/>
  <c r="AF61" i="103"/>
  <c r="BD61" i="104"/>
  <c r="AT52" i="104"/>
  <c r="AA52" i="104"/>
  <c r="BC297" i="104"/>
  <c r="AC268" i="104"/>
  <c r="AC262" i="104"/>
  <c r="AC282" i="104" a="1"/>
  <c r="AC282" i="104" s="1"/>
  <c r="AC287" i="104"/>
  <c r="R265" i="104"/>
  <c r="R267" i="104"/>
  <c r="R273" i="104"/>
  <c r="R287" i="104"/>
  <c r="AC62" i="104"/>
  <c r="O50" i="104"/>
  <c r="Q262" i="104"/>
  <c r="Q268" i="104"/>
  <c r="Q273" i="104"/>
  <c r="BC53" i="104"/>
  <c r="BC52" i="104"/>
  <c r="AG52" i="104"/>
  <c r="AZ297" i="104"/>
  <c r="Q62" i="104"/>
  <c r="AT65" i="105"/>
  <c r="AN63" i="105"/>
  <c r="AE52" i="105"/>
  <c r="AZ294" i="105"/>
  <c r="W275" i="105"/>
  <c r="W268" i="105"/>
  <c r="W271" i="105"/>
  <c r="AY52" i="105"/>
  <c r="AY55" i="105" s="1" a="1"/>
  <c r="AY55" i="105" s="1"/>
  <c r="V268" i="105"/>
  <c r="V275" i="105"/>
  <c r="V287" i="105"/>
  <c r="AT62" i="105"/>
  <c r="AT32" i="105"/>
  <c r="AB282" i="105" a="1"/>
  <c r="AB282" i="105" s="1"/>
  <c r="AE61" i="105"/>
  <c r="BB65" i="106"/>
  <c r="AZ282" i="106" a="1"/>
  <c r="AZ282" i="106" s="1"/>
  <c r="W65" i="106"/>
  <c r="AS264" i="106"/>
  <c r="AS273" i="106"/>
  <c r="AU62" i="106"/>
  <c r="AF53" i="106"/>
  <c r="AQ266" i="106"/>
  <c r="AQ269" i="106"/>
  <c r="AQ286" i="106" a="1"/>
  <c r="AQ286" i="106" s="1"/>
  <c r="V32" i="106"/>
  <c r="AY52" i="106"/>
  <c r="AY55" i="106" s="1" a="1"/>
  <c r="AY55" i="106" s="1"/>
  <c r="AG267" i="106"/>
  <c r="AC60" i="106"/>
  <c r="AC53" i="106"/>
  <c r="AC61" i="106"/>
  <c r="AC262" i="106"/>
  <c r="AC268" i="106"/>
  <c r="BA28" i="106"/>
  <c r="BA291" i="106" s="1"/>
  <c r="BA286" i="106" a="1"/>
  <c r="BA286" i="106" s="1"/>
  <c r="AI61" i="106"/>
  <c r="AI53" i="106"/>
  <c r="AE60" i="107"/>
  <c r="AT60" i="107"/>
  <c r="AT52" i="107"/>
  <c r="AT61" i="107"/>
  <c r="AA53" i="107"/>
  <c r="AA50" i="107"/>
  <c r="AA52" i="107"/>
  <c r="AA55" i="107" s="1" a="1"/>
  <c r="AA55" i="107" s="1"/>
  <c r="BE32" i="107"/>
  <c r="AQ32" i="107"/>
  <c r="AQ287" i="107"/>
  <c r="AQ280" i="107"/>
  <c r="AQ265" i="107"/>
  <c r="AQ264" i="107"/>
  <c r="AQ286" i="107" a="1"/>
  <c r="AQ286" i="107" s="1"/>
  <c r="AQ273" i="107"/>
  <c r="AQ271" i="107"/>
  <c r="AQ267" i="107"/>
  <c r="AQ266" i="107"/>
  <c r="AQ275" i="107"/>
  <c r="W273" i="107"/>
  <c r="W266" i="107"/>
  <c r="W280" i="107"/>
  <c r="W294" i="107" s="1"/>
  <c r="W267" i="107"/>
  <c r="W269" i="107"/>
  <c r="W275" i="107"/>
  <c r="W65" i="107"/>
  <c r="W287" i="107"/>
  <c r="W262" i="107"/>
  <c r="W265" i="107"/>
  <c r="W268" i="107"/>
  <c r="W62" i="107"/>
  <c r="AN186" i="107"/>
  <c r="AN14" i="107" s="1"/>
  <c r="W309" i="107"/>
  <c r="S309" i="107"/>
  <c r="U309" i="107"/>
  <c r="Q309" i="107"/>
  <c r="T309" i="107"/>
  <c r="R309" i="107"/>
  <c r="V309" i="107"/>
  <c r="T248" i="107"/>
  <c r="W248" i="107"/>
  <c r="S248" i="107"/>
  <c r="V248" i="107"/>
  <c r="R248" i="107"/>
  <c r="U248" i="107"/>
  <c r="Q248" i="107"/>
  <c r="V171" i="107"/>
  <c r="V187" i="107" s="1"/>
  <c r="BB284" i="107" a="1"/>
  <c r="BB284" i="107" s="1"/>
  <c r="BB288" i="107"/>
  <c r="BB283" i="107" a="1"/>
  <c r="BB283" i="107" s="1"/>
  <c r="BB297" i="107"/>
  <c r="AU65" i="107"/>
  <c r="AU266" i="107"/>
  <c r="AU273" i="107"/>
  <c r="AQ268" i="107"/>
  <c r="AZ60" i="107"/>
  <c r="AZ282" i="107" a="1"/>
  <c r="AZ282" i="107" s="1"/>
  <c r="AD297" i="107"/>
  <c r="AD294" i="107"/>
  <c r="AD53" i="107"/>
  <c r="AD60" i="107"/>
  <c r="AF65" i="107"/>
  <c r="AU14" i="107"/>
  <c r="BA62" i="107"/>
  <c r="BA280" i="107"/>
  <c r="BA282" i="107" s="1" a="1"/>
  <c r="BA282" i="107" s="1"/>
  <c r="AT271" i="107"/>
  <c r="AN53" i="107"/>
  <c r="AH266" i="107"/>
  <c r="AD282" i="107" a="1"/>
  <c r="AD282" i="107" s="1"/>
  <c r="W271" i="107"/>
  <c r="BC62" i="107"/>
  <c r="BC286" i="107" a="1"/>
  <c r="BC286" i="107" s="1"/>
  <c r="AC266" i="107"/>
  <c r="AA53" i="106"/>
  <c r="BA53" i="107"/>
  <c r="BA61" i="107"/>
  <c r="BA60" i="107"/>
  <c r="AU287" i="107"/>
  <c r="AU262" i="107"/>
  <c r="AU269" i="107"/>
  <c r="AU264" i="107"/>
  <c r="AU32" i="107"/>
  <c r="AU309" i="107"/>
  <c r="AQ309" i="107"/>
  <c r="AT309" i="107"/>
  <c r="AP309" i="107"/>
  <c r="AS309" i="107"/>
  <c r="AO309" i="107"/>
  <c r="AR309" i="107"/>
  <c r="AR248" i="107"/>
  <c r="AU248" i="107"/>
  <c r="AQ248" i="107"/>
  <c r="AT248" i="107"/>
  <c r="AP248" i="107"/>
  <c r="AS248" i="107"/>
  <c r="AO248" i="107"/>
  <c r="AT171" i="107"/>
  <c r="AT187" i="107" s="1"/>
  <c r="AB26" i="107"/>
  <c r="AB27" i="107"/>
  <c r="AB63" i="107"/>
  <c r="AI293" i="107"/>
  <c r="AI296" i="107" a="1"/>
  <c r="AI296" i="107" s="1"/>
  <c r="BG282" i="107" a="1"/>
  <c r="BG282" i="107" s="1"/>
  <c r="BG61" i="107"/>
  <c r="BG52" i="107"/>
  <c r="R52" i="107"/>
  <c r="BG297" i="107"/>
  <c r="AC268" i="107"/>
  <c r="AF60" i="103"/>
  <c r="AF271" i="103"/>
  <c r="AF280" i="103"/>
  <c r="AF297" i="103" s="1"/>
  <c r="AF287" i="103"/>
  <c r="BC53" i="103"/>
  <c r="AI62" i="103"/>
  <c r="AI267" i="103"/>
  <c r="AI275" i="103"/>
  <c r="AI286" i="103" a="1"/>
  <c r="AI286" i="103" s="1"/>
  <c r="AG53" i="104"/>
  <c r="AC265" i="104"/>
  <c r="AC267" i="104"/>
  <c r="AC286" i="104" a="1"/>
  <c r="AC286" i="104" s="1"/>
  <c r="AC297" i="104"/>
  <c r="R269" i="104"/>
  <c r="R264" i="104"/>
  <c r="R286" i="104" a="1"/>
  <c r="R286" i="104" s="1"/>
  <c r="BA62" i="104"/>
  <c r="AI294" i="104"/>
  <c r="Q65" i="104"/>
  <c r="Q267" i="104"/>
  <c r="Q265" i="104"/>
  <c r="Q275" i="104"/>
  <c r="V62" i="105"/>
  <c r="AT60" i="105"/>
  <c r="BG32" i="105"/>
  <c r="V32" i="105"/>
  <c r="AZ52" i="105"/>
  <c r="W262" i="105"/>
  <c r="W265" i="105"/>
  <c r="W286" i="105" a="1"/>
  <c r="W286" i="105" s="1"/>
  <c r="BB32" i="105"/>
  <c r="AG61" i="105"/>
  <c r="V262" i="105"/>
  <c r="V269" i="105"/>
  <c r="V280" i="105"/>
  <c r="V288" i="105" s="1"/>
  <c r="V286" i="105" a="1"/>
  <c r="V286" i="105" s="1"/>
  <c r="AT52" i="105"/>
  <c r="AB52" i="105"/>
  <c r="AS297" i="106"/>
  <c r="AO62" i="106"/>
  <c r="AC32" i="106"/>
  <c r="AS266" i="106"/>
  <c r="AS275" i="106"/>
  <c r="BE32" i="106"/>
  <c r="AU265" i="106"/>
  <c r="AF282" i="106" a="1"/>
  <c r="AF282" i="106" s="1"/>
  <c r="AF294" i="106"/>
  <c r="AF293" i="106" s="1"/>
  <c r="AC62" i="106"/>
  <c r="AE52" i="106"/>
  <c r="AH65" i="107"/>
  <c r="AP60" i="107"/>
  <c r="AP52" i="107"/>
  <c r="AP61" i="107"/>
  <c r="T53" i="107"/>
  <c r="T52" i="107"/>
  <c r="T60" i="107"/>
  <c r="T297" i="107"/>
  <c r="T61" i="107"/>
  <c r="BE286" i="107" a="1"/>
  <c r="BE286" i="107" s="1"/>
  <c r="BE271" i="107"/>
  <c r="BE269" i="107"/>
  <c r="BE264" i="107"/>
  <c r="BE273" i="107"/>
  <c r="BE266" i="107"/>
  <c r="BE265" i="107"/>
  <c r="BE267" i="107"/>
  <c r="BE275" i="107"/>
  <c r="BE65" i="107"/>
  <c r="S273" i="107"/>
  <c r="S266" i="107"/>
  <c r="S280" i="107"/>
  <c r="S267" i="107"/>
  <c r="S269" i="107"/>
  <c r="S275" i="107"/>
  <c r="S65" i="107"/>
  <c r="S32" i="107"/>
  <c r="S287" i="107"/>
  <c r="S262" i="107"/>
  <c r="S265" i="107"/>
  <c r="S268" i="107"/>
  <c r="S62" i="107"/>
  <c r="AK215" i="107"/>
  <c r="AU216" i="107"/>
  <c r="BF27" i="107"/>
  <c r="BF26" i="107"/>
  <c r="BF65" i="107"/>
  <c r="AM27" i="107"/>
  <c r="AM26" i="107"/>
  <c r="AM50" i="107"/>
  <c r="AM64" i="107"/>
  <c r="Q27" i="107"/>
  <c r="Q26" i="107"/>
  <c r="Q63" i="107"/>
  <c r="AU268" i="107"/>
  <c r="AU271" i="107"/>
  <c r="AM63" i="107"/>
  <c r="W297" i="107"/>
  <c r="AB62" i="107"/>
  <c r="AB287" i="107"/>
  <c r="AB280" i="107"/>
  <c r="AB271" i="107"/>
  <c r="AB265" i="107"/>
  <c r="AB32" i="107"/>
  <c r="AB65" i="107"/>
  <c r="AB286" i="107" a="1"/>
  <c r="AB286" i="107" s="1"/>
  <c r="AB275" i="107"/>
  <c r="AB273" i="107"/>
  <c r="AB266" i="107"/>
  <c r="AB268" i="107"/>
  <c r="AB267" i="107"/>
  <c r="BE62" i="107"/>
  <c r="BE280" i="107"/>
  <c r="BE297" i="107" s="1"/>
  <c r="AT267" i="107"/>
  <c r="AE294" i="107"/>
  <c r="J68" i="107"/>
  <c r="P53" i="107"/>
  <c r="AC32" i="107"/>
  <c r="AO27" i="107"/>
  <c r="AO26" i="107"/>
  <c r="AO63" i="107"/>
  <c r="S27" i="107"/>
  <c r="S26" i="107"/>
  <c r="S63" i="107"/>
  <c r="W286" i="107" a="1"/>
  <c r="W286" i="107" s="1"/>
  <c r="R61" i="107"/>
  <c r="AE52" i="107"/>
  <c r="AQ53" i="107"/>
  <c r="AQ61" i="107"/>
  <c r="AQ60" i="107"/>
  <c r="U60" i="107"/>
  <c r="U61" i="107"/>
  <c r="U52" i="107"/>
  <c r="BB62" i="107"/>
  <c r="BB287" i="107"/>
  <c r="BB269" i="107"/>
  <c r="BB268" i="107"/>
  <c r="BB262" i="107"/>
  <c r="BB32" i="107"/>
  <c r="BG27" i="107"/>
  <c r="BG26" i="107"/>
  <c r="BG63" i="107"/>
  <c r="AN27" i="107"/>
  <c r="AN26" i="107"/>
  <c r="AN64" i="107"/>
  <c r="AN55" i="107" a="1"/>
  <c r="AN55" i="107" s="1"/>
  <c r="R26" i="107"/>
  <c r="R27" i="107"/>
  <c r="R63" i="107"/>
  <c r="AQ52" i="107"/>
  <c r="AU280" i="106"/>
  <c r="AU294" i="106" s="1"/>
  <c r="AC286" i="107" a="1"/>
  <c r="AC286" i="107" s="1"/>
  <c r="AC262" i="107"/>
  <c r="AC269" i="107"/>
  <c r="AC264" i="107"/>
  <c r="AC62" i="107"/>
  <c r="AC280" i="107"/>
  <c r="AC297" i="107" s="1"/>
  <c r="AC265" i="107"/>
  <c r="AC273" i="107"/>
  <c r="AC271" i="107"/>
  <c r="AC275" i="107"/>
  <c r="BB296" i="107" a="1"/>
  <c r="BB296" i="107" s="1"/>
  <c r="BB293" i="107"/>
  <c r="AU62" i="107"/>
  <c r="AU63" i="107"/>
  <c r="AU265" i="107"/>
  <c r="BC280" i="107"/>
  <c r="BC297" i="107" s="1"/>
  <c r="BC275" i="107"/>
  <c r="BC267" i="107"/>
  <c r="BC65" i="107"/>
  <c r="BC32" i="107"/>
  <c r="BC269" i="107"/>
  <c r="BC268" i="107"/>
  <c r="BC262" i="107"/>
  <c r="BC287" i="107"/>
  <c r="BC265" i="107"/>
  <c r="BC264" i="107"/>
  <c r="BC271" i="107"/>
  <c r="AC65" i="107"/>
  <c r="AT162" i="107"/>
  <c r="AT13" i="107" s="1"/>
  <c r="BD62" i="103"/>
  <c r="AC53" i="103"/>
  <c r="AI32" i="103"/>
  <c r="AF265" i="103"/>
  <c r="AF262" i="103"/>
  <c r="AF264" i="103"/>
  <c r="AF286" i="103" a="1"/>
  <c r="AF286" i="103" s="1"/>
  <c r="AI266" i="103"/>
  <c r="AI273" i="103"/>
  <c r="AI265" i="103"/>
  <c r="AR32" i="103"/>
  <c r="BF62" i="104"/>
  <c r="AD62" i="104"/>
  <c r="AT61" i="104"/>
  <c r="AB297" i="104"/>
  <c r="BG294" i="104"/>
  <c r="BG296" i="104" s="1" a="1"/>
  <c r="BG296" i="104" s="1"/>
  <c r="AG297" i="104"/>
  <c r="AC269" i="104"/>
  <c r="AC275" i="104"/>
  <c r="AC273" i="104"/>
  <c r="R266" i="104"/>
  <c r="R268" i="104"/>
  <c r="R275" i="104"/>
  <c r="AI61" i="104"/>
  <c r="Q271" i="104"/>
  <c r="Q269" i="104"/>
  <c r="Q280" i="104"/>
  <c r="Q288" i="104" s="1"/>
  <c r="AO62" i="104"/>
  <c r="AB60" i="105"/>
  <c r="W62" i="105"/>
  <c r="W267" i="105"/>
  <c r="W273" i="105"/>
  <c r="V65" i="105"/>
  <c r="V267" i="105"/>
  <c r="V265" i="105"/>
  <c r="AB60" i="106"/>
  <c r="AU65" i="106"/>
  <c r="AU52" i="106"/>
  <c r="AB52" i="106"/>
  <c r="AS262" i="106"/>
  <c r="AS265" i="106"/>
  <c r="AS286" i="106" a="1"/>
  <c r="AS286" i="106" s="1"/>
  <c r="W62" i="106"/>
  <c r="BB297" i="106"/>
  <c r="AU275" i="106"/>
  <c r="AT28" i="106"/>
  <c r="AT291" i="106" s="1"/>
  <c r="AG60" i="106"/>
  <c r="AG53" i="106"/>
  <c r="AG61" i="106"/>
  <c r="AG280" i="106"/>
  <c r="AG294" i="106" s="1"/>
  <c r="BA60" i="106"/>
  <c r="BA65" i="106"/>
  <c r="BA266" i="106"/>
  <c r="AE61" i="106"/>
  <c r="R60" i="107"/>
  <c r="BE52" i="107"/>
  <c r="BE61" i="107"/>
  <c r="BE60" i="107"/>
  <c r="BE53" i="107"/>
  <c r="AI52" i="107"/>
  <c r="AI282" i="107" a="1"/>
  <c r="AI282" i="107" s="1"/>
  <c r="AI61" i="107"/>
  <c r="AI297" i="107"/>
  <c r="AI53" i="107"/>
  <c r="P52" i="107"/>
  <c r="P55" i="107" s="1" a="1"/>
  <c r="P55" i="107" s="1"/>
  <c r="BA286" i="107" a="1"/>
  <c r="BA286" i="107" s="1"/>
  <c r="BA262" i="107"/>
  <c r="BA269" i="107"/>
  <c r="BA264" i="107"/>
  <c r="BA271" i="107"/>
  <c r="BA265" i="107"/>
  <c r="BA273" i="107"/>
  <c r="BA266" i="107"/>
  <c r="BA275" i="107"/>
  <c r="BA65" i="107"/>
  <c r="AG287" i="107"/>
  <c r="AG267" i="107"/>
  <c r="AG266" i="107"/>
  <c r="AG268" i="107"/>
  <c r="AG65" i="107"/>
  <c r="AG32" i="107"/>
  <c r="AG286" i="107" a="1"/>
  <c r="AG286" i="107" s="1"/>
  <c r="AG262" i="107"/>
  <c r="AG269" i="107"/>
  <c r="AG264" i="107"/>
  <c r="AG62" i="107"/>
  <c r="AG280" i="107"/>
  <c r="AG282" i="107" s="1" a="1"/>
  <c r="AG282" i="107" s="1"/>
  <c r="AG265" i="107"/>
  <c r="AK168" i="107"/>
  <c r="AU169" i="107"/>
  <c r="W169" i="107"/>
  <c r="M168" i="107"/>
  <c r="BB27" i="107"/>
  <c r="BB26" i="107"/>
  <c r="BB63" i="107"/>
  <c r="AF26" i="107"/>
  <c r="AF27" i="107"/>
  <c r="BF284" i="107" a="1"/>
  <c r="BF284" i="107" s="1"/>
  <c r="BF288" i="107"/>
  <c r="BF283" i="107" a="1"/>
  <c r="BF283" i="107" s="1"/>
  <c r="BF294" i="107"/>
  <c r="AU275" i="107"/>
  <c r="AU280" i="107"/>
  <c r="Q65" i="107"/>
  <c r="S297" i="107"/>
  <c r="AT268" i="107"/>
  <c r="AT262" i="107"/>
  <c r="AT266" i="107"/>
  <c r="AT287" i="107"/>
  <c r="AT264" i="107"/>
  <c r="AT269" i="107"/>
  <c r="AT286" i="107" a="1"/>
  <c r="AT286" i="107" s="1"/>
  <c r="AT273" i="107"/>
  <c r="AT280" i="107"/>
  <c r="AT282" i="107" s="1" a="1"/>
  <c r="AT282" i="107" s="1"/>
  <c r="AT265" i="107"/>
  <c r="V288" i="107"/>
  <c r="V284" i="107" a="1"/>
  <c r="V284" i="107" s="1"/>
  <c r="V283" i="107" a="1"/>
  <c r="V283" i="107" s="1"/>
  <c r="AT26" i="107"/>
  <c r="AT27" i="107"/>
  <c r="AT63" i="107"/>
  <c r="AA27" i="107"/>
  <c r="AA26" i="107"/>
  <c r="AA63" i="107"/>
  <c r="BE262" i="107"/>
  <c r="BA287" i="107"/>
  <c r="AT275" i="107"/>
  <c r="V297" i="107"/>
  <c r="U280" i="107"/>
  <c r="U294" i="107" s="1"/>
  <c r="U273" i="107"/>
  <c r="U271" i="107"/>
  <c r="U287" i="107"/>
  <c r="U275" i="107"/>
  <c r="U267" i="107"/>
  <c r="U266" i="107"/>
  <c r="U62" i="107"/>
  <c r="U32" i="107"/>
  <c r="U286" i="107" a="1"/>
  <c r="U286" i="107" s="1"/>
  <c r="U269" i="107"/>
  <c r="U268" i="107"/>
  <c r="U262" i="107"/>
  <c r="U65" i="107"/>
  <c r="AW168" i="107"/>
  <c r="BG169" i="107"/>
  <c r="AH273" i="107"/>
  <c r="W264" i="107"/>
  <c r="S271" i="107"/>
  <c r="AR288" i="107"/>
  <c r="AR284" i="107" a="1"/>
  <c r="AR284" i="107" s="1"/>
  <c r="AR283" i="107" a="1"/>
  <c r="AR283" i="107" s="1"/>
  <c r="BG60" i="107"/>
  <c r="BG288" i="107"/>
  <c r="BC273" i="107"/>
  <c r="AG271" i="107"/>
  <c r="AC287" i="107"/>
  <c r="AT62" i="107"/>
  <c r="W32" i="107"/>
  <c r="U53" i="107"/>
  <c r="AF284" i="107" a="1"/>
  <c r="AF284" i="107" s="1"/>
  <c r="AF288" i="107"/>
  <c r="AF283" i="107" a="1"/>
  <c r="AF283" i="107" s="1"/>
  <c r="AP26" i="107"/>
  <c r="AP27" i="107"/>
  <c r="T27" i="107"/>
  <c r="T26" i="107"/>
  <c r="AP271" i="107"/>
  <c r="AP273" i="107"/>
  <c r="AP275" i="107"/>
  <c r="BD62" i="107"/>
  <c r="AH60" i="107"/>
  <c r="AH53" i="107"/>
  <c r="V32" i="107"/>
  <c r="BG216" i="107"/>
  <c r="AW215" i="107"/>
  <c r="BE309" i="107"/>
  <c r="BA309" i="107"/>
  <c r="BD309" i="107"/>
  <c r="AZ309" i="107"/>
  <c r="BG309" i="107"/>
  <c r="BC309" i="107"/>
  <c r="BF309" i="107"/>
  <c r="BB309" i="107"/>
  <c r="BF248" i="107"/>
  <c r="BB248" i="107"/>
  <c r="BE248" i="107"/>
  <c r="BA248" i="107"/>
  <c r="BD248" i="107"/>
  <c r="AZ248" i="107"/>
  <c r="BG248" i="107"/>
  <c r="BC248" i="107"/>
  <c r="AY248" i="107"/>
  <c r="BF171" i="107"/>
  <c r="BD26" i="107"/>
  <c r="BD27" i="107"/>
  <c r="AH27" i="107"/>
  <c r="AH26" i="107"/>
  <c r="O27" i="107"/>
  <c r="O26" i="107"/>
  <c r="BD269" i="107"/>
  <c r="BD271" i="107"/>
  <c r="BD264" i="107"/>
  <c r="BD287" i="107"/>
  <c r="AZ266" i="107"/>
  <c r="AZ273" i="107"/>
  <c r="AZ275" i="107"/>
  <c r="AS62" i="107"/>
  <c r="AS266" i="107"/>
  <c r="AS262" i="107"/>
  <c r="AS268" i="107"/>
  <c r="AS286" i="107" a="1"/>
  <c r="AS286" i="107" s="1"/>
  <c r="AO61" i="107"/>
  <c r="AO271" i="107"/>
  <c r="AO267" i="107"/>
  <c r="AO275" i="107"/>
  <c r="AO287" i="107"/>
  <c r="O63" i="107"/>
  <c r="AG53" i="107"/>
  <c r="AF32" i="107"/>
  <c r="BC27" i="107"/>
  <c r="BC26" i="107"/>
  <c r="AG27" i="107"/>
  <c r="AG26" i="107"/>
  <c r="BG62" i="107"/>
  <c r="BG266" i="107"/>
  <c r="BG267" i="107"/>
  <c r="BG275" i="107"/>
  <c r="BG286" i="107" a="1"/>
  <c r="BG286" i="107" s="1"/>
  <c r="BC61" i="107"/>
  <c r="AY63" i="107"/>
  <c r="AR267" i="107"/>
  <c r="AR275" i="107"/>
  <c r="AR266" i="107"/>
  <c r="AR287" i="107"/>
  <c r="AG60" i="107"/>
  <c r="AG61" i="107"/>
  <c r="AC294" i="107"/>
  <c r="V269" i="107"/>
  <c r="V267" i="107"/>
  <c r="V268" i="107"/>
  <c r="V287" i="107"/>
  <c r="R265" i="107"/>
  <c r="R262" i="107"/>
  <c r="R264" i="107"/>
  <c r="R286" i="107" a="1"/>
  <c r="R286" i="107" s="1"/>
  <c r="W53" i="107"/>
  <c r="AF296" i="107" a="1"/>
  <c r="AF296" i="107" s="1"/>
  <c r="AF293" i="107"/>
  <c r="Q288" i="107"/>
  <c r="Q283" i="107" a="1"/>
  <c r="Q283" i="107" s="1"/>
  <c r="Q284" i="107" a="1"/>
  <c r="Q284" i="107" s="1"/>
  <c r="Q294" i="107"/>
  <c r="BE27" i="107"/>
  <c r="BE26" i="107"/>
  <c r="AI27" i="107"/>
  <c r="AI26" i="107"/>
  <c r="P27" i="107"/>
  <c r="P26" i="107"/>
  <c r="AP265" i="107"/>
  <c r="AP280" i="107"/>
  <c r="AP286" i="107" a="1"/>
  <c r="AP286" i="107" s="1"/>
  <c r="R32" i="107"/>
  <c r="AZ26" i="107"/>
  <c r="AZ27" i="107"/>
  <c r="AD27" i="107"/>
  <c r="AD26" i="107"/>
  <c r="BD280" i="107"/>
  <c r="BD294" i="107" s="1"/>
  <c r="BD262" i="107"/>
  <c r="BD268" i="107"/>
  <c r="AZ265" i="107"/>
  <c r="AZ271" i="107"/>
  <c r="AZ286" i="107" a="1"/>
  <c r="AZ286" i="107" s="1"/>
  <c r="AS61" i="107"/>
  <c r="AS271" i="107"/>
  <c r="AS267" i="107"/>
  <c r="AS275" i="107"/>
  <c r="AS287" i="107"/>
  <c r="AO280" i="107"/>
  <c r="AO294" i="107" s="1"/>
  <c r="AO273" i="107"/>
  <c r="AO265" i="107"/>
  <c r="S294" i="107"/>
  <c r="O64" i="107"/>
  <c r="AC53" i="107"/>
  <c r="AH29" i="107"/>
  <c r="AD29" i="107"/>
  <c r="AA8" i="107"/>
  <c r="AG29" i="107"/>
  <c r="AC29" i="107"/>
  <c r="AA5" i="107"/>
  <c r="AF29" i="107"/>
  <c r="AB29" i="107"/>
  <c r="AI29" i="107"/>
  <c r="AE29" i="107"/>
  <c r="AA29" i="107"/>
  <c r="AA4" i="107"/>
  <c r="AA3" i="107"/>
  <c r="AY27" i="107"/>
  <c r="AY26" i="107"/>
  <c r="AC27" i="107"/>
  <c r="AC26" i="107"/>
  <c r="BG271" i="107"/>
  <c r="BG273" i="107"/>
  <c r="BG265" i="107"/>
  <c r="BG287" i="107"/>
  <c r="BC63" i="107"/>
  <c r="AR273" i="107"/>
  <c r="AR265" i="107"/>
  <c r="AR271" i="107"/>
  <c r="AR294" i="107"/>
  <c r="AG63" i="107"/>
  <c r="AC60" i="107"/>
  <c r="AC61" i="107"/>
  <c r="AC282" i="107" a="1"/>
  <c r="AC282" i="107" s="1"/>
  <c r="V266" i="107"/>
  <c r="V273" i="107"/>
  <c r="V275" i="107"/>
  <c r="V294" i="107"/>
  <c r="R269" i="107"/>
  <c r="R267" i="107"/>
  <c r="R268" i="107"/>
  <c r="R287" i="107"/>
  <c r="AH162" i="107"/>
  <c r="AH13" i="107" s="1"/>
  <c r="BF162" i="107"/>
  <c r="BF13" i="107" s="1"/>
  <c r="BD65" i="107"/>
  <c r="S53" i="107"/>
  <c r="Q32" i="107"/>
  <c r="T65" i="107"/>
  <c r="BF62" i="107"/>
  <c r="AQ27" i="107"/>
  <c r="AQ26" i="107"/>
  <c r="U27" i="107"/>
  <c r="U26" i="107"/>
  <c r="AF282" i="107" a="1"/>
  <c r="AF282" i="107" s="1"/>
  <c r="AF297" i="107"/>
  <c r="Q282" i="107" a="1"/>
  <c r="Q282" i="107" s="1"/>
  <c r="Q297" i="107"/>
  <c r="V159" i="107"/>
  <c r="AT159" i="107"/>
  <c r="AS53" i="107"/>
  <c r="BD32" i="107"/>
  <c r="W187" i="107"/>
  <c r="W14" i="107"/>
  <c r="BA27" i="107"/>
  <c r="BA26" i="107"/>
  <c r="AE27" i="107"/>
  <c r="AE26" i="107"/>
  <c r="AP269" i="107"/>
  <c r="AP262" i="107"/>
  <c r="AP264" i="107"/>
  <c r="AI63" i="107"/>
  <c r="AI288" i="107"/>
  <c r="AI284" i="107" a="1"/>
  <c r="AI284" i="107" s="1"/>
  <c r="AI283" i="107" a="1"/>
  <c r="AI283" i="107" s="1"/>
  <c r="AE63" i="107"/>
  <c r="AE288" i="107"/>
  <c r="AE284" i="107" a="1"/>
  <c r="AE284" i="107" s="1"/>
  <c r="AE283" i="107" a="1"/>
  <c r="AE283" i="107" s="1"/>
  <c r="R14" i="107"/>
  <c r="AG309" i="107"/>
  <c r="AC309" i="107"/>
  <c r="AI309" i="107"/>
  <c r="AE309" i="107"/>
  <c r="AD309" i="107"/>
  <c r="AB309" i="107"/>
  <c r="AH309" i="107"/>
  <c r="AF309" i="107"/>
  <c r="AH248" i="107"/>
  <c r="AD248" i="107"/>
  <c r="AG248" i="107"/>
  <c r="AC248" i="107"/>
  <c r="AF248" i="107"/>
  <c r="AB248" i="107"/>
  <c r="AI248" i="107"/>
  <c r="AE248" i="107"/>
  <c r="AH171" i="107"/>
  <c r="AI169" i="107"/>
  <c r="Y168" i="107"/>
  <c r="AS27" i="107"/>
  <c r="AS26" i="107"/>
  <c r="W27" i="107"/>
  <c r="W26" i="107"/>
  <c r="BD267" i="107"/>
  <c r="AZ269" i="107"/>
  <c r="AZ262" i="107"/>
  <c r="AZ264" i="107"/>
  <c r="AS63" i="107"/>
  <c r="AS280" i="107"/>
  <c r="AS273" i="107"/>
  <c r="AO65" i="107"/>
  <c r="AO282" i="107" a="1"/>
  <c r="AO282" i="107" s="1"/>
  <c r="AO264" i="107"/>
  <c r="AD288" i="107"/>
  <c r="AD284" i="107" a="1"/>
  <c r="AD284" i="107" s="1"/>
  <c r="AD283" i="107" a="1"/>
  <c r="AD283" i="107" s="1"/>
  <c r="P66" i="107"/>
  <c r="R65" i="107"/>
  <c r="AP63" i="107"/>
  <c r="U14" i="107"/>
  <c r="BF29" i="107"/>
  <c r="BB29" i="107"/>
  <c r="BE29" i="107"/>
  <c r="BA29" i="107"/>
  <c r="AY4" i="107"/>
  <c r="AY3" i="107"/>
  <c r="BD29" i="107"/>
  <c r="AZ29" i="107"/>
  <c r="AY8" i="107"/>
  <c r="BG29" i="107"/>
  <c r="BC29" i="107"/>
  <c r="AY29" i="107"/>
  <c r="AY5" i="107"/>
  <c r="AR27" i="107"/>
  <c r="AR26" i="107"/>
  <c r="V26" i="107"/>
  <c r="V27" i="107"/>
  <c r="BG65" i="107"/>
  <c r="BG264" i="107"/>
  <c r="AR264" i="107"/>
  <c r="AR269" i="107"/>
  <c r="AC63" i="107"/>
  <c r="V271" i="107"/>
  <c r="V282" i="107" a="1"/>
  <c r="V282" i="107" s="1"/>
  <c r="R266" i="107"/>
  <c r="R273" i="107"/>
  <c r="AZ63" i="107"/>
  <c r="P63" i="107"/>
  <c r="W296" i="106" a="1"/>
  <c r="W296" i="106" s="1"/>
  <c r="W293" i="106"/>
  <c r="BG61" i="105"/>
  <c r="AU267" i="105"/>
  <c r="AF268" i="105"/>
  <c r="AF269" i="105"/>
  <c r="AF280" i="105"/>
  <c r="AF282" i="105" s="1" a="1"/>
  <c r="AF282" i="105" s="1"/>
  <c r="BA132" i="106"/>
  <c r="AI169" i="106"/>
  <c r="Y168" i="106"/>
  <c r="AH61" i="106"/>
  <c r="AZ60" i="106"/>
  <c r="AO61" i="106"/>
  <c r="AO52" i="106"/>
  <c r="S60" i="106"/>
  <c r="S53" i="106"/>
  <c r="S52" i="106"/>
  <c r="S297" i="106"/>
  <c r="BE309" i="106"/>
  <c r="BA309" i="106"/>
  <c r="BG309" i="106"/>
  <c r="BC309" i="106"/>
  <c r="AZ309" i="106"/>
  <c r="BF309" i="106"/>
  <c r="BD309" i="106"/>
  <c r="BB309" i="106"/>
  <c r="BD248" i="106"/>
  <c r="AZ248" i="106"/>
  <c r="BG248" i="106"/>
  <c r="BC248" i="106"/>
  <c r="AY248" i="106"/>
  <c r="BF248" i="106"/>
  <c r="BB248" i="106"/>
  <c r="BE248" i="106"/>
  <c r="BA248" i="106"/>
  <c r="BF171" i="106"/>
  <c r="AG309" i="106"/>
  <c r="AC309" i="106"/>
  <c r="AI309" i="106"/>
  <c r="AE309" i="106"/>
  <c r="AF309" i="106"/>
  <c r="AD309" i="106"/>
  <c r="AB309" i="106"/>
  <c r="AH309" i="106"/>
  <c r="AF248" i="106"/>
  <c r="AB248" i="106"/>
  <c r="AI248" i="106"/>
  <c r="AE248" i="106"/>
  <c r="AH248" i="106"/>
  <c r="AD248" i="106"/>
  <c r="AG248" i="106"/>
  <c r="AC248" i="106"/>
  <c r="AH171" i="106"/>
  <c r="W215" i="106"/>
  <c r="J70" i="106"/>
  <c r="AS60" i="106"/>
  <c r="Q32" i="106"/>
  <c r="Q268" i="106"/>
  <c r="Q265" i="106"/>
  <c r="Q269" i="106"/>
  <c r="Q287" i="106"/>
  <c r="Q286" i="106" a="1"/>
  <c r="Q286" i="106" s="1"/>
  <c r="Q271" i="106"/>
  <c r="Q262" i="106"/>
  <c r="Q280" i="106"/>
  <c r="Q282" i="106" s="1" a="1"/>
  <c r="Q282" i="106" s="1"/>
  <c r="Q273" i="106"/>
  <c r="Q264" i="106"/>
  <c r="Q266" i="106"/>
  <c r="Q65" i="106"/>
  <c r="Q275" i="106"/>
  <c r="Q267" i="106"/>
  <c r="AZ288" i="106"/>
  <c r="AZ284" i="106" a="1"/>
  <c r="AZ284" i="106" s="1"/>
  <c r="AZ283" i="106" a="1"/>
  <c r="AZ283" i="106" s="1"/>
  <c r="AO262" i="106"/>
  <c r="AO269" i="106"/>
  <c r="AO286" i="106" a="1"/>
  <c r="AO286" i="106" s="1"/>
  <c r="AH288" i="106"/>
  <c r="AH283" i="106" a="1"/>
  <c r="AH283" i="106" s="1"/>
  <c r="AH284" i="106" a="1"/>
  <c r="AH284" i="106" s="1"/>
  <c r="W288" i="106"/>
  <c r="W283" i="106" a="1"/>
  <c r="W283" i="106" s="1"/>
  <c r="W284" i="106" a="1"/>
  <c r="W284" i="106" s="1"/>
  <c r="S288" i="106"/>
  <c r="S284" i="106" a="1"/>
  <c r="S284" i="106" s="1"/>
  <c r="S283" i="106" a="1"/>
  <c r="S283" i="106" s="1"/>
  <c r="S282" i="106" a="1"/>
  <c r="S282" i="106" s="1"/>
  <c r="AD60" i="106"/>
  <c r="AU271" i="104"/>
  <c r="AG297" i="105"/>
  <c r="AU65" i="105"/>
  <c r="AU265" i="105"/>
  <c r="AO132" i="106"/>
  <c r="AO199" i="106" s="1"/>
  <c r="AI216" i="106"/>
  <c r="Y215" i="106"/>
  <c r="AD61" i="106"/>
  <c r="BD52" i="106"/>
  <c r="BD53" i="106"/>
  <c r="BD61" i="106"/>
  <c r="AH52" i="106"/>
  <c r="AH60" i="106"/>
  <c r="AH297" i="106"/>
  <c r="O50" i="106"/>
  <c r="O53" i="106"/>
  <c r="O52" i="106"/>
  <c r="O55" i="106" s="1" a="1"/>
  <c r="O55" i="106" s="1"/>
  <c r="W61" i="106"/>
  <c r="AO60" i="106"/>
  <c r="AD53" i="106"/>
  <c r="AO27" i="106"/>
  <c r="AO26" i="106"/>
  <c r="AO63" i="106"/>
  <c r="S27" i="106"/>
  <c r="S26" i="106"/>
  <c r="BD282" i="106" a="1"/>
  <c r="BD282" i="106" s="1"/>
  <c r="AS288" i="106"/>
  <c r="AS283" i="106" a="1"/>
  <c r="AS283" i="106" s="1"/>
  <c r="AS284" i="106" a="1"/>
  <c r="AS284" i="106" s="1"/>
  <c r="AO264" i="106"/>
  <c r="AP288" i="106"/>
  <c r="AP284" i="106" a="1"/>
  <c r="AP284" i="106" s="1"/>
  <c r="AP283" i="106" a="1"/>
  <c r="AP283" i="106" s="1"/>
  <c r="AP294" i="106"/>
  <c r="AD267" i="103"/>
  <c r="AD275" i="103"/>
  <c r="AD271" i="103"/>
  <c r="V294" i="104"/>
  <c r="V296" i="104" s="1" a="1"/>
  <c r="V296" i="104" s="1"/>
  <c r="BE60" i="104"/>
  <c r="AE62" i="104"/>
  <c r="AZ282" i="105" a="1"/>
  <c r="AZ282" i="105" s="1"/>
  <c r="AU280" i="105"/>
  <c r="AU297" i="105" s="1"/>
  <c r="AZ52" i="106"/>
  <c r="AZ53" i="106"/>
  <c r="AZ61" i="106"/>
  <c r="AZ297" i="106"/>
  <c r="S61" i="106"/>
  <c r="AO32" i="106"/>
  <c r="AO65" i="106"/>
  <c r="AO287" i="106"/>
  <c r="AO273" i="106"/>
  <c r="AO265" i="106"/>
  <c r="AO280" i="106"/>
  <c r="AO294" i="106" s="1"/>
  <c r="BD27" i="106"/>
  <c r="BD26" i="106"/>
  <c r="BD63" i="106"/>
  <c r="BD65" i="106"/>
  <c r="AH26" i="106"/>
  <c r="AH27" i="106"/>
  <c r="O27" i="106"/>
  <c r="O26" i="106"/>
  <c r="O64" i="106"/>
  <c r="BD288" i="106"/>
  <c r="BD283" i="106" a="1"/>
  <c r="BD283" i="106" s="1"/>
  <c r="BD284" i="106" a="1"/>
  <c r="BD284" i="106" s="1"/>
  <c r="BD294" i="106"/>
  <c r="AZ294" i="106"/>
  <c r="AO268" i="106"/>
  <c r="AO297" i="106"/>
  <c r="AH282" i="106" a="1"/>
  <c r="AH282" i="106" s="1"/>
  <c r="AH294" i="106"/>
  <c r="AD282" i="106" a="1"/>
  <c r="AD282" i="106" s="1"/>
  <c r="AD294" i="106"/>
  <c r="W282" i="106" a="1"/>
  <c r="W282" i="106" s="1"/>
  <c r="S294" i="106"/>
  <c r="AQ60" i="106"/>
  <c r="AQ53" i="106"/>
  <c r="U61" i="106"/>
  <c r="AT296" i="106" a="1"/>
  <c r="AT296" i="106" s="1"/>
  <c r="AG282" i="104" a="1"/>
  <c r="AG282" i="104" s="1"/>
  <c r="AU62" i="104"/>
  <c r="W62" i="104"/>
  <c r="BD60" i="104"/>
  <c r="AE264" i="104"/>
  <c r="AE271" i="104"/>
  <c r="AS62" i="104"/>
  <c r="U62" i="104"/>
  <c r="BB61" i="105"/>
  <c r="AD53" i="105"/>
  <c r="AD266" i="105"/>
  <c r="AD273" i="105"/>
  <c r="AD286" i="105" a="1"/>
  <c r="AD286" i="105" s="1"/>
  <c r="AD62" i="105"/>
  <c r="BG53" i="105"/>
  <c r="BG52" i="105"/>
  <c r="AY64" i="105"/>
  <c r="AN50" i="105"/>
  <c r="AC63" i="105"/>
  <c r="AF264" i="105"/>
  <c r="AF266" i="105"/>
  <c r="AW168" i="106"/>
  <c r="BG169" i="106"/>
  <c r="BD60" i="106"/>
  <c r="AS61" i="106"/>
  <c r="AS294" i="106"/>
  <c r="AS52" i="106"/>
  <c r="W60" i="106"/>
  <c r="W53" i="106"/>
  <c r="W52" i="106"/>
  <c r="U32" i="106"/>
  <c r="U275" i="106"/>
  <c r="U267" i="106"/>
  <c r="U264" i="106"/>
  <c r="U268" i="106"/>
  <c r="U262" i="106"/>
  <c r="U286" i="106" a="1"/>
  <c r="U286" i="106" s="1"/>
  <c r="U287" i="106"/>
  <c r="U269" i="106"/>
  <c r="U271" i="106"/>
  <c r="U280" i="106"/>
  <c r="U282" i="106" s="1" a="1"/>
  <c r="U282" i="106" s="1"/>
  <c r="U273" i="106"/>
  <c r="U265" i="106"/>
  <c r="U266" i="106"/>
  <c r="U65" i="106"/>
  <c r="AZ27" i="106"/>
  <c r="AZ26" i="106"/>
  <c r="AZ63" i="106"/>
  <c r="AZ65" i="106"/>
  <c r="AD26" i="106"/>
  <c r="AD27" i="106"/>
  <c r="BD297" i="106"/>
  <c r="AS282" i="106" a="1"/>
  <c r="AS282" i="106" s="1"/>
  <c r="AO271" i="106"/>
  <c r="AO266" i="106"/>
  <c r="AO275" i="106"/>
  <c r="AD297" i="106"/>
  <c r="W297" i="106"/>
  <c r="BF297" i="106"/>
  <c r="BF294" i="106"/>
  <c r="BF282" i="106" a="1"/>
  <c r="BF282" i="106" s="1"/>
  <c r="Q294" i="106"/>
  <c r="AP297" i="106"/>
  <c r="AK215" i="106"/>
  <c r="AU216" i="106"/>
  <c r="AQ27" i="106"/>
  <c r="AQ26" i="106"/>
  <c r="U27" i="106"/>
  <c r="U26" i="106"/>
  <c r="BB288" i="106"/>
  <c r="BB284" i="106" a="1"/>
  <c r="BB284" i="106" s="1"/>
  <c r="BB283" i="106" a="1"/>
  <c r="BB283" i="106" s="1"/>
  <c r="AU267" i="106"/>
  <c r="AU266" i="106"/>
  <c r="AU273" i="106"/>
  <c r="AU297" i="106"/>
  <c r="AF288" i="106"/>
  <c r="AF284" i="106" a="1"/>
  <c r="AF284" i="106" s="1"/>
  <c r="AF283" i="106" a="1"/>
  <c r="AF283" i="106" s="1"/>
  <c r="AT14" i="106"/>
  <c r="P186" i="106"/>
  <c r="P14" i="106" s="1"/>
  <c r="V27" i="106"/>
  <c r="V26" i="106"/>
  <c r="BG60" i="106"/>
  <c r="BG271" i="106"/>
  <c r="BG266" i="106"/>
  <c r="BG286" i="106" a="1"/>
  <c r="BG286" i="106" s="1"/>
  <c r="BC61" i="106"/>
  <c r="BC62" i="106"/>
  <c r="BC52" i="106"/>
  <c r="BC262" i="106"/>
  <c r="BC265" i="106"/>
  <c r="BC280" i="106"/>
  <c r="AR60" i="106"/>
  <c r="AR65" i="106"/>
  <c r="AR264" i="106"/>
  <c r="AR273" i="106"/>
  <c r="AR269" i="106"/>
  <c r="AR287" i="106"/>
  <c r="AN50" i="106"/>
  <c r="AG268" i="106"/>
  <c r="AG275" i="106"/>
  <c r="AG271" i="106"/>
  <c r="AG287" i="106"/>
  <c r="AC265" i="106"/>
  <c r="AC275" i="106"/>
  <c r="AC273" i="106"/>
  <c r="AC287" i="106"/>
  <c r="V63" i="106"/>
  <c r="V266" i="106"/>
  <c r="V271" i="106"/>
  <c r="V275" i="106"/>
  <c r="R65" i="106"/>
  <c r="R62" i="106"/>
  <c r="R262" i="106"/>
  <c r="R280" i="106"/>
  <c r="R297" i="106" s="1"/>
  <c r="BD29" i="106"/>
  <c r="AZ29" i="106"/>
  <c r="BG29" i="106"/>
  <c r="BC29" i="106"/>
  <c r="AY29" i="106"/>
  <c r="BF29" i="106"/>
  <c r="BB29" i="106"/>
  <c r="BA29" i="106"/>
  <c r="AY4" i="106"/>
  <c r="AY3" i="106"/>
  <c r="AY8" i="106"/>
  <c r="AY5" i="106"/>
  <c r="BE29" i="106"/>
  <c r="AQ14" i="106"/>
  <c r="BE62" i="106"/>
  <c r="BE52" i="106"/>
  <c r="BE65" i="106"/>
  <c r="BE262" i="106"/>
  <c r="BE275" i="106"/>
  <c r="BE268" i="106"/>
  <c r="BE271" i="106"/>
  <c r="BE286" i="106" a="1"/>
  <c r="BE286" i="106" s="1"/>
  <c r="BA287" i="106"/>
  <c r="BA267" i="106"/>
  <c r="BA271" i="106"/>
  <c r="AT53" i="106"/>
  <c r="AT297" i="106"/>
  <c r="AP65" i="106"/>
  <c r="AP265" i="106"/>
  <c r="AP287" i="106"/>
  <c r="AP267" i="106"/>
  <c r="AP275" i="106"/>
  <c r="AI65" i="106"/>
  <c r="AI262" i="106"/>
  <c r="AI280" i="106"/>
  <c r="AI287" i="106"/>
  <c r="AE65" i="106"/>
  <c r="AE271" i="106"/>
  <c r="AE265" i="106"/>
  <c r="AE273" i="106"/>
  <c r="T262" i="106"/>
  <c r="T264" i="106"/>
  <c r="T273" i="106"/>
  <c r="T275" i="106"/>
  <c r="T286" i="106" a="1"/>
  <c r="T286" i="106" s="1"/>
  <c r="AC300" i="106"/>
  <c r="AC278" i="106"/>
  <c r="AC239" i="106"/>
  <c r="AC225" i="106"/>
  <c r="AC260" i="106"/>
  <c r="AC232" i="106"/>
  <c r="AC58" i="106"/>
  <c r="AC38" i="106"/>
  <c r="AH159" i="106"/>
  <c r="BF159" i="106"/>
  <c r="BG28" i="106"/>
  <c r="BG291" i="106" s="1"/>
  <c r="AC28" i="106"/>
  <c r="AC291" i="106" s="1"/>
  <c r="AS27" i="106"/>
  <c r="AS26" i="106"/>
  <c r="W27" i="106"/>
  <c r="W26" i="106"/>
  <c r="AS269" i="106"/>
  <c r="AS271" i="106"/>
  <c r="AS268" i="106"/>
  <c r="AD288" i="106"/>
  <c r="AD284" i="106" a="1"/>
  <c r="AD284" i="106" s="1"/>
  <c r="AD283" i="106" a="1"/>
  <c r="AD283" i="106" s="1"/>
  <c r="W262" i="106"/>
  <c r="W265" i="106"/>
  <c r="W267" i="106"/>
  <c r="W273" i="106"/>
  <c r="BG216" i="106"/>
  <c r="AW215" i="106"/>
  <c r="AB65" i="106"/>
  <c r="AB61" i="106"/>
  <c r="AU53" i="106"/>
  <c r="Q61" i="106"/>
  <c r="AB53" i="106"/>
  <c r="BF26" i="106"/>
  <c r="BF27" i="106"/>
  <c r="AM27" i="106"/>
  <c r="AM26" i="106"/>
  <c r="Q27" i="106"/>
  <c r="Q26" i="106"/>
  <c r="AU262" i="106"/>
  <c r="AU282" i="106" a="1"/>
  <c r="AU282" i="106" s="1"/>
  <c r="AU269" i="106"/>
  <c r="AU287" i="106"/>
  <c r="AQ268" i="106"/>
  <c r="AQ280" i="106"/>
  <c r="AQ297" i="106" s="1"/>
  <c r="AB294" i="106"/>
  <c r="AS14" i="106"/>
  <c r="BC27" i="106"/>
  <c r="BC26" i="106"/>
  <c r="BG61" i="106"/>
  <c r="BG62" i="106"/>
  <c r="BG52" i="106"/>
  <c r="BG262" i="106"/>
  <c r="BG269" i="106"/>
  <c r="BG280" i="106"/>
  <c r="BG282" i="106" s="1" a="1"/>
  <c r="BG282" i="106" s="1"/>
  <c r="BC63" i="106"/>
  <c r="BC53" i="106"/>
  <c r="BC269" i="106"/>
  <c r="BC267" i="106"/>
  <c r="BC268" i="106"/>
  <c r="BC287" i="106"/>
  <c r="AR62" i="106"/>
  <c r="AR52" i="106"/>
  <c r="AR262" i="106"/>
  <c r="AR266" i="106"/>
  <c r="AR268" i="106"/>
  <c r="AN52" i="106"/>
  <c r="AN55" i="106" s="1" a="1"/>
  <c r="AN55" i="106" s="1"/>
  <c r="AG65" i="106"/>
  <c r="AG265" i="106"/>
  <c r="AG269" i="106"/>
  <c r="AG282" i="106" a="1"/>
  <c r="AG282" i="106" s="1"/>
  <c r="AC65" i="106"/>
  <c r="AC267" i="106"/>
  <c r="AC269" i="106"/>
  <c r="AC280" i="106"/>
  <c r="AC294" i="106" s="1"/>
  <c r="V65" i="106"/>
  <c r="V62" i="106"/>
  <c r="V264" i="106"/>
  <c r="V262" i="106"/>
  <c r="V286" i="106" a="1"/>
  <c r="V286" i="106" s="1"/>
  <c r="V280" i="106"/>
  <c r="R53" i="106"/>
  <c r="R278" i="106"/>
  <c r="R300" i="106"/>
  <c r="R225" i="106"/>
  <c r="R260" i="106"/>
  <c r="R239" i="106"/>
  <c r="R232" i="106"/>
  <c r="R38" i="106"/>
  <c r="R58" i="106"/>
  <c r="R265" i="106"/>
  <c r="R269" i="106"/>
  <c r="R273" i="106"/>
  <c r="R286" i="106" a="1"/>
  <c r="R286" i="106" s="1"/>
  <c r="AH162" i="106"/>
  <c r="AH13" i="106" s="1"/>
  <c r="BF162" i="106"/>
  <c r="BF13" i="106" s="1"/>
  <c r="W187" i="106"/>
  <c r="W14" i="106"/>
  <c r="BE53" i="106"/>
  <c r="BE265" i="106"/>
  <c r="BA61" i="106"/>
  <c r="BA262" i="106"/>
  <c r="BA275" i="106"/>
  <c r="AP52" i="106"/>
  <c r="AP300" i="106"/>
  <c r="AP278" i="106"/>
  <c r="AP260" i="106"/>
  <c r="AP239" i="106"/>
  <c r="AP232" i="106"/>
  <c r="AP225" i="106"/>
  <c r="AP38" i="106"/>
  <c r="AP58" i="106"/>
  <c r="AP269" i="106"/>
  <c r="AP266" i="106"/>
  <c r="AP273" i="106"/>
  <c r="AP286" i="106" a="1"/>
  <c r="AP286" i="106" s="1"/>
  <c r="AI62" i="106"/>
  <c r="AI269" i="106"/>
  <c r="AI265" i="106"/>
  <c r="AI268" i="106"/>
  <c r="AI286" i="106" a="1"/>
  <c r="AI286" i="106" s="1"/>
  <c r="AE62" i="106"/>
  <c r="AE262" i="106"/>
  <c r="AE269" i="106"/>
  <c r="AE280" i="106"/>
  <c r="AE286" i="106" a="1"/>
  <c r="AE286" i="106" s="1"/>
  <c r="AA50" i="106"/>
  <c r="T52" i="106"/>
  <c r="T65" i="106"/>
  <c r="T267" i="106"/>
  <c r="T266" i="106"/>
  <c r="T280" i="106"/>
  <c r="T294" i="106" s="1"/>
  <c r="P52" i="106"/>
  <c r="P55" i="106" s="1" a="1"/>
  <c r="P55" i="106" s="1"/>
  <c r="AD14" i="106"/>
  <c r="AE14" i="106"/>
  <c r="AU169" i="106"/>
  <c r="AK168" i="106"/>
  <c r="W169" i="106"/>
  <c r="M168" i="106"/>
  <c r="J68" i="106"/>
  <c r="AU309" i="106"/>
  <c r="AQ309" i="106"/>
  <c r="AS309" i="106"/>
  <c r="AO309" i="106"/>
  <c r="AP309" i="106"/>
  <c r="AT309" i="106"/>
  <c r="AR309" i="106"/>
  <c r="AT248" i="106"/>
  <c r="AP248" i="106"/>
  <c r="AS248" i="106"/>
  <c r="AO248" i="106"/>
  <c r="AR248" i="106"/>
  <c r="AU248" i="106"/>
  <c r="AQ248" i="106"/>
  <c r="AT171" i="106"/>
  <c r="AT187" i="106" s="1"/>
  <c r="W309" i="106"/>
  <c r="S309" i="106"/>
  <c r="U309" i="106"/>
  <c r="Q309" i="106"/>
  <c r="V309" i="106"/>
  <c r="T309" i="106"/>
  <c r="R309" i="106"/>
  <c r="V248" i="106"/>
  <c r="R248" i="106"/>
  <c r="U248" i="106"/>
  <c r="Q248" i="106"/>
  <c r="T248" i="106"/>
  <c r="W248" i="106"/>
  <c r="S248" i="106"/>
  <c r="V171" i="106"/>
  <c r="AU60" i="106"/>
  <c r="BB26" i="106"/>
  <c r="BB27" i="106"/>
  <c r="AF27" i="106"/>
  <c r="AF26" i="106"/>
  <c r="BF288" i="106"/>
  <c r="BF284" i="106" a="1"/>
  <c r="BF284" i="106" s="1"/>
  <c r="BF283" i="106" a="1"/>
  <c r="BF283" i="106" s="1"/>
  <c r="AU264" i="106"/>
  <c r="AU268" i="106"/>
  <c r="AU271" i="106"/>
  <c r="AU286" i="106" a="1"/>
  <c r="AU286" i="106" s="1"/>
  <c r="AB288" i="106"/>
  <c r="AB283" i="106" a="1"/>
  <c r="AB283" i="106" s="1"/>
  <c r="AB284" i="106" a="1"/>
  <c r="AB284" i="106" s="1"/>
  <c r="AB297" i="106"/>
  <c r="AN186" i="106"/>
  <c r="AN14" i="106" s="1"/>
  <c r="R14" i="106"/>
  <c r="AS65" i="106"/>
  <c r="AR26" i="106"/>
  <c r="AR27" i="106"/>
  <c r="BG53" i="106"/>
  <c r="BG264" i="106"/>
  <c r="BG267" i="106"/>
  <c r="BG268" i="106"/>
  <c r="BC65" i="106"/>
  <c r="BC264" i="106"/>
  <c r="BC273" i="106"/>
  <c r="BC275" i="106"/>
  <c r="AR300" i="106"/>
  <c r="AR278" i="106"/>
  <c r="AR232" i="106"/>
  <c r="AR225" i="106"/>
  <c r="AR260" i="106"/>
  <c r="AR239" i="106"/>
  <c r="AR58" i="106"/>
  <c r="AR38" i="106"/>
  <c r="AR271" i="106"/>
  <c r="AR275" i="106"/>
  <c r="AR280" i="106"/>
  <c r="AR282" i="106" s="1" a="1"/>
  <c r="AR282" i="106" s="1"/>
  <c r="AN300" i="106"/>
  <c r="AN278" i="106"/>
  <c r="AN232" i="106"/>
  <c r="AN225" i="106"/>
  <c r="AN260" i="106"/>
  <c r="AN239" i="106"/>
  <c r="AN58" i="106"/>
  <c r="AN38" i="106"/>
  <c r="AG262" i="106"/>
  <c r="AG266" i="106"/>
  <c r="AG286" i="106" a="1"/>
  <c r="AG286" i="106" s="1"/>
  <c r="AC266" i="106"/>
  <c r="AC271" i="106"/>
  <c r="V300" i="106"/>
  <c r="V278" i="106"/>
  <c r="V225" i="106"/>
  <c r="V239" i="106"/>
  <c r="V232" i="106"/>
  <c r="V260" i="106"/>
  <c r="V38" i="106"/>
  <c r="V58" i="106"/>
  <c r="V265" i="106"/>
  <c r="V267" i="106"/>
  <c r="V273" i="106"/>
  <c r="R61" i="106"/>
  <c r="R52" i="106"/>
  <c r="R264" i="106"/>
  <c r="R266" i="106"/>
  <c r="R267" i="106"/>
  <c r="R287" i="106"/>
  <c r="AR32" i="106"/>
  <c r="BE266" i="106"/>
  <c r="BE269" i="106"/>
  <c r="BE287" i="106"/>
  <c r="BA264" i="106"/>
  <c r="BA265" i="106"/>
  <c r="BA269" i="106"/>
  <c r="AT52" i="106"/>
  <c r="AT300" i="106"/>
  <c r="AT278" i="106"/>
  <c r="AT260" i="106"/>
  <c r="AT239" i="106"/>
  <c r="AT232" i="106"/>
  <c r="AT225" i="106"/>
  <c r="AT38" i="106"/>
  <c r="AT58" i="106"/>
  <c r="AT282" i="106" a="1"/>
  <c r="AT282" i="106" s="1"/>
  <c r="AP61" i="106"/>
  <c r="AP60" i="106"/>
  <c r="AP262" i="106"/>
  <c r="AP271" i="106"/>
  <c r="AP282" i="106" a="1"/>
  <c r="AP282" i="106" s="1"/>
  <c r="AI264" i="106"/>
  <c r="AI267" i="106"/>
  <c r="AI275" i="106"/>
  <c r="AE264" i="106"/>
  <c r="AE268" i="106"/>
  <c r="T60" i="106"/>
  <c r="T53" i="106"/>
  <c r="T287" i="106"/>
  <c r="T271" i="106"/>
  <c r="T269" i="106"/>
  <c r="P53" i="106"/>
  <c r="V159" i="106"/>
  <c r="AT159" i="106"/>
  <c r="AU187" i="106"/>
  <c r="AH187" i="106"/>
  <c r="AH14" i="106"/>
  <c r="AI187" i="106"/>
  <c r="AI14" i="106"/>
  <c r="AY28" i="106"/>
  <c r="AU27" i="106"/>
  <c r="AU26" i="106"/>
  <c r="AB27" i="106"/>
  <c r="AB26" i="106"/>
  <c r="AU288" i="106"/>
  <c r="AU283" i="106" a="1"/>
  <c r="AU283" i="106" s="1"/>
  <c r="AU284" i="106" a="1"/>
  <c r="AU284" i="106" s="1"/>
  <c r="AF296" i="106" a="1"/>
  <c r="AF296" i="106" s="1"/>
  <c r="S14" i="106"/>
  <c r="AP14" i="106"/>
  <c r="U14" i="106"/>
  <c r="V187" i="106"/>
  <c r="V14" i="106"/>
  <c r="AA291" i="106"/>
  <c r="AG27" i="106"/>
  <c r="AG26" i="106"/>
  <c r="BC266" i="106"/>
  <c r="BC271" i="106"/>
  <c r="AR267" i="106"/>
  <c r="AR265" i="106"/>
  <c r="AR286" i="106" a="1"/>
  <c r="AR286" i="106" s="1"/>
  <c r="AG284" i="106" a="1"/>
  <c r="AG284" i="106" s="1"/>
  <c r="AG283" i="106" a="1"/>
  <c r="AG283" i="106" s="1"/>
  <c r="AG288" i="106"/>
  <c r="V269" i="106"/>
  <c r="V268" i="106"/>
  <c r="R268" i="106"/>
  <c r="R271" i="106"/>
  <c r="V162" i="106"/>
  <c r="V13" i="106" s="1"/>
  <c r="AT162" i="106"/>
  <c r="AT13" i="106" s="1"/>
  <c r="BE264" i="106"/>
  <c r="BE267" i="106"/>
  <c r="BE280" i="106"/>
  <c r="BE282" i="106" s="1" a="1"/>
  <c r="BE282" i="106" s="1"/>
  <c r="BA288" i="106"/>
  <c r="AT61" i="106"/>
  <c r="AT60" i="106"/>
  <c r="AT288" i="106"/>
  <c r="AT284" i="106" a="1"/>
  <c r="AT284" i="106" s="1"/>
  <c r="AT283" i="106" a="1"/>
  <c r="AT283" i="106" s="1"/>
  <c r="AP62" i="106"/>
  <c r="AP264" i="106"/>
  <c r="AP268" i="106"/>
  <c r="AI266" i="106"/>
  <c r="AI271" i="106"/>
  <c r="AE266" i="106"/>
  <c r="AE287" i="106"/>
  <c r="AE267" i="106"/>
  <c r="T300" i="106"/>
  <c r="T278" i="106"/>
  <c r="T260" i="106"/>
  <c r="T232" i="106"/>
  <c r="T225" i="106"/>
  <c r="T239" i="106"/>
  <c r="T58" i="106"/>
  <c r="T38" i="106"/>
  <c r="T62" i="106"/>
  <c r="T265" i="106"/>
  <c r="P278" i="106"/>
  <c r="P300" i="106"/>
  <c r="P260" i="106"/>
  <c r="P232" i="106"/>
  <c r="P225" i="106"/>
  <c r="P239" i="106"/>
  <c r="P58" i="106"/>
  <c r="P38" i="106"/>
  <c r="AG300" i="106"/>
  <c r="AG278" i="106"/>
  <c r="AG239" i="106"/>
  <c r="AG225" i="106"/>
  <c r="AG260" i="106"/>
  <c r="AG232" i="106"/>
  <c r="AG58" i="106"/>
  <c r="AG38" i="106"/>
  <c r="AG14" i="106"/>
  <c r="T61" i="103"/>
  <c r="BE60" i="103"/>
  <c r="AP265" i="103"/>
  <c r="AU267" i="104"/>
  <c r="AP62" i="104"/>
  <c r="AQ61" i="105"/>
  <c r="AQ52" i="105"/>
  <c r="AQ60" i="105"/>
  <c r="U288" i="105"/>
  <c r="U283" i="105" a="1"/>
  <c r="U283" i="105" s="1"/>
  <c r="U284" i="105" a="1"/>
  <c r="U284" i="105" s="1"/>
  <c r="BE309" i="105"/>
  <c r="BA309" i="105"/>
  <c r="BG309" i="105"/>
  <c r="BC309" i="105"/>
  <c r="BF309" i="105"/>
  <c r="BD309" i="105"/>
  <c r="BB309" i="105"/>
  <c r="AZ309" i="105"/>
  <c r="BD248" i="105"/>
  <c r="AZ248" i="105"/>
  <c r="BG248" i="105"/>
  <c r="BC248" i="105"/>
  <c r="AY248" i="105"/>
  <c r="BF248" i="105"/>
  <c r="BB248" i="105"/>
  <c r="BE248" i="105"/>
  <c r="BA248" i="105"/>
  <c r="BF171" i="105"/>
  <c r="BF187" i="105" s="1"/>
  <c r="AP266" i="103"/>
  <c r="P55" i="104" a="1"/>
  <c r="P55" i="104" s="1"/>
  <c r="AY3" i="105"/>
  <c r="AO132" i="105"/>
  <c r="AO199" i="105" s="1"/>
  <c r="Q287" i="105"/>
  <c r="Q286" i="105" a="1"/>
  <c r="Q286" i="105" s="1"/>
  <c r="Q266" i="105"/>
  <c r="Q268" i="105"/>
  <c r="Q273" i="105"/>
  <c r="Q269" i="105"/>
  <c r="Q264" i="105"/>
  <c r="Q62" i="105"/>
  <c r="Q65" i="105"/>
  <c r="Q32" i="105"/>
  <c r="Q280" i="105"/>
  <c r="Q297" i="105" s="1"/>
  <c r="Q267" i="105"/>
  <c r="Q265" i="105"/>
  <c r="Q275" i="105"/>
  <c r="Q262" i="105"/>
  <c r="Q271" i="105"/>
  <c r="AB186" i="105"/>
  <c r="AB14" i="105" s="1"/>
  <c r="AI216" i="105"/>
  <c r="Y215" i="105"/>
  <c r="R65" i="103"/>
  <c r="AZ294" i="103"/>
  <c r="BE61" i="103"/>
  <c r="AP268" i="103"/>
  <c r="BC282" i="104" a="1"/>
  <c r="BC282" i="104" s="1"/>
  <c r="AG294" i="104"/>
  <c r="AG293" i="104" s="1"/>
  <c r="R282" i="104" a="1"/>
  <c r="R282" i="104" s="1"/>
  <c r="AC132" i="105"/>
  <c r="AC199" i="105" s="1"/>
  <c r="W282" i="105" a="1"/>
  <c r="W282" i="105" s="1"/>
  <c r="W294" i="105"/>
  <c r="W61" i="105"/>
  <c r="W60" i="105"/>
  <c r="W297" i="105"/>
  <c r="W52" i="105"/>
  <c r="AI267" i="105"/>
  <c r="AI265" i="105"/>
  <c r="AI62" i="105"/>
  <c r="AI275" i="105"/>
  <c r="AI262" i="105"/>
  <c r="AI271" i="105"/>
  <c r="AI32" i="105"/>
  <c r="AI287" i="105"/>
  <c r="AI280" i="105"/>
  <c r="AI266" i="105"/>
  <c r="AI268" i="105"/>
  <c r="AI65" i="105"/>
  <c r="AI286" i="105" a="1"/>
  <c r="AI286" i="105" s="1"/>
  <c r="AI273" i="105"/>
  <c r="AI269" i="105"/>
  <c r="AI264" i="105"/>
  <c r="BF288" i="105"/>
  <c r="BF283" i="105" a="1"/>
  <c r="BF283" i="105" s="1"/>
  <c r="BF284" i="105" a="1"/>
  <c r="BF284" i="105" s="1"/>
  <c r="AP280" i="103"/>
  <c r="AP297" i="103" s="1"/>
  <c r="AU265" i="104"/>
  <c r="Q132" i="105"/>
  <c r="Q199" i="105" s="1"/>
  <c r="BC287" i="105"/>
  <c r="BC269" i="105"/>
  <c r="BC266" i="105"/>
  <c r="BC32" i="105"/>
  <c r="BC267" i="105"/>
  <c r="BC265" i="105"/>
  <c r="BC286" i="105" a="1"/>
  <c r="BC286" i="105" s="1"/>
  <c r="BC275" i="105"/>
  <c r="BC262" i="105"/>
  <c r="BC271" i="105"/>
  <c r="BC65" i="105"/>
  <c r="BC280" i="105"/>
  <c r="BC282" i="105" s="1" a="1"/>
  <c r="BC282" i="105" s="1"/>
  <c r="BC273" i="105"/>
  <c r="BC268" i="105"/>
  <c r="BC264" i="105"/>
  <c r="BC62" i="105"/>
  <c r="BF297" i="105"/>
  <c r="U297" i="105"/>
  <c r="AS27" i="105"/>
  <c r="AS26" i="105"/>
  <c r="W27" i="105"/>
  <c r="W26" i="105"/>
  <c r="AS265" i="105"/>
  <c r="AS269" i="105"/>
  <c r="AS286" i="105" a="1"/>
  <c r="AS286" i="105" s="1"/>
  <c r="AO268" i="105"/>
  <c r="AO271" i="105"/>
  <c r="AO287" i="105"/>
  <c r="AO280" i="105"/>
  <c r="S284" i="105" a="1"/>
  <c r="S284" i="105" s="1"/>
  <c r="S283" i="105" a="1"/>
  <c r="S283" i="105" s="1"/>
  <c r="S288" i="105"/>
  <c r="AR26" i="105"/>
  <c r="AR27" i="105"/>
  <c r="V27" i="105"/>
  <c r="V26" i="105"/>
  <c r="BG65" i="105"/>
  <c r="BG265" i="105"/>
  <c r="BG271" i="105"/>
  <c r="BG275" i="105"/>
  <c r="BG286" i="105" a="1"/>
  <c r="BG286" i="105" s="1"/>
  <c r="AR262" i="105"/>
  <c r="AR268" i="105"/>
  <c r="AR287" i="105"/>
  <c r="AC284" i="105" a="1"/>
  <c r="AC284" i="105" s="1"/>
  <c r="AC288" i="105"/>
  <c r="AC283" i="105" a="1"/>
  <c r="AC283" i="105" s="1"/>
  <c r="V284" i="105" a="1"/>
  <c r="V284" i="105" s="1"/>
  <c r="AD61" i="105"/>
  <c r="AF60" i="105"/>
  <c r="AU216" i="105"/>
  <c r="AK215" i="105"/>
  <c r="W309" i="105"/>
  <c r="S309" i="105"/>
  <c r="U309" i="105"/>
  <c r="Q309" i="105"/>
  <c r="T309" i="105"/>
  <c r="R309" i="105"/>
  <c r="V309" i="105"/>
  <c r="V248" i="105"/>
  <c r="R248" i="105"/>
  <c r="U248" i="105"/>
  <c r="Q248" i="105"/>
  <c r="T248" i="105"/>
  <c r="W248" i="105"/>
  <c r="S248" i="105"/>
  <c r="V171" i="105"/>
  <c r="W169" i="105"/>
  <c r="M168" i="105"/>
  <c r="AQ27" i="105"/>
  <c r="AQ26" i="105"/>
  <c r="U27" i="105"/>
  <c r="U26" i="105"/>
  <c r="BF265" i="105"/>
  <c r="BF267" i="105"/>
  <c r="BF275" i="105"/>
  <c r="BF282" i="105" a="1"/>
  <c r="BF282" i="105" s="1"/>
  <c r="BB65" i="105"/>
  <c r="BB53" i="105"/>
  <c r="BB266" i="105"/>
  <c r="BB271" i="105"/>
  <c r="BB269" i="105"/>
  <c r="AU61" i="105"/>
  <c r="AU266" i="105"/>
  <c r="AU264" i="105"/>
  <c r="AU286" i="105" a="1"/>
  <c r="AU286" i="105" s="1"/>
  <c r="AQ65" i="105"/>
  <c r="AQ267" i="105"/>
  <c r="AQ273" i="105"/>
  <c r="AQ280" i="105"/>
  <c r="AF52" i="105"/>
  <c r="AB296" i="105" a="1"/>
  <c r="AB296" i="105" s="1"/>
  <c r="U65" i="105"/>
  <c r="U62" i="105"/>
  <c r="U264" i="105"/>
  <c r="U266" i="105"/>
  <c r="U273" i="105"/>
  <c r="U282" i="105" a="1"/>
  <c r="U282" i="105" s="1"/>
  <c r="Q61" i="105"/>
  <c r="Q52" i="105"/>
  <c r="AR62" i="105"/>
  <c r="AR52" i="105"/>
  <c r="BE27" i="105"/>
  <c r="BE26" i="105"/>
  <c r="AI27" i="105"/>
  <c r="AI26" i="105"/>
  <c r="P26" i="105"/>
  <c r="P27" i="105"/>
  <c r="BE62" i="105"/>
  <c r="BE63" i="105"/>
  <c r="BE268" i="105"/>
  <c r="BE264" i="105"/>
  <c r="BE271" i="105"/>
  <c r="BE287" i="105"/>
  <c r="BA268" i="105"/>
  <c r="BA269" i="105"/>
  <c r="BA275" i="105"/>
  <c r="AT267" i="105"/>
  <c r="AT275" i="105"/>
  <c r="AT280" i="105"/>
  <c r="AT294" i="105" s="1"/>
  <c r="AT287" i="105"/>
  <c r="AP264" i="105"/>
  <c r="AP266" i="105"/>
  <c r="AI63" i="105"/>
  <c r="AE65" i="105"/>
  <c r="AE268" i="105"/>
  <c r="AE271" i="105"/>
  <c r="AE280" i="105"/>
  <c r="AE287" i="105"/>
  <c r="T266" i="105"/>
  <c r="T273" i="105"/>
  <c r="T275" i="105"/>
  <c r="T287" i="105"/>
  <c r="AG300" i="105"/>
  <c r="AG260" i="105"/>
  <c r="AG278" i="105"/>
  <c r="AG239" i="105"/>
  <c r="AG225" i="105"/>
  <c r="AG232" i="105"/>
  <c r="AG58" i="105"/>
  <c r="AG38" i="105"/>
  <c r="AY50" i="105"/>
  <c r="R65" i="105"/>
  <c r="U32" i="105"/>
  <c r="AF65" i="105"/>
  <c r="AS32" i="105"/>
  <c r="BA132" i="105"/>
  <c r="AY5" i="105"/>
  <c r="R60" i="105"/>
  <c r="AO27" i="105"/>
  <c r="AO26" i="105"/>
  <c r="S27" i="105"/>
  <c r="S26" i="105"/>
  <c r="AZ53" i="105"/>
  <c r="AZ297" i="105"/>
  <c r="AZ284" i="105" a="1"/>
  <c r="AZ284" i="105" s="1"/>
  <c r="AZ283" i="105" a="1"/>
  <c r="AZ283" i="105" s="1"/>
  <c r="AZ288" i="105"/>
  <c r="AS62" i="105"/>
  <c r="AS264" i="105"/>
  <c r="AS266" i="105"/>
  <c r="AS273" i="105"/>
  <c r="AS287" i="105"/>
  <c r="AO65" i="105"/>
  <c r="AO269" i="105"/>
  <c r="AO262" i="105"/>
  <c r="AO275" i="105"/>
  <c r="AD65" i="105"/>
  <c r="AD271" i="105"/>
  <c r="AD287" i="105"/>
  <c r="AD280" i="105"/>
  <c r="S65" i="105"/>
  <c r="S282" i="105" a="1"/>
  <c r="S282" i="105" s="1"/>
  <c r="V300" i="105"/>
  <c r="V278" i="105"/>
  <c r="V260" i="105"/>
  <c r="V225" i="105"/>
  <c r="V232" i="105"/>
  <c r="V239" i="105"/>
  <c r="V38" i="105"/>
  <c r="V58" i="105"/>
  <c r="T62" i="105"/>
  <c r="R52" i="105"/>
  <c r="BF32" i="105"/>
  <c r="AI187" i="105"/>
  <c r="AI14" i="105"/>
  <c r="BG27" i="105"/>
  <c r="BG26" i="105"/>
  <c r="AN26" i="105"/>
  <c r="AN27" i="105"/>
  <c r="R27" i="105"/>
  <c r="R26" i="105"/>
  <c r="BG268" i="105"/>
  <c r="BG262" i="105"/>
  <c r="AR65" i="105"/>
  <c r="AR265" i="105"/>
  <c r="AR267" i="105"/>
  <c r="AR271" i="105"/>
  <c r="AR280" i="105"/>
  <c r="AG284" i="105" a="1"/>
  <c r="AG284" i="105" s="1"/>
  <c r="AG288" i="105"/>
  <c r="AG283" i="105" a="1"/>
  <c r="AG283" i="105" s="1"/>
  <c r="AG282" i="105" a="1"/>
  <c r="AG282" i="105" s="1"/>
  <c r="AG294" i="105"/>
  <c r="AH162" i="105"/>
  <c r="AH13" i="105" s="1"/>
  <c r="BF162" i="105"/>
  <c r="BF13" i="105" s="1"/>
  <c r="AR63" i="105"/>
  <c r="BA32" i="105"/>
  <c r="AK168" i="105"/>
  <c r="AU169" i="105"/>
  <c r="J68" i="105"/>
  <c r="W215" i="105"/>
  <c r="J70" i="105"/>
  <c r="BF26" i="105"/>
  <c r="BF27" i="105"/>
  <c r="AM27" i="105"/>
  <c r="AM26" i="105"/>
  <c r="Q27" i="105"/>
  <c r="Q26" i="105"/>
  <c r="BF52" i="105"/>
  <c r="BF266" i="105"/>
  <c r="BF273" i="105"/>
  <c r="BF286" i="105" a="1"/>
  <c r="BF286" i="105" s="1"/>
  <c r="BF287" i="105"/>
  <c r="BB262" i="105"/>
  <c r="BB268" i="105"/>
  <c r="BB280" i="105"/>
  <c r="BB294" i="105" s="1"/>
  <c r="AU262" i="105"/>
  <c r="AU268" i="105"/>
  <c r="AU271" i="105"/>
  <c r="AU287" i="105"/>
  <c r="AQ62" i="105"/>
  <c r="AQ264" i="105"/>
  <c r="AQ269" i="105"/>
  <c r="AQ275" i="105"/>
  <c r="AM63" i="105"/>
  <c r="AB288" i="105"/>
  <c r="AB283" i="105" a="1"/>
  <c r="AB283" i="105" s="1"/>
  <c r="AB284" i="105" a="1"/>
  <c r="AB284" i="105" s="1"/>
  <c r="AB297" i="105"/>
  <c r="U268" i="105"/>
  <c r="U271" i="105"/>
  <c r="U286" i="105" a="1"/>
  <c r="U286" i="105" s="1"/>
  <c r="U287" i="105"/>
  <c r="Q63" i="105"/>
  <c r="Q60" i="105"/>
  <c r="AH159" i="105"/>
  <c r="BF159" i="105"/>
  <c r="AH62" i="105"/>
  <c r="AZ32" i="105"/>
  <c r="AG14" i="105"/>
  <c r="BA27" i="105"/>
  <c r="BA26" i="105"/>
  <c r="AE27" i="105"/>
  <c r="AE26" i="105"/>
  <c r="BE65" i="105"/>
  <c r="BE262" i="105"/>
  <c r="BE265" i="105"/>
  <c r="BA60" i="105"/>
  <c r="BA61" i="105"/>
  <c r="BA266" i="105"/>
  <c r="BA264" i="105"/>
  <c r="BA280" i="105"/>
  <c r="BA286" i="105" a="1"/>
  <c r="BA286" i="105" s="1"/>
  <c r="AT53" i="105"/>
  <c r="AT269" i="105"/>
  <c r="AT265" i="105"/>
  <c r="AT273" i="105"/>
  <c r="AP262" i="105"/>
  <c r="AP268" i="105"/>
  <c r="AP271" i="105"/>
  <c r="AP286" i="105" a="1"/>
  <c r="AP286" i="105" s="1"/>
  <c r="AE60" i="105"/>
  <c r="AE265" i="105"/>
  <c r="AE262" i="105"/>
  <c r="AE275" i="105"/>
  <c r="T53" i="105"/>
  <c r="T271" i="105"/>
  <c r="T264" i="105"/>
  <c r="T280" i="105"/>
  <c r="AC300" i="105"/>
  <c r="AC278" i="105"/>
  <c r="AC260" i="105"/>
  <c r="AC239" i="105"/>
  <c r="AC225" i="105"/>
  <c r="AC232" i="105"/>
  <c r="AC58" i="105"/>
  <c r="AC38" i="105"/>
  <c r="AO32" i="105"/>
  <c r="AZ186" i="105"/>
  <c r="AZ14" i="105" s="1"/>
  <c r="AW168" i="105"/>
  <c r="BG169" i="105"/>
  <c r="BD27" i="105"/>
  <c r="BD26" i="105"/>
  <c r="AH26" i="105"/>
  <c r="AH27" i="105"/>
  <c r="O27" i="105"/>
  <c r="O26" i="105"/>
  <c r="BD296" i="105" a="1"/>
  <c r="BD296" i="105" s="1"/>
  <c r="BD293" i="105"/>
  <c r="AS63" i="105"/>
  <c r="AS268" i="105"/>
  <c r="AS262" i="105"/>
  <c r="AS280" i="105"/>
  <c r="AO265" i="105"/>
  <c r="AO267" i="105"/>
  <c r="AO286" i="105" a="1"/>
  <c r="AO286" i="105" s="1"/>
  <c r="AH296" i="105" a="1"/>
  <c r="AH296" i="105" s="1"/>
  <c r="AH293" i="105"/>
  <c r="W63" i="105"/>
  <c r="W283" i="105" a="1"/>
  <c r="W283" i="105" s="1"/>
  <c r="W284" i="105" a="1"/>
  <c r="W284" i="105" s="1"/>
  <c r="W288" i="105"/>
  <c r="S294" i="105"/>
  <c r="O63" i="105"/>
  <c r="R300" i="105"/>
  <c r="R260" i="105"/>
  <c r="R278" i="105"/>
  <c r="R225" i="105"/>
  <c r="R232" i="105"/>
  <c r="R239" i="105"/>
  <c r="R58" i="105"/>
  <c r="R38" i="105"/>
  <c r="BB60" i="105"/>
  <c r="BG187" i="105"/>
  <c r="BG14" i="105"/>
  <c r="AE14" i="105"/>
  <c r="BC27" i="105"/>
  <c r="BC26" i="105"/>
  <c r="AG27" i="105"/>
  <c r="AG26" i="105"/>
  <c r="BG269" i="105"/>
  <c r="BG267" i="105"/>
  <c r="BG280" i="105"/>
  <c r="AR273" i="105"/>
  <c r="AR269" i="105"/>
  <c r="AR275" i="105"/>
  <c r="AR286" i="105" a="1"/>
  <c r="AR286" i="105" s="1"/>
  <c r="AC282" i="105" a="1"/>
  <c r="AC282" i="105" s="1"/>
  <c r="AC294" i="105"/>
  <c r="V53" i="105"/>
  <c r="R53" i="105"/>
  <c r="R294" i="105"/>
  <c r="AH63" i="105"/>
  <c r="AZ60" i="105"/>
  <c r="BB14" i="105"/>
  <c r="AU309" i="105"/>
  <c r="AQ309" i="105"/>
  <c r="AS309" i="105"/>
  <c r="AO309" i="105"/>
  <c r="AT309" i="105"/>
  <c r="AR309" i="105"/>
  <c r="AP309" i="105"/>
  <c r="AT248" i="105"/>
  <c r="AP248" i="105"/>
  <c r="AS248" i="105"/>
  <c r="AO248" i="105"/>
  <c r="AR248" i="105"/>
  <c r="AU248" i="105"/>
  <c r="AQ248" i="105"/>
  <c r="AT171" i="105"/>
  <c r="O55" i="105" a="1"/>
  <c r="O55" i="105" s="1"/>
  <c r="BB26" i="105"/>
  <c r="BB27" i="105"/>
  <c r="AF27" i="105"/>
  <c r="AF26" i="105"/>
  <c r="BF65" i="105"/>
  <c r="BF53" i="105"/>
  <c r="BF271" i="105"/>
  <c r="BF264" i="105"/>
  <c r="BF269" i="105"/>
  <c r="BF294" i="105"/>
  <c r="BB265" i="105"/>
  <c r="BB267" i="105"/>
  <c r="BB275" i="105"/>
  <c r="BB282" i="105" a="1"/>
  <c r="BB282" i="105" s="1"/>
  <c r="AU60" i="105"/>
  <c r="AU288" i="105"/>
  <c r="AQ266" i="105"/>
  <c r="AQ268" i="105"/>
  <c r="AQ286" i="105" a="1"/>
  <c r="AQ286" i="105" s="1"/>
  <c r="AM50" i="105"/>
  <c r="AF53" i="105"/>
  <c r="AF283" i="105" a="1"/>
  <c r="AF283" i="105" s="1"/>
  <c r="U61" i="105"/>
  <c r="U52" i="105"/>
  <c r="U269" i="105"/>
  <c r="U262" i="105"/>
  <c r="U275" i="105"/>
  <c r="U294" i="105"/>
  <c r="AR300" i="105"/>
  <c r="AR278" i="105"/>
  <c r="AR260" i="105"/>
  <c r="AR232" i="105"/>
  <c r="AR225" i="105"/>
  <c r="AR239" i="105"/>
  <c r="AR38" i="105"/>
  <c r="AR58" i="105"/>
  <c r="V63" i="105"/>
  <c r="R61" i="105"/>
  <c r="V52" i="105"/>
  <c r="V29" i="105"/>
  <c r="R29" i="105"/>
  <c r="J24" i="105"/>
  <c r="O5" i="105"/>
  <c r="U29" i="105"/>
  <c r="Q29" i="105"/>
  <c r="T29" i="105"/>
  <c r="P29" i="105"/>
  <c r="O4" i="105"/>
  <c r="O3" i="105"/>
  <c r="W29" i="105"/>
  <c r="S29" i="105"/>
  <c r="O29" i="105"/>
  <c r="O8" i="105"/>
  <c r="AT27" i="105"/>
  <c r="AT26" i="105"/>
  <c r="AA27" i="105"/>
  <c r="AA26" i="105"/>
  <c r="BE267" i="105"/>
  <c r="BE269" i="105"/>
  <c r="BE275" i="105"/>
  <c r="BA62" i="105"/>
  <c r="BA262" i="105"/>
  <c r="BA265" i="105"/>
  <c r="BA271" i="105"/>
  <c r="BA287" i="105"/>
  <c r="AT264" i="105"/>
  <c r="AT266" i="105"/>
  <c r="AP267" i="105"/>
  <c r="AP269" i="105"/>
  <c r="AP280" i="105"/>
  <c r="AP294" i="105" s="1"/>
  <c r="AP287" i="105"/>
  <c r="AI60" i="105"/>
  <c r="AI294" i="105"/>
  <c r="AE62" i="105"/>
  <c r="AE266" i="105"/>
  <c r="AE267" i="105"/>
  <c r="AA63" i="105"/>
  <c r="T65" i="105"/>
  <c r="T262" i="105"/>
  <c r="T268" i="105"/>
  <c r="W32" i="105"/>
  <c r="AE32" i="105"/>
  <c r="BF60" i="105"/>
  <c r="T32" i="105"/>
  <c r="BG216" i="105"/>
  <c r="AW215" i="105"/>
  <c r="AI169" i="105"/>
  <c r="Y168" i="105"/>
  <c r="AG309" i="105"/>
  <c r="AC309" i="105"/>
  <c r="AI309" i="105"/>
  <c r="AE309" i="105"/>
  <c r="AD309" i="105"/>
  <c r="AB309" i="105"/>
  <c r="AH309" i="105"/>
  <c r="AF309" i="105"/>
  <c r="AF248" i="105"/>
  <c r="AB248" i="105"/>
  <c r="AI248" i="105"/>
  <c r="AE248" i="105"/>
  <c r="AH248" i="105"/>
  <c r="AD248" i="105"/>
  <c r="AG248" i="105"/>
  <c r="AC248" i="105"/>
  <c r="AH171" i="105"/>
  <c r="AZ27" i="105"/>
  <c r="AZ26" i="105"/>
  <c r="AD26" i="105"/>
  <c r="AD27" i="105"/>
  <c r="BD283" i="105" a="1"/>
  <c r="BD283" i="105" s="1"/>
  <c r="BD288" i="105"/>
  <c r="BD284" i="105" a="1"/>
  <c r="BD284" i="105" s="1"/>
  <c r="AZ296" i="105" a="1"/>
  <c r="AZ296" i="105" s="1"/>
  <c r="AZ293" i="105"/>
  <c r="AS65" i="105"/>
  <c r="AS271" i="105"/>
  <c r="AS267" i="105"/>
  <c r="AO62" i="105"/>
  <c r="AO264" i="105"/>
  <c r="AO266" i="105"/>
  <c r="AH65" i="105"/>
  <c r="AH283" i="105" a="1"/>
  <c r="AH283" i="105" s="1"/>
  <c r="AH284" i="105" a="1"/>
  <c r="AH284" i="105" s="1"/>
  <c r="AH288" i="105"/>
  <c r="W65" i="105"/>
  <c r="S297" i="105"/>
  <c r="O50" i="105"/>
  <c r="O64" i="105"/>
  <c r="AF61" i="105"/>
  <c r="BC14" i="105"/>
  <c r="AY27" i="105"/>
  <c r="AY26" i="105"/>
  <c r="AC27" i="105"/>
  <c r="AC26" i="105"/>
  <c r="BG62" i="105"/>
  <c r="BG264" i="105"/>
  <c r="BG266" i="105"/>
  <c r="BG273" i="105"/>
  <c r="BC61" i="105"/>
  <c r="BC60" i="105"/>
  <c r="AR53" i="105"/>
  <c r="AR266" i="105"/>
  <c r="AR282" i="105" a="1"/>
  <c r="AR282" i="105" s="1"/>
  <c r="AN53" i="105"/>
  <c r="AG63" i="105"/>
  <c r="AC297" i="105"/>
  <c r="V297" i="105"/>
  <c r="R284" i="105" a="1"/>
  <c r="R284" i="105" s="1"/>
  <c r="R288" i="105"/>
  <c r="R283" i="105" a="1"/>
  <c r="R283" i="105" s="1"/>
  <c r="R282" i="105" a="1"/>
  <c r="R282" i="105" s="1"/>
  <c r="BD65" i="105"/>
  <c r="AU27" i="105"/>
  <c r="AU26" i="105"/>
  <c r="AB27" i="105"/>
  <c r="AB26" i="105"/>
  <c r="BF262" i="105"/>
  <c r="BF268" i="105"/>
  <c r="BB273" i="105"/>
  <c r="BB264" i="105"/>
  <c r="BB286" i="105" a="1"/>
  <c r="BB286" i="105" s="1"/>
  <c r="BB287" i="105"/>
  <c r="AU62" i="105"/>
  <c r="AU52" i="105"/>
  <c r="AU273" i="105"/>
  <c r="AU269" i="105"/>
  <c r="AQ63" i="105"/>
  <c r="AQ262" i="105"/>
  <c r="AQ265" i="105"/>
  <c r="AQ271" i="105"/>
  <c r="AM52" i="105"/>
  <c r="AM55" i="105" s="1" a="1"/>
  <c r="AM55" i="105" s="1"/>
  <c r="U63" i="105"/>
  <c r="U60" i="105"/>
  <c r="U265" i="105"/>
  <c r="U267" i="105"/>
  <c r="AN300" i="105"/>
  <c r="AN260" i="105"/>
  <c r="AN278" i="105"/>
  <c r="AN232" i="105"/>
  <c r="AN225" i="105"/>
  <c r="AN239" i="105"/>
  <c r="AN58" i="105"/>
  <c r="AN38" i="105"/>
  <c r="V159" i="105"/>
  <c r="AT159" i="105"/>
  <c r="AZ63" i="105"/>
  <c r="BC52" i="105"/>
  <c r="BE14" i="105"/>
  <c r="AT29" i="105"/>
  <c r="AP29" i="105"/>
  <c r="AM4" i="105"/>
  <c r="AM3" i="105"/>
  <c r="AS29" i="105"/>
  <c r="AO29" i="105"/>
  <c r="AM8" i="105"/>
  <c r="AR29" i="105"/>
  <c r="AN29" i="105"/>
  <c r="AM5" i="105"/>
  <c r="AU29" i="105"/>
  <c r="AQ29" i="105"/>
  <c r="AM29" i="105"/>
  <c r="AP27" i="105"/>
  <c r="AP26" i="105"/>
  <c r="T26" i="105"/>
  <c r="T27" i="105"/>
  <c r="BE60" i="105"/>
  <c r="BE266" i="105"/>
  <c r="BE273" i="105"/>
  <c r="BE280" i="105"/>
  <c r="BE294" i="105" s="1"/>
  <c r="BA65" i="105"/>
  <c r="BA267" i="105"/>
  <c r="BA282" i="105" a="1"/>
  <c r="BA282" i="105" s="1"/>
  <c r="AT262" i="105"/>
  <c r="AT268" i="105"/>
  <c r="AT271" i="105"/>
  <c r="AP53" i="105"/>
  <c r="AP275" i="105"/>
  <c r="AP265" i="105"/>
  <c r="AI61" i="105"/>
  <c r="AI282" i="105" a="1"/>
  <c r="AI282" i="105" s="1"/>
  <c r="AE63" i="105"/>
  <c r="AE264" i="105"/>
  <c r="AE269" i="105"/>
  <c r="AE273" i="105"/>
  <c r="T265" i="105"/>
  <c r="T267" i="105"/>
  <c r="T269" i="105"/>
  <c r="AA55" i="104" a="1"/>
  <c r="AA55" i="104" s="1"/>
  <c r="AF282" i="103" a="1"/>
  <c r="AF282" i="103" s="1"/>
  <c r="AQ53" i="103"/>
  <c r="AQ52" i="103"/>
  <c r="AB269" i="103"/>
  <c r="AB262" i="103"/>
  <c r="AB268" i="103"/>
  <c r="BF62" i="103"/>
  <c r="AB266" i="103"/>
  <c r="AB267" i="103"/>
  <c r="AB275" i="103"/>
  <c r="AT65" i="103"/>
  <c r="AZ32" i="103"/>
  <c r="AP262" i="103"/>
  <c r="AP287" i="103"/>
  <c r="AI63" i="103"/>
  <c r="AR61" i="103"/>
  <c r="BC32" i="103"/>
  <c r="AI296" i="104" a="1"/>
  <c r="AI296" i="104" s="1"/>
  <c r="AI293" i="104"/>
  <c r="AB271" i="103"/>
  <c r="AB273" i="103"/>
  <c r="AD60" i="103"/>
  <c r="AP273" i="103"/>
  <c r="BF60" i="104"/>
  <c r="AS14" i="104"/>
  <c r="BG29" i="104"/>
  <c r="BC29" i="104"/>
  <c r="AY29" i="104"/>
  <c r="AY5" i="104"/>
  <c r="BF29" i="104"/>
  <c r="BB29" i="104"/>
  <c r="BE29" i="104"/>
  <c r="BA29" i="104"/>
  <c r="AY4" i="104"/>
  <c r="AY3" i="104"/>
  <c r="BD29" i="104"/>
  <c r="AZ29" i="104"/>
  <c r="AY8" i="104"/>
  <c r="AR27" i="104"/>
  <c r="AR26" i="104"/>
  <c r="V27" i="104"/>
  <c r="V26" i="104"/>
  <c r="BG288" i="104"/>
  <c r="BG284" i="104" a="1"/>
  <c r="BG284" i="104" s="1"/>
  <c r="BG283" i="104" a="1"/>
  <c r="BG283" i="104" s="1"/>
  <c r="BC65" i="104"/>
  <c r="BC294" i="104"/>
  <c r="AR268" i="104"/>
  <c r="AR273" i="104"/>
  <c r="AR271" i="104"/>
  <c r="AC288" i="104"/>
  <c r="AC284" i="104" a="1"/>
  <c r="AC284" i="104" s="1"/>
  <c r="AC283" i="104" a="1"/>
  <c r="AC283" i="104" s="1"/>
  <c r="R294" i="104"/>
  <c r="AI300" i="104"/>
  <c r="AI278" i="104"/>
  <c r="AI260" i="104"/>
  <c r="AI239" i="104"/>
  <c r="AI225" i="104"/>
  <c r="AI232" i="104"/>
  <c r="AI58" i="104"/>
  <c r="AI38" i="104"/>
  <c r="J68" i="104"/>
  <c r="AY63" i="104"/>
  <c r="BE62" i="104"/>
  <c r="AE61" i="104"/>
  <c r="AF53" i="104"/>
  <c r="BA32" i="104"/>
  <c r="AU309" i="104"/>
  <c r="AQ309" i="104"/>
  <c r="AS309" i="104"/>
  <c r="AO309" i="104"/>
  <c r="AR309" i="104"/>
  <c r="AP309" i="104"/>
  <c r="AT309" i="104"/>
  <c r="AR248" i="104"/>
  <c r="AU248" i="104"/>
  <c r="AQ248" i="104"/>
  <c r="AT248" i="104"/>
  <c r="AP248" i="104"/>
  <c r="AS248" i="104"/>
  <c r="AO248" i="104"/>
  <c r="AT171" i="104"/>
  <c r="AT187" i="104" s="1"/>
  <c r="BB27" i="104"/>
  <c r="BB26" i="104"/>
  <c r="AF27" i="104"/>
  <c r="AF26" i="104"/>
  <c r="BF268" i="104"/>
  <c r="BF280" i="104"/>
  <c r="BF297" i="104" s="1"/>
  <c r="BB264" i="104"/>
  <c r="BB266" i="104"/>
  <c r="BB275" i="104"/>
  <c r="AU264" i="104"/>
  <c r="AU266" i="104"/>
  <c r="AU287" i="104"/>
  <c r="AQ265" i="104"/>
  <c r="AQ267" i="104"/>
  <c r="AQ271" i="104"/>
  <c r="AF294" i="104"/>
  <c r="U294" i="104"/>
  <c r="AR300" i="104"/>
  <c r="AR278" i="104"/>
  <c r="AR260" i="104"/>
  <c r="AR232" i="104"/>
  <c r="AR225" i="104"/>
  <c r="AR239" i="104"/>
  <c r="AR38" i="104"/>
  <c r="AR58" i="104"/>
  <c r="AC65" i="104"/>
  <c r="AR63" i="104"/>
  <c r="AZ60" i="104"/>
  <c r="AF60" i="104"/>
  <c r="AS53" i="104"/>
  <c r="AA53" i="104"/>
  <c r="AU187" i="104"/>
  <c r="AU14" i="104"/>
  <c r="S14" i="104"/>
  <c r="BA26" i="104"/>
  <c r="BA27" i="104"/>
  <c r="AE27" i="104"/>
  <c r="AE26" i="104"/>
  <c r="BE265" i="104"/>
  <c r="BE269" i="104"/>
  <c r="BE271" i="104"/>
  <c r="BA264" i="104"/>
  <c r="BA266" i="104"/>
  <c r="BA280" i="104"/>
  <c r="BA286" i="104" a="1"/>
  <c r="BA286" i="104" s="1"/>
  <c r="AT262" i="104"/>
  <c r="AT271" i="104"/>
  <c r="AP266" i="104"/>
  <c r="AP268" i="104"/>
  <c r="AP273" i="104"/>
  <c r="AI297" i="104"/>
  <c r="AE282" i="104" a="1"/>
  <c r="AE282" i="104" s="1"/>
  <c r="T262" i="104"/>
  <c r="T265" i="104"/>
  <c r="T275" i="104"/>
  <c r="T286" i="104" a="1"/>
  <c r="T286" i="104" s="1"/>
  <c r="W169" i="104"/>
  <c r="M168" i="104"/>
  <c r="AT65" i="104"/>
  <c r="BA63" i="104"/>
  <c r="AQ61" i="104"/>
  <c r="W61" i="104"/>
  <c r="AI60" i="104"/>
  <c r="Q60" i="104"/>
  <c r="BB53" i="104"/>
  <c r="AD53" i="104"/>
  <c r="BB52" i="104"/>
  <c r="AF52" i="104"/>
  <c r="AM50" i="104"/>
  <c r="BG32" i="104"/>
  <c r="R32" i="104"/>
  <c r="R14" i="104"/>
  <c r="AZ27" i="104"/>
  <c r="AZ26" i="104"/>
  <c r="AD27" i="104"/>
  <c r="AD26" i="104"/>
  <c r="BD288" i="104"/>
  <c r="BD284" i="104" a="1"/>
  <c r="BD284" i="104" s="1"/>
  <c r="BD283" i="104" a="1"/>
  <c r="BD283" i="104" s="1"/>
  <c r="BD294" i="104"/>
  <c r="AZ294" i="104"/>
  <c r="AS266" i="104"/>
  <c r="AS268" i="104"/>
  <c r="AS280" i="104"/>
  <c r="AS282" i="104" s="1" a="1"/>
  <c r="AS282" i="104" s="1"/>
  <c r="AO65" i="104"/>
  <c r="AO267" i="104"/>
  <c r="AO269" i="104"/>
  <c r="AO286" i="104" a="1"/>
  <c r="AO286" i="104" s="1"/>
  <c r="AO275" i="104"/>
  <c r="AH267" i="104"/>
  <c r="AH265" i="104"/>
  <c r="AH280" i="104"/>
  <c r="AH294" i="104" s="1"/>
  <c r="AH275" i="104"/>
  <c r="AD264" i="104"/>
  <c r="AD266" i="104"/>
  <c r="AD286" i="104" a="1"/>
  <c r="AD286" i="104" s="1"/>
  <c r="W264" i="104"/>
  <c r="W266" i="104"/>
  <c r="W280" i="104"/>
  <c r="W294" i="104" s="1"/>
  <c r="S265" i="104"/>
  <c r="S267" i="104"/>
  <c r="S286" i="104" a="1"/>
  <c r="S286" i="104" s="1"/>
  <c r="S273" i="104"/>
  <c r="AT300" i="104"/>
  <c r="AT278" i="104"/>
  <c r="AT260" i="104"/>
  <c r="AT239" i="104"/>
  <c r="AT232" i="104"/>
  <c r="AT225" i="104"/>
  <c r="AT58" i="104"/>
  <c r="AT38" i="104"/>
  <c r="BB65" i="104"/>
  <c r="U53" i="104"/>
  <c r="BB60" i="104"/>
  <c r="BG27" i="104"/>
  <c r="BG26" i="104"/>
  <c r="AN27" i="104"/>
  <c r="AN26" i="104"/>
  <c r="R27" i="104"/>
  <c r="R26" i="104"/>
  <c r="AR262" i="104"/>
  <c r="AR265" i="104"/>
  <c r="AR275" i="104"/>
  <c r="AR280" i="104"/>
  <c r="AG288" i="104"/>
  <c r="AG284" i="104" a="1"/>
  <c r="AG284" i="104" s="1"/>
  <c r="AG283" i="104" a="1"/>
  <c r="AG283" i="104" s="1"/>
  <c r="V288" i="104"/>
  <c r="V284" i="104" a="1"/>
  <c r="V284" i="104" s="1"/>
  <c r="V283" i="104" a="1"/>
  <c r="V283" i="104" s="1"/>
  <c r="AE300" i="104"/>
  <c r="AE278" i="104"/>
  <c r="AE260" i="104"/>
  <c r="AE239" i="104"/>
  <c r="AE225" i="104"/>
  <c r="AE232" i="104"/>
  <c r="AE58" i="104"/>
  <c r="AE38" i="104"/>
  <c r="AD65" i="104"/>
  <c r="BA60" i="104"/>
  <c r="AB53" i="104"/>
  <c r="AN186" i="104"/>
  <c r="AN14" i="104" s="1"/>
  <c r="AU26" i="104"/>
  <c r="AU27" i="104"/>
  <c r="AB27" i="104"/>
  <c r="AB26" i="104"/>
  <c r="BF262" i="104"/>
  <c r="BF265" i="104"/>
  <c r="BF286" i="104" a="1"/>
  <c r="BF286" i="104" s="1"/>
  <c r="BF287" i="104"/>
  <c r="BB268" i="104"/>
  <c r="BB273" i="104"/>
  <c r="BB280" i="104"/>
  <c r="BB294" i="104" s="1"/>
  <c r="AU268" i="104"/>
  <c r="AU262" i="104"/>
  <c r="AU286" i="104" a="1"/>
  <c r="AU286" i="104" s="1"/>
  <c r="AU273" i="104"/>
  <c r="AQ269" i="104"/>
  <c r="AQ275" i="104"/>
  <c r="AQ280" i="104"/>
  <c r="AQ294" i="104" s="1"/>
  <c r="AF282" i="104" a="1"/>
  <c r="AF282" i="104" s="1"/>
  <c r="AF288" i="104"/>
  <c r="AF284" i="104" a="1"/>
  <c r="AF284" i="104" s="1"/>
  <c r="AF283" i="104" a="1"/>
  <c r="AF283" i="104" s="1"/>
  <c r="U297" i="104"/>
  <c r="T300" i="104"/>
  <c r="T278" i="104"/>
  <c r="T260" i="104"/>
  <c r="T232" i="104"/>
  <c r="T225" i="104"/>
  <c r="T239" i="104"/>
  <c r="T38" i="104"/>
  <c r="T58" i="104"/>
  <c r="V65" i="104"/>
  <c r="AN63" i="104"/>
  <c r="BF61" i="104"/>
  <c r="T61" i="104"/>
  <c r="AT60" i="104"/>
  <c r="AB60" i="104"/>
  <c r="Q53" i="104"/>
  <c r="AY50" i="104"/>
  <c r="AQ14" i="104"/>
  <c r="AT27" i="104"/>
  <c r="AT26" i="104"/>
  <c r="AA27" i="104"/>
  <c r="AA26" i="104"/>
  <c r="BE266" i="104"/>
  <c r="BE275" i="104"/>
  <c r="BA268" i="104"/>
  <c r="BA262" i="104"/>
  <c r="BA287" i="104"/>
  <c r="BA273" i="104"/>
  <c r="AT265" i="104"/>
  <c r="AT267" i="104"/>
  <c r="AT280" i="104"/>
  <c r="AT297" i="104" s="1"/>
  <c r="AT286" i="104" a="1"/>
  <c r="AT286" i="104" s="1"/>
  <c r="AP262" i="104"/>
  <c r="AP271" i="104"/>
  <c r="AI282" i="104" a="1"/>
  <c r="AI282" i="104" s="1"/>
  <c r="AE284" i="104" a="1"/>
  <c r="AE284" i="104" s="1"/>
  <c r="AE283" i="104" a="1"/>
  <c r="AE283" i="104" s="1"/>
  <c r="AE288" i="104"/>
  <c r="T267" i="104"/>
  <c r="T269" i="104"/>
  <c r="T280" i="104"/>
  <c r="T271" i="104"/>
  <c r="AU63" i="104"/>
  <c r="S61" i="104"/>
  <c r="AE60" i="104"/>
  <c r="AN55" i="104" a="1"/>
  <c r="AN55" i="104" s="1"/>
  <c r="T53" i="104"/>
  <c r="AU52" i="104"/>
  <c r="AB52" i="104"/>
  <c r="BC32" i="104"/>
  <c r="AG32" i="104"/>
  <c r="AI169" i="104"/>
  <c r="Y168" i="104"/>
  <c r="AS27" i="104"/>
  <c r="AS26" i="104"/>
  <c r="W26" i="104"/>
  <c r="W27" i="104"/>
  <c r="BD282" i="104" a="1"/>
  <c r="BD282" i="104" s="1"/>
  <c r="AZ288" i="104"/>
  <c r="AZ284" i="104" a="1"/>
  <c r="AZ284" i="104" s="1"/>
  <c r="AZ283" i="104" a="1"/>
  <c r="AZ283" i="104" s="1"/>
  <c r="AS262" i="104"/>
  <c r="AS265" i="104"/>
  <c r="AS273" i="104"/>
  <c r="AO264" i="104"/>
  <c r="AO271" i="104"/>
  <c r="AO287" i="104"/>
  <c r="AH269" i="104"/>
  <c r="AD262" i="104"/>
  <c r="AD268" i="104"/>
  <c r="AD273" i="104"/>
  <c r="AD287" i="104"/>
  <c r="AD271" i="104"/>
  <c r="W268" i="104"/>
  <c r="W262" i="104"/>
  <c r="S269" i="104"/>
  <c r="S275" i="104"/>
  <c r="S287" i="104"/>
  <c r="V300" i="104"/>
  <c r="V278" i="104"/>
  <c r="V260" i="104"/>
  <c r="V225" i="104"/>
  <c r="V239" i="104"/>
  <c r="V232" i="104"/>
  <c r="V58" i="104"/>
  <c r="V38" i="104"/>
  <c r="T32" i="104"/>
  <c r="AU65" i="104"/>
  <c r="BA65" i="104"/>
  <c r="BA132" i="104"/>
  <c r="BA199" i="104" s="1"/>
  <c r="AI216" i="104"/>
  <c r="Y215" i="104"/>
  <c r="BC27" i="104"/>
  <c r="BC26" i="104"/>
  <c r="AG26" i="104"/>
  <c r="AG27" i="104"/>
  <c r="BC288" i="104"/>
  <c r="BC284" i="104" a="1"/>
  <c r="BC284" i="104" s="1"/>
  <c r="BC283" i="104" a="1"/>
  <c r="BC283" i="104" s="1"/>
  <c r="AR267" i="104"/>
  <c r="AR269" i="104"/>
  <c r="AR287" i="104"/>
  <c r="AC296" i="104" a="1"/>
  <c r="AC296" i="104" s="1"/>
  <c r="AC293" i="104"/>
  <c r="R288" i="104"/>
  <c r="R284" i="104" a="1"/>
  <c r="R284" i="104" s="1"/>
  <c r="R283" i="104" a="1"/>
  <c r="R283" i="104" s="1"/>
  <c r="AA300" i="104"/>
  <c r="AA278" i="104"/>
  <c r="AA260" i="104"/>
  <c r="AA239" i="104"/>
  <c r="AA225" i="104"/>
  <c r="AA232" i="104"/>
  <c r="AA58" i="104"/>
  <c r="AA38" i="104"/>
  <c r="U61" i="104"/>
  <c r="AU60" i="104"/>
  <c r="AU216" i="104"/>
  <c r="AK215" i="104"/>
  <c r="AQ26" i="104"/>
  <c r="AQ27" i="104"/>
  <c r="U27" i="104"/>
  <c r="U26" i="104"/>
  <c r="BF267" i="104"/>
  <c r="BF266" i="104"/>
  <c r="BF275" i="104"/>
  <c r="BF271" i="104"/>
  <c r="BB262" i="104"/>
  <c r="BB269" i="104"/>
  <c r="BB287" i="104"/>
  <c r="AQ264" i="104"/>
  <c r="AQ266" i="104"/>
  <c r="AQ287" i="104"/>
  <c r="AB294" i="104"/>
  <c r="U282" i="104" a="1"/>
  <c r="U282" i="104" s="1"/>
  <c r="U288" i="104"/>
  <c r="U284" i="104" a="1"/>
  <c r="U284" i="104" s="1"/>
  <c r="U283" i="104" a="1"/>
  <c r="U283" i="104" s="1"/>
  <c r="P300" i="104"/>
  <c r="P278" i="104"/>
  <c r="P260" i="104"/>
  <c r="P232" i="104"/>
  <c r="P225" i="104"/>
  <c r="P239" i="104"/>
  <c r="P38" i="104"/>
  <c r="P58" i="104"/>
  <c r="V159" i="104"/>
  <c r="AT159" i="104"/>
  <c r="BB63" i="104"/>
  <c r="AI53" i="104"/>
  <c r="AP27" i="104"/>
  <c r="AP26" i="104"/>
  <c r="T27" i="104"/>
  <c r="T26" i="104"/>
  <c r="BE264" i="104"/>
  <c r="BE262" i="104"/>
  <c r="BE280" i="104"/>
  <c r="BE282" i="104" s="1" a="1"/>
  <c r="BE282" i="104" s="1"/>
  <c r="BE286" i="104" a="1"/>
  <c r="BE286" i="104" s="1"/>
  <c r="BA269" i="104"/>
  <c r="BA267" i="104"/>
  <c r="BA271" i="104"/>
  <c r="BA294" i="104"/>
  <c r="AT269" i="104"/>
  <c r="AT264" i="104"/>
  <c r="AT287" i="104"/>
  <c r="AT275" i="104"/>
  <c r="AP265" i="104"/>
  <c r="AP267" i="104"/>
  <c r="AP280" i="104"/>
  <c r="AP282" i="104" s="1" a="1"/>
  <c r="AP282" i="104" s="1"/>
  <c r="AP286" i="104" a="1"/>
  <c r="AP286" i="104" s="1"/>
  <c r="AI284" i="104" a="1"/>
  <c r="AI284" i="104" s="1"/>
  <c r="AI283" i="104" a="1"/>
  <c r="AI283" i="104" s="1"/>
  <c r="AI288" i="104"/>
  <c r="AE294" i="104"/>
  <c r="T264" i="104"/>
  <c r="T266" i="104"/>
  <c r="T287" i="104"/>
  <c r="BF202" i="104"/>
  <c r="BF204" i="104" s="1"/>
  <c r="AG65" i="104"/>
  <c r="AG63" i="104"/>
  <c r="BA61" i="104"/>
  <c r="AS60" i="104"/>
  <c r="P53" i="104"/>
  <c r="AQ52" i="104"/>
  <c r="U52" i="104"/>
  <c r="AW168" i="104"/>
  <c r="BG169" i="104"/>
  <c r="AG309" i="104"/>
  <c r="AC309" i="104"/>
  <c r="AI309" i="104"/>
  <c r="AE309" i="104"/>
  <c r="AH309" i="104"/>
  <c r="AF309" i="104"/>
  <c r="AD309" i="104"/>
  <c r="AB309" i="104"/>
  <c r="AH248" i="104"/>
  <c r="AD248" i="104"/>
  <c r="AG248" i="104"/>
  <c r="AC248" i="104"/>
  <c r="AI248" i="104"/>
  <c r="AE248" i="104"/>
  <c r="AF248" i="104"/>
  <c r="AB248" i="104"/>
  <c r="AH171" i="104"/>
  <c r="AO27" i="104"/>
  <c r="AO26" i="104"/>
  <c r="S26" i="104"/>
  <c r="S27" i="104"/>
  <c r="AZ282" i="104" a="1"/>
  <c r="AZ282" i="104" s="1"/>
  <c r="AS65" i="104"/>
  <c r="AS267" i="104"/>
  <c r="AS269" i="104"/>
  <c r="AS286" i="104" a="1"/>
  <c r="AS286" i="104" s="1"/>
  <c r="AO266" i="104"/>
  <c r="AO268" i="104"/>
  <c r="AO280" i="104"/>
  <c r="AO282" i="104" s="1" a="1"/>
  <c r="AO282" i="104" s="1"/>
  <c r="AH264" i="104"/>
  <c r="AH266" i="104"/>
  <c r="AH286" i="104" a="1"/>
  <c r="AH286" i="104" s="1"/>
  <c r="AH271" i="104"/>
  <c r="AD267" i="104"/>
  <c r="AD265" i="104"/>
  <c r="AD280" i="104"/>
  <c r="AD282" i="104" s="1" a="1"/>
  <c r="AD282" i="104" s="1"/>
  <c r="AD275" i="104"/>
  <c r="W265" i="104"/>
  <c r="W267" i="104"/>
  <c r="W286" i="104" a="1"/>
  <c r="W286" i="104" s="1"/>
  <c r="W271" i="104"/>
  <c r="S264" i="104"/>
  <c r="S266" i="104"/>
  <c r="S280" i="104"/>
  <c r="S294" i="104" s="1"/>
  <c r="R300" i="104"/>
  <c r="R278" i="104"/>
  <c r="R260" i="104"/>
  <c r="R225" i="104"/>
  <c r="R239" i="104"/>
  <c r="R232" i="104"/>
  <c r="R58" i="104"/>
  <c r="R38" i="104"/>
  <c r="AQ63" i="104"/>
  <c r="T65" i="104"/>
  <c r="AI29" i="104"/>
  <c r="AE29" i="104"/>
  <c r="AA29" i="104"/>
  <c r="AA4" i="104"/>
  <c r="AA3" i="104"/>
  <c r="AH29" i="104"/>
  <c r="AD29" i="104"/>
  <c r="AA8" i="104"/>
  <c r="AG29" i="104"/>
  <c r="AC29" i="104"/>
  <c r="AA5" i="104"/>
  <c r="AF29" i="104"/>
  <c r="AB29" i="104"/>
  <c r="AY27" i="104"/>
  <c r="AY26" i="104"/>
  <c r="AC26" i="104"/>
  <c r="AC27" i="104"/>
  <c r="AR264" i="104"/>
  <c r="AR266" i="104"/>
  <c r="AR286" i="104" a="1"/>
  <c r="AR286" i="104" s="1"/>
  <c r="W215" i="104"/>
  <c r="J70" i="104"/>
  <c r="R65" i="104"/>
  <c r="Q61" i="104"/>
  <c r="BE32" i="104"/>
  <c r="P186" i="104"/>
  <c r="P14" i="104" s="1"/>
  <c r="AK168" i="104"/>
  <c r="AU169" i="104"/>
  <c r="W309" i="104"/>
  <c r="S309" i="104"/>
  <c r="U309" i="104"/>
  <c r="Q309" i="104"/>
  <c r="V309" i="104"/>
  <c r="T309" i="104"/>
  <c r="R309" i="104"/>
  <c r="W248" i="104"/>
  <c r="S248" i="104"/>
  <c r="U248" i="104"/>
  <c r="Q248" i="104"/>
  <c r="R248" i="104"/>
  <c r="V248" i="104"/>
  <c r="T248" i="104"/>
  <c r="V171" i="104"/>
  <c r="V187" i="104" s="1"/>
  <c r="BF27" i="104"/>
  <c r="BF26" i="104"/>
  <c r="AM26" i="104"/>
  <c r="AM27" i="104"/>
  <c r="Q27" i="104"/>
  <c r="Q26" i="104"/>
  <c r="BF264" i="104"/>
  <c r="BF273" i="104"/>
  <c r="BF269" i="104"/>
  <c r="BB267" i="104"/>
  <c r="BB265" i="104"/>
  <c r="BB286" i="104" a="1"/>
  <c r="BB286" i="104" s="1"/>
  <c r="AU269" i="104"/>
  <c r="AU275" i="104"/>
  <c r="AU280" i="104"/>
  <c r="AU294" i="104" s="1"/>
  <c r="AQ268" i="104"/>
  <c r="AQ262" i="104"/>
  <c r="AQ286" i="104" a="1"/>
  <c r="AQ286" i="104" s="1"/>
  <c r="AQ273" i="104"/>
  <c r="AB282" i="104" a="1"/>
  <c r="AB282" i="104" s="1"/>
  <c r="AB288" i="104"/>
  <c r="AB284" i="104" a="1"/>
  <c r="AB284" i="104" s="1"/>
  <c r="AB283" i="104" a="1"/>
  <c r="AB283" i="104" s="1"/>
  <c r="AH65" i="104"/>
  <c r="AE53" i="104"/>
  <c r="AN50" i="104"/>
  <c r="W187" i="104"/>
  <c r="W14" i="104"/>
  <c r="BE26" i="104"/>
  <c r="BE27" i="104"/>
  <c r="AI27" i="104"/>
  <c r="AI26" i="104"/>
  <c r="P27" i="104"/>
  <c r="P26" i="104"/>
  <c r="BE268" i="104"/>
  <c r="BE267" i="104"/>
  <c r="BE287" i="104"/>
  <c r="BA265" i="104"/>
  <c r="BA282" i="104" a="1"/>
  <c r="BA282" i="104" s="1"/>
  <c r="AT266" i="104"/>
  <c r="AT268" i="104"/>
  <c r="AP269" i="104"/>
  <c r="AP264" i="104"/>
  <c r="AP287" i="104"/>
  <c r="T268" i="104"/>
  <c r="AW215" i="104"/>
  <c r="BG216" i="104"/>
  <c r="AB65" i="104"/>
  <c r="AY64" i="104"/>
  <c r="AC63" i="104"/>
  <c r="AO60" i="104"/>
  <c r="AY55" i="104" a="1"/>
  <c r="AY55" i="104" s="1"/>
  <c r="BF53" i="104"/>
  <c r="AH53" i="104"/>
  <c r="AP14" i="104"/>
  <c r="BE309" i="104"/>
  <c r="BA309" i="104"/>
  <c r="BG309" i="104"/>
  <c r="BC309" i="104"/>
  <c r="BB309" i="104"/>
  <c r="AZ309" i="104"/>
  <c r="BF309" i="104"/>
  <c r="BD309" i="104"/>
  <c r="BF248" i="104"/>
  <c r="BB248" i="104"/>
  <c r="BE248" i="104"/>
  <c r="BA248" i="104"/>
  <c r="BD248" i="104"/>
  <c r="AZ248" i="104"/>
  <c r="BG248" i="104"/>
  <c r="BC248" i="104"/>
  <c r="AY248" i="104"/>
  <c r="BF171" i="104"/>
  <c r="BD27" i="104"/>
  <c r="BD26" i="104"/>
  <c r="AH27" i="104"/>
  <c r="AH26" i="104"/>
  <c r="O26" i="104"/>
  <c r="O27" i="104"/>
  <c r="AS264" i="104"/>
  <c r="AS271" i="104"/>
  <c r="AS287" i="104"/>
  <c r="AS275" i="104"/>
  <c r="AO262" i="104"/>
  <c r="AO265" i="104"/>
  <c r="AO273" i="104"/>
  <c r="AH262" i="104"/>
  <c r="AH268" i="104"/>
  <c r="AH273" i="104"/>
  <c r="AH287" i="104"/>
  <c r="AD269" i="104"/>
  <c r="W269" i="104"/>
  <c r="W275" i="104"/>
  <c r="W287" i="104"/>
  <c r="W273" i="104"/>
  <c r="S268" i="104"/>
  <c r="S262" i="104"/>
  <c r="S271" i="104"/>
  <c r="BG63" i="104"/>
  <c r="BF63" i="104"/>
  <c r="AM63" i="104"/>
  <c r="P66" i="104"/>
  <c r="AC132" i="103"/>
  <c r="AC199" i="103" s="1"/>
  <c r="T52" i="103"/>
  <c r="BG61" i="103"/>
  <c r="BG60" i="103"/>
  <c r="BG53" i="103"/>
  <c r="BG52" i="103"/>
  <c r="AI294" i="103"/>
  <c r="AI52" i="103"/>
  <c r="AI53" i="103"/>
  <c r="AI282" i="103" a="1"/>
  <c r="AI282" i="103" s="1"/>
  <c r="AI297" i="103"/>
  <c r="AI61" i="103"/>
  <c r="AI60" i="103"/>
  <c r="P53" i="103"/>
  <c r="P52" i="103"/>
  <c r="P55" i="103" s="1" a="1"/>
  <c r="P55" i="103" s="1"/>
  <c r="P50" i="103"/>
  <c r="BA287" i="103"/>
  <c r="BA273" i="103"/>
  <c r="BA266" i="103"/>
  <c r="BA268" i="103"/>
  <c r="BA65" i="103"/>
  <c r="BA267" i="103"/>
  <c r="BA269" i="103"/>
  <c r="BA264" i="103"/>
  <c r="BA62" i="103"/>
  <c r="BA286" i="103" a="1"/>
  <c r="BA286" i="103" s="1"/>
  <c r="BA262" i="103"/>
  <c r="BA265" i="103"/>
  <c r="BA280" i="103"/>
  <c r="BA271" i="103"/>
  <c r="BA275" i="103"/>
  <c r="AG273" i="103"/>
  <c r="AG266" i="103"/>
  <c r="AG268" i="103"/>
  <c r="AG65" i="103"/>
  <c r="AG286" i="103" a="1"/>
  <c r="AG286" i="103" s="1"/>
  <c r="AG267" i="103"/>
  <c r="AG269" i="103"/>
  <c r="AG264" i="103"/>
  <c r="AG280" i="103"/>
  <c r="AG294" i="103" s="1"/>
  <c r="AG262" i="103"/>
  <c r="AG265" i="103"/>
  <c r="AG62" i="103"/>
  <c r="AG287" i="103"/>
  <c r="AG271" i="103"/>
  <c r="AG275" i="103"/>
  <c r="AG32" i="103"/>
  <c r="AD14" i="103"/>
  <c r="M168" i="103"/>
  <c r="W169" i="103"/>
  <c r="AU266" i="103"/>
  <c r="AQ265" i="103"/>
  <c r="AT288" i="103"/>
  <c r="AT284" i="103" a="1"/>
  <c r="AT284" i="103" s="1"/>
  <c r="AT283" i="103" a="1"/>
  <c r="AT283" i="103" s="1"/>
  <c r="AY3" i="103"/>
  <c r="AP60" i="103"/>
  <c r="BB61" i="103"/>
  <c r="BB53" i="103"/>
  <c r="BB52" i="103"/>
  <c r="BB60" i="103"/>
  <c r="BB294" i="103"/>
  <c r="AE282" i="103" a="1"/>
  <c r="AE282" i="103" s="1"/>
  <c r="AE294" i="103"/>
  <c r="AE61" i="103"/>
  <c r="AE60" i="103"/>
  <c r="AE52" i="103"/>
  <c r="AE53" i="103"/>
  <c r="AE297" i="103"/>
  <c r="AU287" i="103"/>
  <c r="AU267" i="103"/>
  <c r="AU269" i="103"/>
  <c r="AU264" i="103"/>
  <c r="AU62" i="103"/>
  <c r="AU280" i="103"/>
  <c r="AU271" i="103"/>
  <c r="AU275" i="103"/>
  <c r="AU65" i="103"/>
  <c r="AU32" i="103"/>
  <c r="AC286" i="103" a="1"/>
  <c r="AC286" i="103" s="1"/>
  <c r="AC267" i="103"/>
  <c r="AC269" i="103"/>
  <c r="AC264" i="103"/>
  <c r="AC280" i="103"/>
  <c r="AC262" i="103"/>
  <c r="AC265" i="103"/>
  <c r="AC62" i="103"/>
  <c r="AC287" i="103"/>
  <c r="AC271" i="103"/>
  <c r="AC275" i="103"/>
  <c r="AC32" i="103"/>
  <c r="AC273" i="103"/>
  <c r="AC266" i="103"/>
  <c r="AC268" i="103"/>
  <c r="AC65" i="103"/>
  <c r="BF14" i="103"/>
  <c r="AU216" i="103"/>
  <c r="AK215" i="103"/>
  <c r="AK168" i="103"/>
  <c r="AU169" i="103"/>
  <c r="W309" i="103"/>
  <c r="S309" i="103"/>
  <c r="U309" i="103"/>
  <c r="Q309" i="103"/>
  <c r="R309" i="103"/>
  <c r="V309" i="103"/>
  <c r="T309" i="103"/>
  <c r="V248" i="103"/>
  <c r="R248" i="103"/>
  <c r="U248" i="103"/>
  <c r="Q248" i="103"/>
  <c r="T248" i="103"/>
  <c r="W248" i="103"/>
  <c r="S248" i="103"/>
  <c r="V171" i="103"/>
  <c r="AU27" i="103"/>
  <c r="AU26" i="103"/>
  <c r="AB26" i="103"/>
  <c r="AB27" i="103"/>
  <c r="AB63" i="103"/>
  <c r="BB288" i="103"/>
  <c r="BB283" i="103" a="1"/>
  <c r="BB283" i="103" s="1"/>
  <c r="BB284" i="103" a="1"/>
  <c r="BB284" i="103" s="1"/>
  <c r="BB297" i="103"/>
  <c r="AU262" i="103"/>
  <c r="AQ266" i="103"/>
  <c r="AO294" i="103"/>
  <c r="AT294" i="103"/>
  <c r="AT53" i="103"/>
  <c r="AT52" i="103"/>
  <c r="AT61" i="103"/>
  <c r="AT60" i="103"/>
  <c r="AT282" i="103" a="1"/>
  <c r="AT282" i="103" s="1"/>
  <c r="AT297" i="103"/>
  <c r="AA53" i="103"/>
  <c r="AA52" i="103"/>
  <c r="AA55" i="103" s="1" a="1"/>
  <c r="AA55" i="103" s="1"/>
  <c r="AQ287" i="103"/>
  <c r="AQ267" i="103"/>
  <c r="AQ269" i="103"/>
  <c r="AQ264" i="103"/>
  <c r="AQ62" i="103"/>
  <c r="AQ32" i="103"/>
  <c r="AQ280" i="103"/>
  <c r="AQ271" i="103"/>
  <c r="AQ275" i="103"/>
  <c r="AQ65" i="103"/>
  <c r="W267" i="103"/>
  <c r="W269" i="103"/>
  <c r="W264" i="103"/>
  <c r="W62" i="103"/>
  <c r="W65" i="103"/>
  <c r="W280" i="103"/>
  <c r="W282" i="103" s="1" a="1"/>
  <c r="W282" i="103" s="1"/>
  <c r="W262" i="103"/>
  <c r="W265" i="103"/>
  <c r="W32" i="103"/>
  <c r="W286" i="103" a="1"/>
  <c r="W286" i="103" s="1"/>
  <c r="W271" i="103"/>
  <c r="W275" i="103"/>
  <c r="W287" i="103"/>
  <c r="W273" i="103"/>
  <c r="W266" i="103"/>
  <c r="W268" i="103"/>
  <c r="BB14" i="103"/>
  <c r="J68" i="103"/>
  <c r="AQ27" i="103"/>
  <c r="AQ26" i="103"/>
  <c r="U27" i="103"/>
  <c r="U26" i="103"/>
  <c r="U65" i="103"/>
  <c r="BF288" i="103"/>
  <c r="BF283" i="103" a="1"/>
  <c r="BF283" i="103" s="1"/>
  <c r="BF284" i="103" a="1"/>
  <c r="BF284" i="103" s="1"/>
  <c r="BF294" i="103"/>
  <c r="BB282" i="103" a="1"/>
  <c r="BB282" i="103" s="1"/>
  <c r="AU268" i="103"/>
  <c r="AU273" i="103"/>
  <c r="AQ262" i="103"/>
  <c r="AO288" i="103"/>
  <c r="AO284" i="103" a="1"/>
  <c r="AO284" i="103" s="1"/>
  <c r="AO283" i="103" a="1"/>
  <c r="AO283" i="103" s="1"/>
  <c r="AM50" i="103"/>
  <c r="BA132" i="103"/>
  <c r="AY5" i="103"/>
  <c r="AO132" i="103"/>
  <c r="AO199" i="103" s="1"/>
  <c r="AP294" i="103"/>
  <c r="AP53" i="103"/>
  <c r="AP61" i="103"/>
  <c r="AP282" i="103" a="1"/>
  <c r="AP282" i="103" s="1"/>
  <c r="T297" i="103"/>
  <c r="T60" i="103"/>
  <c r="T282" i="103" a="1"/>
  <c r="T282" i="103" s="1"/>
  <c r="T294" i="103"/>
  <c r="BE280" i="103"/>
  <c r="BE294" i="103" s="1"/>
  <c r="BE271" i="103"/>
  <c r="BE275" i="103"/>
  <c r="BE287" i="103"/>
  <c r="BE273" i="103"/>
  <c r="BE266" i="103"/>
  <c r="BE268" i="103"/>
  <c r="BE65" i="103"/>
  <c r="BE267" i="103"/>
  <c r="BE269" i="103"/>
  <c r="BE264" i="103"/>
  <c r="BE62" i="103"/>
  <c r="BE286" i="103" a="1"/>
  <c r="BE286" i="103" s="1"/>
  <c r="BE262" i="103"/>
  <c r="BE265" i="103"/>
  <c r="S280" i="103"/>
  <c r="S282" i="103" s="1" a="1"/>
  <c r="S282" i="103" s="1"/>
  <c r="S271" i="103"/>
  <c r="S275" i="103"/>
  <c r="S32" i="103"/>
  <c r="S287" i="103"/>
  <c r="S273" i="103"/>
  <c r="S266" i="103"/>
  <c r="S268" i="103"/>
  <c r="S286" i="103" a="1"/>
  <c r="S286" i="103" s="1"/>
  <c r="S267" i="103"/>
  <c r="S269" i="103"/>
  <c r="S264" i="103"/>
  <c r="S62" i="103"/>
  <c r="S65" i="103"/>
  <c r="S262" i="103"/>
  <c r="S265" i="103"/>
  <c r="AH14" i="103"/>
  <c r="AU309" i="103"/>
  <c r="AQ309" i="103"/>
  <c r="AS309" i="103"/>
  <c r="AO309" i="103"/>
  <c r="AT309" i="103"/>
  <c r="AR309" i="103"/>
  <c r="AP309" i="103"/>
  <c r="AT248" i="103"/>
  <c r="AP248" i="103"/>
  <c r="AS248" i="103"/>
  <c r="AO248" i="103"/>
  <c r="AR248" i="103"/>
  <c r="AU248" i="103"/>
  <c r="AQ248" i="103"/>
  <c r="AT171" i="103"/>
  <c r="W215" i="103"/>
  <c r="J70" i="103"/>
  <c r="BF27" i="103"/>
  <c r="BF26" i="103"/>
  <c r="BF63" i="103"/>
  <c r="AM27" i="103"/>
  <c r="AM26" i="103"/>
  <c r="AM55" i="103" a="1"/>
  <c r="AM55" i="103" s="1"/>
  <c r="Q27" i="103"/>
  <c r="Q26" i="103"/>
  <c r="Q65" i="103"/>
  <c r="BF282" i="103" a="1"/>
  <c r="BF282" i="103" s="1"/>
  <c r="BF297" i="103"/>
  <c r="AU63" i="103"/>
  <c r="AU265" i="103"/>
  <c r="AQ63" i="103"/>
  <c r="AQ268" i="103"/>
  <c r="AQ273" i="103"/>
  <c r="AM63" i="103"/>
  <c r="AB296" i="103" a="1"/>
  <c r="AB296" i="103" s="1"/>
  <c r="AZ296" i="103" a="1"/>
  <c r="AZ296" i="103" s="1"/>
  <c r="AZ293" i="103"/>
  <c r="AZ288" i="103"/>
  <c r="AZ283" i="103" a="1"/>
  <c r="AZ283" i="103" s="1"/>
  <c r="AZ284" i="103" a="1"/>
  <c r="AZ284" i="103" s="1"/>
  <c r="AG14" i="103"/>
  <c r="BA27" i="103"/>
  <c r="BA26" i="103"/>
  <c r="AE27" i="103"/>
  <c r="AE26" i="103"/>
  <c r="BA297" i="103"/>
  <c r="AT271" i="103"/>
  <c r="AT264" i="103"/>
  <c r="AT286" i="103" a="1"/>
  <c r="AT286" i="103" s="1"/>
  <c r="AE288" i="103"/>
  <c r="AE284" i="103" a="1"/>
  <c r="AE284" i="103" s="1"/>
  <c r="AE283" i="103" a="1"/>
  <c r="AE283" i="103" s="1"/>
  <c r="AF62" i="103"/>
  <c r="BF52" i="103"/>
  <c r="AZ186" i="103"/>
  <c r="AZ14" i="103" s="1"/>
  <c r="AS27" i="103"/>
  <c r="AS26" i="103"/>
  <c r="W27" i="103"/>
  <c r="W26" i="103"/>
  <c r="BD265" i="103"/>
  <c r="BD262" i="103"/>
  <c r="BD268" i="103"/>
  <c r="BD286" i="103" a="1"/>
  <c r="BD286" i="103" s="1"/>
  <c r="AZ271" i="103"/>
  <c r="AZ264" i="103"/>
  <c r="AZ282" i="103" a="1"/>
  <c r="AZ282" i="103" s="1"/>
  <c r="AZ297" i="103"/>
  <c r="AS63" i="103"/>
  <c r="AS271" i="103"/>
  <c r="AS264" i="103"/>
  <c r="AS269" i="103"/>
  <c r="AS287" i="103"/>
  <c r="AO62" i="103"/>
  <c r="AO52" i="103"/>
  <c r="AO267" i="103"/>
  <c r="AO275" i="103"/>
  <c r="AO282" i="103" a="1"/>
  <c r="AO282" i="103" s="1"/>
  <c r="AO297" i="103"/>
  <c r="AD282" i="103" a="1"/>
  <c r="AD282" i="103" s="1"/>
  <c r="AD297" i="103"/>
  <c r="S60" i="103"/>
  <c r="O50" i="103"/>
  <c r="O64" i="103"/>
  <c r="V65" i="103"/>
  <c r="P64" i="103"/>
  <c r="AY52" i="103"/>
  <c r="AY55" i="103" s="1" a="1"/>
  <c r="AY55" i="103" s="1"/>
  <c r="AB32" i="103"/>
  <c r="BC14" i="103"/>
  <c r="AY27" i="103"/>
  <c r="AY26" i="103"/>
  <c r="AC27" i="103"/>
  <c r="AC26" i="103"/>
  <c r="BG62" i="103"/>
  <c r="BG271" i="103"/>
  <c r="BG275" i="103"/>
  <c r="BG269" i="103"/>
  <c r="BC62" i="103"/>
  <c r="BC271" i="103"/>
  <c r="BC264" i="103"/>
  <c r="BC269" i="103"/>
  <c r="AY63" i="103"/>
  <c r="AR273" i="103"/>
  <c r="AR265" i="103"/>
  <c r="AR287" i="103"/>
  <c r="AG60" i="103"/>
  <c r="AG282" i="103" a="1"/>
  <c r="AG282" i="103" s="1"/>
  <c r="AC297" i="103"/>
  <c r="V53" i="103"/>
  <c r="V266" i="103"/>
  <c r="V273" i="103"/>
  <c r="V286" i="103" a="1"/>
  <c r="V286" i="103" s="1"/>
  <c r="V287" i="103"/>
  <c r="R271" i="103"/>
  <c r="R264" i="103"/>
  <c r="R280" i="103"/>
  <c r="R294" i="103" s="1"/>
  <c r="V162" i="103"/>
  <c r="V13" i="103" s="1"/>
  <c r="AT162" i="103"/>
  <c r="AT13" i="103" s="1"/>
  <c r="BD65" i="103"/>
  <c r="R32" i="103"/>
  <c r="BB62" i="103"/>
  <c r="AB65" i="103"/>
  <c r="AF288" i="103"/>
  <c r="AF284" i="103" a="1"/>
  <c r="AF284" i="103" s="1"/>
  <c r="AF283" i="103" a="1"/>
  <c r="AF283" i="103" s="1"/>
  <c r="AF294" i="103"/>
  <c r="U288" i="103"/>
  <c r="Q288" i="103"/>
  <c r="Q284" i="103" a="1"/>
  <c r="Q284" i="103" s="1"/>
  <c r="Q283" i="103" a="1"/>
  <c r="Q283" i="103" s="1"/>
  <c r="Q294" i="103"/>
  <c r="AH202" i="103"/>
  <c r="AH204" i="103" s="1"/>
  <c r="AH12" i="103"/>
  <c r="BD32" i="103"/>
  <c r="T29" i="103"/>
  <c r="P29" i="103"/>
  <c r="O4" i="103"/>
  <c r="O3" i="103"/>
  <c r="W29" i="103"/>
  <c r="S29" i="103"/>
  <c r="O29" i="103"/>
  <c r="O8" i="103"/>
  <c r="V29" i="103"/>
  <c r="R29" i="103"/>
  <c r="J24" i="103"/>
  <c r="O5" i="103"/>
  <c r="U29" i="103"/>
  <c r="Q29" i="103"/>
  <c r="AT26" i="103"/>
  <c r="AT27" i="103"/>
  <c r="AA27" i="103"/>
  <c r="AA26" i="103"/>
  <c r="BA61" i="103"/>
  <c r="BA60" i="103"/>
  <c r="BA294" i="103"/>
  <c r="AT265" i="103"/>
  <c r="AT262" i="103"/>
  <c r="AT268" i="103"/>
  <c r="AP269" i="103"/>
  <c r="AP267" i="103"/>
  <c r="AP275" i="103"/>
  <c r="V62" i="103"/>
  <c r="AH61" i="103"/>
  <c r="AG53" i="103"/>
  <c r="BA52" i="103"/>
  <c r="BE309" i="103"/>
  <c r="BA309" i="103"/>
  <c r="BG309" i="103"/>
  <c r="BC309" i="103"/>
  <c r="BD309" i="103"/>
  <c r="BB309" i="103"/>
  <c r="AZ309" i="103"/>
  <c r="BF309" i="103"/>
  <c r="BD248" i="103"/>
  <c r="AZ248" i="103"/>
  <c r="BG248" i="103"/>
  <c r="BC248" i="103"/>
  <c r="AY248" i="103"/>
  <c r="BF248" i="103"/>
  <c r="BB248" i="103"/>
  <c r="BE248" i="103"/>
  <c r="BA248" i="103"/>
  <c r="BF171" i="103"/>
  <c r="BF187" i="103" s="1"/>
  <c r="BG169" i="103"/>
  <c r="AW168" i="103"/>
  <c r="AO27" i="103"/>
  <c r="AO26" i="103"/>
  <c r="S27" i="103"/>
  <c r="S26" i="103"/>
  <c r="BD52" i="103"/>
  <c r="BD269" i="103"/>
  <c r="BD267" i="103"/>
  <c r="BD275" i="103"/>
  <c r="BD287" i="103"/>
  <c r="AZ265" i="103"/>
  <c r="AZ262" i="103"/>
  <c r="AZ268" i="103"/>
  <c r="AZ286" i="103" a="1"/>
  <c r="AZ286" i="103" s="1"/>
  <c r="AS60" i="103"/>
  <c r="AS65" i="103"/>
  <c r="AS262" i="103"/>
  <c r="AS268" i="103"/>
  <c r="AS280" i="103"/>
  <c r="AS294" i="103" s="1"/>
  <c r="AO61" i="103"/>
  <c r="AO266" i="103"/>
  <c r="AO273" i="103"/>
  <c r="AO265" i="103"/>
  <c r="AO286" i="103" a="1"/>
  <c r="AO286" i="103" s="1"/>
  <c r="AH53" i="103"/>
  <c r="AH288" i="103"/>
  <c r="AH284" i="103" a="1"/>
  <c r="AH284" i="103" s="1"/>
  <c r="AH283" i="103" a="1"/>
  <c r="AH283" i="103" s="1"/>
  <c r="AH294" i="103"/>
  <c r="AD52" i="103"/>
  <c r="W61" i="103"/>
  <c r="W52" i="103"/>
  <c r="W294" i="103"/>
  <c r="O52" i="103"/>
  <c r="O55" i="103" s="1" a="1"/>
  <c r="O55" i="103" s="1"/>
  <c r="AR27" i="103"/>
  <c r="AR26" i="103"/>
  <c r="V26" i="103"/>
  <c r="V27" i="103"/>
  <c r="BG65" i="103"/>
  <c r="BG262" i="103"/>
  <c r="BG264" i="103"/>
  <c r="BG287" i="103"/>
  <c r="BC65" i="103"/>
  <c r="BC262" i="103"/>
  <c r="BC268" i="103"/>
  <c r="BC287" i="103"/>
  <c r="AY64" i="103"/>
  <c r="AR264" i="103"/>
  <c r="AR269" i="103"/>
  <c r="AR280" i="103"/>
  <c r="AR297" i="103" s="1"/>
  <c r="AG61" i="103"/>
  <c r="AG297" i="103"/>
  <c r="AC60" i="103"/>
  <c r="AC282" i="103" a="1"/>
  <c r="AC282" i="103" s="1"/>
  <c r="V271" i="103"/>
  <c r="V264" i="103"/>
  <c r="R265" i="103"/>
  <c r="R262" i="103"/>
  <c r="R268" i="103"/>
  <c r="R286" i="103" a="1"/>
  <c r="R286" i="103" s="1"/>
  <c r="AZ61" i="103"/>
  <c r="AB283" i="103" a="1"/>
  <c r="AB283" i="103" s="1"/>
  <c r="AR29" i="103"/>
  <c r="AN29" i="103"/>
  <c r="AM5" i="103"/>
  <c r="AU29" i="103"/>
  <c r="AQ29" i="103"/>
  <c r="AM29" i="103"/>
  <c r="AT29" i="103"/>
  <c r="AP29" i="103"/>
  <c r="AM4" i="103"/>
  <c r="AM3" i="103"/>
  <c r="AS29" i="103"/>
  <c r="AO29" i="103"/>
  <c r="AM8" i="103"/>
  <c r="AP26" i="103"/>
  <c r="AP27" i="103"/>
  <c r="T27" i="103"/>
  <c r="T26" i="103"/>
  <c r="BA63" i="103"/>
  <c r="AT269" i="103"/>
  <c r="AT267" i="103"/>
  <c r="AT275" i="103"/>
  <c r="AT287" i="103"/>
  <c r="AP288" i="103"/>
  <c r="AE63" i="103"/>
  <c r="W53" i="103"/>
  <c r="AB186" i="103"/>
  <c r="AB14" i="103" s="1"/>
  <c r="AW215" i="103"/>
  <c r="BG216" i="103"/>
  <c r="AG309" i="103"/>
  <c r="AC309" i="103"/>
  <c r="AI309" i="103"/>
  <c r="AE309" i="103"/>
  <c r="AB309" i="103"/>
  <c r="AH309" i="103"/>
  <c r="AF309" i="103"/>
  <c r="AD309" i="103"/>
  <c r="AF248" i="103"/>
  <c r="AB248" i="103"/>
  <c r="AI248" i="103"/>
  <c r="AE248" i="103"/>
  <c r="AH248" i="103"/>
  <c r="AD248" i="103"/>
  <c r="AG248" i="103"/>
  <c r="AC248" i="103"/>
  <c r="AH171" i="103"/>
  <c r="AH187" i="103" s="1"/>
  <c r="AI169" i="103"/>
  <c r="Y168" i="103"/>
  <c r="BD26" i="103"/>
  <c r="BD27" i="103"/>
  <c r="AH27" i="103"/>
  <c r="AH26" i="103"/>
  <c r="O27" i="103"/>
  <c r="O26" i="103"/>
  <c r="BD53" i="103"/>
  <c r="BD266" i="103"/>
  <c r="BD273" i="103"/>
  <c r="BD280" i="103"/>
  <c r="AZ52" i="103"/>
  <c r="AZ269" i="103"/>
  <c r="AZ267" i="103"/>
  <c r="AZ275" i="103"/>
  <c r="AZ287" i="103"/>
  <c r="AS62" i="103"/>
  <c r="AS52" i="103"/>
  <c r="AS267" i="103"/>
  <c r="AS275" i="103"/>
  <c r="AO271" i="103"/>
  <c r="AO264" i="103"/>
  <c r="AO269" i="103"/>
  <c r="AO287" i="103"/>
  <c r="AH282" i="103" a="1"/>
  <c r="AH282" i="103" s="1"/>
  <c r="AH297" i="103"/>
  <c r="W63" i="103"/>
  <c r="W60" i="103"/>
  <c r="W297" i="103"/>
  <c r="O63" i="103"/>
  <c r="AP65" i="103"/>
  <c r="AT63" i="103"/>
  <c r="AR60" i="103"/>
  <c r="AI187" i="103"/>
  <c r="AI14" i="103"/>
  <c r="BG27" i="103"/>
  <c r="BG26" i="103"/>
  <c r="AN27" i="103"/>
  <c r="AN26" i="103"/>
  <c r="R26" i="103"/>
  <c r="R27" i="103"/>
  <c r="BG267" i="103"/>
  <c r="BG268" i="103"/>
  <c r="BG280" i="103"/>
  <c r="BG282" i="103" s="1" a="1"/>
  <c r="BG282" i="103" s="1"/>
  <c r="BC267" i="103"/>
  <c r="BC275" i="103"/>
  <c r="BC280" i="103"/>
  <c r="BC297" i="103" s="1"/>
  <c r="AR262" i="103"/>
  <c r="AR268" i="103"/>
  <c r="AR266" i="103"/>
  <c r="AR286" i="103" a="1"/>
  <c r="AR286" i="103" s="1"/>
  <c r="AN53" i="103"/>
  <c r="AC61" i="103"/>
  <c r="AC294" i="103"/>
  <c r="V265" i="103"/>
  <c r="V262" i="103"/>
  <c r="V268" i="103"/>
  <c r="V280" i="103"/>
  <c r="V282" i="103" s="1" a="1"/>
  <c r="V282" i="103" s="1"/>
  <c r="R269" i="103"/>
  <c r="R267" i="103"/>
  <c r="R275" i="103"/>
  <c r="R297" i="103"/>
  <c r="AH162" i="103"/>
  <c r="AH13" i="103" s="1"/>
  <c r="BF162" i="103"/>
  <c r="BF13" i="103" s="1"/>
  <c r="AO53" i="103"/>
  <c r="U32" i="103"/>
  <c r="T63" i="103"/>
  <c r="BB27" i="103"/>
  <c r="BB26" i="103"/>
  <c r="AF26" i="103"/>
  <c r="AF27" i="103"/>
  <c r="AB282" i="103" a="1"/>
  <c r="AB282" i="103" s="1"/>
  <c r="Q282" i="103" a="1"/>
  <c r="Q282" i="103" s="1"/>
  <c r="V159" i="103"/>
  <c r="AT159" i="103"/>
  <c r="BE27" i="103"/>
  <c r="BE26" i="103"/>
  <c r="AI27" i="103"/>
  <c r="AI26" i="103"/>
  <c r="P27" i="103"/>
  <c r="P26" i="103"/>
  <c r="AT266" i="103"/>
  <c r="AT273" i="103"/>
  <c r="AP271" i="103"/>
  <c r="AP264" i="103"/>
  <c r="AP286" i="103" a="1"/>
  <c r="AP286" i="103" s="1"/>
  <c r="AI288" i="103"/>
  <c r="AI284" i="103" a="1"/>
  <c r="AI284" i="103" s="1"/>
  <c r="AI283" i="103" a="1"/>
  <c r="AI283" i="103" s="1"/>
  <c r="AE65" i="103"/>
  <c r="AA63" i="103"/>
  <c r="T288" i="103"/>
  <c r="T284" i="103" a="1"/>
  <c r="T284" i="103" s="1"/>
  <c r="T283" i="103" a="1"/>
  <c r="T283" i="103" s="1"/>
  <c r="AZ62" i="103"/>
  <c r="BG32" i="103"/>
  <c r="AI216" i="103"/>
  <c r="Y215" i="103"/>
  <c r="AZ26" i="103"/>
  <c r="AZ27" i="103"/>
  <c r="AD27" i="103"/>
  <c r="AD26" i="103"/>
  <c r="BD271" i="103"/>
  <c r="BD282" i="103" a="1"/>
  <c r="BD282" i="103" s="1"/>
  <c r="AZ53" i="103"/>
  <c r="AZ266" i="103"/>
  <c r="AZ273" i="103"/>
  <c r="AS266" i="103"/>
  <c r="AS273" i="103"/>
  <c r="AS265" i="103"/>
  <c r="AO60" i="103"/>
  <c r="AO65" i="103"/>
  <c r="AO262" i="103"/>
  <c r="AO268" i="103"/>
  <c r="AH52" i="103"/>
  <c r="AD53" i="103"/>
  <c r="AD288" i="103"/>
  <c r="AD284" i="103" a="1"/>
  <c r="AD284" i="103" s="1"/>
  <c r="AD283" i="103" a="1"/>
  <c r="AD283" i="103" s="1"/>
  <c r="S61" i="103"/>
  <c r="S52" i="103"/>
  <c r="AF65" i="103"/>
  <c r="V61" i="103"/>
  <c r="AY53" i="103"/>
  <c r="BB32" i="103"/>
  <c r="BG187" i="103"/>
  <c r="BG14" i="103"/>
  <c r="AE14" i="103"/>
  <c r="AN55" i="103" a="1"/>
  <c r="AN55" i="103" s="1"/>
  <c r="BC27" i="103"/>
  <c r="BC26" i="103"/>
  <c r="AG27" i="103"/>
  <c r="AG26" i="103"/>
  <c r="BG266" i="103"/>
  <c r="BG273" i="103"/>
  <c r="BG265" i="103"/>
  <c r="BC60" i="103"/>
  <c r="BC266" i="103"/>
  <c r="BC273" i="103"/>
  <c r="BC265" i="103"/>
  <c r="AR53" i="103"/>
  <c r="AR267" i="103"/>
  <c r="AR275" i="103"/>
  <c r="AC63" i="103"/>
  <c r="V269" i="103"/>
  <c r="V267" i="103"/>
  <c r="V275" i="103"/>
  <c r="R53" i="103"/>
  <c r="R266" i="103"/>
  <c r="R273" i="103"/>
  <c r="AF63" i="103"/>
  <c r="M265" i="24"/>
  <c r="AG28" i="107" l="1"/>
  <c r="AG291" i="107" s="1"/>
  <c r="AD28" i="107"/>
  <c r="AD291" i="107" s="1"/>
  <c r="T283" i="107" a="1"/>
  <c r="T283" i="107" s="1"/>
  <c r="AP28" i="107"/>
  <c r="AP291" i="107" s="1"/>
  <c r="AZ283" i="107" a="1"/>
  <c r="AZ283" i="107" s="1"/>
  <c r="BE282" i="107" a="1"/>
  <c r="BE282" i="107" s="1"/>
  <c r="T282" i="107" a="1"/>
  <c r="T282" i="107" s="1"/>
  <c r="T284" i="107" a="1"/>
  <c r="T284" i="107" s="1"/>
  <c r="AZ284" i="107" a="1"/>
  <c r="AZ284" i="107" s="1"/>
  <c r="T294" i="107"/>
  <c r="AZ288" i="107"/>
  <c r="AZ294" i="107"/>
  <c r="BC294" i="107"/>
  <c r="BC293" i="107" s="1"/>
  <c r="AN28" i="107"/>
  <c r="AN291" i="107" s="1"/>
  <c r="BG294" i="107"/>
  <c r="BG293" i="107" s="1"/>
  <c r="R284" i="107" a="1"/>
  <c r="R284" i="107" s="1"/>
  <c r="BG283" i="107" a="1"/>
  <c r="BG283" i="107" s="1"/>
  <c r="V28" i="107"/>
  <c r="V291" i="107" s="1"/>
  <c r="R297" i="107"/>
  <c r="Q297" i="106"/>
  <c r="BA283" i="106" a="1"/>
  <c r="BA283" i="106" s="1"/>
  <c r="BA284" i="106" a="1"/>
  <c r="BA284" i="106" s="1"/>
  <c r="BA294" i="106"/>
  <c r="BA296" i="106" s="1" a="1"/>
  <c r="BA296" i="106" s="1"/>
  <c r="BA282" i="106" a="1"/>
  <c r="BA282" i="106" s="1"/>
  <c r="AF288" i="105"/>
  <c r="AF294" i="105"/>
  <c r="AF297" i="105"/>
  <c r="BC297" i="105"/>
  <c r="AH187" i="105"/>
  <c r="AF284" i="105" a="1"/>
  <c r="AF284" i="105" s="1"/>
  <c r="Q294" i="105"/>
  <c r="V282" i="105" a="1"/>
  <c r="V282" i="105" s="1"/>
  <c r="V294" i="105"/>
  <c r="BC294" i="105"/>
  <c r="AS28" i="105"/>
  <c r="AS291" i="105" s="1"/>
  <c r="V283" i="105" a="1"/>
  <c r="V283" i="105" s="1"/>
  <c r="P28" i="105"/>
  <c r="P291" i="105" s="1"/>
  <c r="AU282" i="105" a="1"/>
  <c r="AU282" i="105" s="1"/>
  <c r="AG296" i="104" a="1"/>
  <c r="AG296" i="104" s="1"/>
  <c r="W282" i="104" a="1"/>
  <c r="W282" i="104" s="1"/>
  <c r="AB284" i="103" a="1"/>
  <c r="AB284" i="103" s="1"/>
  <c r="U294" i="103"/>
  <c r="U297" i="103"/>
  <c r="AB288" i="103"/>
  <c r="U283" i="103" a="1"/>
  <c r="U283" i="103" s="1"/>
  <c r="U282" i="103" a="1"/>
  <c r="U282" i="103" s="1"/>
  <c r="AB297" i="103"/>
  <c r="AZ28" i="103"/>
  <c r="AZ291" i="103" s="1"/>
  <c r="J50" i="107"/>
  <c r="AH28" i="107"/>
  <c r="AH291" i="107" s="1"/>
  <c r="R288" i="107"/>
  <c r="BE294" i="107"/>
  <c r="BE296" i="107" s="1" a="1"/>
  <c r="BE296" i="107" s="1"/>
  <c r="R282" i="107" a="1"/>
  <c r="R282" i="107" s="1"/>
  <c r="AO28" i="107"/>
  <c r="AO291" i="107" s="1"/>
  <c r="AU28" i="107"/>
  <c r="AU291" i="107" s="1"/>
  <c r="BD282" i="107" a="1"/>
  <c r="BD282" i="107" s="1"/>
  <c r="BA297" i="107"/>
  <c r="AZ28" i="107"/>
  <c r="AZ291" i="107" s="1"/>
  <c r="P28" i="107"/>
  <c r="P291" i="107" s="1"/>
  <c r="BE28" i="107"/>
  <c r="BE291" i="107" s="1"/>
  <c r="T28" i="107"/>
  <c r="T291" i="107" s="1"/>
  <c r="R283" i="107" a="1"/>
  <c r="R283" i="107" s="1"/>
  <c r="AW26" i="106"/>
  <c r="BB296" i="106" a="1"/>
  <c r="BB296" i="106" s="1"/>
  <c r="U28" i="106"/>
  <c r="U291" i="106" s="1"/>
  <c r="J50" i="105"/>
  <c r="BG293" i="104"/>
  <c r="Q282" i="104" a="1"/>
  <c r="Q282" i="104" s="1"/>
  <c r="AD296" i="103" a="1"/>
  <c r="AD296" i="103" s="1"/>
  <c r="AD293" i="103"/>
  <c r="AU293" i="106"/>
  <c r="AU296" i="106" a="1"/>
  <c r="AU296" i="106" s="1"/>
  <c r="BD28" i="103"/>
  <c r="BD291" i="103" s="1"/>
  <c r="BB28" i="105"/>
  <c r="BB291" i="105" s="1"/>
  <c r="AS28" i="106"/>
  <c r="AS291" i="106" s="1"/>
  <c r="AR28" i="107"/>
  <c r="AR291" i="107" s="1"/>
  <c r="AE28" i="107"/>
  <c r="AE291" i="107" s="1"/>
  <c r="AC28" i="107"/>
  <c r="AC291" i="107" s="1"/>
  <c r="R28" i="107"/>
  <c r="R291" i="107" s="1"/>
  <c r="BF28" i="107"/>
  <c r="BF291" i="107" s="1"/>
  <c r="AG297" i="106"/>
  <c r="Q28" i="105"/>
  <c r="Q291" i="105" s="1"/>
  <c r="AO28" i="105"/>
  <c r="AO291" i="105" s="1"/>
  <c r="W28" i="105"/>
  <c r="W291" i="105" s="1"/>
  <c r="BC28" i="106"/>
  <c r="BC291" i="106" s="1"/>
  <c r="AO282" i="106" a="1"/>
  <c r="AO282" i="106" s="1"/>
  <c r="AW26" i="107"/>
  <c r="AU28" i="104"/>
  <c r="AU291" i="104" s="1"/>
  <c r="W297" i="104"/>
  <c r="AG28" i="105"/>
  <c r="AG291" i="105" s="1"/>
  <c r="BD28" i="107"/>
  <c r="BD291" i="107" s="1"/>
  <c r="BF12" i="103"/>
  <c r="BF202" i="103"/>
  <c r="BF204" i="103" s="1"/>
  <c r="BB297" i="105"/>
  <c r="AS28" i="107"/>
  <c r="AS291" i="107" s="1"/>
  <c r="U28" i="107"/>
  <c r="U291" i="107" s="1"/>
  <c r="AG293" i="106"/>
  <c r="AG296" i="106" a="1"/>
  <c r="AG296" i="106" s="1"/>
  <c r="AZ186" i="107"/>
  <c r="AZ14" i="107" s="1"/>
  <c r="BC296" i="107" a="1"/>
  <c r="BC296" i="107" s="1"/>
  <c r="AB186" i="107"/>
  <c r="AB14" i="107" s="1"/>
  <c r="AG14" i="107"/>
  <c r="AP288" i="107"/>
  <c r="AP284" i="107" a="1"/>
  <c r="AP284" i="107" s="1"/>
  <c r="AP283" i="107" a="1"/>
  <c r="AP283" i="107" s="1"/>
  <c r="M26" i="107"/>
  <c r="U296" i="107" a="1"/>
  <c r="U296" i="107" s="1"/>
  <c r="U293" i="107"/>
  <c r="AE293" i="107"/>
  <c r="AE296" i="107" a="1"/>
  <c r="AE296" i="107" s="1"/>
  <c r="AP297" i="107"/>
  <c r="AQ284" i="107" a="1"/>
  <c r="AQ284" i="107" s="1"/>
  <c r="AQ288" i="107"/>
  <c r="AQ283" i="107" a="1"/>
  <c r="AQ283" i="107" s="1"/>
  <c r="AQ294" i="107"/>
  <c r="AH288" i="107"/>
  <c r="AH284" i="107" a="1"/>
  <c r="AH284" i="107" s="1"/>
  <c r="AH283" i="107" a="1"/>
  <c r="AH283" i="107" s="1"/>
  <c r="AH294" i="107"/>
  <c r="M215" i="107"/>
  <c r="J215" i="107" s="1"/>
  <c r="W216" i="107"/>
  <c r="S297" i="103"/>
  <c r="V293" i="104"/>
  <c r="BB282" i="104" a="1"/>
  <c r="BB282" i="104" s="1"/>
  <c r="Q283" i="104" a="1"/>
  <c r="Q283" i="104" s="1"/>
  <c r="BB28" i="104"/>
  <c r="BB291" i="104" s="1"/>
  <c r="Q282" i="105" a="1"/>
  <c r="Q282" i="105" s="1"/>
  <c r="AU294" i="105"/>
  <c r="AU293" i="105" s="1"/>
  <c r="BF28" i="106"/>
  <c r="BF291" i="106" s="1"/>
  <c r="W28" i="106"/>
  <c r="W291" i="106" s="1"/>
  <c r="AQ28" i="106"/>
  <c r="AQ291" i="106" s="1"/>
  <c r="AZ28" i="106"/>
  <c r="AZ291" i="106" s="1"/>
  <c r="BC14" i="107"/>
  <c r="BE14" i="107"/>
  <c r="AS288" i="107"/>
  <c r="AS284" i="107" a="1"/>
  <c r="AS284" i="107" s="1"/>
  <c r="AS283" i="107" a="1"/>
  <c r="AS283" i="107" s="1"/>
  <c r="AS282" i="107" a="1"/>
  <c r="AS282" i="107" s="1"/>
  <c r="AS297" i="107"/>
  <c r="W28" i="107"/>
  <c r="W291" i="107" s="1"/>
  <c r="V12" i="107"/>
  <c r="V202" i="107"/>
  <c r="V204" i="107" s="1"/>
  <c r="AW27" i="107"/>
  <c r="AY28" i="107"/>
  <c r="W296" i="107" a="1"/>
  <c r="W296" i="107" s="1"/>
  <c r="W293" i="107"/>
  <c r="AO288" i="107"/>
  <c r="AO284" i="107" a="1"/>
  <c r="AO284" i="107" s="1"/>
  <c r="AO283" i="107" a="1"/>
  <c r="AO283" i="107" s="1"/>
  <c r="BD288" i="107"/>
  <c r="BD284" i="107" a="1"/>
  <c r="BD284" i="107" s="1"/>
  <c r="BD283" i="107" a="1"/>
  <c r="BD283" i="107" s="1"/>
  <c r="AI28" i="107"/>
  <c r="AI291" i="107" s="1"/>
  <c r="Q296" i="107" a="1"/>
  <c r="Q296" i="107" s="1"/>
  <c r="Q293" i="107"/>
  <c r="AC293" i="107"/>
  <c r="AC296" i="107" a="1"/>
  <c r="AC296" i="107" s="1"/>
  <c r="BC28" i="107"/>
  <c r="BC291" i="107" s="1"/>
  <c r="M27" i="107"/>
  <c r="O28" i="107"/>
  <c r="AO297" i="107"/>
  <c r="BF296" i="107" a="1"/>
  <c r="BF296" i="107" s="1"/>
  <c r="BF293" i="107"/>
  <c r="AF28" i="107"/>
  <c r="AF291" i="107" s="1"/>
  <c r="BB28" i="107"/>
  <c r="BB291" i="107" s="1"/>
  <c r="AC288" i="107"/>
  <c r="AC284" i="107" a="1"/>
  <c r="AC284" i="107" s="1"/>
  <c r="AC283" i="107" a="1"/>
  <c r="AC283" i="107" s="1"/>
  <c r="S28" i="107"/>
  <c r="S291" i="107" s="1"/>
  <c r="Q28" i="107"/>
  <c r="Q291" i="107" s="1"/>
  <c r="T293" i="107"/>
  <c r="T296" i="107" a="1"/>
  <c r="T296" i="107" s="1"/>
  <c r="AP282" i="107" a="1"/>
  <c r="AP282" i="107" s="1"/>
  <c r="R293" i="107"/>
  <c r="R296" i="107" a="1"/>
  <c r="R296" i="107" s="1"/>
  <c r="BA294" i="107"/>
  <c r="W288" i="107"/>
  <c r="W284" i="107" a="1"/>
  <c r="W284" i="107" s="1"/>
  <c r="W283" i="107" a="1"/>
  <c r="W283" i="107" s="1"/>
  <c r="W282" i="107" a="1"/>
  <c r="W282" i="107" s="1"/>
  <c r="AT12" i="107"/>
  <c r="AT202" i="107"/>
  <c r="AT204" i="107" s="1"/>
  <c r="V293" i="107"/>
  <c r="V296" i="107" a="1"/>
  <c r="V296" i="107" s="1"/>
  <c r="AR293" i="107"/>
  <c r="AR296" i="107" a="1"/>
  <c r="AR296" i="107" s="1"/>
  <c r="S296" i="107" a="1"/>
  <c r="S296" i="107" s="1"/>
  <c r="S293" i="107"/>
  <c r="AP294" i="107"/>
  <c r="Y27" i="107"/>
  <c r="AA28" i="107"/>
  <c r="S288" i="107"/>
  <c r="S284" i="107" a="1"/>
  <c r="S284" i="107" s="1"/>
  <c r="S283" i="107" a="1"/>
  <c r="S283" i="107" s="1"/>
  <c r="S282" i="107" a="1"/>
  <c r="S282" i="107" s="1"/>
  <c r="AP283" i="103" a="1"/>
  <c r="AP283" i="103" s="1"/>
  <c r="S28" i="103"/>
  <c r="S291" i="103" s="1"/>
  <c r="BF294" i="104"/>
  <c r="BF293" i="104" s="1"/>
  <c r="Q284" i="104" a="1"/>
  <c r="Q284" i="104" s="1"/>
  <c r="AU284" i="105" a="1"/>
  <c r="AU284" i="105" s="1"/>
  <c r="AF28" i="106"/>
  <c r="AF291" i="106" s="1"/>
  <c r="BG187" i="107"/>
  <c r="BG14" i="107"/>
  <c r="BB14" i="107"/>
  <c r="BA28" i="107"/>
  <c r="BA291" i="107" s="1"/>
  <c r="AQ28" i="107"/>
  <c r="AQ291" i="107" s="1"/>
  <c r="AE14" i="107"/>
  <c r="AD14" i="107"/>
  <c r="AO296" i="107" a="1"/>
  <c r="AO296" i="107" s="1"/>
  <c r="AO293" i="107"/>
  <c r="BD296" i="107" a="1"/>
  <c r="BD296" i="107" s="1"/>
  <c r="BD293" i="107"/>
  <c r="AH297" i="107"/>
  <c r="AT28" i="107"/>
  <c r="AT291" i="107" s="1"/>
  <c r="AT288" i="107"/>
  <c r="AT284" i="107" a="1"/>
  <c r="AT284" i="107" s="1"/>
  <c r="AT283" i="107" a="1"/>
  <c r="AT283" i="107" s="1"/>
  <c r="AT297" i="107"/>
  <c r="J168" i="107"/>
  <c r="AG288" i="107"/>
  <c r="AG284" i="107" a="1"/>
  <c r="AG284" i="107" s="1"/>
  <c r="AG283" i="107" a="1"/>
  <c r="AG283" i="107" s="1"/>
  <c r="AG294" i="107"/>
  <c r="BC288" i="107"/>
  <c r="BC284" i="107" a="1"/>
  <c r="BC284" i="107" s="1"/>
  <c r="BC283" i="107" a="1"/>
  <c r="BC283" i="107" s="1"/>
  <c r="BC282" i="107" a="1"/>
  <c r="BC282" i="107" s="1"/>
  <c r="AQ297" i="107"/>
  <c r="AZ296" i="107" a="1"/>
  <c r="AZ296" i="107" s="1"/>
  <c r="AZ293" i="107"/>
  <c r="BE288" i="107"/>
  <c r="BE284" i="107" a="1"/>
  <c r="BE284" i="107" s="1"/>
  <c r="BE283" i="107" a="1"/>
  <c r="BE283" i="107" s="1"/>
  <c r="AB284" i="107" a="1"/>
  <c r="AB284" i="107" s="1"/>
  <c r="AB288" i="107"/>
  <c r="AB283" i="107" a="1"/>
  <c r="AB283" i="107" s="1"/>
  <c r="AB297" i="107"/>
  <c r="AB282" i="107" a="1"/>
  <c r="AB282" i="107" s="1"/>
  <c r="AB294" i="107"/>
  <c r="AK26" i="107"/>
  <c r="AB28" i="107"/>
  <c r="AB291" i="107" s="1"/>
  <c r="AD296" i="107" a="1"/>
  <c r="AD296" i="107" s="1"/>
  <c r="AD293" i="107"/>
  <c r="AT294" i="107"/>
  <c r="AP284" i="103" a="1"/>
  <c r="AP284" i="103" s="1"/>
  <c r="J50" i="104"/>
  <c r="Q297" i="104"/>
  <c r="Q294" i="104"/>
  <c r="AU283" i="105" a="1"/>
  <c r="AU283" i="105" s="1"/>
  <c r="U28" i="105"/>
  <c r="U291" i="105" s="1"/>
  <c r="AG28" i="106"/>
  <c r="AG291" i="106" s="1"/>
  <c r="Y26" i="106"/>
  <c r="AW27" i="106"/>
  <c r="BB28" i="106"/>
  <c r="BB291" i="106" s="1"/>
  <c r="AH28" i="106"/>
  <c r="AH291" i="106" s="1"/>
  <c r="BF187" i="107"/>
  <c r="BF14" i="107"/>
  <c r="AI187" i="107"/>
  <c r="AI14" i="107"/>
  <c r="AH187" i="107"/>
  <c r="AH14" i="107"/>
  <c r="U284" i="107" a="1"/>
  <c r="U284" i="107" s="1"/>
  <c r="U288" i="107"/>
  <c r="U283" i="107" a="1"/>
  <c r="U283" i="107" s="1"/>
  <c r="U282" i="107" a="1"/>
  <c r="U282" i="107" s="1"/>
  <c r="U297" i="107"/>
  <c r="Y26" i="107"/>
  <c r="AU284" i="107" a="1"/>
  <c r="AU284" i="107" s="1"/>
  <c r="AU288" i="107"/>
  <c r="AU283" i="107" a="1"/>
  <c r="AU283" i="107" s="1"/>
  <c r="AU294" i="107"/>
  <c r="AU297" i="107"/>
  <c r="AU282" i="107" a="1"/>
  <c r="AU282" i="107" s="1"/>
  <c r="BG28" i="107"/>
  <c r="BG291" i="107" s="1"/>
  <c r="AQ282" i="107" a="1"/>
  <c r="AQ282" i="107" s="1"/>
  <c r="AS294" i="107"/>
  <c r="AK27" i="107"/>
  <c r="AM28" i="107"/>
  <c r="AG297" i="107"/>
  <c r="BA288" i="107"/>
  <c r="BA284" i="107" a="1"/>
  <c r="BA284" i="107" s="1"/>
  <c r="BA283" i="107" a="1"/>
  <c r="BA283" i="107" s="1"/>
  <c r="BD297" i="107"/>
  <c r="T296" i="106" a="1"/>
  <c r="T296" i="106" s="1"/>
  <c r="T293" i="106"/>
  <c r="AC296" i="106" a="1"/>
  <c r="AC296" i="106" s="1"/>
  <c r="AC293" i="106"/>
  <c r="M26" i="104"/>
  <c r="BD28" i="104"/>
  <c r="BD291" i="104" s="1"/>
  <c r="BC28" i="104"/>
  <c r="BC291" i="104" s="1"/>
  <c r="AH297" i="104"/>
  <c r="AY291" i="106"/>
  <c r="V12" i="106"/>
  <c r="V202" i="106"/>
  <c r="V204" i="106" s="1"/>
  <c r="J168" i="106"/>
  <c r="BE294" i="106"/>
  <c r="AB293" i="106"/>
  <c r="AB296" i="106" a="1"/>
  <c r="AB296" i="106" s="1"/>
  <c r="AK27" i="106"/>
  <c r="AM28" i="106"/>
  <c r="BF187" i="106"/>
  <c r="BF14" i="106"/>
  <c r="BG187" i="106"/>
  <c r="BG14" i="106"/>
  <c r="BF293" i="106"/>
  <c r="BF296" i="106" a="1"/>
  <c r="BF296" i="106" s="1"/>
  <c r="T297" i="106"/>
  <c r="AQ294" i="106"/>
  <c r="AZ296" i="106" a="1"/>
  <c r="AZ296" i="106" s="1"/>
  <c r="AZ293" i="106"/>
  <c r="M27" i="106"/>
  <c r="O28" i="106"/>
  <c r="AO288" i="106"/>
  <c r="AO284" i="106" a="1"/>
  <c r="AO284" i="106" s="1"/>
  <c r="AO283" i="106" a="1"/>
  <c r="AO283" i="106" s="1"/>
  <c r="AQ28" i="103"/>
  <c r="AQ291" i="103" s="1"/>
  <c r="AQ282" i="104" a="1"/>
  <c r="AQ282" i="104" s="1"/>
  <c r="BE297" i="104"/>
  <c r="AD28" i="105"/>
  <c r="AD291" i="105" s="1"/>
  <c r="AH28" i="105"/>
  <c r="AH291" i="105" s="1"/>
  <c r="AR28" i="105"/>
  <c r="AR291" i="105" s="1"/>
  <c r="AB28" i="106"/>
  <c r="Y27" i="106"/>
  <c r="AR28" i="106"/>
  <c r="AR291" i="106" s="1"/>
  <c r="AC288" i="106"/>
  <c r="AC284" i="106" a="1"/>
  <c r="AC284" i="106" s="1"/>
  <c r="AC283" i="106" a="1"/>
  <c r="AC283" i="106" s="1"/>
  <c r="AC297" i="106"/>
  <c r="AC282" i="106" a="1"/>
  <c r="AC282" i="106" s="1"/>
  <c r="BG288" i="106"/>
  <c r="BG283" i="106" a="1"/>
  <c r="BG283" i="106" s="1"/>
  <c r="BG284" i="106" a="1"/>
  <c r="BG284" i="106" s="1"/>
  <c r="BF12" i="106"/>
  <c r="BF202" i="106"/>
  <c r="BF204" i="106" s="1"/>
  <c r="BE14" i="106"/>
  <c r="AZ186" i="106"/>
  <c r="AZ14" i="106" s="1"/>
  <c r="BC284" i="106" a="1"/>
  <c r="BC284" i="106" s="1"/>
  <c r="BC283" i="106" a="1"/>
  <c r="BC283" i="106" s="1"/>
  <c r="BC288" i="106"/>
  <c r="BC282" i="106" a="1"/>
  <c r="BC282" i="106" s="1"/>
  <c r="Q293" i="106"/>
  <c r="Q296" i="106" a="1"/>
  <c r="Q296" i="106" s="1"/>
  <c r="AD28" i="106"/>
  <c r="AD291" i="106" s="1"/>
  <c r="AQ282" i="106" a="1"/>
  <c r="AQ282" i="106" s="1"/>
  <c r="AD296" i="106" a="1"/>
  <c r="AD296" i="106" s="1"/>
  <c r="AD293" i="106"/>
  <c r="BD296" i="106" a="1"/>
  <c r="BD296" i="106" s="1"/>
  <c r="BD293" i="106"/>
  <c r="AO28" i="106"/>
  <c r="AO291" i="106" s="1"/>
  <c r="AS282" i="103" a="1"/>
  <c r="AS282" i="103" s="1"/>
  <c r="AC28" i="103"/>
  <c r="AC291" i="103" s="1"/>
  <c r="AO294" i="104"/>
  <c r="AO293" i="104" s="1"/>
  <c r="BE288" i="106"/>
  <c r="BE284" i="106" a="1"/>
  <c r="BE284" i="106" s="1"/>
  <c r="BE283" i="106" a="1"/>
  <c r="BE283" i="106" s="1"/>
  <c r="AR288" i="106"/>
  <c r="AR284" i="106" a="1"/>
  <c r="AR284" i="106" s="1"/>
  <c r="AR283" i="106" a="1"/>
  <c r="AR283" i="106" s="1"/>
  <c r="AR294" i="106"/>
  <c r="T288" i="106"/>
  <c r="T284" i="106" a="1"/>
  <c r="T284" i="106" s="1"/>
  <c r="T283" i="106" a="1"/>
  <c r="T283" i="106" s="1"/>
  <c r="T282" i="106" a="1"/>
  <c r="T282" i="106" s="1"/>
  <c r="AE284" i="106" a="1"/>
  <c r="AE284" i="106" s="1"/>
  <c r="AE283" i="106" a="1"/>
  <c r="AE283" i="106" s="1"/>
  <c r="AE288" i="106"/>
  <c r="AE297" i="106"/>
  <c r="AE294" i="106"/>
  <c r="AE282" i="106" a="1"/>
  <c r="AE282" i="106" s="1"/>
  <c r="BE297" i="106"/>
  <c r="BG297" i="106"/>
  <c r="Q28" i="106"/>
  <c r="Q291" i="106" s="1"/>
  <c r="AH202" i="106"/>
  <c r="AH204" i="106" s="1"/>
  <c r="AH12" i="106"/>
  <c r="AI288" i="106"/>
  <c r="AI284" i="106" a="1"/>
  <c r="AI284" i="106" s="1"/>
  <c r="AI283" i="106" a="1"/>
  <c r="AI283" i="106" s="1"/>
  <c r="AI282" i="106" a="1"/>
  <c r="AI282" i="106" s="1"/>
  <c r="AI294" i="106"/>
  <c r="AI297" i="106"/>
  <c r="R288" i="106"/>
  <c r="R284" i="106" a="1"/>
  <c r="R284" i="106" s="1"/>
  <c r="R283" i="106" a="1"/>
  <c r="R283" i="106" s="1"/>
  <c r="R294" i="106"/>
  <c r="BC294" i="106"/>
  <c r="V28" i="106"/>
  <c r="V291" i="106" s="1"/>
  <c r="U288" i="106"/>
  <c r="U284" i="106" a="1"/>
  <c r="U284" i="106" s="1"/>
  <c r="U283" i="106" a="1"/>
  <c r="U283" i="106" s="1"/>
  <c r="AS296" i="106" a="1"/>
  <c r="AS296" i="106" s="1"/>
  <c r="AS293" i="106"/>
  <c r="BC297" i="106"/>
  <c r="U294" i="106"/>
  <c r="BD28" i="106"/>
  <c r="BD291" i="106" s="1"/>
  <c r="AP296" i="106" a="1"/>
  <c r="AP296" i="106" s="1"/>
  <c r="AP293" i="106"/>
  <c r="R282" i="106" a="1"/>
  <c r="R282" i="106" s="1"/>
  <c r="S28" i="106"/>
  <c r="S291" i="106" s="1"/>
  <c r="W216" i="106"/>
  <c r="M215" i="106"/>
  <c r="J215" i="106" s="1"/>
  <c r="BA199" i="106"/>
  <c r="AF28" i="105"/>
  <c r="AF291" i="105" s="1"/>
  <c r="AQ28" i="105"/>
  <c r="AQ291" i="105" s="1"/>
  <c r="AU28" i="106"/>
  <c r="AU291" i="106" s="1"/>
  <c r="AT12" i="106"/>
  <c r="AT202" i="106"/>
  <c r="AT204" i="106" s="1"/>
  <c r="V288" i="106"/>
  <c r="V284" i="106" a="1"/>
  <c r="V284" i="106" s="1"/>
  <c r="V283" i="106" a="1"/>
  <c r="V283" i="106" s="1"/>
  <c r="V282" i="106" a="1"/>
  <c r="V282" i="106" s="1"/>
  <c r="V294" i="106"/>
  <c r="V297" i="106"/>
  <c r="AR297" i="106"/>
  <c r="AQ288" i="106"/>
  <c r="AQ284" i="106" a="1"/>
  <c r="AQ284" i="106" s="1"/>
  <c r="AQ283" i="106" a="1"/>
  <c r="AQ283" i="106" s="1"/>
  <c r="AK26" i="106"/>
  <c r="BB14" i="106"/>
  <c r="BC14" i="106"/>
  <c r="BG294" i="106"/>
  <c r="U297" i="106"/>
  <c r="S296" i="106" a="1"/>
  <c r="S296" i="106" s="1"/>
  <c r="S293" i="106"/>
  <c r="AH296" i="106" a="1"/>
  <c r="AH296" i="106" s="1"/>
  <c r="AH293" i="106"/>
  <c r="M26" i="106"/>
  <c r="AO296" i="106" a="1"/>
  <c r="AO296" i="106" s="1"/>
  <c r="AO293" i="106"/>
  <c r="J50" i="106"/>
  <c r="Q288" i="106"/>
  <c r="Q283" i="106" a="1"/>
  <c r="Q283" i="106" s="1"/>
  <c r="Q284" i="106" a="1"/>
  <c r="Q284" i="106" s="1"/>
  <c r="AP293" i="105"/>
  <c r="AP296" i="105" a="1"/>
  <c r="AP296" i="105" s="1"/>
  <c r="BE293" i="105"/>
  <c r="BE296" i="105" a="1"/>
  <c r="BE296" i="105" s="1"/>
  <c r="BB293" i="105"/>
  <c r="BB296" i="105" a="1"/>
  <c r="BB296" i="105" s="1"/>
  <c r="AT293" i="105"/>
  <c r="AT296" i="105" a="1"/>
  <c r="AT296" i="105" s="1"/>
  <c r="AU187" i="105"/>
  <c r="AU14" i="105"/>
  <c r="AA28" i="105"/>
  <c r="Y27" i="105"/>
  <c r="U14" i="105"/>
  <c r="V187" i="105"/>
  <c r="V14" i="105"/>
  <c r="R293" i="105"/>
  <c r="R296" i="105" a="1"/>
  <c r="R296" i="105" s="1"/>
  <c r="AC293" i="105"/>
  <c r="AC296" i="105" a="1"/>
  <c r="AC296" i="105" s="1"/>
  <c r="BG288" i="105"/>
  <c r="BG284" i="105" a="1"/>
  <c r="BG284" i="105" s="1"/>
  <c r="BG283" i="105" a="1"/>
  <c r="BG283" i="105" s="1"/>
  <c r="BG297" i="105"/>
  <c r="AS283" i="105" a="1"/>
  <c r="AS283" i="105" s="1"/>
  <c r="AS284" i="105" a="1"/>
  <c r="AS284" i="105" s="1"/>
  <c r="AS288" i="105"/>
  <c r="AS282" i="105" a="1"/>
  <c r="AS282" i="105" s="1"/>
  <c r="AS294" i="105"/>
  <c r="AS297" i="105"/>
  <c r="BA288" i="105"/>
  <c r="BA284" i="105" a="1"/>
  <c r="BA284" i="105" s="1"/>
  <c r="BA283" i="105" a="1"/>
  <c r="BA283" i="105" s="1"/>
  <c r="AG293" i="105"/>
  <c r="AG296" i="105" a="1"/>
  <c r="AG296" i="105" s="1"/>
  <c r="AQ288" i="105"/>
  <c r="AQ283" i="105" a="1"/>
  <c r="AQ283" i="105" s="1"/>
  <c r="AQ284" i="105" a="1"/>
  <c r="AQ284" i="105" s="1"/>
  <c r="BG294" i="105"/>
  <c r="AQ294" i="105"/>
  <c r="AQ282" i="105" a="1"/>
  <c r="AQ282" i="105" s="1"/>
  <c r="AN28" i="103"/>
  <c r="AN291" i="103" s="1"/>
  <c r="T28" i="103"/>
  <c r="T291" i="103" s="1"/>
  <c r="P28" i="104"/>
  <c r="P291" i="104" s="1"/>
  <c r="U28" i="104"/>
  <c r="U291" i="104" s="1"/>
  <c r="AH282" i="104" a="1"/>
  <c r="AH282" i="104" s="1"/>
  <c r="AS28" i="104"/>
  <c r="AS291" i="104" s="1"/>
  <c r="AP297" i="104"/>
  <c r="BE294" i="104"/>
  <c r="BE296" i="104" s="1" a="1"/>
  <c r="BE296" i="104" s="1"/>
  <c r="AF28" i="104"/>
  <c r="AF291" i="104" s="1"/>
  <c r="AP28" i="105"/>
  <c r="AP291" i="105" s="1"/>
  <c r="AP14" i="105"/>
  <c r="AT12" i="105"/>
  <c r="AT202" i="105"/>
  <c r="AT204" i="105" s="1"/>
  <c r="AU28" i="105"/>
  <c r="AU291" i="105" s="1"/>
  <c r="AC28" i="105"/>
  <c r="AC291" i="105" s="1"/>
  <c r="AZ28" i="105"/>
  <c r="AZ291" i="105" s="1"/>
  <c r="AP288" i="105"/>
  <c r="AP284" i="105" a="1"/>
  <c r="AP284" i="105" s="1"/>
  <c r="AP283" i="105" a="1"/>
  <c r="AP283" i="105" s="1"/>
  <c r="S14" i="105"/>
  <c r="P186" i="105"/>
  <c r="P14" i="105" s="1"/>
  <c r="BF293" i="105"/>
  <c r="BF296" i="105" a="1"/>
  <c r="BF296" i="105" s="1"/>
  <c r="T288" i="105"/>
  <c r="T284" i="105" a="1"/>
  <c r="T284" i="105" s="1"/>
  <c r="T283" i="105" a="1"/>
  <c r="T283" i="105" s="1"/>
  <c r="T297" i="105"/>
  <c r="T282" i="105" a="1"/>
  <c r="T282" i="105" s="1"/>
  <c r="BA28" i="105"/>
  <c r="BA291" i="105" s="1"/>
  <c r="AK26" i="105"/>
  <c r="AR284" i="105" a="1"/>
  <c r="AR284" i="105" s="1"/>
  <c r="AR288" i="105"/>
  <c r="AR283" i="105" a="1"/>
  <c r="AR283" i="105" s="1"/>
  <c r="AR297" i="105"/>
  <c r="BA199" i="105"/>
  <c r="AE288" i="105"/>
  <c r="AE284" i="105" a="1"/>
  <c r="AE284" i="105" s="1"/>
  <c r="AE283" i="105" a="1"/>
  <c r="AE283" i="105" s="1"/>
  <c r="AE297" i="105"/>
  <c r="AE282" i="105" a="1"/>
  <c r="AE282" i="105" s="1"/>
  <c r="BE28" i="105"/>
  <c r="BE291" i="105" s="1"/>
  <c r="AI288" i="105"/>
  <c r="AI284" i="105" a="1"/>
  <c r="AI284" i="105" s="1"/>
  <c r="AI283" i="105" a="1"/>
  <c r="AI283" i="105" s="1"/>
  <c r="W296" i="105" a="1"/>
  <c r="W296" i="105" s="1"/>
  <c r="W293" i="105"/>
  <c r="Q288" i="105"/>
  <c r="Q283" i="105" a="1"/>
  <c r="Q283" i="105" s="1"/>
  <c r="Q284" i="105" a="1"/>
  <c r="Q284" i="105" s="1"/>
  <c r="BE28" i="103"/>
  <c r="BE291" i="103" s="1"/>
  <c r="AO28" i="103"/>
  <c r="AO291" i="103" s="1"/>
  <c r="J50" i="103"/>
  <c r="U28" i="103"/>
  <c r="U291" i="103" s="1"/>
  <c r="AH28" i="104"/>
  <c r="AH291" i="104" s="1"/>
  <c r="AO28" i="104"/>
  <c r="AO291" i="104" s="1"/>
  <c r="AQ297" i="104"/>
  <c r="BB297" i="104"/>
  <c r="AP294" i="104"/>
  <c r="AP296" i="104" s="1" a="1"/>
  <c r="AP296" i="104" s="1"/>
  <c r="BE288" i="105"/>
  <c r="BE284" i="105" a="1"/>
  <c r="BE284" i="105" s="1"/>
  <c r="BE283" i="105" a="1"/>
  <c r="BE283" i="105" s="1"/>
  <c r="T28" i="105"/>
  <c r="T291" i="105" s="1"/>
  <c r="AN186" i="105"/>
  <c r="AN14" i="105" s="1"/>
  <c r="AS14" i="105"/>
  <c r="AT187" i="105"/>
  <c r="AT14" i="105"/>
  <c r="V202" i="105"/>
  <c r="V204" i="105" s="1"/>
  <c r="V12" i="105"/>
  <c r="AW26" i="105"/>
  <c r="AI293" i="105"/>
  <c r="AI296" i="105" a="1"/>
  <c r="AI296" i="105" s="1"/>
  <c r="AT28" i="105"/>
  <c r="AT291" i="105" s="1"/>
  <c r="W187" i="105"/>
  <c r="W14" i="105"/>
  <c r="V293" i="105"/>
  <c r="V296" i="105" a="1"/>
  <c r="V296" i="105" s="1"/>
  <c r="BC293" i="105"/>
  <c r="BC296" i="105" a="1"/>
  <c r="BC296" i="105" s="1"/>
  <c r="BC28" i="105"/>
  <c r="BC291" i="105" s="1"/>
  <c r="S293" i="105"/>
  <c r="S296" i="105" a="1"/>
  <c r="S296" i="105" s="1"/>
  <c r="M26" i="105"/>
  <c r="BE282" i="105" a="1"/>
  <c r="BE282" i="105" s="1"/>
  <c r="BF12" i="105"/>
  <c r="BF202" i="105"/>
  <c r="BF204" i="105" s="1"/>
  <c r="AK27" i="105"/>
  <c r="AM28" i="105"/>
  <c r="W216" i="105"/>
  <c r="M215" i="105"/>
  <c r="J215" i="105" s="1"/>
  <c r="BG282" i="105" a="1"/>
  <c r="BG282" i="105" s="1"/>
  <c r="R28" i="105"/>
  <c r="R291" i="105" s="1"/>
  <c r="BG28" i="105"/>
  <c r="BG291" i="105" s="1"/>
  <c r="AD284" i="105" a="1"/>
  <c r="AD284" i="105" s="1"/>
  <c r="AD283" i="105" a="1"/>
  <c r="AD283" i="105" s="1"/>
  <c r="AD288" i="105"/>
  <c r="AD294" i="105"/>
  <c r="AD282" i="105" a="1"/>
  <c r="AD282" i="105" s="1"/>
  <c r="AD297" i="105"/>
  <c r="S28" i="105"/>
  <c r="S291" i="105" s="1"/>
  <c r="AP297" i="105"/>
  <c r="BA297" i="105"/>
  <c r="Q293" i="105"/>
  <c r="Q296" i="105" a="1"/>
  <c r="Q296" i="105" s="1"/>
  <c r="AO284" i="105" a="1"/>
  <c r="AO284" i="105" s="1"/>
  <c r="AO283" i="105" a="1"/>
  <c r="AO283" i="105" s="1"/>
  <c r="AO288" i="105"/>
  <c r="AO297" i="105"/>
  <c r="AO294" i="105"/>
  <c r="AO282" i="105" a="1"/>
  <c r="AO282" i="105" s="1"/>
  <c r="BA294" i="105"/>
  <c r="T294" i="105"/>
  <c r="AQ297" i="105"/>
  <c r="P28" i="103"/>
  <c r="P291" i="103" s="1"/>
  <c r="AS297" i="103"/>
  <c r="AI28" i="104"/>
  <c r="AI291" i="104" s="1"/>
  <c r="BA28" i="104"/>
  <c r="BA291" i="104" s="1"/>
  <c r="AQ14" i="105"/>
  <c r="AB28" i="105"/>
  <c r="AB291" i="105" s="1"/>
  <c r="AY28" i="105"/>
  <c r="AW27" i="105"/>
  <c r="BE297" i="105"/>
  <c r="Y26" i="105"/>
  <c r="R14" i="105"/>
  <c r="U293" i="105"/>
  <c r="U296" i="105" a="1"/>
  <c r="U296" i="105" s="1"/>
  <c r="M27" i="105"/>
  <c r="O28" i="105"/>
  <c r="BD28" i="105"/>
  <c r="BD291" i="105" s="1"/>
  <c r="AE28" i="105"/>
  <c r="AE291" i="105" s="1"/>
  <c r="AH12" i="105"/>
  <c r="AH202" i="105"/>
  <c r="AH204" i="105" s="1"/>
  <c r="AF293" i="105"/>
  <c r="AF296" i="105" a="1"/>
  <c r="AF296" i="105" s="1"/>
  <c r="BB288" i="105"/>
  <c r="BB283" i="105" a="1"/>
  <c r="BB283" i="105" s="1"/>
  <c r="BB284" i="105" a="1"/>
  <c r="BB284" i="105" s="1"/>
  <c r="BF28" i="105"/>
  <c r="BF291" i="105" s="1"/>
  <c r="AN28" i="105"/>
  <c r="AN291" i="105" s="1"/>
  <c r="AP282" i="105" a="1"/>
  <c r="AP282" i="105" s="1"/>
  <c r="AT288" i="105"/>
  <c r="AT284" i="105" a="1"/>
  <c r="AT284" i="105" s="1"/>
  <c r="AT283" i="105" a="1"/>
  <c r="AT283" i="105" s="1"/>
  <c r="AT297" i="105"/>
  <c r="AT282" i="105" a="1"/>
  <c r="AT282" i="105" s="1"/>
  <c r="AI28" i="105"/>
  <c r="AI291" i="105" s="1"/>
  <c r="J168" i="105"/>
  <c r="V28" i="105"/>
  <c r="V291" i="105" s="1"/>
  <c r="BC288" i="105"/>
  <c r="BC284" i="105" a="1"/>
  <c r="BC284" i="105" s="1"/>
  <c r="BC283" i="105" a="1"/>
  <c r="BC283" i="105" s="1"/>
  <c r="AI297" i="105"/>
  <c r="AE294" i="105"/>
  <c r="AR294" i="105"/>
  <c r="AU293" i="104"/>
  <c r="AU296" i="104" a="1"/>
  <c r="AU296" i="104" s="1"/>
  <c r="W296" i="104" a="1"/>
  <c r="W296" i="104" s="1"/>
  <c r="W293" i="104"/>
  <c r="AQ293" i="104"/>
  <c r="AQ296" i="104" a="1"/>
  <c r="AQ296" i="104" s="1"/>
  <c r="BB293" i="104"/>
  <c r="BB296" i="104" a="1"/>
  <c r="BB296" i="104" s="1"/>
  <c r="AH293" i="104"/>
  <c r="AH296" i="104" a="1"/>
  <c r="AH296" i="104" s="1"/>
  <c r="AS288" i="104"/>
  <c r="AS284" i="104" a="1"/>
  <c r="AS284" i="104" s="1"/>
  <c r="AS283" i="104" a="1"/>
  <c r="AS283" i="104" s="1"/>
  <c r="AP293" i="104"/>
  <c r="R296" i="104" a="1"/>
  <c r="R296" i="104" s="1"/>
  <c r="R293" i="104"/>
  <c r="BB14" i="104"/>
  <c r="BC14" i="104"/>
  <c r="AY28" i="104"/>
  <c r="AW27" i="104"/>
  <c r="T284" i="104" a="1"/>
  <c r="T284" i="104" s="1"/>
  <c r="T283" i="104" a="1"/>
  <c r="T283" i="104" s="1"/>
  <c r="T288" i="104"/>
  <c r="AI28" i="103"/>
  <c r="AI291" i="103" s="1"/>
  <c r="AE28" i="103"/>
  <c r="AE291" i="103" s="1"/>
  <c r="Q28" i="103"/>
  <c r="Q291" i="103" s="1"/>
  <c r="T282" i="104" a="1"/>
  <c r="T282" i="104" s="1"/>
  <c r="BE28" i="104"/>
  <c r="BE291" i="104" s="1"/>
  <c r="AK26" i="104"/>
  <c r="W216" i="104"/>
  <c r="M215" i="104"/>
  <c r="J215" i="104" s="1"/>
  <c r="AC28" i="104"/>
  <c r="AC291" i="104" s="1"/>
  <c r="AD14" i="104"/>
  <c r="S288" i="104"/>
  <c r="S284" i="104" a="1"/>
  <c r="S284" i="104" s="1"/>
  <c r="S283" i="104" a="1"/>
  <c r="S283" i="104" s="1"/>
  <c r="AD288" i="104"/>
  <c r="AD284" i="104" a="1"/>
  <c r="AD284" i="104" s="1"/>
  <c r="AD283" i="104" a="1"/>
  <c r="AD283" i="104" s="1"/>
  <c r="AO288" i="104"/>
  <c r="AO284" i="104" a="1"/>
  <c r="AO284" i="104" s="1"/>
  <c r="AO283" i="104" a="1"/>
  <c r="AO283" i="104" s="1"/>
  <c r="S28" i="104"/>
  <c r="S291" i="104" s="1"/>
  <c r="T294" i="104"/>
  <c r="AP28" i="104"/>
  <c r="AP291" i="104" s="1"/>
  <c r="Q293" i="104"/>
  <c r="Q296" i="104" a="1"/>
  <c r="Q296" i="104" s="1"/>
  <c r="AT284" i="104" a="1"/>
  <c r="AT284" i="104" s="1"/>
  <c r="AT283" i="104" a="1"/>
  <c r="AT283" i="104" s="1"/>
  <c r="AT288" i="104"/>
  <c r="AA28" i="104"/>
  <c r="Y27" i="104"/>
  <c r="AN28" i="104"/>
  <c r="AN291" i="104" s="1"/>
  <c r="AD28" i="104"/>
  <c r="AD291" i="104" s="1"/>
  <c r="J168" i="104"/>
  <c r="AT282" i="104" a="1"/>
  <c r="AT282" i="104" s="1"/>
  <c r="BA284" i="104" a="1"/>
  <c r="BA284" i="104" s="1"/>
  <c r="BA283" i="104" a="1"/>
  <c r="BA283" i="104" s="1"/>
  <c r="BA288" i="104"/>
  <c r="AE28" i="104"/>
  <c r="AE291" i="104" s="1"/>
  <c r="V28" i="104"/>
  <c r="V291" i="104" s="1"/>
  <c r="BF187" i="104"/>
  <c r="BF14" i="104"/>
  <c r="BG187" i="104"/>
  <c r="BG14" i="104"/>
  <c r="BA297" i="104"/>
  <c r="T297" i="104"/>
  <c r="AU288" i="104"/>
  <c r="AU284" i="104" a="1"/>
  <c r="AU284" i="104" s="1"/>
  <c r="AU283" i="104" a="1"/>
  <c r="AU283" i="104" s="1"/>
  <c r="Y26" i="104"/>
  <c r="BD293" i="104"/>
  <c r="BD296" i="104" a="1"/>
  <c r="BD296" i="104" s="1"/>
  <c r="AF28" i="103"/>
  <c r="AF291" i="103" s="1"/>
  <c r="BG28" i="103"/>
  <c r="BG291" i="103" s="1"/>
  <c r="V28" i="103"/>
  <c r="V291" i="103" s="1"/>
  <c r="AH187" i="104"/>
  <c r="AH14" i="104"/>
  <c r="AE14" i="104"/>
  <c r="AE296" i="104" a="1"/>
  <c r="AE296" i="104" s="1"/>
  <c r="AE293" i="104"/>
  <c r="BA296" i="104" a="1"/>
  <c r="BA296" i="104" s="1"/>
  <c r="BA293" i="104"/>
  <c r="AT12" i="104"/>
  <c r="AT202" i="104"/>
  <c r="AT204" i="104" s="1"/>
  <c r="AB293" i="104"/>
  <c r="AB296" i="104" a="1"/>
  <c r="AB296" i="104" s="1"/>
  <c r="AR288" i="104"/>
  <c r="AR284" i="104" a="1"/>
  <c r="AR284" i="104" s="1"/>
  <c r="AR283" i="104" a="1"/>
  <c r="AR283" i="104" s="1"/>
  <c r="AR294" i="104"/>
  <c r="AR282" i="104" a="1"/>
  <c r="AR282" i="104" s="1"/>
  <c r="AR297" i="104"/>
  <c r="AD294" i="104"/>
  <c r="U293" i="104"/>
  <c r="U296" i="104" a="1"/>
  <c r="U296" i="104" s="1"/>
  <c r="AU282" i="104" a="1"/>
  <c r="AU282" i="104" s="1"/>
  <c r="BF288" i="104"/>
  <c r="BF284" i="104" a="1"/>
  <c r="BF284" i="104" s="1"/>
  <c r="BF283" i="104" a="1"/>
  <c r="BF283" i="104" s="1"/>
  <c r="AZ186" i="104"/>
  <c r="AZ14" i="104" s="1"/>
  <c r="AT294" i="104"/>
  <c r="AK27" i="104"/>
  <c r="AM28" i="104"/>
  <c r="S296" i="104" a="1"/>
  <c r="S296" i="104" s="1"/>
  <c r="S293" i="104"/>
  <c r="BA28" i="103"/>
  <c r="BA291" i="103" s="1"/>
  <c r="BF28" i="103"/>
  <c r="BF291" i="103" s="1"/>
  <c r="AU28" i="103"/>
  <c r="AU291" i="103" s="1"/>
  <c r="M27" i="104"/>
  <c r="O28" i="104"/>
  <c r="AU297" i="104"/>
  <c r="Q28" i="104"/>
  <c r="Q291" i="104" s="1"/>
  <c r="BF28" i="104"/>
  <c r="BF291" i="104" s="1"/>
  <c r="AW26" i="104"/>
  <c r="AB186" i="104"/>
  <c r="AB14" i="104" s="1"/>
  <c r="AG14" i="104"/>
  <c r="AI187" i="104"/>
  <c r="AI14" i="104"/>
  <c r="AP284" i="104" a="1"/>
  <c r="AP284" i="104" s="1"/>
  <c r="AP283" i="104" a="1"/>
  <c r="AP283" i="104" s="1"/>
  <c r="AP288" i="104"/>
  <c r="BE284" i="104" a="1"/>
  <c r="BE284" i="104" s="1"/>
  <c r="BE283" i="104" a="1"/>
  <c r="BE283" i="104" s="1"/>
  <c r="BE288" i="104"/>
  <c r="T28" i="104"/>
  <c r="T291" i="104" s="1"/>
  <c r="V12" i="104"/>
  <c r="V202" i="104"/>
  <c r="V204" i="104" s="1"/>
  <c r="AQ28" i="104"/>
  <c r="AQ291" i="104" s="1"/>
  <c r="AG28" i="104"/>
  <c r="AG291" i="104" s="1"/>
  <c r="S297" i="104"/>
  <c r="AO297" i="104"/>
  <c r="W28" i="104"/>
  <c r="W291" i="104" s="1"/>
  <c r="AT28" i="104"/>
  <c r="AT291" i="104" s="1"/>
  <c r="AQ288" i="104"/>
  <c r="AQ284" i="104" a="1"/>
  <c r="AQ284" i="104" s="1"/>
  <c r="AQ283" i="104" a="1"/>
  <c r="AQ283" i="104" s="1"/>
  <c r="BB288" i="104"/>
  <c r="BB284" i="104" a="1"/>
  <c r="BB284" i="104" s="1"/>
  <c r="BB283" i="104" a="1"/>
  <c r="BB283" i="104" s="1"/>
  <c r="AB28" i="104"/>
  <c r="AB291" i="104" s="1"/>
  <c r="R28" i="104"/>
  <c r="R291" i="104" s="1"/>
  <c r="BG28" i="104"/>
  <c r="BG291" i="104" s="1"/>
  <c r="W288" i="104"/>
  <c r="W284" i="104" a="1"/>
  <c r="W284" i="104" s="1"/>
  <c r="W283" i="104" a="1"/>
  <c r="W283" i="104" s="1"/>
  <c r="AH288" i="104"/>
  <c r="AH284" i="104" a="1"/>
  <c r="AH284" i="104" s="1"/>
  <c r="AH283" i="104" a="1"/>
  <c r="AH283" i="104" s="1"/>
  <c r="AS297" i="104"/>
  <c r="AZ296" i="104" a="1"/>
  <c r="AZ296" i="104" s="1"/>
  <c r="AZ293" i="104"/>
  <c r="AZ28" i="104"/>
  <c r="AZ291" i="104" s="1"/>
  <c r="AF293" i="104"/>
  <c r="AF296" i="104" a="1"/>
  <c r="AF296" i="104" s="1"/>
  <c r="BF282" i="104" a="1"/>
  <c r="BF282" i="104" s="1"/>
  <c r="BC296" i="104" a="1"/>
  <c r="BC296" i="104" s="1"/>
  <c r="BC293" i="104"/>
  <c r="AR28" i="104"/>
  <c r="AR291" i="104" s="1"/>
  <c r="BE14" i="104"/>
  <c r="AD297" i="104"/>
  <c r="S282" i="104" a="1"/>
  <c r="S282" i="104" s="1"/>
  <c r="AS294" i="104"/>
  <c r="R296" i="103" a="1"/>
  <c r="R296" i="103" s="1"/>
  <c r="R293" i="103"/>
  <c r="BD288" i="103"/>
  <c r="BD284" i="103" a="1"/>
  <c r="BD284" i="103" s="1"/>
  <c r="BD283" i="103" a="1"/>
  <c r="BD283" i="103" s="1"/>
  <c r="AG28" i="103"/>
  <c r="AG291" i="103" s="1"/>
  <c r="AD28" i="103"/>
  <c r="AD291" i="103" s="1"/>
  <c r="AT12" i="103"/>
  <c r="AT202" i="103"/>
  <c r="AT204" i="103" s="1"/>
  <c r="V288" i="103"/>
  <c r="V284" i="103" a="1"/>
  <c r="V284" i="103" s="1"/>
  <c r="V283" i="103" a="1"/>
  <c r="V283" i="103" s="1"/>
  <c r="AC296" i="103" a="1"/>
  <c r="AC296" i="103" s="1"/>
  <c r="AC293" i="103"/>
  <c r="R28" i="103"/>
  <c r="R291" i="103" s="1"/>
  <c r="BD294" i="103"/>
  <c r="AH28" i="103"/>
  <c r="AH291" i="103" s="1"/>
  <c r="AN186" i="103"/>
  <c r="AN14" i="103" s="1"/>
  <c r="V297" i="103"/>
  <c r="AT28" i="103"/>
  <c r="AT291" i="103" s="1"/>
  <c r="Q296" i="103" a="1"/>
  <c r="Q296" i="103" s="1"/>
  <c r="Q293" i="103"/>
  <c r="U296" i="103" a="1"/>
  <c r="U296" i="103" s="1"/>
  <c r="U293" i="103"/>
  <c r="AF296" i="103" a="1"/>
  <c r="AF296" i="103" s="1"/>
  <c r="AF293" i="103"/>
  <c r="W28" i="103"/>
  <c r="W291" i="103" s="1"/>
  <c r="AK27" i="103"/>
  <c r="AM28" i="103"/>
  <c r="AQ288" i="103"/>
  <c r="AQ284" i="103" a="1"/>
  <c r="AQ284" i="103" s="1"/>
  <c r="AQ283" i="103" a="1"/>
  <c r="AQ283" i="103" s="1"/>
  <c r="AQ294" i="103"/>
  <c r="AQ297" i="103"/>
  <c r="AQ282" i="103" a="1"/>
  <c r="AQ282" i="103" s="1"/>
  <c r="AO296" i="103" a="1"/>
  <c r="AO296" i="103" s="1"/>
  <c r="AO293" i="103"/>
  <c r="AB28" i="103"/>
  <c r="AB291" i="103" s="1"/>
  <c r="J168" i="103"/>
  <c r="AG288" i="103"/>
  <c r="AG284" i="103" a="1"/>
  <c r="AG284" i="103" s="1"/>
  <c r="AG283" i="103" a="1"/>
  <c r="AG283" i="103" s="1"/>
  <c r="M26" i="103"/>
  <c r="AQ14" i="103"/>
  <c r="AR288" i="103"/>
  <c r="AR284" i="103" a="1"/>
  <c r="AR284" i="103" s="1"/>
  <c r="AR283" i="103" a="1"/>
  <c r="AR283" i="103" s="1"/>
  <c r="AS296" i="103" a="1"/>
  <c r="AS296" i="103" s="1"/>
  <c r="AS293" i="103"/>
  <c r="R288" i="103"/>
  <c r="R284" i="103" a="1"/>
  <c r="R284" i="103" s="1"/>
  <c r="R283" i="103" a="1"/>
  <c r="R283" i="103" s="1"/>
  <c r="W216" i="103"/>
  <c r="M215" i="103"/>
  <c r="J215" i="103" s="1"/>
  <c r="W288" i="103"/>
  <c r="W284" i="103" a="1"/>
  <c r="W284" i="103" s="1"/>
  <c r="W283" i="103" a="1"/>
  <c r="W283" i="103" s="1"/>
  <c r="AT296" i="103" a="1"/>
  <c r="AT296" i="103" s="1"/>
  <c r="AT293" i="103"/>
  <c r="AG296" i="103" a="1"/>
  <c r="AG296" i="103" s="1"/>
  <c r="AG293" i="103"/>
  <c r="AC288" i="103"/>
  <c r="AC284" i="103" a="1"/>
  <c r="AC284" i="103" s="1"/>
  <c r="AC283" i="103" a="1"/>
  <c r="AC283" i="103" s="1"/>
  <c r="BB296" i="103" a="1"/>
  <c r="BB296" i="103" s="1"/>
  <c r="BB293" i="103"/>
  <c r="BE296" i="103" a="1"/>
  <c r="BE296" i="103" s="1"/>
  <c r="BE293" i="103"/>
  <c r="V12" i="103"/>
  <c r="V202" i="103"/>
  <c r="V204" i="103" s="1"/>
  <c r="BC28" i="103"/>
  <c r="BC291" i="103" s="1"/>
  <c r="BB28" i="103"/>
  <c r="BB291" i="103" s="1"/>
  <c r="BC288" i="103"/>
  <c r="BC284" i="103" a="1"/>
  <c r="BC284" i="103" s="1"/>
  <c r="BC283" i="103" a="1"/>
  <c r="BC283" i="103" s="1"/>
  <c r="M27" i="103"/>
  <c r="O28" i="103"/>
  <c r="AP28" i="103"/>
  <c r="AP291" i="103" s="1"/>
  <c r="AP14" i="103"/>
  <c r="AU187" i="103"/>
  <c r="AU14" i="103"/>
  <c r="AR28" i="103"/>
  <c r="AR291" i="103" s="1"/>
  <c r="AS288" i="103"/>
  <c r="AS284" i="103" a="1"/>
  <c r="AS284" i="103" s="1"/>
  <c r="AS283" i="103" a="1"/>
  <c r="AS283" i="103" s="1"/>
  <c r="Y26" i="103"/>
  <c r="R14" i="103"/>
  <c r="S14" i="103"/>
  <c r="P186" i="103"/>
  <c r="P14" i="103" s="1"/>
  <c r="AR282" i="103" a="1"/>
  <c r="AR282" i="103" s="1"/>
  <c r="AW26" i="103"/>
  <c r="AS28" i="103"/>
  <c r="AS291" i="103" s="1"/>
  <c r="V294" i="103"/>
  <c r="BE288" i="103"/>
  <c r="BE284" i="103" a="1"/>
  <c r="BE284" i="103" s="1"/>
  <c r="BE283" i="103" a="1"/>
  <c r="BE283" i="103" s="1"/>
  <c r="BE282" i="103" a="1"/>
  <c r="BE282" i="103" s="1"/>
  <c r="BE297" i="103"/>
  <c r="BA199" i="103"/>
  <c r="BD297" i="103"/>
  <c r="AU288" i="103"/>
  <c r="AU283" i="103" a="1"/>
  <c r="AU283" i="103" s="1"/>
  <c r="AU284" i="103" a="1"/>
  <c r="AU284" i="103" s="1"/>
  <c r="AU294" i="103"/>
  <c r="AU282" i="103" a="1"/>
  <c r="AU282" i="103" s="1"/>
  <c r="AU297" i="103"/>
  <c r="AI296" i="103" a="1"/>
  <c r="AI296" i="103" s="1"/>
  <c r="AI293" i="103"/>
  <c r="BG288" i="103"/>
  <c r="BG283" i="103" a="1"/>
  <c r="BG283" i="103" s="1"/>
  <c r="BG284" i="103" a="1"/>
  <c r="BG284" i="103" s="1"/>
  <c r="AS14" i="103"/>
  <c r="AT187" i="103"/>
  <c r="AT14" i="103"/>
  <c r="BC282" i="103" a="1"/>
  <c r="BC282" i="103" s="1"/>
  <c r="W296" i="103" a="1"/>
  <c r="W296" i="103" s="1"/>
  <c r="W293" i="103"/>
  <c r="AH296" i="103" a="1"/>
  <c r="AH296" i="103" s="1"/>
  <c r="AH293" i="103"/>
  <c r="BA296" i="103" a="1"/>
  <c r="BA296" i="103" s="1"/>
  <c r="BA293" i="103"/>
  <c r="Y27" i="103"/>
  <c r="AA28" i="103"/>
  <c r="U14" i="103"/>
  <c r="V187" i="103"/>
  <c r="V14" i="103"/>
  <c r="W187" i="103"/>
  <c r="W14" i="103"/>
  <c r="BC294" i="103"/>
  <c r="AW27" i="103"/>
  <c r="AY28" i="103"/>
  <c r="AR294" i="103"/>
  <c r="AK26" i="103"/>
  <c r="S288" i="103"/>
  <c r="S284" i="103" a="1"/>
  <c r="S284" i="103" s="1"/>
  <c r="S283" i="103" a="1"/>
  <c r="S283" i="103" s="1"/>
  <c r="T296" i="103" a="1"/>
  <c r="T296" i="103" s="1"/>
  <c r="T293" i="103"/>
  <c r="AP296" i="103" a="1"/>
  <c r="AP296" i="103" s="1"/>
  <c r="AP293" i="103"/>
  <c r="BF296" i="103" a="1"/>
  <c r="BF296" i="103" s="1"/>
  <c r="BF293" i="103"/>
  <c r="S294" i="103"/>
  <c r="AE296" i="103" a="1"/>
  <c r="AE296" i="103" s="1"/>
  <c r="AE293" i="103"/>
  <c r="R282" i="103" a="1"/>
  <c r="R282" i="103" s="1"/>
  <c r="BA288" i="103"/>
  <c r="BA284" i="103" a="1"/>
  <c r="BA284" i="103" s="1"/>
  <c r="BA283" i="103" a="1"/>
  <c r="BA283" i="103" s="1"/>
  <c r="BA282" i="103" a="1"/>
  <c r="BA282" i="103" s="1"/>
  <c r="BG297" i="103"/>
  <c r="BG294" i="103"/>
  <c r="AO151" i="24"/>
  <c r="BG296" i="107" l="1" a="1"/>
  <c r="BG296" i="107" s="1"/>
  <c r="BE293" i="107"/>
  <c r="BA293" i="106"/>
  <c r="BF296" i="104" a="1"/>
  <c r="BF296" i="104" s="1"/>
  <c r="AO296" i="104" a="1"/>
  <c r="AO296" i="104" s="1"/>
  <c r="AU296" i="105" a="1"/>
  <c r="AU296" i="105" s="1"/>
  <c r="BE293" i="104"/>
  <c r="AP293" i="107"/>
  <c r="AP296" i="107" a="1"/>
  <c r="AP296" i="107" s="1"/>
  <c r="O291" i="107"/>
  <c r="M28" i="107"/>
  <c r="AY291" i="107"/>
  <c r="AW28" i="107"/>
  <c r="AS296" i="107" a="1"/>
  <c r="AS296" i="107" s="1"/>
  <c r="AS293" i="107"/>
  <c r="AB296" i="107" a="1"/>
  <c r="AB296" i="107" s="1"/>
  <c r="AB293" i="107"/>
  <c r="J26" i="107"/>
  <c r="M29" i="107"/>
  <c r="AM291" i="107"/>
  <c r="AK28" i="107"/>
  <c r="AO90" i="107" s="1"/>
  <c r="AO92" i="107" s="1"/>
  <c r="AU296" i="107" a="1"/>
  <c r="AU296" i="107" s="1"/>
  <c r="AU293" i="107"/>
  <c r="AT293" i="107"/>
  <c r="AT296" i="107" a="1"/>
  <c r="AT296" i="107" s="1"/>
  <c r="J27" i="107"/>
  <c r="BA90" i="107"/>
  <c r="BA92" i="107" s="1"/>
  <c r="BA293" i="107"/>
  <c r="BA296" i="107" a="1"/>
  <c r="BA296" i="107" s="1"/>
  <c r="AM90" i="107"/>
  <c r="AM92" i="107" s="1"/>
  <c r="AG293" i="107"/>
  <c r="AG296" i="107" a="1"/>
  <c r="AG296" i="107" s="1"/>
  <c r="AA291" i="107"/>
  <c r="Y28" i="107"/>
  <c r="AC90" i="107" s="1"/>
  <c r="AC92" i="107" s="1"/>
  <c r="AH296" i="107" a="1"/>
  <c r="AH296" i="107" s="1"/>
  <c r="AH293" i="107"/>
  <c r="AQ296" i="107" a="1"/>
  <c r="AQ296" i="107" s="1"/>
  <c r="AQ293" i="107"/>
  <c r="AY90" i="107"/>
  <c r="AY92" i="107" s="1"/>
  <c r="AR296" i="106" a="1"/>
  <c r="AR296" i="106" s="1"/>
  <c r="AR293" i="106"/>
  <c r="O291" i="106"/>
  <c r="M28" i="106"/>
  <c r="Q90" i="106" s="1"/>
  <c r="Q92" i="106" s="1"/>
  <c r="AQ293" i="106"/>
  <c r="AQ296" i="106" a="1"/>
  <c r="AQ296" i="106" s="1"/>
  <c r="AM291" i="106"/>
  <c r="AK28" i="106"/>
  <c r="AM90" i="106" s="1"/>
  <c r="AM92" i="106" s="1"/>
  <c r="BE296" i="106" a="1"/>
  <c r="BE296" i="106" s="1"/>
  <c r="BE293" i="106"/>
  <c r="AW28" i="106"/>
  <c r="BG296" i="106" a="1"/>
  <c r="BG296" i="106" s="1"/>
  <c r="BG293" i="106"/>
  <c r="V296" i="106" a="1"/>
  <c r="V296" i="106" s="1"/>
  <c r="V293" i="106"/>
  <c r="U293" i="106"/>
  <c r="U296" i="106" a="1"/>
  <c r="U296" i="106" s="1"/>
  <c r="BC296" i="106" a="1"/>
  <c r="BC296" i="106" s="1"/>
  <c r="BC293" i="106"/>
  <c r="AE296" i="106" a="1"/>
  <c r="AE296" i="106" s="1"/>
  <c r="AE293" i="106"/>
  <c r="J27" i="106"/>
  <c r="AA90" i="106"/>
  <c r="AA92" i="106" s="1"/>
  <c r="R296" i="106" a="1"/>
  <c r="R296" i="106" s="1"/>
  <c r="R293" i="106"/>
  <c r="AI296" i="106" a="1"/>
  <c r="AI296" i="106" s="1"/>
  <c r="AI293" i="106"/>
  <c r="AB291" i="106"/>
  <c r="Y28" i="106"/>
  <c r="Y29" i="106" s="1"/>
  <c r="J27" i="105"/>
  <c r="J26" i="106"/>
  <c r="O90" i="106"/>
  <c r="O92" i="106" s="1"/>
  <c r="BA293" i="105"/>
  <c r="BA296" i="105" a="1"/>
  <c r="BA296" i="105" s="1"/>
  <c r="J26" i="105"/>
  <c r="AR293" i="105"/>
  <c r="AR296" i="105" a="1"/>
  <c r="AR296" i="105" s="1"/>
  <c r="O291" i="105"/>
  <c r="M28" i="105"/>
  <c r="O90" i="105" s="1"/>
  <c r="O92" i="105" s="1"/>
  <c r="AY291" i="105"/>
  <c r="AW28" i="105"/>
  <c r="BA90" i="105" s="1"/>
  <c r="BA92" i="105" s="1"/>
  <c r="AE293" i="105"/>
  <c r="AE296" i="105" a="1"/>
  <c r="AE296" i="105" s="1"/>
  <c r="T293" i="105"/>
  <c r="T296" i="105" a="1"/>
  <c r="T296" i="105" s="1"/>
  <c r="AO293" i="105"/>
  <c r="AO296" i="105" a="1"/>
  <c r="AO296" i="105" s="1"/>
  <c r="AD296" i="105" a="1"/>
  <c r="AD296" i="105" s="1"/>
  <c r="AD293" i="105"/>
  <c r="BG293" i="105"/>
  <c r="BG296" i="105" a="1"/>
  <c r="BG296" i="105" s="1"/>
  <c r="J27" i="104"/>
  <c r="AM291" i="105"/>
  <c r="AK28" i="105"/>
  <c r="AO90" i="105" s="1"/>
  <c r="AO92" i="105" s="1"/>
  <c r="AY90" i="105"/>
  <c r="AY92" i="105" s="1"/>
  <c r="AQ293" i="105"/>
  <c r="AQ296" i="105" a="1"/>
  <c r="AQ296" i="105" s="1"/>
  <c r="AS296" i="105" a="1"/>
  <c r="AS296" i="105" s="1"/>
  <c r="AS293" i="105"/>
  <c r="AA291" i="105"/>
  <c r="Y28" i="105"/>
  <c r="Y29" i="105" s="1"/>
  <c r="T296" i="104" a="1"/>
  <c r="T296" i="104" s="1"/>
  <c r="T293" i="104"/>
  <c r="AY291" i="104"/>
  <c r="AW28" i="104"/>
  <c r="AM291" i="104"/>
  <c r="AK28" i="104"/>
  <c r="AK29" i="104" s="1"/>
  <c r="AR296" i="104" a="1"/>
  <c r="AR296" i="104" s="1"/>
  <c r="AR293" i="104"/>
  <c r="AS296" i="104" a="1"/>
  <c r="AS296" i="104" s="1"/>
  <c r="AS293" i="104"/>
  <c r="AY90" i="104"/>
  <c r="AY92" i="104" s="1"/>
  <c r="BA90" i="104"/>
  <c r="BA92" i="104" s="1"/>
  <c r="O291" i="104"/>
  <c r="M28" i="104"/>
  <c r="Q90" i="104" s="1"/>
  <c r="Q92" i="104" s="1"/>
  <c r="AD296" i="104" a="1"/>
  <c r="AD296" i="104" s="1"/>
  <c r="AD293" i="104"/>
  <c r="AT296" i="104" a="1"/>
  <c r="AT296" i="104" s="1"/>
  <c r="AT293" i="104"/>
  <c r="AA291" i="104"/>
  <c r="Y28" i="104"/>
  <c r="Y29" i="104" s="1"/>
  <c r="J26" i="104"/>
  <c r="BG296" i="103" a="1"/>
  <c r="BG296" i="103" s="1"/>
  <c r="BG293" i="103"/>
  <c r="J27" i="103"/>
  <c r="AM291" i="103"/>
  <c r="AK28" i="103"/>
  <c r="AO90" i="103" s="1"/>
  <c r="AO92" i="103" s="1"/>
  <c r="AY291" i="103"/>
  <c r="AW28" i="103"/>
  <c r="AY90" i="103" s="1"/>
  <c r="AY92" i="103" s="1"/>
  <c r="S296" i="103" a="1"/>
  <c r="S296" i="103" s="1"/>
  <c r="S293" i="103"/>
  <c r="AR296" i="103" a="1"/>
  <c r="AR296" i="103" s="1"/>
  <c r="AR293" i="103"/>
  <c r="BC296" i="103" a="1"/>
  <c r="BC296" i="103" s="1"/>
  <c r="BC293" i="103"/>
  <c r="AA291" i="103"/>
  <c r="Y28" i="103"/>
  <c r="Y29" i="103" s="1"/>
  <c r="AU296" i="103" a="1"/>
  <c r="AU296" i="103" s="1"/>
  <c r="AU293" i="103"/>
  <c r="AC90" i="103"/>
  <c r="AC92" i="103" s="1"/>
  <c r="AA90" i="103"/>
  <c r="AA92" i="103" s="1"/>
  <c r="V296" i="103" a="1"/>
  <c r="V296" i="103" s="1"/>
  <c r="V293" i="103"/>
  <c r="O291" i="103"/>
  <c r="M28" i="103"/>
  <c r="J28" i="103" s="1"/>
  <c r="J26" i="103"/>
  <c r="AQ296" i="103" a="1"/>
  <c r="AQ296" i="103" s="1"/>
  <c r="AQ293" i="103"/>
  <c r="BD296" i="103" a="1"/>
  <c r="BD296" i="103" s="1"/>
  <c r="BD293" i="103"/>
  <c r="O138" i="24"/>
  <c r="O150" i="24" s="1"/>
  <c r="O107" i="24"/>
  <c r="O81" i="24"/>
  <c r="O102" i="24" s="1"/>
  <c r="S138" i="24"/>
  <c r="S159" i="24" s="1"/>
  <c r="V81" i="24"/>
  <c r="V102" i="24" s="1"/>
  <c r="AK29" i="107" l="1"/>
  <c r="M29" i="106"/>
  <c r="AK29" i="106"/>
  <c r="AO90" i="106"/>
  <c r="AO92" i="106" s="1"/>
  <c r="AC90" i="106"/>
  <c r="AC92" i="106" s="1"/>
  <c r="J28" i="107"/>
  <c r="Q90" i="103"/>
  <c r="Q92" i="103" s="1"/>
  <c r="AA90" i="107"/>
  <c r="AA92" i="107" s="1"/>
  <c r="O90" i="107"/>
  <c r="O92" i="107" s="1"/>
  <c r="Y29" i="107"/>
  <c r="Q90" i="107"/>
  <c r="Q92" i="107" s="1"/>
  <c r="BA90" i="103"/>
  <c r="BA92" i="103" s="1"/>
  <c r="J28" i="106"/>
  <c r="AY90" i="106"/>
  <c r="AY92" i="106" s="1"/>
  <c r="BA90" i="106"/>
  <c r="BA92" i="106" s="1"/>
  <c r="AC90" i="105"/>
  <c r="AC92" i="105" s="1"/>
  <c r="AM90" i="105"/>
  <c r="AM92" i="105" s="1"/>
  <c r="AM90" i="104"/>
  <c r="AM92" i="104" s="1"/>
  <c r="AA90" i="105"/>
  <c r="AA92" i="105" s="1"/>
  <c r="AK29" i="105"/>
  <c r="M29" i="105"/>
  <c r="M29" i="104"/>
  <c r="J28" i="105"/>
  <c r="Q90" i="105"/>
  <c r="Q92" i="105" s="1"/>
  <c r="O90" i="103"/>
  <c r="O92" i="103" s="1"/>
  <c r="M29" i="103"/>
  <c r="O90" i="104"/>
  <c r="O92" i="104" s="1"/>
  <c r="AO90" i="104"/>
  <c r="AO92" i="104" s="1"/>
  <c r="AA90" i="104"/>
  <c r="AA92" i="104" s="1"/>
  <c r="J28" i="104"/>
  <c r="AC90" i="104"/>
  <c r="AC92" i="104" s="1"/>
  <c r="AM90" i="103"/>
  <c r="AM92" i="103" s="1"/>
  <c r="AK29" i="103"/>
  <c r="O159" i="24"/>
  <c r="O93" i="24"/>
  <c r="S150" i="24"/>
  <c r="V93" i="24"/>
  <c r="AF38" i="24"/>
  <c r="AG38" i="24" s="1"/>
  <c r="AF37" i="24"/>
  <c r="AG37" i="24" s="1"/>
  <c r="AD42" i="24"/>
  <c r="AG36" i="24"/>
  <c r="AH36" i="24"/>
  <c r="AI36" i="24" s="1"/>
  <c r="AH38" i="24" l="1"/>
  <c r="AI38" i="24" s="1"/>
  <c r="AH37" i="24"/>
  <c r="AI37" i="24" s="1"/>
  <c r="AI41" i="24" l="1"/>
  <c r="AH43" i="24" s="1"/>
  <c r="AG44" i="24" s="1"/>
  <c r="AE45" i="24" s="1"/>
  <c r="E3" i="23"/>
  <c r="AB230" i="24"/>
  <c r="AA230" i="24"/>
  <c r="Z230" i="24"/>
  <c r="AB229" i="24"/>
  <c r="AA229" i="24"/>
  <c r="Z229" i="24"/>
  <c r="AI237" i="24"/>
  <c r="AI240" i="24" s="1"/>
  <c r="AH237" i="24"/>
  <c r="AH240" i="24" s="1"/>
  <c r="AG237" i="24"/>
  <c r="AG240" i="24" s="1"/>
  <c r="AF237" i="24"/>
  <c r="AF240" i="24" s="1"/>
  <c r="AE237" i="24"/>
  <c r="AE240" i="24" s="1"/>
  <c r="AI236" i="24"/>
  <c r="AI239" i="24" s="1"/>
  <c r="AH236" i="24"/>
  <c r="AH239" i="24" s="1"/>
  <c r="AG236" i="24"/>
  <c r="AG239" i="24" s="1"/>
  <c r="AF236" i="24"/>
  <c r="AF239" i="24" s="1"/>
  <c r="AE236" i="24"/>
  <c r="AE239" i="24" s="1"/>
  <c r="AI235" i="24"/>
  <c r="AI238" i="24" s="1"/>
  <c r="AH235" i="24"/>
  <c r="AH238" i="24" s="1"/>
  <c r="AG235" i="24"/>
  <c r="AG238" i="24" s="1"/>
  <c r="AF235" i="24"/>
  <c r="AF238" i="24" s="1"/>
  <c r="AE235" i="24"/>
  <c r="AE238" i="24" s="1"/>
  <c r="AI232" i="24"/>
  <c r="AH232" i="24"/>
  <c r="AG232" i="24"/>
  <c r="AF232" i="24"/>
  <c r="AE232" i="24"/>
  <c r="AI231" i="24"/>
  <c r="AH231" i="24"/>
  <c r="AG231" i="24"/>
  <c r="AF231" i="24"/>
  <c r="AE231" i="24"/>
  <c r="AI230" i="24"/>
  <c r="AH230" i="24"/>
  <c r="AG230" i="24"/>
  <c r="AF230" i="24"/>
  <c r="AE230" i="24"/>
  <c r="AI229" i="24"/>
  <c r="AH229" i="24"/>
  <c r="AG229" i="24"/>
  <c r="AF229" i="24"/>
  <c r="AE229" i="24"/>
  <c r="AI228" i="24"/>
  <c r="AH228" i="24"/>
  <c r="AG228" i="24"/>
  <c r="AF228" i="24"/>
  <c r="AE228" i="24"/>
  <c r="AI225" i="24"/>
  <c r="AH225" i="24"/>
  <c r="AG225" i="24"/>
  <c r="AF225" i="24"/>
  <c r="AE225" i="24"/>
  <c r="AI224" i="24"/>
  <c r="AH224" i="24"/>
  <c r="AG224" i="24"/>
  <c r="AF224" i="24"/>
  <c r="AE224" i="24"/>
  <c r="AI223" i="24"/>
  <c r="AH223" i="24"/>
  <c r="AG223" i="24"/>
  <c r="AF223" i="24"/>
  <c r="AE223" i="24"/>
  <c r="AJ223" i="24"/>
  <c r="AJ224" i="24"/>
  <c r="AJ225" i="24"/>
  <c r="AJ228" i="24"/>
  <c r="AJ229" i="24"/>
  <c r="AJ230" i="24"/>
  <c r="AJ231" i="24"/>
  <c r="AJ232" i="24"/>
  <c r="AJ235" i="24"/>
  <c r="AJ238" i="24" s="1"/>
  <c r="AJ236" i="24"/>
  <c r="AJ239" i="24" s="1"/>
  <c r="AJ237" i="24"/>
  <c r="AJ240" i="24" s="1"/>
  <c r="AA240" i="24"/>
  <c r="AA239" i="24"/>
  <c r="AA238" i="24"/>
  <c r="AA232" i="24"/>
  <c r="E278" i="55"/>
  <c r="H6" i="55"/>
  <c r="AR151" i="24" l="1"/>
  <c r="AR150" i="24"/>
  <c r="AM237" i="24"/>
  <c r="AM240" i="24" s="1"/>
  <c r="AL237" i="24"/>
  <c r="AL240" i="24" s="1"/>
  <c r="AK237" i="24"/>
  <c r="AK240" i="24" s="1"/>
  <c r="AD237" i="24"/>
  <c r="AD240" i="24" s="1"/>
  <c r="AM236" i="24"/>
  <c r="AM239" i="24" s="1"/>
  <c r="AL236" i="24"/>
  <c r="AL239" i="24" s="1"/>
  <c r="AK236" i="24"/>
  <c r="AK239" i="24" s="1"/>
  <c r="AD236" i="24"/>
  <c r="AD239" i="24" s="1"/>
  <c r="AM235" i="24"/>
  <c r="AM238" i="24" s="1"/>
  <c r="AL235" i="24"/>
  <c r="AL238" i="24" s="1"/>
  <c r="AK235" i="24"/>
  <c r="AK238" i="24" s="1"/>
  <c r="AD235" i="24"/>
  <c r="AD238" i="24" s="1"/>
  <c r="AC235" i="24"/>
  <c r="AC238" i="24" s="1"/>
  <c r="AC236" i="24"/>
  <c r="AC239" i="24" s="1"/>
  <c r="AC237" i="24"/>
  <c r="AC240" i="24" s="1"/>
  <c r="AB240" i="24"/>
  <c r="Z240" i="24"/>
  <c r="Y240" i="24"/>
  <c r="X240" i="24"/>
  <c r="W240" i="24"/>
  <c r="V240" i="24"/>
  <c r="U240" i="24"/>
  <c r="T240" i="24"/>
  <c r="S240" i="24"/>
  <c r="R240" i="24"/>
  <c r="Q240" i="24"/>
  <c r="P240" i="24"/>
  <c r="O240" i="24"/>
  <c r="N240" i="24"/>
  <c r="M240" i="24"/>
  <c r="L240" i="24"/>
  <c r="K240" i="24"/>
  <c r="J240" i="24"/>
  <c r="AB239" i="24"/>
  <c r="Z239" i="24"/>
  <c r="Y239" i="24"/>
  <c r="X239" i="24"/>
  <c r="W239" i="24"/>
  <c r="V239" i="24"/>
  <c r="U239" i="24"/>
  <c r="T239" i="24"/>
  <c r="S239" i="24"/>
  <c r="R239" i="24"/>
  <c r="Q239" i="24"/>
  <c r="P239" i="24"/>
  <c r="O239" i="24"/>
  <c r="N239" i="24"/>
  <c r="M239" i="24"/>
  <c r="L239" i="24"/>
  <c r="K239" i="24"/>
  <c r="J239" i="24"/>
  <c r="AB238" i="24"/>
  <c r="Z238" i="24"/>
  <c r="Y238" i="24"/>
  <c r="X238" i="24"/>
  <c r="W238" i="24"/>
  <c r="V238" i="24"/>
  <c r="U238" i="24"/>
  <c r="T238" i="24"/>
  <c r="S238" i="24"/>
  <c r="R238" i="24"/>
  <c r="Q238" i="24"/>
  <c r="P238" i="24"/>
  <c r="O238" i="24"/>
  <c r="N238" i="24"/>
  <c r="M238" i="24"/>
  <c r="L238" i="24"/>
  <c r="K238" i="24"/>
  <c r="J238" i="24"/>
  <c r="I239" i="24"/>
  <c r="I240" i="24"/>
  <c r="I238" i="24"/>
  <c r="AM225" i="24"/>
  <c r="AL225" i="24"/>
  <c r="AK225" i="24"/>
  <c r="AD225" i="24"/>
  <c r="AC225" i="24"/>
  <c r="AM231" i="24"/>
  <c r="AL231" i="24"/>
  <c r="AK231" i="24"/>
  <c r="AD231" i="24"/>
  <c r="AC231" i="24"/>
  <c r="AM230" i="24"/>
  <c r="AL230" i="24"/>
  <c r="AK230" i="24"/>
  <c r="AD230" i="24"/>
  <c r="AM229" i="24"/>
  <c r="AL229" i="24"/>
  <c r="AK229" i="24"/>
  <c r="AD229" i="24"/>
  <c r="AC230" i="24"/>
  <c r="AC229" i="24"/>
  <c r="AM224" i="24"/>
  <c r="AL224" i="24"/>
  <c r="AK224" i="24"/>
  <c r="AD224" i="24"/>
  <c r="AC224" i="24"/>
  <c r="AM232" i="24"/>
  <c r="AL232" i="24"/>
  <c r="AK232" i="24"/>
  <c r="AD232" i="24"/>
  <c r="AC232" i="24"/>
  <c r="AM228" i="24"/>
  <c r="AL228" i="24"/>
  <c r="AK228" i="24"/>
  <c r="AD228" i="24"/>
  <c r="AC228" i="24"/>
  <c r="AD223" i="24"/>
  <c r="AK223" i="24"/>
  <c r="AL223" i="24"/>
  <c r="AM223" i="24"/>
  <c r="AC223" i="24"/>
  <c r="I245" i="24"/>
  <c r="J245" i="24" s="1"/>
  <c r="K245" i="24" s="1"/>
  <c r="L245" i="24" s="1"/>
  <c r="M245" i="24" s="1"/>
  <c r="N245" i="24" s="1"/>
  <c r="O245" i="24" s="1"/>
  <c r="P245" i="24" s="1"/>
  <c r="Q245" i="24" s="1"/>
  <c r="R245" i="24" s="1"/>
  <c r="S245" i="24" s="1"/>
  <c r="T245" i="24" s="1"/>
  <c r="U245" i="24" s="1"/>
  <c r="V245" i="24" s="1"/>
  <c r="W245" i="24" s="1"/>
  <c r="X245" i="24" s="1"/>
  <c r="Y245" i="24" s="1"/>
  <c r="Z245" i="24" s="1"/>
  <c r="AA245" i="24" s="1"/>
  <c r="AB245" i="24" s="1"/>
  <c r="AC245" i="24" s="1"/>
  <c r="AD245" i="24" s="1"/>
  <c r="AE245" i="24" s="1"/>
  <c r="AF245" i="24" s="1"/>
  <c r="AG245" i="24" s="1"/>
  <c r="AH245" i="24" s="1"/>
  <c r="AI245" i="24" s="1"/>
  <c r="AJ245" i="24" s="1"/>
  <c r="AK245" i="24" s="1"/>
  <c r="AL245" i="24" s="1"/>
  <c r="AM245" i="24" s="1"/>
  <c r="AN245" i="24" s="1"/>
  <c r="AO245" i="24" s="1"/>
  <c r="AP245" i="24" s="1"/>
  <c r="AQ245" i="24" s="1"/>
  <c r="AR245" i="24" s="1"/>
  <c r="AS245" i="24" s="1"/>
  <c r="AT245" i="24" s="1"/>
  <c r="AU245" i="24" s="1"/>
  <c r="AV245" i="24" s="1"/>
  <c r="AW245" i="24" s="1"/>
  <c r="AX245" i="24" s="1"/>
  <c r="AY245" i="24" s="1"/>
  <c r="AZ245" i="24" s="1"/>
  <c r="BA245" i="24" s="1"/>
  <c r="BB245" i="24" s="1"/>
  <c r="BC245" i="24" s="1"/>
  <c r="BD245" i="24" s="1"/>
  <c r="BE245" i="24" s="1"/>
  <c r="BF245" i="24" s="1"/>
  <c r="BG245" i="24" s="1"/>
  <c r="BH245" i="24" s="1"/>
  <c r="AO150" i="24" l="1"/>
  <c r="AN159" i="24"/>
  <c r="AM159" i="24"/>
  <c r="AN150" i="24"/>
  <c r="AM150" i="24"/>
  <c r="AQ159" i="24"/>
  <c r="AP159" i="24"/>
  <c r="AQ150" i="24"/>
  <c r="AP150" i="24"/>
  <c r="AX159" i="24"/>
  <c r="AW159" i="24"/>
  <c r="AV159" i="24"/>
  <c r="AU159" i="24"/>
  <c r="AT159" i="24"/>
  <c r="AX150" i="24"/>
  <c r="AW150" i="24"/>
  <c r="AV150" i="24"/>
  <c r="AU150" i="24"/>
  <c r="AT150" i="24"/>
  <c r="J496" i="24" l="1"/>
  <c r="L496" i="24"/>
  <c r="K496" i="24"/>
  <c r="I496" i="24"/>
  <c r="J39" i="24"/>
  <c r="J40" i="24" s="1"/>
  <c r="K39" i="24"/>
  <c r="K40" i="24" s="1"/>
  <c r="J41" i="24"/>
  <c r="K41" i="24"/>
  <c r="J42" i="24"/>
  <c r="K42" i="24"/>
  <c r="J43" i="24"/>
  <c r="K43" i="24"/>
  <c r="AS150" i="24" l="1"/>
  <c r="AL159" i="24" l="1"/>
  <c r="AK159" i="24"/>
  <c r="AL102" i="24"/>
  <c r="AK102" i="24"/>
  <c r="V232" i="24"/>
  <c r="V230" i="24"/>
  <c r="V229" i="24"/>
  <c r="W229" i="24"/>
  <c r="X229" i="24"/>
  <c r="Y229" i="24"/>
  <c r="W230" i="24"/>
  <c r="W232" i="24" s="1"/>
  <c r="X230" i="24"/>
  <c r="X232" i="24" s="1"/>
  <c r="Y230" i="24"/>
  <c r="Y232" i="24"/>
  <c r="Z232" i="24"/>
  <c r="W219" i="55" l="1"/>
  <c r="V219" i="55"/>
  <c r="U219" i="55"/>
  <c r="T219" i="55"/>
  <c r="S219" i="55"/>
  <c r="R219" i="55"/>
  <c r="Q219" i="55"/>
  <c r="P219" i="55"/>
  <c r="O219" i="55"/>
  <c r="P108" i="55" l="1"/>
  <c r="T7" i="61" l="1"/>
  <c r="S7" i="61"/>
  <c r="R7" i="61"/>
  <c r="Q7" i="61"/>
  <c r="P7" i="61"/>
  <c r="O7" i="61"/>
  <c r="M12" i="61"/>
  <c r="M13" i="61" s="1"/>
  <c r="T9" i="61"/>
  <c r="S9" i="61"/>
  <c r="R9" i="61"/>
  <c r="Q9" i="61"/>
  <c r="P9" i="61"/>
  <c r="O9" i="61"/>
  <c r="AH7" i="61"/>
  <c r="AI7" i="61"/>
  <c r="AJ7" i="61"/>
  <c r="AK7" i="61"/>
  <c r="AL7" i="61"/>
  <c r="AG7" i="61"/>
  <c r="AF12" i="61" l="1"/>
  <c r="AF13" i="61" s="1"/>
  <c r="V12" i="61"/>
  <c r="V13" i="61" s="1"/>
  <c r="B12" i="61"/>
  <c r="AL9" i="61"/>
  <c r="AK9" i="61"/>
  <c r="AJ9" i="61"/>
  <c r="AI9" i="61"/>
  <c r="AH9" i="61"/>
  <c r="AG9" i="61"/>
  <c r="B13" i="61" l="1"/>
  <c r="E1" i="43" l="1"/>
  <c r="E1" i="15"/>
  <c r="E1" i="30"/>
  <c r="E1" i="23"/>
  <c r="E1" i="51"/>
  <c r="E1" i="24"/>
  <c r="AP102" i="24" l="1"/>
  <c r="AP93" i="24"/>
  <c r="E1" i="55" l="1"/>
  <c r="E3" i="55"/>
  <c r="H5" i="55"/>
  <c r="T161" i="55" s="1"/>
  <c r="AY161" i="55" l="1"/>
  <c r="AB161" i="55"/>
  <c r="AZ161" i="55"/>
  <c r="AR161" i="55"/>
  <c r="U161" i="55"/>
  <c r="AC161" i="55"/>
  <c r="AD161" i="55"/>
  <c r="AF161" i="55"/>
  <c r="BD161" i="55"/>
  <c r="AO161" i="55"/>
  <c r="S161" i="55"/>
  <c r="AS161" i="55"/>
  <c r="BB161" i="55"/>
  <c r="BC161" i="55"/>
  <c r="AG161" i="55"/>
  <c r="BE161" i="55"/>
  <c r="AE161" i="55"/>
  <c r="AH161" i="55"/>
  <c r="BF161" i="55"/>
  <c r="O161" i="55"/>
  <c r="AM161" i="55"/>
  <c r="M179" i="55"/>
  <c r="V161" i="55"/>
  <c r="AT161" i="55"/>
  <c r="AA161" i="55"/>
  <c r="BA161" i="55"/>
  <c r="P161" i="55"/>
  <c r="AN161" i="55"/>
  <c r="Y179" i="55"/>
  <c r="R161" i="55"/>
  <c r="AP161" i="55"/>
  <c r="AW179" i="55"/>
  <c r="AQ161" i="55"/>
  <c r="Q161" i="55"/>
  <c r="AK179" i="55"/>
  <c r="U224" i="24"/>
  <c r="I230" i="24" l="1"/>
  <c r="I232" i="24" s="1"/>
  <c r="J230" i="24"/>
  <c r="J232" i="24" s="1"/>
  <c r="K230" i="24"/>
  <c r="K232" i="24" s="1"/>
  <c r="L230" i="24"/>
  <c r="L232" i="24" s="1"/>
  <c r="M230" i="24"/>
  <c r="M232" i="24" s="1"/>
  <c r="N230" i="24"/>
  <c r="N232" i="24" s="1"/>
  <c r="O230" i="24"/>
  <c r="O232" i="24" s="1"/>
  <c r="P230" i="24"/>
  <c r="P232" i="24" s="1"/>
  <c r="Q230" i="24"/>
  <c r="Q232" i="24" s="1"/>
  <c r="R230" i="24"/>
  <c r="R232" i="24" s="1"/>
  <c r="S230" i="24"/>
  <c r="S232" i="24" s="1"/>
  <c r="T230" i="24"/>
  <c r="T232" i="24" s="1"/>
  <c r="U230" i="24"/>
  <c r="U232" i="24" s="1"/>
  <c r="AB232" i="24"/>
  <c r="J229" i="24"/>
  <c r="K229" i="24"/>
  <c r="L229" i="24"/>
  <c r="M229" i="24"/>
  <c r="N229" i="24"/>
  <c r="O229" i="24"/>
  <c r="P229" i="24"/>
  <c r="Q229" i="24"/>
  <c r="R229" i="24"/>
  <c r="S229" i="24"/>
  <c r="T229" i="24"/>
  <c r="U229" i="24"/>
  <c r="I229" i="24"/>
  <c r="AM103" i="107" l="1"/>
  <c r="Q103" i="107"/>
  <c r="AO103" i="107"/>
  <c r="AA103" i="107"/>
  <c r="O103" i="107"/>
  <c r="AB103" i="107"/>
  <c r="AN103" i="107"/>
  <c r="P103" i="107"/>
  <c r="AZ103" i="107"/>
  <c r="Q133" i="107"/>
  <c r="AN133" i="107"/>
  <c r="AB133" i="107"/>
  <c r="P133" i="107"/>
  <c r="AC133" i="107"/>
  <c r="AO133" i="107"/>
  <c r="AZ133" i="107"/>
  <c r="BA103" i="107"/>
  <c r="AC103" i="107"/>
  <c r="AY103" i="107"/>
  <c r="BA133" i="107"/>
  <c r="AA103" i="106"/>
  <c r="O103" i="106"/>
  <c r="Q103" i="106"/>
  <c r="AM103" i="106"/>
  <c r="AO103" i="106"/>
  <c r="AN103" i="106"/>
  <c r="P103" i="106"/>
  <c r="AB103" i="106"/>
  <c r="AZ103" i="106"/>
  <c r="AC133" i="106"/>
  <c r="AZ133" i="106"/>
  <c r="Q133" i="106"/>
  <c r="AB133" i="106"/>
  <c r="P133" i="106"/>
  <c r="AN133" i="106"/>
  <c r="AO133" i="106"/>
  <c r="AC103" i="106"/>
  <c r="BA103" i="106"/>
  <c r="AY103" i="106"/>
  <c r="BA133" i="106"/>
  <c r="AM103" i="105"/>
  <c r="O103" i="105"/>
  <c r="Q103" i="105"/>
  <c r="AO103" i="105"/>
  <c r="AA103" i="105"/>
  <c r="AN103" i="105"/>
  <c r="P103" i="105"/>
  <c r="AZ103" i="105"/>
  <c r="AB103" i="105"/>
  <c r="AZ133" i="105"/>
  <c r="P133" i="105"/>
  <c r="AB133" i="105"/>
  <c r="AN133" i="105"/>
  <c r="Q133" i="105"/>
  <c r="AO133" i="105"/>
  <c r="AC133" i="105"/>
  <c r="BA103" i="105"/>
  <c r="AC103" i="105"/>
  <c r="AY103" i="105"/>
  <c r="BA133" i="105"/>
  <c r="AA103" i="104"/>
  <c r="O103" i="104"/>
  <c r="Q103" i="104"/>
  <c r="AM103" i="104"/>
  <c r="AO103" i="104"/>
  <c r="AN103" i="104"/>
  <c r="AB103" i="104"/>
  <c r="AZ103" i="104"/>
  <c r="P103" i="104"/>
  <c r="AZ133" i="104"/>
  <c r="AO133" i="104"/>
  <c r="P133" i="104"/>
  <c r="AN133" i="104"/>
  <c r="AB133" i="104"/>
  <c r="AC133" i="104"/>
  <c r="Q133" i="104"/>
  <c r="AC103" i="104"/>
  <c r="AY103" i="104"/>
  <c r="BA103" i="104"/>
  <c r="BA133" i="104"/>
  <c r="O103" i="103"/>
  <c r="AO103" i="103"/>
  <c r="AM103" i="103"/>
  <c r="AA103" i="103"/>
  <c r="Q103" i="103"/>
  <c r="AB103" i="103"/>
  <c r="P103" i="103"/>
  <c r="AZ103" i="103"/>
  <c r="AN103" i="103"/>
  <c r="P133" i="103"/>
  <c r="AN133" i="103"/>
  <c r="AZ133" i="103"/>
  <c r="Q133" i="103"/>
  <c r="AB133" i="103"/>
  <c r="AC133" i="103"/>
  <c r="AO133" i="103"/>
  <c r="AC103" i="103"/>
  <c r="BA103" i="103"/>
  <c r="AY103" i="103"/>
  <c r="BA133" i="103"/>
  <c r="EB25" i="24"/>
  <c r="EA25" i="24"/>
  <c r="DZ25" i="24"/>
  <c r="DY25" i="24"/>
  <c r="DX25" i="24"/>
  <c r="DW25" i="24"/>
  <c r="DV25" i="24"/>
  <c r="DU25" i="24"/>
  <c r="DT25" i="24"/>
  <c r="DS25" i="24"/>
  <c r="DR25" i="24"/>
  <c r="DQ25" i="24"/>
  <c r="DP25" i="24"/>
  <c r="DO25" i="24"/>
  <c r="DN25" i="24"/>
  <c r="DM25" i="24"/>
  <c r="DL25" i="24"/>
  <c r="DK25" i="24"/>
  <c r="DJ25" i="24"/>
  <c r="DI25" i="24"/>
  <c r="DH25" i="24"/>
  <c r="DG25" i="24"/>
  <c r="DF25" i="24"/>
  <c r="DE25" i="24"/>
  <c r="DD25" i="24"/>
  <c r="DC25" i="24"/>
  <c r="DB25" i="24"/>
  <c r="DA25" i="24"/>
  <c r="CZ25" i="24"/>
  <c r="CY25" i="24"/>
  <c r="CX25" i="24"/>
  <c r="CW25" i="24"/>
  <c r="CV25" i="24"/>
  <c r="CU25" i="24"/>
  <c r="CT25" i="24"/>
  <c r="CS25" i="24"/>
  <c r="BN25" i="24"/>
  <c r="BM25" i="24"/>
  <c r="BL25" i="24"/>
  <c r="BK25" i="24"/>
  <c r="BJ25" i="24"/>
  <c r="BI25" i="24"/>
  <c r="BH25" i="24"/>
  <c r="BG25" i="24"/>
  <c r="BF25" i="24"/>
  <c r="BE25" i="24"/>
  <c r="BD25" i="24"/>
  <c r="BC25" i="24"/>
  <c r="BB25" i="24"/>
  <c r="BA25" i="24"/>
  <c r="AZ25" i="24"/>
  <c r="AY25" i="24"/>
  <c r="AX25" i="24"/>
  <c r="AW25" i="24"/>
  <c r="AV25" i="24"/>
  <c r="AU25" i="24"/>
  <c r="AT25" i="24"/>
  <c r="AS25" i="24"/>
  <c r="AR25" i="24"/>
  <c r="AQ25" i="24"/>
  <c r="AP25" i="24"/>
  <c r="AO25" i="24"/>
  <c r="AN25" i="24"/>
  <c r="AM25" i="24"/>
  <c r="AL25" i="24"/>
  <c r="AK25" i="24"/>
  <c r="AJ25" i="24"/>
  <c r="AI25" i="24"/>
  <c r="AH25" i="24"/>
  <c r="AG25" i="24"/>
  <c r="AF25" i="24"/>
  <c r="AE25" i="24"/>
  <c r="AD25" i="24"/>
  <c r="AC25" i="24"/>
  <c r="AB25" i="24"/>
  <c r="AA25" i="24"/>
  <c r="Z25" i="24"/>
  <c r="Y25" i="24"/>
  <c r="X25" i="24"/>
  <c r="W25" i="24"/>
  <c r="V25" i="24"/>
  <c r="U25" i="24"/>
  <c r="T25" i="24"/>
  <c r="S25" i="24"/>
  <c r="R25" i="24"/>
  <c r="Q25" i="24"/>
  <c r="P25" i="24"/>
  <c r="O25" i="24"/>
  <c r="N25" i="24"/>
  <c r="M25" i="24"/>
  <c r="L25" i="24"/>
  <c r="K25" i="24"/>
  <c r="J25" i="24"/>
  <c r="I25" i="24"/>
  <c r="EB27" i="24" l="1"/>
  <c r="EA27" i="24"/>
  <c r="DZ27" i="24"/>
  <c r="DY27" i="24"/>
  <c r="DX27" i="24"/>
  <c r="DW27" i="24"/>
  <c r="DV27" i="24"/>
  <c r="DU27" i="24"/>
  <c r="DT27" i="24"/>
  <c r="DS27" i="24"/>
  <c r="DR27" i="24"/>
  <c r="DQ27" i="24"/>
  <c r="DP27" i="24"/>
  <c r="DO27" i="24"/>
  <c r="DN27" i="24"/>
  <c r="DM27" i="24"/>
  <c r="DL27" i="24"/>
  <c r="DK27" i="24"/>
  <c r="DJ27" i="24"/>
  <c r="DI27" i="24"/>
  <c r="DH27" i="24"/>
  <c r="DG27" i="24"/>
  <c r="DF27" i="24"/>
  <c r="DE27" i="24"/>
  <c r="DD27" i="24"/>
  <c r="DC27" i="24"/>
  <c r="DB27" i="24"/>
  <c r="DA27" i="24"/>
  <c r="CZ27" i="24"/>
  <c r="CY27" i="24"/>
  <c r="CX27" i="24"/>
  <c r="CW27" i="24"/>
  <c r="CV27" i="24"/>
  <c r="CU27" i="24"/>
  <c r="CT27" i="24"/>
  <c r="CS27" i="24"/>
  <c r="BN27" i="24"/>
  <c r="BM27" i="24"/>
  <c r="BL27" i="24"/>
  <c r="BK27" i="24"/>
  <c r="BJ27" i="24"/>
  <c r="BI27" i="24"/>
  <c r="BH27" i="24"/>
  <c r="BG27" i="24"/>
  <c r="BF27" i="24"/>
  <c r="BE27" i="24"/>
  <c r="BD27" i="24"/>
  <c r="BC27" i="24"/>
  <c r="BB27" i="24"/>
  <c r="BA27" i="24"/>
  <c r="AZ27" i="24"/>
  <c r="AY27" i="24"/>
  <c r="AX27" i="24"/>
  <c r="AW27" i="24"/>
  <c r="AV27" i="24"/>
  <c r="AU27" i="24"/>
  <c r="AT27" i="24"/>
  <c r="AS27" i="24"/>
  <c r="AR27" i="24"/>
  <c r="AQ27" i="24"/>
  <c r="AP27" i="24"/>
  <c r="AO27" i="24"/>
  <c r="AN27" i="24"/>
  <c r="AM27" i="24"/>
  <c r="AL27" i="24"/>
  <c r="AK27" i="24"/>
  <c r="AJ27" i="24"/>
  <c r="AI27" i="24"/>
  <c r="AH27" i="24"/>
  <c r="AG27" i="24"/>
  <c r="AF27" i="24"/>
  <c r="AE27" i="24"/>
  <c r="AD27" i="24"/>
  <c r="AC27" i="24"/>
  <c r="AB27" i="24"/>
  <c r="AA27" i="24"/>
  <c r="Z27" i="24"/>
  <c r="Y27" i="24"/>
  <c r="X27" i="24"/>
  <c r="W27" i="24"/>
  <c r="V27" i="24"/>
  <c r="U27" i="24"/>
  <c r="T27" i="24"/>
  <c r="S27" i="24"/>
  <c r="R27" i="24"/>
  <c r="Q27" i="24"/>
  <c r="P27" i="24"/>
  <c r="O27" i="24"/>
  <c r="N27" i="24"/>
  <c r="M27" i="24"/>
  <c r="L27" i="24"/>
  <c r="K27" i="24"/>
  <c r="J27" i="24"/>
  <c r="I27" i="24"/>
  <c r="D439" i="24"/>
  <c r="T438" i="24"/>
  <c r="AH438" i="24" s="1"/>
  <c r="S438" i="24"/>
  <c r="AG438" i="24" s="1"/>
  <c r="R438" i="24"/>
  <c r="AF438" i="24" s="1"/>
  <c r="Q438" i="24"/>
  <c r="AE438" i="24" s="1"/>
  <c r="P438" i="24"/>
  <c r="AD438" i="24" s="1"/>
  <c r="O438" i="24"/>
  <c r="AC438" i="24" s="1"/>
  <c r="N438" i="24"/>
  <c r="AB438" i="24" s="1"/>
  <c r="M438" i="24"/>
  <c r="AA438" i="24" s="1"/>
  <c r="L438" i="24"/>
  <c r="Z438" i="24" s="1"/>
  <c r="K438" i="24"/>
  <c r="Y438" i="24" s="1"/>
  <c r="J438" i="24"/>
  <c r="X438" i="24" s="1"/>
  <c r="I438" i="24"/>
  <c r="W438" i="24" s="1"/>
  <c r="I436" i="24"/>
  <c r="J436" i="24" s="1"/>
  <c r="K436" i="24" s="1"/>
  <c r="L436" i="24" s="1"/>
  <c r="M436" i="24" s="1"/>
  <c r="N436" i="24" s="1"/>
  <c r="O436" i="24" s="1"/>
  <c r="P436" i="24" s="1"/>
  <c r="Q436" i="24" s="1"/>
  <c r="R436" i="24" s="1"/>
  <c r="S436" i="24" s="1"/>
  <c r="T436" i="24" s="1"/>
  <c r="AH429" i="24"/>
  <c r="AG429" i="24"/>
  <c r="AF429" i="24"/>
  <c r="AE429" i="24"/>
  <c r="AD429" i="24"/>
  <c r="AC429" i="24"/>
  <c r="AB429" i="24"/>
  <c r="AA429" i="24"/>
  <c r="Z429" i="24"/>
  <c r="Y429" i="24"/>
  <c r="X429" i="24"/>
  <c r="W429" i="24"/>
  <c r="AH428" i="24"/>
  <c r="AG428" i="24"/>
  <c r="AF428" i="24"/>
  <c r="AE428" i="24"/>
  <c r="AD428" i="24"/>
  <c r="AC428" i="24"/>
  <c r="AB428" i="24"/>
  <c r="AA428" i="24"/>
  <c r="Z428" i="24"/>
  <c r="Y428" i="24"/>
  <c r="X428" i="24"/>
  <c r="W428" i="24"/>
  <c r="AH427" i="24"/>
  <c r="AG427" i="24"/>
  <c r="AF427" i="24"/>
  <c r="AE427" i="24"/>
  <c r="AD427" i="24"/>
  <c r="AC427" i="24"/>
  <c r="AB427" i="24"/>
  <c r="AA427" i="24"/>
  <c r="Z427" i="24"/>
  <c r="Y427" i="24"/>
  <c r="X427" i="24"/>
  <c r="W427" i="24"/>
  <c r="AH426" i="24"/>
  <c r="AG426" i="24"/>
  <c r="AF426" i="24"/>
  <c r="AE426" i="24"/>
  <c r="AD426" i="24"/>
  <c r="AC426" i="24"/>
  <c r="AB426" i="24"/>
  <c r="AA426" i="24"/>
  <c r="Z426" i="24"/>
  <c r="Y426" i="24"/>
  <c r="X426" i="24"/>
  <c r="W426" i="24"/>
  <c r="AH425" i="24"/>
  <c r="AG425" i="24"/>
  <c r="AF425" i="24"/>
  <c r="AE425" i="24"/>
  <c r="AD425" i="24"/>
  <c r="AC425" i="24"/>
  <c r="AB425" i="24"/>
  <c r="AA425" i="24"/>
  <c r="Z425" i="24"/>
  <c r="Y425" i="24"/>
  <c r="X425" i="24"/>
  <c r="W425" i="24"/>
  <c r="D425" i="24"/>
  <c r="E425" i="24" s="1"/>
  <c r="AH422" i="24"/>
  <c r="AG422" i="24"/>
  <c r="AF422" i="24"/>
  <c r="AE422" i="24"/>
  <c r="AD422" i="24"/>
  <c r="AC422" i="24"/>
  <c r="AB422" i="24"/>
  <c r="AA422" i="24"/>
  <c r="Z422" i="24"/>
  <c r="Y422" i="24"/>
  <c r="X422" i="24"/>
  <c r="W422" i="24"/>
  <c r="AH421" i="24"/>
  <c r="AG421" i="24"/>
  <c r="AF421" i="24"/>
  <c r="AE421" i="24"/>
  <c r="AD421" i="24"/>
  <c r="AC421" i="24"/>
  <c r="AB421" i="24"/>
  <c r="AA421" i="24"/>
  <c r="Z421" i="24"/>
  <c r="Y421" i="24"/>
  <c r="X421" i="24"/>
  <c r="W421" i="24"/>
  <c r="AH420" i="24"/>
  <c r="AG420" i="24"/>
  <c r="AF420" i="24"/>
  <c r="AE420" i="24"/>
  <c r="AD420" i="24"/>
  <c r="AC420" i="24"/>
  <c r="AB420" i="24"/>
  <c r="AA420" i="24"/>
  <c r="Z420" i="24"/>
  <c r="Y420" i="24"/>
  <c r="X420" i="24"/>
  <c r="W420" i="24"/>
  <c r="AH419" i="24"/>
  <c r="AG419" i="24"/>
  <c r="AF419" i="24"/>
  <c r="AE419" i="24"/>
  <c r="AD419" i="24"/>
  <c r="AC419" i="24"/>
  <c r="AB419" i="24"/>
  <c r="AA419" i="24"/>
  <c r="Z419" i="24"/>
  <c r="Y419" i="24"/>
  <c r="X419" i="24"/>
  <c r="W419" i="24"/>
  <c r="AH418" i="24"/>
  <c r="AG418" i="24"/>
  <c r="AF418" i="24"/>
  <c r="AE418" i="24"/>
  <c r="AD418" i="24"/>
  <c r="AC418" i="24"/>
  <c r="AB418" i="24"/>
  <c r="AA418" i="24"/>
  <c r="Z418" i="24"/>
  <c r="Y418" i="24"/>
  <c r="X418" i="24"/>
  <c r="W418" i="24"/>
  <c r="D418" i="24"/>
  <c r="D419" i="24" s="1"/>
  <c r="AH415" i="24"/>
  <c r="AG415" i="24"/>
  <c r="AF415" i="24"/>
  <c r="AE415" i="24"/>
  <c r="AD415" i="24"/>
  <c r="AC415" i="24"/>
  <c r="AB415" i="24"/>
  <c r="AA415" i="24"/>
  <c r="Z415" i="24"/>
  <c r="Y415" i="24"/>
  <c r="X415" i="24"/>
  <c r="W415" i="24"/>
  <c r="AH414" i="24"/>
  <c r="AG414" i="24"/>
  <c r="AF414" i="24"/>
  <c r="AE414" i="24"/>
  <c r="AD414" i="24"/>
  <c r="AC414" i="24"/>
  <c r="AB414" i="24"/>
  <c r="AA414" i="24"/>
  <c r="Z414" i="24"/>
  <c r="Y414" i="24"/>
  <c r="X414" i="24"/>
  <c r="W414" i="24"/>
  <c r="AH413" i="24"/>
  <c r="AG413" i="24"/>
  <c r="AF413" i="24"/>
  <c r="AE413" i="24"/>
  <c r="AD413" i="24"/>
  <c r="AC413" i="24"/>
  <c r="AB413" i="24"/>
  <c r="AA413" i="24"/>
  <c r="Z413" i="24"/>
  <c r="Y413" i="24"/>
  <c r="X413" i="24"/>
  <c r="W413" i="24"/>
  <c r="AH412" i="24"/>
  <c r="AG412" i="24"/>
  <c r="AF412" i="24"/>
  <c r="AE412" i="24"/>
  <c r="AD412" i="24"/>
  <c r="AC412" i="24"/>
  <c r="AB412" i="24"/>
  <c r="AA412" i="24"/>
  <c r="Z412" i="24"/>
  <c r="Y412" i="24"/>
  <c r="X412" i="24"/>
  <c r="W412" i="24"/>
  <c r="AH411" i="24"/>
  <c r="AG411" i="24"/>
  <c r="AF411" i="24"/>
  <c r="AE411" i="24"/>
  <c r="AD411" i="24"/>
  <c r="AC411" i="24"/>
  <c r="AB411" i="24"/>
  <c r="AA411" i="24"/>
  <c r="Z411" i="24"/>
  <c r="Y411" i="24"/>
  <c r="X411" i="24"/>
  <c r="W411" i="24"/>
  <c r="D411" i="24"/>
  <c r="E411" i="24" s="1"/>
  <c r="AH401" i="24"/>
  <c r="AG401" i="24"/>
  <c r="AF401" i="24"/>
  <c r="AE401" i="24"/>
  <c r="AD401" i="24"/>
  <c r="AC401" i="24"/>
  <c r="AB401" i="24"/>
  <c r="AA401" i="24"/>
  <c r="Z401" i="24"/>
  <c r="Y401" i="24"/>
  <c r="X401" i="24"/>
  <c r="W401" i="24"/>
  <c r="AH400" i="24"/>
  <c r="AG400" i="24"/>
  <c r="AF400" i="24"/>
  <c r="AE400" i="24"/>
  <c r="AD400" i="24"/>
  <c r="AC400" i="24"/>
  <c r="AB400" i="24"/>
  <c r="AA400" i="24"/>
  <c r="Z400" i="24"/>
  <c r="Y400" i="24"/>
  <c r="X400" i="24"/>
  <c r="W400" i="24"/>
  <c r="AH399" i="24"/>
  <c r="AG399" i="24"/>
  <c r="AF399" i="24"/>
  <c r="AE399" i="24"/>
  <c r="AD399" i="24"/>
  <c r="AC399" i="24"/>
  <c r="AB399" i="24"/>
  <c r="AA399" i="24"/>
  <c r="Z399" i="24"/>
  <c r="Y399" i="24"/>
  <c r="X399" i="24"/>
  <c r="W399" i="24"/>
  <c r="AH398" i="24"/>
  <c r="AG398" i="24"/>
  <c r="AF398" i="24"/>
  <c r="AE398" i="24"/>
  <c r="AD398" i="24"/>
  <c r="AC398" i="24"/>
  <c r="AB398" i="24"/>
  <c r="AA398" i="24"/>
  <c r="Z398" i="24"/>
  <c r="Y398" i="24"/>
  <c r="X398" i="24"/>
  <c r="W398" i="24"/>
  <c r="AH397" i="24"/>
  <c r="AG397" i="24"/>
  <c r="AF397" i="24"/>
  <c r="AE397" i="24"/>
  <c r="AD397" i="24"/>
  <c r="AC397" i="24"/>
  <c r="AB397" i="24"/>
  <c r="AA397" i="24"/>
  <c r="Z397" i="24"/>
  <c r="Y397" i="24"/>
  <c r="X397" i="24"/>
  <c r="W397" i="24"/>
  <c r="D397" i="24"/>
  <c r="E397" i="24" s="1"/>
  <c r="AH394" i="24"/>
  <c r="AG394" i="24"/>
  <c r="AF394" i="24"/>
  <c r="AE394" i="24"/>
  <c r="AD394" i="24"/>
  <c r="AC394" i="24"/>
  <c r="AB394" i="24"/>
  <c r="AA394" i="24"/>
  <c r="Z394" i="24"/>
  <c r="Y394" i="24"/>
  <c r="X394" i="24"/>
  <c r="W394" i="24"/>
  <c r="AH393" i="24"/>
  <c r="AG393" i="24"/>
  <c r="AF393" i="24"/>
  <c r="AE393" i="24"/>
  <c r="AD393" i="24"/>
  <c r="AC393" i="24"/>
  <c r="AB393" i="24"/>
  <c r="AA393" i="24"/>
  <c r="Z393" i="24"/>
  <c r="Y393" i="24"/>
  <c r="X393" i="24"/>
  <c r="W393" i="24"/>
  <c r="AH392" i="24"/>
  <c r="AG392" i="24"/>
  <c r="AF392" i="24"/>
  <c r="AE392" i="24"/>
  <c r="AD392" i="24"/>
  <c r="AC392" i="24"/>
  <c r="AB392" i="24"/>
  <c r="AA392" i="24"/>
  <c r="Z392" i="24"/>
  <c r="Y392" i="24"/>
  <c r="X392" i="24"/>
  <c r="W392" i="24"/>
  <c r="AH391" i="24"/>
  <c r="AG391" i="24"/>
  <c r="AF391" i="24"/>
  <c r="AE391" i="24"/>
  <c r="AD391" i="24"/>
  <c r="AC391" i="24"/>
  <c r="AB391" i="24"/>
  <c r="AA391" i="24"/>
  <c r="Z391" i="24"/>
  <c r="Y391" i="24"/>
  <c r="X391" i="24"/>
  <c r="W391" i="24"/>
  <c r="AH390" i="24"/>
  <c r="AG390" i="24"/>
  <c r="AF390" i="24"/>
  <c r="AE390" i="24"/>
  <c r="AD390" i="24"/>
  <c r="AC390" i="24"/>
  <c r="AB390" i="24"/>
  <c r="AA390" i="24"/>
  <c r="Z390" i="24"/>
  <c r="Y390" i="24"/>
  <c r="X390" i="24"/>
  <c r="W390" i="24"/>
  <c r="D390" i="24"/>
  <c r="D391" i="24" s="1"/>
  <c r="AH387" i="24"/>
  <c r="AG387" i="24"/>
  <c r="AF387" i="24"/>
  <c r="AE387" i="24"/>
  <c r="AD387" i="24"/>
  <c r="AC387" i="24"/>
  <c r="AB387" i="24"/>
  <c r="AA387" i="24"/>
  <c r="Z387" i="24"/>
  <c r="Y387" i="24"/>
  <c r="X387" i="24"/>
  <c r="W387" i="24"/>
  <c r="AH386" i="24"/>
  <c r="AG386" i="24"/>
  <c r="AF386" i="24"/>
  <c r="AE386" i="24"/>
  <c r="AD386" i="24"/>
  <c r="AC386" i="24"/>
  <c r="AB386" i="24"/>
  <c r="AA386" i="24"/>
  <c r="Z386" i="24"/>
  <c r="Y386" i="24"/>
  <c r="X386" i="24"/>
  <c r="W386" i="24"/>
  <c r="AH385" i="24"/>
  <c r="AG385" i="24"/>
  <c r="AF385" i="24"/>
  <c r="AE385" i="24"/>
  <c r="AD385" i="24"/>
  <c r="AC385" i="24"/>
  <c r="AB385" i="24"/>
  <c r="AA385" i="24"/>
  <c r="Z385" i="24"/>
  <c r="Y385" i="24"/>
  <c r="X385" i="24"/>
  <c r="W385" i="24"/>
  <c r="AH384" i="24"/>
  <c r="AG384" i="24"/>
  <c r="AF384" i="24"/>
  <c r="AE384" i="24"/>
  <c r="AD384" i="24"/>
  <c r="AC384" i="24"/>
  <c r="AB384" i="24"/>
  <c r="AA384" i="24"/>
  <c r="Z384" i="24"/>
  <c r="Y384" i="24"/>
  <c r="X384" i="24"/>
  <c r="W384" i="24"/>
  <c r="AH383" i="24"/>
  <c r="AG383" i="24"/>
  <c r="AF383" i="24"/>
  <c r="AE383" i="24"/>
  <c r="AD383" i="24"/>
  <c r="AC383" i="24"/>
  <c r="AB383" i="24"/>
  <c r="AA383" i="24"/>
  <c r="Z383" i="24"/>
  <c r="Y383" i="24"/>
  <c r="X383" i="24"/>
  <c r="W383" i="24"/>
  <c r="D383" i="24"/>
  <c r="E383" i="24" s="1"/>
  <c r="AH408" i="24"/>
  <c r="AG408" i="24"/>
  <c r="AF408" i="24"/>
  <c r="AE408" i="24"/>
  <c r="AD408" i="24"/>
  <c r="AC408" i="24"/>
  <c r="AB408" i="24"/>
  <c r="AA408" i="24"/>
  <c r="Z408" i="24"/>
  <c r="Y408" i="24"/>
  <c r="X408" i="24"/>
  <c r="W408" i="24"/>
  <c r="AH407" i="24"/>
  <c r="AG407" i="24"/>
  <c r="AF407" i="24"/>
  <c r="AE407" i="24"/>
  <c r="AD407" i="24"/>
  <c r="AC407" i="24"/>
  <c r="AB407" i="24"/>
  <c r="AA407" i="24"/>
  <c r="Z407" i="24"/>
  <c r="Y407" i="24"/>
  <c r="X407" i="24"/>
  <c r="W407" i="24"/>
  <c r="AH406" i="24"/>
  <c r="AG406" i="24"/>
  <c r="AF406" i="24"/>
  <c r="AE406" i="24"/>
  <c r="AD406" i="24"/>
  <c r="AC406" i="24"/>
  <c r="AB406" i="24"/>
  <c r="AA406" i="24"/>
  <c r="Z406" i="24"/>
  <c r="Y406" i="24"/>
  <c r="X406" i="24"/>
  <c r="W406" i="24"/>
  <c r="AH405" i="24"/>
  <c r="AG405" i="24"/>
  <c r="AF405" i="24"/>
  <c r="AE405" i="24"/>
  <c r="AD405" i="24"/>
  <c r="AC405" i="24"/>
  <c r="AB405" i="24"/>
  <c r="AA405" i="24"/>
  <c r="Z405" i="24"/>
  <c r="Y405" i="24"/>
  <c r="X405" i="24"/>
  <c r="W405" i="24"/>
  <c r="AH404" i="24"/>
  <c r="AG404" i="24"/>
  <c r="AF404" i="24"/>
  <c r="AE404" i="24"/>
  <c r="AD404" i="24"/>
  <c r="AC404" i="24"/>
  <c r="AB404" i="24"/>
  <c r="AA404" i="24"/>
  <c r="Z404" i="24"/>
  <c r="Y404" i="24"/>
  <c r="X404" i="24"/>
  <c r="W404" i="24"/>
  <c r="D404" i="24"/>
  <c r="E404" i="24" s="1"/>
  <c r="AH380" i="24"/>
  <c r="AG380" i="24"/>
  <c r="AF380" i="24"/>
  <c r="AE380" i="24"/>
  <c r="AD380" i="24"/>
  <c r="AC380" i="24"/>
  <c r="AB380" i="24"/>
  <c r="AA380" i="24"/>
  <c r="Z380" i="24"/>
  <c r="Y380" i="24"/>
  <c r="X380" i="24"/>
  <c r="W380" i="24"/>
  <c r="AH379" i="24"/>
  <c r="AG379" i="24"/>
  <c r="AF379" i="24"/>
  <c r="AE379" i="24"/>
  <c r="AD379" i="24"/>
  <c r="AC379" i="24"/>
  <c r="AB379" i="24"/>
  <c r="AA379" i="24"/>
  <c r="Z379" i="24"/>
  <c r="Y379" i="24"/>
  <c r="X379" i="24"/>
  <c r="W379" i="24"/>
  <c r="AH378" i="24"/>
  <c r="AG378" i="24"/>
  <c r="AF378" i="24"/>
  <c r="AE378" i="24"/>
  <c r="AD378" i="24"/>
  <c r="AC378" i="24"/>
  <c r="AB378" i="24"/>
  <c r="AA378" i="24"/>
  <c r="Z378" i="24"/>
  <c r="Y378" i="24"/>
  <c r="X378" i="24"/>
  <c r="W378" i="24"/>
  <c r="AH377" i="24"/>
  <c r="AG377" i="24"/>
  <c r="AF377" i="24"/>
  <c r="AE377" i="24"/>
  <c r="AD377" i="24"/>
  <c r="AC377" i="24"/>
  <c r="AB377" i="24"/>
  <c r="AA377" i="24"/>
  <c r="Z377" i="24"/>
  <c r="Y377" i="24"/>
  <c r="X377" i="24"/>
  <c r="W377" i="24"/>
  <c r="AH376" i="24"/>
  <c r="AG376" i="24"/>
  <c r="AF376" i="24"/>
  <c r="AE376" i="24"/>
  <c r="AD376" i="24"/>
  <c r="AC376" i="24"/>
  <c r="AB376" i="24"/>
  <c r="AA376" i="24"/>
  <c r="Z376" i="24"/>
  <c r="Y376" i="24"/>
  <c r="X376" i="24"/>
  <c r="W376" i="24"/>
  <c r="D376" i="24"/>
  <c r="D377" i="24" s="1"/>
  <c r="AH373" i="24"/>
  <c r="AG373" i="24"/>
  <c r="AF373" i="24"/>
  <c r="AE373" i="24"/>
  <c r="AD373" i="24"/>
  <c r="AC373" i="24"/>
  <c r="AB373" i="24"/>
  <c r="AA373" i="24"/>
  <c r="Z373" i="24"/>
  <c r="Y373" i="24"/>
  <c r="X373" i="24"/>
  <c r="W373" i="24"/>
  <c r="AH372" i="24"/>
  <c r="AG372" i="24"/>
  <c r="AF372" i="24"/>
  <c r="AE372" i="24"/>
  <c r="AD372" i="24"/>
  <c r="AC372" i="24"/>
  <c r="AB372" i="24"/>
  <c r="AA372" i="24"/>
  <c r="Z372" i="24"/>
  <c r="Y372" i="24"/>
  <c r="X372" i="24"/>
  <c r="W372" i="24"/>
  <c r="AH371" i="24"/>
  <c r="AG371" i="24"/>
  <c r="AF371" i="24"/>
  <c r="AE371" i="24"/>
  <c r="AD371" i="24"/>
  <c r="AC371" i="24"/>
  <c r="AB371" i="24"/>
  <c r="AA371" i="24"/>
  <c r="Z371" i="24"/>
  <c r="Y371" i="24"/>
  <c r="X371" i="24"/>
  <c r="W371" i="24"/>
  <c r="AH370" i="24"/>
  <c r="AG370" i="24"/>
  <c r="AF370" i="24"/>
  <c r="AE370" i="24"/>
  <c r="AD370" i="24"/>
  <c r="AC370" i="24"/>
  <c r="AB370" i="24"/>
  <c r="AA370" i="24"/>
  <c r="Z370" i="24"/>
  <c r="Y370" i="24"/>
  <c r="X370" i="24"/>
  <c r="W370" i="24"/>
  <c r="AH369" i="24"/>
  <c r="AG369" i="24"/>
  <c r="AF369" i="24"/>
  <c r="AE369" i="24"/>
  <c r="AD369" i="24"/>
  <c r="AC369" i="24"/>
  <c r="AB369" i="24"/>
  <c r="AA369" i="24"/>
  <c r="Z369" i="24"/>
  <c r="Y369" i="24"/>
  <c r="X369" i="24"/>
  <c r="W369" i="24"/>
  <c r="D369" i="24"/>
  <c r="E369" i="24" s="1"/>
  <c r="T367" i="24"/>
  <c r="AH367" i="24" s="1"/>
  <c r="S367" i="24"/>
  <c r="AG367" i="24" s="1"/>
  <c r="R367" i="24"/>
  <c r="AF367" i="24" s="1"/>
  <c r="Q367" i="24"/>
  <c r="AE367" i="24" s="1"/>
  <c r="P367" i="24"/>
  <c r="AD367" i="24" s="1"/>
  <c r="O367" i="24"/>
  <c r="AC367" i="24" s="1"/>
  <c r="N367" i="24"/>
  <c r="AB367" i="24" s="1"/>
  <c r="M367" i="24"/>
  <c r="AA367" i="24" s="1"/>
  <c r="L367" i="24"/>
  <c r="Z367" i="24" s="1"/>
  <c r="K367" i="24"/>
  <c r="Y367" i="24" s="1"/>
  <c r="J367" i="24"/>
  <c r="X367" i="24" s="1"/>
  <c r="I367" i="24"/>
  <c r="W367" i="24" s="1"/>
  <c r="I365" i="24"/>
  <c r="J365" i="24" s="1"/>
  <c r="K365" i="24" s="1"/>
  <c r="L365" i="24" s="1"/>
  <c r="M365" i="24" s="1"/>
  <c r="N365" i="24" s="1"/>
  <c r="O365" i="24" s="1"/>
  <c r="P365" i="24" s="1"/>
  <c r="Q365" i="24" s="1"/>
  <c r="R365" i="24" s="1"/>
  <c r="S365" i="24" s="1"/>
  <c r="T365" i="24" s="1"/>
  <c r="D440" i="24" l="1"/>
  <c r="E419" i="24"/>
  <c r="D420" i="24"/>
  <c r="E418" i="24"/>
  <c r="D426" i="24"/>
  <c r="D412" i="24"/>
  <c r="E391" i="24"/>
  <c r="D392" i="24"/>
  <c r="E390" i="24"/>
  <c r="D398" i="24"/>
  <c r="D384" i="24"/>
  <c r="E384" i="24" s="1"/>
  <c r="D370" i="24"/>
  <c r="E370" i="24" s="1"/>
  <c r="D405" i="24"/>
  <c r="E405" i="24" s="1"/>
  <c r="E377" i="24"/>
  <c r="D378" i="24"/>
  <c r="E376" i="24"/>
  <c r="I13" i="23"/>
  <c r="J13" i="23"/>
  <c r="K13" i="23"/>
  <c r="D441" i="24" l="1"/>
  <c r="D385" i="24"/>
  <c r="D386" i="24" s="1"/>
  <c r="E426" i="24"/>
  <c r="D427" i="24"/>
  <c r="D406" i="24"/>
  <c r="D407" i="24" s="1"/>
  <c r="E420" i="24"/>
  <c r="D421" i="24"/>
  <c r="D371" i="24"/>
  <c r="E371" i="24" s="1"/>
  <c r="E412" i="24"/>
  <c r="D413" i="24"/>
  <c r="E398" i="24"/>
  <c r="D399" i="24"/>
  <c r="E392" i="24"/>
  <c r="D393" i="24"/>
  <c r="E378" i="24"/>
  <c r="D379" i="24"/>
  <c r="AX29" i="55"/>
  <c r="Q13" i="23" a="1"/>
  <c r="N13" i="23" a="1"/>
  <c r="R13" i="23" a="1"/>
  <c r="O13" i="23" a="1"/>
  <c r="M13" i="23" a="1"/>
  <c r="P13" i="23" a="1"/>
  <c r="E385" i="24" l="1"/>
  <c r="E406" i="24"/>
  <c r="E421" i="24"/>
  <c r="D422" i="24"/>
  <c r="D372" i="24"/>
  <c r="E372" i="24" s="1"/>
  <c r="E427" i="24"/>
  <c r="D428" i="24"/>
  <c r="E413" i="24"/>
  <c r="D414" i="24"/>
  <c r="E393" i="24"/>
  <c r="D394" i="24"/>
  <c r="D400" i="24"/>
  <c r="E399" i="24"/>
  <c r="E386" i="24"/>
  <c r="D387" i="24"/>
  <c r="D408" i="24"/>
  <c r="E407" i="24"/>
  <c r="E379" i="24"/>
  <c r="D380" i="24"/>
  <c r="R13" i="23"/>
  <c r="Q13" i="23"/>
  <c r="P13" i="23"/>
  <c r="O13" i="23"/>
  <c r="N13" i="23"/>
  <c r="M13" i="23"/>
  <c r="O101" i="55"/>
  <c r="O110" i="55" l="1"/>
  <c r="D373" i="24"/>
  <c r="D374" i="24" s="1"/>
  <c r="E374" i="24" s="1"/>
  <c r="D429" i="24"/>
  <c r="E428" i="24"/>
  <c r="E422" i="24"/>
  <c r="D423" i="24"/>
  <c r="E423" i="24" s="1"/>
  <c r="D415" i="24"/>
  <c r="E414" i="24"/>
  <c r="E400" i="24"/>
  <c r="D401" i="24"/>
  <c r="E394" i="24"/>
  <c r="D395" i="24"/>
  <c r="E395" i="24" s="1"/>
  <c r="D388" i="24"/>
  <c r="E388" i="24" s="1"/>
  <c r="E387" i="24"/>
  <c r="E380" i="24"/>
  <c r="D381" i="24"/>
  <c r="E381" i="24" s="1"/>
  <c r="D409" i="24"/>
  <c r="E409" i="24" s="1"/>
  <c r="E408" i="24"/>
  <c r="T278" i="24"/>
  <c r="S278" i="24"/>
  <c r="R278" i="24"/>
  <c r="Q278" i="24"/>
  <c r="P278" i="24"/>
  <c r="O278" i="24"/>
  <c r="N278" i="24"/>
  <c r="M278" i="24"/>
  <c r="L278" i="24"/>
  <c r="K278" i="24"/>
  <c r="J278" i="24"/>
  <c r="I278" i="24"/>
  <c r="E373" i="24" l="1"/>
  <c r="D430" i="24"/>
  <c r="E430" i="24" s="1"/>
  <c r="E429" i="24"/>
  <c r="D416" i="24"/>
  <c r="E416" i="24" s="1"/>
  <c r="E415" i="24"/>
  <c r="D402" i="24"/>
  <c r="E402" i="24" s="1"/>
  <c r="E401" i="24"/>
  <c r="E214" i="23" l="1"/>
  <c r="E199" i="23"/>
  <c r="E184" i="23"/>
  <c r="E169" i="23"/>
  <c r="E154" i="23"/>
  <c r="E144" i="23"/>
  <c r="E129" i="23"/>
  <c r="E114" i="23"/>
  <c r="E99" i="23"/>
  <c r="E84" i="23"/>
  <c r="E74" i="23"/>
  <c r="K14" i="23"/>
  <c r="J14" i="23"/>
  <c r="I264" i="24" l="1"/>
  <c r="J265" i="24"/>
  <c r="L265" i="24"/>
  <c r="AW180" i="107" l="1"/>
  <c r="Y180" i="106"/>
  <c r="M180" i="105"/>
  <c r="AK180" i="104"/>
  <c r="Y180" i="103"/>
  <c r="AK180" i="107"/>
  <c r="M180" i="106"/>
  <c r="AW180" i="105"/>
  <c r="Y180" i="104"/>
  <c r="M180" i="103"/>
  <c r="Y180" i="107"/>
  <c r="AW180" i="106"/>
  <c r="AK180" i="105"/>
  <c r="M180" i="104"/>
  <c r="AW180" i="103"/>
  <c r="M180" i="107"/>
  <c r="AK180" i="106"/>
  <c r="Y180" i="105"/>
  <c r="AW180" i="104"/>
  <c r="AK180" i="103"/>
  <c r="AS93" i="24"/>
  <c r="AR93" i="24"/>
  <c r="AQ93" i="24"/>
  <c r="AO93" i="24"/>
  <c r="AN93" i="24"/>
  <c r="AM93" i="24"/>
  <c r="AL93" i="24"/>
  <c r="AK93" i="24"/>
  <c r="AJ93" i="24"/>
  <c r="AI93" i="24"/>
  <c r="U93" i="24"/>
  <c r="T93" i="24"/>
  <c r="Q93" i="24"/>
  <c r="P93" i="24"/>
  <c r="J93" i="24"/>
  <c r="I93" i="24"/>
  <c r="AS102" i="24"/>
  <c r="AR102" i="24"/>
  <c r="AQ102" i="24"/>
  <c r="AO102" i="24"/>
  <c r="AN102" i="24"/>
  <c r="AM102" i="24"/>
  <c r="AJ102" i="24"/>
  <c r="AI102" i="24"/>
  <c r="AH102" i="24"/>
  <c r="AG102" i="24"/>
  <c r="U102" i="24"/>
  <c r="T102" i="24"/>
  <c r="P102" i="24"/>
  <c r="N102" i="24"/>
  <c r="M102" i="24"/>
  <c r="J102" i="24"/>
  <c r="I102" i="24"/>
  <c r="AL150" i="24"/>
  <c r="AK150" i="24"/>
  <c r="AJ150" i="24"/>
  <c r="AI150" i="24"/>
  <c r="AH150" i="24"/>
  <c r="U150" i="24"/>
  <c r="R150" i="24"/>
  <c r="AB185" i="24"/>
  <c r="AA185" i="24"/>
  <c r="Z185" i="24"/>
  <c r="Y185" i="24"/>
  <c r="X185" i="24"/>
  <c r="W185" i="24"/>
  <c r="V185" i="24"/>
  <c r="U185" i="24"/>
  <c r="T185" i="24"/>
  <c r="S185" i="24"/>
  <c r="R185" i="24"/>
  <c r="Q185" i="24"/>
  <c r="P185" i="24"/>
  <c r="O185" i="24"/>
  <c r="N185" i="24"/>
  <c r="M185" i="24"/>
  <c r="L185" i="24"/>
  <c r="K185" i="24"/>
  <c r="J185" i="24"/>
  <c r="I185" i="24"/>
  <c r="BA125" i="55" l="1"/>
  <c r="AZ125" i="55"/>
  <c r="AY125" i="55"/>
  <c r="AO125" i="55"/>
  <c r="AN125" i="55"/>
  <c r="AM125" i="55"/>
  <c r="AC125" i="55"/>
  <c r="AB125" i="55"/>
  <c r="AA125" i="55"/>
  <c r="Q125" i="55"/>
  <c r="P125" i="55"/>
  <c r="O125" i="55"/>
  <c r="AZ105" i="55"/>
  <c r="AY105" i="55"/>
  <c r="AY131" i="55" s="1"/>
  <c r="AN105" i="55"/>
  <c r="AM105" i="55"/>
  <c r="AM131" i="55" s="1"/>
  <c r="AB105" i="55"/>
  <c r="AA105" i="55"/>
  <c r="AA131" i="55" s="1"/>
  <c r="P105" i="55"/>
  <c r="O105" i="55"/>
  <c r="O131" i="55" l="1"/>
  <c r="O24" i="55"/>
  <c r="Q26" i="24" l="1"/>
  <c r="R26" i="24"/>
  <c r="S26" i="24"/>
  <c r="T26" i="24"/>
  <c r="U26" i="24"/>
  <c r="V26" i="24"/>
  <c r="W26" i="24"/>
  <c r="X26" i="24"/>
  <c r="Y26" i="24"/>
  <c r="Z26" i="24"/>
  <c r="AA26" i="24"/>
  <c r="AB26" i="24"/>
  <c r="AC26" i="24"/>
  <c r="AD26" i="24"/>
  <c r="AE26" i="24"/>
  <c r="AF26" i="24"/>
  <c r="AG26" i="24"/>
  <c r="AH26" i="24"/>
  <c r="AI26" i="24"/>
  <c r="AJ26" i="24"/>
  <c r="AK26" i="24"/>
  <c r="AL26" i="24"/>
  <c r="AM26" i="24"/>
  <c r="AN26" i="24"/>
  <c r="AO26" i="24"/>
  <c r="AP26" i="24"/>
  <c r="AQ26" i="24"/>
  <c r="AR26" i="24"/>
  <c r="AS26" i="24"/>
  <c r="AT26" i="24"/>
  <c r="AU26" i="24"/>
  <c r="AV26" i="24"/>
  <c r="AW26" i="24"/>
  <c r="AX26" i="24"/>
  <c r="AY26" i="24"/>
  <c r="AZ26" i="24"/>
  <c r="BA26" i="24"/>
  <c r="BB26" i="24"/>
  <c r="BC26" i="24"/>
  <c r="BD26" i="24"/>
  <c r="BE26" i="24"/>
  <c r="BF26" i="24"/>
  <c r="BG26" i="24"/>
  <c r="BH26" i="24"/>
  <c r="BI26" i="24"/>
  <c r="BJ26" i="24"/>
  <c r="BK26" i="24"/>
  <c r="BL26" i="24"/>
  <c r="BM26" i="24"/>
  <c r="BN26" i="24"/>
  <c r="CS26" i="24"/>
  <c r="P26" i="24"/>
  <c r="DN26" i="24"/>
  <c r="DP26" i="24"/>
  <c r="DR26" i="24"/>
  <c r="DQ26" i="24"/>
  <c r="DS26" i="24"/>
  <c r="DG26" i="24"/>
  <c r="DT26" i="24"/>
  <c r="DH26" i="24"/>
  <c r="O26" i="24"/>
  <c r="DC26" i="24" l="1"/>
  <c r="DE26" i="24"/>
  <c r="DF26" i="24"/>
  <c r="CV26" i="24"/>
  <c r="DL26" i="24"/>
  <c r="DK26" i="24"/>
  <c r="DM26" i="24"/>
  <c r="DO26" i="24"/>
  <c r="CW26" i="24"/>
  <c r="CX26" i="24"/>
  <c r="CY26" i="24"/>
  <c r="DD26" i="24"/>
  <c r="DI26" i="24"/>
  <c r="DB26" i="24"/>
  <c r="CZ26" i="24"/>
  <c r="DA26" i="24"/>
  <c r="N26" i="24"/>
  <c r="DJ26" i="24"/>
  <c r="BD158" i="55"/>
  <c r="AR158" i="55"/>
  <c r="AF158" i="55"/>
  <c r="T158" i="55"/>
  <c r="AX246" i="55"/>
  <c r="BG201" i="55"/>
  <c r="BF201" i="55"/>
  <c r="BE201" i="55"/>
  <c r="BD201" i="55"/>
  <c r="BC201" i="55"/>
  <c r="BB201" i="55"/>
  <c r="BA201" i="55"/>
  <c r="AZ201" i="55"/>
  <c r="AY201" i="55"/>
  <c r="AU201" i="55"/>
  <c r="AT201" i="55"/>
  <c r="AS201" i="55"/>
  <c r="AR201" i="55"/>
  <c r="AQ201" i="55"/>
  <c r="AP201" i="55"/>
  <c r="AO201" i="55"/>
  <c r="AN201" i="55"/>
  <c r="AM201" i="55"/>
  <c r="AI201" i="55"/>
  <c r="AH201" i="55"/>
  <c r="AG201" i="55"/>
  <c r="AF201" i="55"/>
  <c r="AE201" i="55"/>
  <c r="AD201" i="55"/>
  <c r="AC201" i="55"/>
  <c r="AB201" i="55"/>
  <c r="AA201" i="55"/>
  <c r="T201" i="55"/>
  <c r="I304" i="24"/>
  <c r="T61" i="43"/>
  <c r="S61" i="43"/>
  <c r="R61" i="43"/>
  <c r="Q61" i="43"/>
  <c r="P61" i="43"/>
  <c r="O61" i="43"/>
  <c r="N61" i="43"/>
  <c r="M61" i="43"/>
  <c r="L61" i="43"/>
  <c r="T47" i="43"/>
  <c r="S47" i="43"/>
  <c r="R47" i="43"/>
  <c r="Q47" i="43"/>
  <c r="P47" i="43"/>
  <c r="O47" i="43"/>
  <c r="N47" i="43"/>
  <c r="M47" i="43"/>
  <c r="L47" i="43"/>
  <c r="T33" i="43"/>
  <c r="S33" i="43"/>
  <c r="R33" i="43"/>
  <c r="Q33" i="43"/>
  <c r="P33" i="43"/>
  <c r="O33" i="43"/>
  <c r="N33" i="43"/>
  <c r="M33" i="43"/>
  <c r="L33" i="43"/>
  <c r="T19" i="43"/>
  <c r="S19" i="43"/>
  <c r="R19" i="43"/>
  <c r="Q19" i="43"/>
  <c r="P19" i="43"/>
  <c r="O19" i="43"/>
  <c r="N19" i="43"/>
  <c r="M19" i="43"/>
  <c r="L19" i="43"/>
  <c r="I309" i="24"/>
  <c r="I305" i="24"/>
  <c r="P149" i="55"/>
  <c r="Q149" i="55"/>
  <c r="R149" i="55"/>
  <c r="S149" i="55"/>
  <c r="T149" i="55"/>
  <c r="U149" i="55"/>
  <c r="V149" i="55"/>
  <c r="O149" i="55"/>
  <c r="BD10" i="55"/>
  <c r="AR10" i="55"/>
  <c r="AF10" i="55"/>
  <c r="E65" i="55"/>
  <c r="BG24" i="55"/>
  <c r="BF24" i="55"/>
  <c r="BE24" i="55"/>
  <c r="BD24" i="55"/>
  <c r="BC24" i="55"/>
  <c r="BB24" i="55"/>
  <c r="BA24" i="55"/>
  <c r="AZ24" i="55"/>
  <c r="AU24" i="55"/>
  <c r="AT24" i="55"/>
  <c r="AS24" i="55"/>
  <c r="AR24" i="55"/>
  <c r="AQ24" i="55"/>
  <c r="AP24" i="55"/>
  <c r="AO24" i="55"/>
  <c r="AN24" i="55"/>
  <c r="AI24" i="55"/>
  <c r="AH24" i="55"/>
  <c r="AG24" i="55"/>
  <c r="AF24" i="55"/>
  <c r="AE24" i="55"/>
  <c r="AD24" i="55"/>
  <c r="AC24" i="55"/>
  <c r="AB24" i="55"/>
  <c r="W24" i="55"/>
  <c r="V24" i="55"/>
  <c r="U24" i="55"/>
  <c r="T24" i="55"/>
  <c r="S24" i="55"/>
  <c r="R24" i="55"/>
  <c r="Q24" i="55"/>
  <c r="P24" i="55"/>
  <c r="BG20" i="55"/>
  <c r="BF20" i="55"/>
  <c r="BE20" i="55"/>
  <c r="BD20" i="55"/>
  <c r="BC20" i="55"/>
  <c r="BB20" i="55"/>
  <c r="BA20" i="55"/>
  <c r="AZ20" i="55"/>
  <c r="AU20" i="55"/>
  <c r="AT20" i="55"/>
  <c r="AS20" i="55"/>
  <c r="AR20" i="55"/>
  <c r="AQ20" i="55"/>
  <c r="AP20" i="55"/>
  <c r="AO20" i="55"/>
  <c r="AN20" i="55"/>
  <c r="AI20" i="55"/>
  <c r="AH20" i="55"/>
  <c r="AG20" i="55"/>
  <c r="AF20" i="55"/>
  <c r="AE20" i="55"/>
  <c r="AD20" i="55"/>
  <c r="AC20" i="55"/>
  <c r="AB20" i="55"/>
  <c r="W20" i="55"/>
  <c r="V20" i="55"/>
  <c r="U20" i="55"/>
  <c r="T20" i="55"/>
  <c r="S20" i="55"/>
  <c r="R20" i="55"/>
  <c r="Q20" i="55"/>
  <c r="P20" i="55"/>
  <c r="BG19" i="55"/>
  <c r="BG40" i="55" s="1"/>
  <c r="BF19" i="55"/>
  <c r="BF40" i="55" s="1"/>
  <c r="BE19" i="55"/>
  <c r="BE40" i="55" s="1"/>
  <c r="BD19" i="55"/>
  <c r="BD40" i="55" s="1"/>
  <c r="BC19" i="55"/>
  <c r="BC40" i="55" s="1"/>
  <c r="BB19" i="55"/>
  <c r="BB40" i="55" s="1"/>
  <c r="BA19" i="55"/>
  <c r="BA40" i="55" s="1"/>
  <c r="AZ19" i="55"/>
  <c r="AZ40" i="55" s="1"/>
  <c r="AU19" i="55"/>
  <c r="AU40" i="55" s="1"/>
  <c r="AT19" i="55"/>
  <c r="AT40" i="55" s="1"/>
  <c r="AS19" i="55"/>
  <c r="AS40" i="55" s="1"/>
  <c r="AR19" i="55"/>
  <c r="AR40" i="55" s="1"/>
  <c r="AQ19" i="55"/>
  <c r="AQ40" i="55" s="1"/>
  <c r="AP19" i="55"/>
  <c r="AP40" i="55" s="1"/>
  <c r="AO19" i="55"/>
  <c r="AO40" i="55" s="1"/>
  <c r="AN19" i="55"/>
  <c r="AN40" i="55" s="1"/>
  <c r="AI19" i="55"/>
  <c r="AI40" i="55" s="1"/>
  <c r="AH19" i="55"/>
  <c r="AH40" i="55" s="1"/>
  <c r="AG19" i="55"/>
  <c r="AG40" i="55" s="1"/>
  <c r="AF19" i="55"/>
  <c r="AF40" i="55" s="1"/>
  <c r="AE19" i="55"/>
  <c r="AE40" i="55" s="1"/>
  <c r="AD19" i="55"/>
  <c r="AD40" i="55" s="1"/>
  <c r="AC19" i="55"/>
  <c r="AC40" i="55" s="1"/>
  <c r="AB19" i="55"/>
  <c r="AB40" i="55" s="1"/>
  <c r="W19" i="55"/>
  <c r="W40" i="55" s="1"/>
  <c r="V19" i="55"/>
  <c r="V40" i="55" s="1"/>
  <c r="U19" i="55"/>
  <c r="U40" i="55" s="1"/>
  <c r="T19" i="55"/>
  <c r="T40" i="55" s="1"/>
  <c r="S19" i="55"/>
  <c r="S40" i="55" s="1"/>
  <c r="R19" i="55"/>
  <c r="R40" i="55" s="1"/>
  <c r="Q19" i="55"/>
  <c r="Q40" i="55" s="1"/>
  <c r="P19" i="55"/>
  <c r="P40" i="55" s="1"/>
  <c r="T195" i="55"/>
  <c r="T184" i="55"/>
  <c r="T165" i="55"/>
  <c r="T73" i="55"/>
  <c r="E246" i="55" s="1"/>
  <c r="S66" i="43"/>
  <c r="S64" i="43"/>
  <c r="S65" i="43" s="1"/>
  <c r="S52" i="43"/>
  <c r="S50" i="43"/>
  <c r="S51" i="43" s="1"/>
  <c r="S38" i="43"/>
  <c r="S36" i="43"/>
  <c r="S37" i="43" s="1"/>
  <c r="S24" i="43"/>
  <c r="S22" i="43"/>
  <c r="S23" i="43" s="1"/>
  <c r="I322" i="24"/>
  <c r="I301" i="24"/>
  <c r="P52" i="55" l="1"/>
  <c r="Q52" i="55"/>
  <c r="R52" i="55"/>
  <c r="AF35" i="55"/>
  <c r="AD35" i="55"/>
  <c r="AH35" i="55"/>
  <c r="AP35" i="55"/>
  <c r="AT35" i="55"/>
  <c r="AB35" i="55"/>
  <c r="AE35" i="55"/>
  <c r="AI35" i="55"/>
  <c r="AQ35" i="55"/>
  <c r="AU35" i="55"/>
  <c r="AN35" i="55"/>
  <c r="AR35" i="55"/>
  <c r="AC35" i="55"/>
  <c r="AG35" i="55"/>
  <c r="AO35" i="55"/>
  <c r="AS35" i="55"/>
  <c r="AF184" i="55"/>
  <c r="AF219" i="55"/>
  <c r="AR149" i="55"/>
  <c r="AR219" i="55"/>
  <c r="BD184" i="55"/>
  <c r="BD219" i="55"/>
  <c r="BG35" i="55"/>
  <c r="Q35" i="55"/>
  <c r="P35" i="55"/>
  <c r="U35" i="55"/>
  <c r="R35" i="55"/>
  <c r="W35" i="55"/>
  <c r="BB35" i="55"/>
  <c r="S35" i="55"/>
  <c r="V35" i="55"/>
  <c r="AZ35" i="55"/>
  <c r="BC35" i="55"/>
  <c r="T35" i="55"/>
  <c r="BD35" i="55"/>
  <c r="BA35" i="55"/>
  <c r="BE35" i="55"/>
  <c r="BF35" i="55"/>
  <c r="M24" i="55"/>
  <c r="BF31" i="55"/>
  <c r="V31" i="55"/>
  <c r="AT31" i="55"/>
  <c r="AH31" i="55"/>
  <c r="AF149" i="55"/>
  <c r="AR184" i="55"/>
  <c r="BD149" i="55"/>
  <c r="E307" i="55"/>
  <c r="AR21" i="55"/>
  <c r="AR50" i="55" s="1"/>
  <c r="AR22" i="55"/>
  <c r="BD21" i="55"/>
  <c r="BD50" i="55" s="1"/>
  <c r="BD22" i="55"/>
  <c r="AF73" i="55"/>
  <c r="AF195" i="55"/>
  <c r="AR195" i="55"/>
  <c r="BD73" i="55"/>
  <c r="BD195" i="55"/>
  <c r="BD165" i="55"/>
  <c r="BD17" i="55"/>
  <c r="AR73" i="55"/>
  <c r="AF21" i="55"/>
  <c r="AF22" i="55"/>
  <c r="AR165" i="55"/>
  <c r="AR17" i="55"/>
  <c r="T21" i="55"/>
  <c r="T50" i="55" s="1"/>
  <c r="T22" i="55"/>
  <c r="AF165" i="55"/>
  <c r="AF17" i="55"/>
  <c r="T17" i="55"/>
  <c r="I26" i="24"/>
  <c r="O3" i="55" l="1"/>
  <c r="AF50" i="55"/>
  <c r="BF271" i="55"/>
  <c r="AT271" i="55"/>
  <c r="AH271" i="55"/>
  <c r="BD27" i="55"/>
  <c r="BD26" i="55"/>
  <c r="T27" i="55"/>
  <c r="T26" i="55"/>
  <c r="AF27" i="55"/>
  <c r="AF26" i="55"/>
  <c r="AR27" i="55"/>
  <c r="AR26" i="55"/>
  <c r="BD260" i="55"/>
  <c r="BD58" i="55"/>
  <c r="BD232" i="55"/>
  <c r="BD38" i="55"/>
  <c r="BD278" i="55"/>
  <c r="BD225" i="55"/>
  <c r="BD300" i="55"/>
  <c r="BD239" i="55"/>
  <c r="AR38" i="55"/>
  <c r="AR260" i="55"/>
  <c r="AR58" i="55"/>
  <c r="AR232" i="55"/>
  <c r="AR278" i="55"/>
  <c r="AR225" i="55"/>
  <c r="AR300" i="55"/>
  <c r="AR239" i="55"/>
  <c r="AF260" i="55"/>
  <c r="AF58" i="55"/>
  <c r="AF232" i="55"/>
  <c r="AF38" i="55"/>
  <c r="AF278" i="55"/>
  <c r="AF239" i="55"/>
  <c r="AF300" i="55"/>
  <c r="AF225" i="55"/>
  <c r="T260" i="55"/>
  <c r="T58" i="55"/>
  <c r="T38" i="55"/>
  <c r="T232" i="55"/>
  <c r="T278" i="55"/>
  <c r="T300" i="55"/>
  <c r="T225" i="55"/>
  <c r="T239" i="55"/>
  <c r="J207" i="55"/>
  <c r="M207" i="55"/>
  <c r="O207" i="55"/>
  <c r="P207" i="55"/>
  <c r="Q207" i="55"/>
  <c r="W207" i="55"/>
  <c r="Y207" i="55"/>
  <c r="AK207" i="55"/>
  <c r="AW207" i="55"/>
  <c r="T510" i="24"/>
  <c r="S510" i="24"/>
  <c r="R510" i="24"/>
  <c r="Q510" i="24"/>
  <c r="P510" i="24"/>
  <c r="O510" i="24"/>
  <c r="N510" i="24"/>
  <c r="M510" i="24"/>
  <c r="L510" i="24"/>
  <c r="K510" i="24"/>
  <c r="J510" i="24"/>
  <c r="I510" i="24"/>
  <c r="I508" i="24"/>
  <c r="J508" i="24" s="1"/>
  <c r="K508" i="24" s="1"/>
  <c r="L508" i="24" s="1"/>
  <c r="M508" i="24" s="1"/>
  <c r="N508" i="24" s="1"/>
  <c r="O508" i="24" s="1"/>
  <c r="P508" i="24" s="1"/>
  <c r="Q508" i="24" s="1"/>
  <c r="R508" i="24" s="1"/>
  <c r="S508" i="24" s="1"/>
  <c r="T508" i="24" s="1"/>
  <c r="AW38" i="55"/>
  <c r="AK38" i="55"/>
  <c r="Y38" i="55"/>
  <c r="M38" i="55"/>
  <c r="T72" i="24"/>
  <c r="S72" i="24"/>
  <c r="R72" i="24"/>
  <c r="Q72" i="24"/>
  <c r="P72" i="24"/>
  <c r="O72" i="24"/>
  <c r="N72" i="24"/>
  <c r="M72" i="24"/>
  <c r="L72" i="24"/>
  <c r="K72" i="24"/>
  <c r="J72" i="24"/>
  <c r="I72" i="24"/>
  <c r="E72" i="24"/>
  <c r="J66" i="24"/>
  <c r="K66" i="24"/>
  <c r="L66" i="24"/>
  <c r="M66" i="24"/>
  <c r="N66" i="24"/>
  <c r="O66" i="24"/>
  <c r="P66" i="24"/>
  <c r="Q66" i="24"/>
  <c r="R66" i="24"/>
  <c r="S66" i="24"/>
  <c r="T66" i="24"/>
  <c r="I66" i="24"/>
  <c r="J260" i="55"/>
  <c r="M260" i="55"/>
  <c r="T28" i="55" l="1"/>
  <c r="BD28" i="55"/>
  <c r="AR28" i="55"/>
  <c r="AF28" i="55"/>
  <c r="F4" i="24"/>
  <c r="F3" i="24"/>
  <c r="F4" i="23"/>
  <c r="AF291" i="55" l="1"/>
  <c r="AR291" i="55"/>
  <c r="BD291" i="55"/>
  <c r="T291" i="55"/>
  <c r="E233" i="23"/>
  <c r="E232" i="23"/>
  <c r="E231" i="23"/>
  <c r="E230" i="23"/>
  <c r="E227" i="23"/>
  <c r="E226" i="23"/>
  <c r="E225" i="23"/>
  <c r="E224" i="23"/>
  <c r="E221" i="23"/>
  <c r="E220" i="23"/>
  <c r="E219" i="23"/>
  <c r="E218" i="23"/>
  <c r="E151" i="23"/>
  <c r="E150" i="23"/>
  <c r="E149" i="23"/>
  <c r="E148" i="23"/>
  <c r="E81" i="23"/>
  <c r="E80" i="23"/>
  <c r="E79" i="23"/>
  <c r="E78" i="23"/>
  <c r="E71" i="23"/>
  <c r="E70" i="23"/>
  <c r="E69" i="23"/>
  <c r="E68" i="23"/>
  <c r="E65" i="23"/>
  <c r="E64" i="23"/>
  <c r="E63" i="23"/>
  <c r="E62" i="23"/>
  <c r="E59" i="23"/>
  <c r="E58" i="23"/>
  <c r="E57" i="23"/>
  <c r="E56" i="23"/>
  <c r="E53" i="23"/>
  <c r="E52" i="23"/>
  <c r="E51" i="23"/>
  <c r="E50" i="23"/>
  <c r="E47" i="23"/>
  <c r="E46" i="23"/>
  <c r="E45" i="23"/>
  <c r="E44" i="23"/>
  <c r="E41" i="23"/>
  <c r="E40" i="23"/>
  <c r="E39" i="23"/>
  <c r="E38" i="23"/>
  <c r="E35" i="23"/>
  <c r="E34" i="23"/>
  <c r="E33" i="23"/>
  <c r="E32" i="23"/>
  <c r="E28" i="23"/>
  <c r="E27" i="23"/>
  <c r="E26" i="23"/>
  <c r="E25" i="23"/>
  <c r="E21" i="23"/>
  <c r="E20" i="23"/>
  <c r="E19" i="23"/>
  <c r="E18" i="23"/>
  <c r="E237" i="23" l="1"/>
  <c r="E238" i="23"/>
  <c r="E239" i="23"/>
  <c r="E240" i="23"/>
  <c r="E241" i="23"/>
  <c r="E242" i="23"/>
  <c r="E236" i="23"/>
  <c r="E211" i="23"/>
  <c r="E210" i="23"/>
  <c r="E196" i="23"/>
  <c r="E195" i="23"/>
  <c r="E181" i="23"/>
  <c r="E180" i="23"/>
  <c r="E166" i="23"/>
  <c r="E165" i="23"/>
  <c r="E141" i="23"/>
  <c r="E140" i="23"/>
  <c r="E126" i="23"/>
  <c r="E125" i="23"/>
  <c r="E111" i="23"/>
  <c r="E110" i="23"/>
  <c r="E96" i="23"/>
  <c r="E95" i="23"/>
  <c r="I65" i="23"/>
  <c r="I64" i="23"/>
  <c r="I63" i="23"/>
  <c r="I62" i="23"/>
  <c r="I59" i="23"/>
  <c r="I58" i="23"/>
  <c r="I57" i="23"/>
  <c r="I56" i="23"/>
  <c r="I53" i="23"/>
  <c r="I52" i="23"/>
  <c r="I51" i="23"/>
  <c r="I50" i="23"/>
  <c r="I12" i="23"/>
  <c r="I11" i="23"/>
  <c r="AB350" i="24" l="1"/>
  <c r="Y350" i="24"/>
  <c r="Y343" i="24"/>
  <c r="AB357" i="24"/>
  <c r="Y357" i="24"/>
  <c r="X356" i="24"/>
  <c r="Y356" i="24"/>
  <c r="Z356" i="24"/>
  <c r="AA356" i="24"/>
  <c r="AB356" i="24"/>
  <c r="AC356" i="24"/>
  <c r="AD356" i="24"/>
  <c r="AE356" i="24"/>
  <c r="AF356" i="24"/>
  <c r="W356" i="24"/>
  <c r="AF354" i="24"/>
  <c r="X340" i="24"/>
  <c r="Y340" i="24"/>
  <c r="Z340" i="24"/>
  <c r="AA340" i="24"/>
  <c r="AB340" i="24"/>
  <c r="AC340" i="24"/>
  <c r="AD340" i="24"/>
  <c r="AE340" i="24"/>
  <c r="AF340" i="24"/>
  <c r="AG340" i="24"/>
  <c r="X341" i="24"/>
  <c r="Y341" i="24"/>
  <c r="Z341" i="24"/>
  <c r="AA341" i="24"/>
  <c r="AB341" i="24"/>
  <c r="AC341" i="24"/>
  <c r="AD341" i="24"/>
  <c r="AE341" i="24"/>
  <c r="AF341" i="24"/>
  <c r="AG341" i="24"/>
  <c r="AG342" i="24"/>
  <c r="X343" i="24"/>
  <c r="Z343" i="24"/>
  <c r="AA343" i="24"/>
  <c r="AB343" i="24"/>
  <c r="AC343" i="24"/>
  <c r="AD343" i="24"/>
  <c r="AE343" i="24"/>
  <c r="AF343" i="24"/>
  <c r="X344" i="24"/>
  <c r="Y344" i="24"/>
  <c r="Z344" i="24"/>
  <c r="AA344" i="24"/>
  <c r="AB344" i="24"/>
  <c r="AC344" i="24"/>
  <c r="AD344" i="24"/>
  <c r="AE344" i="24"/>
  <c r="AF344" i="24"/>
  <c r="AG344" i="24"/>
  <c r="X347" i="24"/>
  <c r="Y347" i="24"/>
  <c r="Z347" i="24"/>
  <c r="AA347" i="24"/>
  <c r="AB347" i="24"/>
  <c r="AC347" i="24"/>
  <c r="AD347" i="24"/>
  <c r="AE347" i="24"/>
  <c r="AF347" i="24"/>
  <c r="AG347" i="24"/>
  <c r="X348" i="24"/>
  <c r="Y348" i="24"/>
  <c r="Z348" i="24"/>
  <c r="AA348" i="24"/>
  <c r="AB348" i="24"/>
  <c r="AC348" i="24"/>
  <c r="AD348" i="24"/>
  <c r="AE348" i="24"/>
  <c r="AF348" i="24"/>
  <c r="AG348" i="24"/>
  <c r="AG349" i="24"/>
  <c r="X350" i="24"/>
  <c r="Z350" i="24"/>
  <c r="AA350" i="24"/>
  <c r="AC350" i="24"/>
  <c r="AD350" i="24"/>
  <c r="AE350" i="24"/>
  <c r="AF350" i="24"/>
  <c r="X351" i="24"/>
  <c r="Y351" i="24"/>
  <c r="Z351" i="24"/>
  <c r="AA351" i="24"/>
  <c r="AB351" i="24"/>
  <c r="AC351" i="24"/>
  <c r="AD351" i="24"/>
  <c r="AE351" i="24"/>
  <c r="AF351" i="24"/>
  <c r="AG351" i="24"/>
  <c r="X354" i="24"/>
  <c r="Y354" i="24"/>
  <c r="Z354" i="24"/>
  <c r="AA354" i="24"/>
  <c r="AB354" i="24"/>
  <c r="AC354" i="24"/>
  <c r="AD354" i="24"/>
  <c r="AE354" i="24"/>
  <c r="AG354" i="24"/>
  <c r="X355" i="24"/>
  <c r="Y355" i="24"/>
  <c r="Z355" i="24"/>
  <c r="AA355" i="24"/>
  <c r="AB355" i="24"/>
  <c r="AC355" i="24"/>
  <c r="AD355" i="24"/>
  <c r="AE355" i="24"/>
  <c r="AF355" i="24"/>
  <c r="AG355" i="24"/>
  <c r="AG356" i="24"/>
  <c r="X357" i="24"/>
  <c r="Z357" i="24"/>
  <c r="AA357" i="24"/>
  <c r="AC357" i="24"/>
  <c r="AD357" i="24"/>
  <c r="AE357" i="24"/>
  <c r="AF357" i="24"/>
  <c r="X358" i="24"/>
  <c r="Y358" i="24"/>
  <c r="Z358" i="24"/>
  <c r="AA358" i="24"/>
  <c r="AB358" i="24"/>
  <c r="AC358" i="24"/>
  <c r="AD358" i="24"/>
  <c r="AE358" i="24"/>
  <c r="AF358" i="24"/>
  <c r="AG358" i="24"/>
  <c r="W355" i="24"/>
  <c r="W357" i="24"/>
  <c r="W358" i="24"/>
  <c r="W354" i="24"/>
  <c r="W348" i="24"/>
  <c r="W350" i="24"/>
  <c r="W351" i="24"/>
  <c r="W347" i="24"/>
  <c r="W341" i="24"/>
  <c r="W343" i="24"/>
  <c r="W344" i="24"/>
  <c r="W340" i="24"/>
  <c r="AB178" i="24"/>
  <c r="AA178" i="24"/>
  <c r="Z178" i="24"/>
  <c r="Y178" i="24"/>
  <c r="T294" i="24"/>
  <c r="S294" i="24"/>
  <c r="R294" i="24"/>
  <c r="Q294" i="24"/>
  <c r="P294" i="24"/>
  <c r="O294" i="24"/>
  <c r="N294" i="24"/>
  <c r="M294" i="24"/>
  <c r="L294" i="24"/>
  <c r="K294" i="24"/>
  <c r="J294" i="24"/>
  <c r="I294" i="24"/>
  <c r="J286" i="24"/>
  <c r="K286" i="24"/>
  <c r="L286" i="24"/>
  <c r="M286" i="24"/>
  <c r="N286" i="24"/>
  <c r="O286" i="24"/>
  <c r="P286" i="24"/>
  <c r="Q286" i="24"/>
  <c r="R286" i="24"/>
  <c r="S286" i="24"/>
  <c r="T286" i="24"/>
  <c r="I286" i="24"/>
  <c r="I194" i="24" l="1"/>
  <c r="I201" i="24"/>
  <c r="BA129" i="55"/>
  <c r="AZ129" i="55"/>
  <c r="AY129" i="55"/>
  <c r="AO129" i="55"/>
  <c r="AN129" i="55"/>
  <c r="AM129" i="55"/>
  <c r="AC129" i="55"/>
  <c r="AB129" i="55"/>
  <c r="AA129" i="55"/>
  <c r="Q129" i="55"/>
  <c r="P129" i="55"/>
  <c r="O129" i="55"/>
  <c r="E68" i="55"/>
  <c r="E66" i="55"/>
  <c r="E64" i="55"/>
  <c r="E63" i="55"/>
  <c r="E62" i="55"/>
  <c r="E61" i="55"/>
  <c r="E60" i="55"/>
  <c r="E190" i="23" l="1"/>
  <c r="E90" i="23"/>
  <c r="E135" i="23"/>
  <c r="E105" i="23"/>
  <c r="E160" i="23"/>
  <c r="E205" i="23"/>
  <c r="E175" i="23"/>
  <c r="E120" i="23"/>
  <c r="E136" i="23"/>
  <c r="E106" i="23"/>
  <c r="E121" i="23"/>
  <c r="E176" i="23"/>
  <c r="E206" i="23"/>
  <c r="E91" i="23"/>
  <c r="E161" i="23"/>
  <c r="E191" i="23"/>
  <c r="E108" i="23"/>
  <c r="E178" i="23"/>
  <c r="E123" i="23"/>
  <c r="E138" i="23"/>
  <c r="E208" i="23"/>
  <c r="E93" i="23"/>
  <c r="E163" i="23"/>
  <c r="E193" i="23"/>
  <c r="E139" i="23"/>
  <c r="E179" i="23"/>
  <c r="E209" i="23"/>
  <c r="E194" i="23"/>
  <c r="E94" i="23"/>
  <c r="E124" i="23"/>
  <c r="E164" i="23"/>
  <c r="E109" i="23"/>
  <c r="E158" i="23"/>
  <c r="E188" i="23"/>
  <c r="E103" i="23"/>
  <c r="E173" i="23"/>
  <c r="E88" i="23"/>
  <c r="E133" i="23"/>
  <c r="E203" i="23"/>
  <c r="E118" i="23"/>
  <c r="E137" i="23"/>
  <c r="E107" i="23"/>
  <c r="E177" i="23"/>
  <c r="E162" i="23"/>
  <c r="E92" i="23"/>
  <c r="E207" i="23"/>
  <c r="E122" i="23"/>
  <c r="E192" i="23"/>
  <c r="E119" i="23"/>
  <c r="E189" i="23"/>
  <c r="E104" i="23"/>
  <c r="E204" i="23"/>
  <c r="E134" i="23"/>
  <c r="E89" i="23"/>
  <c r="E174" i="23"/>
  <c r="E159" i="23"/>
  <c r="I119" i="24"/>
  <c r="T64" i="43" l="1"/>
  <c r="T65" i="43" s="1"/>
  <c r="R64" i="43"/>
  <c r="R65" i="43" s="1"/>
  <c r="Q64" i="43"/>
  <c r="Q65" i="43" s="1"/>
  <c r="P64" i="43"/>
  <c r="P65" i="43" s="1"/>
  <c r="O64" i="43"/>
  <c r="O65" i="43" s="1"/>
  <c r="N64" i="43"/>
  <c r="N65" i="43" s="1"/>
  <c r="M64" i="43"/>
  <c r="M65" i="43" s="1"/>
  <c r="L64" i="43"/>
  <c r="T50" i="43"/>
  <c r="T51" i="43" s="1"/>
  <c r="R50" i="43"/>
  <c r="R51" i="43" s="1"/>
  <c r="Q50" i="43"/>
  <c r="Q51" i="43" s="1"/>
  <c r="P50" i="43"/>
  <c r="P51" i="43" s="1"/>
  <c r="O50" i="43"/>
  <c r="O51" i="43" s="1"/>
  <c r="N50" i="43"/>
  <c r="N51" i="43" s="1"/>
  <c r="M50" i="43"/>
  <c r="M51" i="43" s="1"/>
  <c r="L50" i="43"/>
  <c r="L51" i="43" s="1"/>
  <c r="T36" i="43"/>
  <c r="T37" i="43" s="1"/>
  <c r="R36" i="43"/>
  <c r="R37" i="43" s="1"/>
  <c r="Q36" i="43"/>
  <c r="Q37" i="43" s="1"/>
  <c r="P36" i="43"/>
  <c r="P37" i="43" s="1"/>
  <c r="O36" i="43"/>
  <c r="O37" i="43" s="1"/>
  <c r="N36" i="43"/>
  <c r="N37" i="43" s="1"/>
  <c r="M36" i="43"/>
  <c r="M37" i="43" s="1"/>
  <c r="L36" i="43"/>
  <c r="L37" i="43" s="1"/>
  <c r="M22" i="43"/>
  <c r="M23" i="43" s="1"/>
  <c r="N22" i="43"/>
  <c r="N23" i="43" s="1"/>
  <c r="O22" i="43"/>
  <c r="O23" i="43" s="1"/>
  <c r="P22" i="43"/>
  <c r="P23" i="43" s="1"/>
  <c r="Q22" i="43"/>
  <c r="Q23" i="43" s="1"/>
  <c r="R22" i="43"/>
  <c r="R23" i="43" s="1"/>
  <c r="T22" i="43"/>
  <c r="T23" i="43" s="1"/>
  <c r="L22" i="43"/>
  <c r="J29" i="43"/>
  <c r="J43" i="43"/>
  <c r="T66" i="43"/>
  <c r="R66" i="43"/>
  <c r="Q66" i="43"/>
  <c r="P66" i="43"/>
  <c r="O66" i="43"/>
  <c r="N66" i="43"/>
  <c r="M66" i="43"/>
  <c r="L66" i="43"/>
  <c r="AY31" i="107" s="1"/>
  <c r="T52" i="43"/>
  <c r="R52" i="43"/>
  <c r="Q52" i="43"/>
  <c r="P52" i="43"/>
  <c r="O52" i="43"/>
  <c r="N52" i="43"/>
  <c r="M52" i="43"/>
  <c r="AN31" i="107" s="1"/>
  <c r="L52" i="43"/>
  <c r="AM31" i="107" s="1"/>
  <c r="T38" i="43"/>
  <c r="R38" i="43"/>
  <c r="Q38" i="43"/>
  <c r="P38" i="43"/>
  <c r="O38" i="43"/>
  <c r="N38" i="43"/>
  <c r="M38" i="43"/>
  <c r="L38" i="43"/>
  <c r="AA31" i="107" s="1"/>
  <c r="AC33" i="107" l="1"/>
  <c r="AA280" i="107"/>
  <c r="AA271" i="107"/>
  <c r="AD33" i="107"/>
  <c r="Y64" i="107"/>
  <c r="Y31" i="107"/>
  <c r="AE75" i="107"/>
  <c r="AD75" i="107"/>
  <c r="AG33" i="107"/>
  <c r="AA286" i="107" a="1"/>
  <c r="AA286" i="107" s="1"/>
  <c r="AH33" i="107"/>
  <c r="AH191" i="107" s="1"/>
  <c r="AB33" i="107"/>
  <c r="AA62" i="107"/>
  <c r="AC75" i="107" s="1"/>
  <c r="AA65" i="107"/>
  <c r="AF75" i="107" s="1"/>
  <c r="AA32" i="107"/>
  <c r="AF33" i="107"/>
  <c r="AA33" i="107"/>
  <c r="Y63" i="107"/>
  <c r="AE33" i="107"/>
  <c r="AI33" i="107"/>
  <c r="AI191" i="107" s="1"/>
  <c r="AA309" i="107"/>
  <c r="Y309" i="107" s="1"/>
  <c r="AA248" i="107"/>
  <c r="Y248" i="107" s="1"/>
  <c r="AA61" i="107"/>
  <c r="AA229" i="107" s="1"/>
  <c r="AM33" i="107"/>
  <c r="AM280" i="107"/>
  <c r="AQ33" i="107"/>
  <c r="AK31" i="107"/>
  <c r="AM286" i="107" a="1"/>
  <c r="AM286" i="107" s="1"/>
  <c r="AM271" i="107"/>
  <c r="AK63" i="107"/>
  <c r="AU33" i="107"/>
  <c r="AU191" i="107" s="1"/>
  <c r="AN33" i="107"/>
  <c r="AO33" i="107"/>
  <c r="AM65" i="107"/>
  <c r="AS33" i="107"/>
  <c r="AP75" i="107"/>
  <c r="AP33" i="107"/>
  <c r="AK64" i="107"/>
  <c r="AM32" i="107"/>
  <c r="AQ75" i="107"/>
  <c r="AT33" i="107"/>
  <c r="AT191" i="107" s="1"/>
  <c r="AR33" i="107"/>
  <c r="AM62" i="107"/>
  <c r="AM309" i="107"/>
  <c r="AM248" i="107"/>
  <c r="AM61" i="107"/>
  <c r="AM229" i="107" s="1"/>
  <c r="AY286" i="107" a="1"/>
  <c r="AY286" i="107" s="1"/>
  <c r="AY62" i="107"/>
  <c r="AW62" i="107" s="1"/>
  <c r="BF33" i="107"/>
  <c r="BF191" i="107" s="1"/>
  <c r="BC75" i="107"/>
  <c r="AY33" i="107"/>
  <c r="AZ33" i="107"/>
  <c r="AW64" i="107"/>
  <c r="AY280" i="107"/>
  <c r="AY65" i="107"/>
  <c r="AW65" i="107" s="1"/>
  <c r="BA75" i="107"/>
  <c r="BC33" i="107"/>
  <c r="BD33" i="107"/>
  <c r="AW31" i="107"/>
  <c r="BG33" i="107"/>
  <c r="BG191" i="107" s="1"/>
  <c r="AW63" i="107"/>
  <c r="BE33" i="107"/>
  <c r="AY32" i="107"/>
  <c r="AY271" i="107"/>
  <c r="BB33" i="107"/>
  <c r="BB75" i="107"/>
  <c r="BA33" i="107"/>
  <c r="AY309" i="107"/>
  <c r="AW309" i="107" s="1"/>
  <c r="AW248" i="107"/>
  <c r="AY61" i="107"/>
  <c r="AY229" i="107" s="1"/>
  <c r="AN271" i="107"/>
  <c r="AN65" i="107"/>
  <c r="AN32" i="107"/>
  <c r="AN62" i="107"/>
  <c r="AN280" i="107"/>
  <c r="AN248" i="107"/>
  <c r="AN309" i="107"/>
  <c r="AN61" i="107"/>
  <c r="AN229" i="107" s="1"/>
  <c r="AN31" i="105"/>
  <c r="AN280" i="105" s="1"/>
  <c r="AN31" i="106"/>
  <c r="AA31" i="105"/>
  <c r="AA280" i="105" s="1"/>
  <c r="AA286" i="105" s="1" a="1"/>
  <c r="AA286" i="105" s="1"/>
  <c r="AA31" i="106"/>
  <c r="AM31" i="105"/>
  <c r="AM62" i="105" s="1"/>
  <c r="AM31" i="106"/>
  <c r="AY31" i="105"/>
  <c r="BE33" i="105" s="1"/>
  <c r="AY31" i="106"/>
  <c r="AB33" i="105"/>
  <c r="AA62" i="105"/>
  <c r="AC75" i="105" s="1"/>
  <c r="AA61" i="105"/>
  <c r="AA229" i="105" s="1"/>
  <c r="AK63" i="105"/>
  <c r="AO33" i="105"/>
  <c r="AK64" i="105"/>
  <c r="AP33" i="105"/>
  <c r="AS33" i="105"/>
  <c r="AM271" i="105"/>
  <c r="AM32" i="105"/>
  <c r="AN33" i="105"/>
  <c r="AR33" i="105"/>
  <c r="AM248" i="105"/>
  <c r="AM61" i="105"/>
  <c r="AM229" i="105" s="1"/>
  <c r="BD33" i="105"/>
  <c r="BB75" i="105"/>
  <c r="AY33" i="105"/>
  <c r="AW63" i="105"/>
  <c r="AW31" i="105"/>
  <c r="BC33" i="105"/>
  <c r="AW64" i="105"/>
  <c r="AY62" i="105"/>
  <c r="AW62" i="105" s="1"/>
  <c r="BB33" i="105"/>
  <c r="BC75" i="105"/>
  <c r="AZ33" i="105"/>
  <c r="BA33" i="105"/>
  <c r="AY280" i="105"/>
  <c r="AY286" i="105" s="1" a="1"/>
  <c r="AY286" i="105" s="1"/>
  <c r="BA75" i="105"/>
  <c r="AY32" i="105"/>
  <c r="AY309" i="105"/>
  <c r="AW309" i="105" s="1"/>
  <c r="AW248" i="105"/>
  <c r="AY61" i="105"/>
  <c r="AY229" i="105" s="1"/>
  <c r="AN62" i="105"/>
  <c r="AN286" i="105" a="1"/>
  <c r="AN286" i="105" s="1"/>
  <c r="AN309" i="105"/>
  <c r="AN248" i="105"/>
  <c r="AN61" i="105"/>
  <c r="AN229" i="105" s="1"/>
  <c r="AA31" i="103"/>
  <c r="AG33" i="103" s="1"/>
  <c r="AA31" i="104"/>
  <c r="AM31" i="103"/>
  <c r="AK31" i="103" s="1"/>
  <c r="AM31" i="104"/>
  <c r="AY31" i="103"/>
  <c r="BC33" i="103" s="1"/>
  <c r="AY31" i="104"/>
  <c r="AN31" i="103"/>
  <c r="AN32" i="103" s="1"/>
  <c r="AN31" i="104"/>
  <c r="AB33" i="103"/>
  <c r="AF33" i="103"/>
  <c r="AD75" i="103"/>
  <c r="AA286" i="103" a="1"/>
  <c r="AA286" i="103" s="1"/>
  <c r="AA33" i="103"/>
  <c r="AA32" i="103"/>
  <c r="AA248" i="103"/>
  <c r="Y248" i="103" s="1"/>
  <c r="AA61" i="103"/>
  <c r="AA229" i="103" s="1"/>
  <c r="AM271" i="103"/>
  <c r="AW31" i="103"/>
  <c r="AY280" i="103"/>
  <c r="AY286" i="103" s="1" a="1"/>
  <c r="AY286" i="103" s="1"/>
  <c r="AY65" i="103"/>
  <c r="AW65" i="103" s="1"/>
  <c r="BF33" i="103"/>
  <c r="BF191" i="103" s="1"/>
  <c r="AY32" i="103"/>
  <c r="AY62" i="103"/>
  <c r="BA75" i="103" s="1"/>
  <c r="BC75" i="103"/>
  <c r="AY33" i="103"/>
  <c r="BD33" i="103"/>
  <c r="BA33" i="103"/>
  <c r="BE33" i="103"/>
  <c r="AW248" i="103"/>
  <c r="AY61" i="103"/>
  <c r="AY229" i="103" s="1"/>
  <c r="AN271" i="103"/>
  <c r="AN61" i="103"/>
  <c r="AN229" i="103" s="1"/>
  <c r="BC31" i="55"/>
  <c r="BD31" i="55"/>
  <c r="AC31" i="55"/>
  <c r="AD31" i="55"/>
  <c r="AI31" i="55"/>
  <c r="AG31" i="55"/>
  <c r="AE31" i="55"/>
  <c r="AB31" i="55"/>
  <c r="AF31" i="55"/>
  <c r="AQ31" i="55"/>
  <c r="AR31" i="55"/>
  <c r="AS31" i="55"/>
  <c r="BE31" i="55"/>
  <c r="AO31" i="55"/>
  <c r="AP31" i="55"/>
  <c r="BG31" i="55"/>
  <c r="BB31" i="55"/>
  <c r="BA31" i="55"/>
  <c r="AZ31" i="55"/>
  <c r="AU31" i="55"/>
  <c r="AN31" i="55"/>
  <c r="J64" i="43"/>
  <c r="J50" i="43"/>
  <c r="J22" i="43"/>
  <c r="J51" i="43"/>
  <c r="J52" i="43"/>
  <c r="L23" i="43"/>
  <c r="J66" i="43"/>
  <c r="J38" i="43"/>
  <c r="L65" i="43"/>
  <c r="J65" i="43" s="1"/>
  <c r="J37" i="43"/>
  <c r="J36" i="43"/>
  <c r="R24" i="43"/>
  <c r="Q24" i="43"/>
  <c r="P24" i="43"/>
  <c r="O24" i="43"/>
  <c r="N24" i="43"/>
  <c r="L24" i="43"/>
  <c r="O31" i="107" s="1"/>
  <c r="AN309" i="103" l="1"/>
  <c r="AM62" i="103"/>
  <c r="AN65" i="103"/>
  <c r="AN65" i="105"/>
  <c r="AR75" i="105" s="1"/>
  <c r="AN271" i="105"/>
  <c r="AM33" i="105"/>
  <c r="AT33" i="105"/>
  <c r="AT191" i="105" s="1"/>
  <c r="AK31" i="105"/>
  <c r="AM65" i="105"/>
  <c r="AQ33" i="105"/>
  <c r="AK62" i="107"/>
  <c r="AN62" i="103"/>
  <c r="AK62" i="103" s="1"/>
  <c r="AN280" i="103"/>
  <c r="AP33" i="103"/>
  <c r="Y31" i="103"/>
  <c r="AN32" i="105"/>
  <c r="AK271" i="105" s="1"/>
  <c r="AM309" i="105"/>
  <c r="AQ75" i="105"/>
  <c r="AP75" i="105"/>
  <c r="AU33" i="105"/>
  <c r="AU191" i="105" s="1"/>
  <c r="AM280" i="105"/>
  <c r="AM286" i="105" s="1" a="1"/>
  <c r="AM286" i="105" s="1"/>
  <c r="AA309" i="105"/>
  <c r="Y309" i="105" s="1"/>
  <c r="AI33" i="105"/>
  <c r="AI191" i="105" s="1"/>
  <c r="AA271" i="105"/>
  <c r="AN248" i="103"/>
  <c r="AY309" i="103"/>
  <c r="AW309" i="103" s="1"/>
  <c r="AW63" i="103"/>
  <c r="AY271" i="103"/>
  <c r="AW271" i="103" s="1"/>
  <c r="BB33" i="103"/>
  <c r="AM248" i="103"/>
  <c r="AM280" i="103"/>
  <c r="Y63" i="103"/>
  <c r="AH33" i="103"/>
  <c r="AH191" i="103" s="1"/>
  <c r="AA280" i="103"/>
  <c r="AA62" i="103"/>
  <c r="AC75" i="103" s="1"/>
  <c r="AW64" i="103"/>
  <c r="AI33" i="103"/>
  <c r="AI191" i="103" s="1"/>
  <c r="AC33" i="103"/>
  <c r="AE75" i="103"/>
  <c r="AN33" i="103"/>
  <c r="AN190" i="103" s="1"/>
  <c r="AA271" i="103"/>
  <c r="AR75" i="107"/>
  <c r="AS246" i="107" s="1"/>
  <c r="Y62" i="103"/>
  <c r="BB75" i="103"/>
  <c r="BB154" i="103" s="1"/>
  <c r="AZ33" i="103"/>
  <c r="BG33" i="103"/>
  <c r="BG191" i="103" s="1"/>
  <c r="AM286" i="103" a="1"/>
  <c r="AM286" i="103" s="1"/>
  <c r="AA309" i="103"/>
  <c r="Y309" i="103" s="1"/>
  <c r="AE33" i="103"/>
  <c r="AA65" i="103"/>
  <c r="AF75" i="103" s="1"/>
  <c r="AD33" i="103"/>
  <c r="Y64" i="103"/>
  <c r="BF33" i="105"/>
  <c r="BF191" i="105" s="1"/>
  <c r="BG33" i="105"/>
  <c r="BG191" i="105" s="1"/>
  <c r="AY271" i="105"/>
  <c r="AY65" i="105"/>
  <c r="AW65" i="105" s="1"/>
  <c r="AA32" i="105"/>
  <c r="AF33" i="105"/>
  <c r="AE75" i="105"/>
  <c r="Y31" i="105"/>
  <c r="AA65" i="105"/>
  <c r="Y65" i="105" s="1"/>
  <c r="AA248" i="105"/>
  <c r="Y248" i="105" s="1"/>
  <c r="AD33" i="105"/>
  <c r="AA33" i="105"/>
  <c r="AD75" i="105"/>
  <c r="AD154" i="105" s="1"/>
  <c r="Y63" i="105"/>
  <c r="AO75" i="107"/>
  <c r="AO85" i="107" s="1"/>
  <c r="AK63" i="103"/>
  <c r="AE33" i="105"/>
  <c r="Y64" i="105"/>
  <c r="AG33" i="105"/>
  <c r="AC33" i="105"/>
  <c r="AH33" i="105"/>
  <c r="AH191" i="105" s="1"/>
  <c r="BD75" i="107"/>
  <c r="BA307" i="107" s="1"/>
  <c r="BC236" i="107"/>
  <c r="BD236" i="107"/>
  <c r="AY236" i="107"/>
  <c r="BE236" i="107"/>
  <c r="AZ236" i="107"/>
  <c r="BB236" i="107"/>
  <c r="BF236" i="107"/>
  <c r="BA236" i="107"/>
  <c r="BG236" i="107"/>
  <c r="AR236" i="107"/>
  <c r="AO236" i="107"/>
  <c r="AM236" i="107"/>
  <c r="AQ236" i="107"/>
  <c r="AP236" i="107"/>
  <c r="AU236" i="107"/>
  <c r="AN236" i="107"/>
  <c r="AS236" i="107"/>
  <c r="AT236" i="107"/>
  <c r="AF156" i="107"/>
  <c r="AF246" i="107"/>
  <c r="AH246" i="107"/>
  <c r="AB246" i="107"/>
  <c r="AD246" i="107"/>
  <c r="AI246" i="107"/>
  <c r="AE246" i="107"/>
  <c r="AC246" i="107"/>
  <c r="AF202" i="107"/>
  <c r="AF204" i="107" s="1"/>
  <c r="AA246" i="107" s="1"/>
  <c r="AG246" i="107"/>
  <c r="AF186" i="107"/>
  <c r="AF14" i="107" s="1"/>
  <c r="AO246" i="107"/>
  <c r="AQ246" i="107"/>
  <c r="AR186" i="107"/>
  <c r="AR14" i="107" s="1"/>
  <c r="AC85" i="107"/>
  <c r="O280" i="107"/>
  <c r="O65" i="107"/>
  <c r="O62" i="107"/>
  <c r="O32" i="107"/>
  <c r="O286" i="107" a="1"/>
  <c r="O286" i="107" s="1"/>
  <c r="O271" i="107"/>
  <c r="O309" i="107"/>
  <c r="O248" i="107"/>
  <c r="O61" i="107"/>
  <c r="O229" i="107" s="1"/>
  <c r="AM61" i="103"/>
  <c r="AM229" i="103" s="1"/>
  <c r="AP75" i="103"/>
  <c r="AM65" i="103"/>
  <c r="AK65" i="103" s="1"/>
  <c r="AS33" i="103"/>
  <c r="AW61" i="107"/>
  <c r="AY284" i="107" a="1"/>
  <c r="AY284" i="107" s="1"/>
  <c r="AY283" i="107" a="1"/>
  <c r="AY283" i="107" s="1"/>
  <c r="AY282" i="107" a="1"/>
  <c r="AY282" i="107" s="1"/>
  <c r="AZ75" i="107"/>
  <c r="AK309" i="107"/>
  <c r="AN191" i="107"/>
  <c r="AN190" i="107"/>
  <c r="AN187" i="107"/>
  <c r="AK271" i="107"/>
  <c r="AH306" i="107"/>
  <c r="AD306" i="107"/>
  <c r="AG306" i="107"/>
  <c r="AC306" i="107"/>
  <c r="AF306" i="107"/>
  <c r="AB306" i="107"/>
  <c r="AI306" i="107"/>
  <c r="AE306" i="107"/>
  <c r="AA306" i="107"/>
  <c r="AE154" i="107"/>
  <c r="AH245" i="107"/>
  <c r="AD245" i="107"/>
  <c r="AA245" i="107"/>
  <c r="AF245" i="107"/>
  <c r="AI245" i="107"/>
  <c r="AB245" i="107"/>
  <c r="AC245" i="107"/>
  <c r="AG245" i="107"/>
  <c r="AE245" i="107"/>
  <c r="AW271" i="107"/>
  <c r="BE307" i="107"/>
  <c r="AY307" i="107"/>
  <c r="BD307" i="107"/>
  <c r="BF246" i="107"/>
  <c r="BC246" i="107"/>
  <c r="AZ246" i="107"/>
  <c r="BD246" i="107"/>
  <c r="BE246" i="107"/>
  <c r="BD186" i="107"/>
  <c r="BD14" i="107" s="1"/>
  <c r="AN75" i="107"/>
  <c r="AK65" i="107"/>
  <c r="Y65" i="107"/>
  <c r="AU33" i="103"/>
  <c r="AU191" i="103" s="1"/>
  <c r="AN284" i="107" a="1"/>
  <c r="AN284" i="107" s="1"/>
  <c r="AN283" i="107" a="1"/>
  <c r="AN283" i="107" s="1"/>
  <c r="AN282" i="107" a="1"/>
  <c r="AN282" i="107" s="1"/>
  <c r="BD190" i="107"/>
  <c r="BA85" i="107"/>
  <c r="AZ191" i="107"/>
  <c r="AZ190" i="107"/>
  <c r="AZ187" i="107"/>
  <c r="BC154" i="107"/>
  <c r="AZ245" i="107"/>
  <c r="BB245" i="107"/>
  <c r="BD245" i="107"/>
  <c r="BF245" i="107"/>
  <c r="BC245" i="107"/>
  <c r="BG245" i="107"/>
  <c r="BA245" i="107"/>
  <c r="BE245" i="107"/>
  <c r="AR190" i="107"/>
  <c r="AK61" i="107"/>
  <c r="AM284" i="107" a="1"/>
  <c r="AM284" i="107" s="1"/>
  <c r="AM283" i="107" a="1"/>
  <c r="AM283" i="107" s="1"/>
  <c r="AM282" i="107" a="1"/>
  <c r="AM282" i="107" s="1"/>
  <c r="Y61" i="107"/>
  <c r="AB190" i="107"/>
  <c r="AB187" i="107"/>
  <c r="AB191" i="107" s="1"/>
  <c r="Y62" i="107"/>
  <c r="Y271" i="107"/>
  <c r="AQ75" i="103"/>
  <c r="AT245" i="103" s="1"/>
  <c r="AK64" i="103"/>
  <c r="AM33" i="103"/>
  <c r="AO33" i="103"/>
  <c r="AN286" i="107" a="1"/>
  <c r="AN286" i="107" s="1"/>
  <c r="BB154" i="107"/>
  <c r="AK248" i="107"/>
  <c r="AQ154" i="107"/>
  <c r="AR245" i="107"/>
  <c r="AP245" i="107"/>
  <c r="AT245" i="107"/>
  <c r="AO245" i="107"/>
  <c r="AS245" i="107"/>
  <c r="AQ245" i="107"/>
  <c r="AU245" i="107"/>
  <c r="AP154" i="107"/>
  <c r="AF190" i="107"/>
  <c r="AB75" i="107"/>
  <c r="AD154" i="107"/>
  <c r="AA284" i="107" a="1"/>
  <c r="AA284" i="107" s="1"/>
  <c r="AA283" i="107" a="1"/>
  <c r="AA283" i="107" s="1"/>
  <c r="AA282" i="107" a="1"/>
  <c r="AA282" i="107" s="1"/>
  <c r="AM309" i="103"/>
  <c r="AK309" i="103" s="1"/>
  <c r="AT33" i="103"/>
  <c r="AT191" i="103" s="1"/>
  <c r="AQ33" i="103"/>
  <c r="AR33" i="103"/>
  <c r="AM32" i="103"/>
  <c r="AK62" i="105"/>
  <c r="AT236" i="105" s="1"/>
  <c r="AY62" i="106"/>
  <c r="BD33" i="106"/>
  <c r="AW31" i="106"/>
  <c r="AY280" i="106"/>
  <c r="AY286" i="106" s="1" a="1"/>
  <c r="AY286" i="106" s="1"/>
  <c r="AY271" i="106"/>
  <c r="AZ33" i="106"/>
  <c r="AY65" i="106"/>
  <c r="AW65" i="106" s="1"/>
  <c r="BF33" i="106"/>
  <c r="BF191" i="106" s="1"/>
  <c r="BA33" i="106"/>
  <c r="AW62" i="106"/>
  <c r="AW64" i="106"/>
  <c r="BA75" i="106"/>
  <c r="BB33" i="106"/>
  <c r="BE33" i="106"/>
  <c r="AW63" i="106"/>
  <c r="AY32" i="106"/>
  <c r="AY33" i="106"/>
  <c r="BC33" i="106"/>
  <c r="BB75" i="106"/>
  <c r="BG33" i="106"/>
  <c r="BG191" i="106" s="1"/>
  <c r="BC75" i="106"/>
  <c r="AY309" i="106"/>
  <c r="AW309" i="106" s="1"/>
  <c r="AW248" i="106"/>
  <c r="AY61" i="106"/>
  <c r="AY229" i="106" s="1"/>
  <c r="AH33" i="106"/>
  <c r="AH191" i="106" s="1"/>
  <c r="AD33" i="106"/>
  <c r="AA32" i="106"/>
  <c r="Y31" i="106"/>
  <c r="AA33" i="106"/>
  <c r="AA62" i="106"/>
  <c r="Y62" i="106" s="1"/>
  <c r="AF33" i="106"/>
  <c r="AE33" i="106"/>
  <c r="AC33" i="106"/>
  <c r="AA280" i="106"/>
  <c r="AA286" i="106" s="1" a="1"/>
  <c r="AA286" i="106" s="1"/>
  <c r="AA271" i="106"/>
  <c r="AA65" i="106"/>
  <c r="Y65" i="106" s="1"/>
  <c r="AB33" i="106"/>
  <c r="AI33" i="106"/>
  <c r="AI191" i="106" s="1"/>
  <c r="Y63" i="106"/>
  <c r="AG33" i="106"/>
  <c r="AD75" i="106"/>
  <c r="AE75" i="106"/>
  <c r="Y64" i="106"/>
  <c r="AA309" i="106"/>
  <c r="Y309" i="106" s="1"/>
  <c r="AA248" i="106"/>
  <c r="Y248" i="106" s="1"/>
  <c r="AA61" i="106"/>
  <c r="AA229" i="106" s="1"/>
  <c r="O31" i="105"/>
  <c r="O65" i="105" s="1"/>
  <c r="O31" i="106"/>
  <c r="AM32" i="106"/>
  <c r="AU33" i="106"/>
  <c r="AU191" i="106" s="1"/>
  <c r="AP33" i="106"/>
  <c r="AQ33" i="106"/>
  <c r="AT33" i="106"/>
  <c r="AT191" i="106" s="1"/>
  <c r="AM62" i="106"/>
  <c r="AK31" i="106"/>
  <c r="AM33" i="106"/>
  <c r="AO33" i="106"/>
  <c r="AM280" i="106"/>
  <c r="AM286" i="106" s="1" a="1"/>
  <c r="AM286" i="106" s="1"/>
  <c r="AS33" i="106"/>
  <c r="AM271" i="106"/>
  <c r="AR33" i="106"/>
  <c r="AP75" i="106"/>
  <c r="AK63" i="106"/>
  <c r="AQ75" i="106"/>
  <c r="AK64" i="106"/>
  <c r="AN33" i="106"/>
  <c r="AM65" i="106"/>
  <c r="AM248" i="106"/>
  <c r="AM309" i="106"/>
  <c r="AM61" i="106"/>
  <c r="AM229" i="106" s="1"/>
  <c r="AN280" i="106"/>
  <c r="AN286" i="106" s="1" a="1"/>
  <c r="AN286" i="106" s="1"/>
  <c r="AN62" i="106"/>
  <c r="AN32" i="106"/>
  <c r="AN271" i="106"/>
  <c r="AN65" i="106"/>
  <c r="AN309" i="106"/>
  <c r="AN248" i="106"/>
  <c r="AN61" i="106"/>
  <c r="AN229" i="106" s="1"/>
  <c r="AQ236" i="105"/>
  <c r="AR236" i="105"/>
  <c r="AC85" i="105"/>
  <c r="AC88" i="105" s="1"/>
  <c r="AC214" i="105" s="1"/>
  <c r="O61" i="105"/>
  <c r="O229" i="105" s="1"/>
  <c r="AK248" i="105"/>
  <c r="AQ154" i="105"/>
  <c r="AU245" i="105"/>
  <c r="AS245" i="105"/>
  <c r="AR245" i="105"/>
  <c r="AP245" i="105"/>
  <c r="AT245" i="105"/>
  <c r="AQ245" i="105"/>
  <c r="AO245" i="105"/>
  <c r="AO75" i="105"/>
  <c r="AN75" i="105"/>
  <c r="AB75" i="105"/>
  <c r="Y62" i="105"/>
  <c r="AN284" i="105" a="1"/>
  <c r="AN284" i="105" s="1"/>
  <c r="AN283" i="105" a="1"/>
  <c r="AN283" i="105" s="1"/>
  <c r="AN282" i="105" a="1"/>
  <c r="AN282" i="105" s="1"/>
  <c r="BA85" i="105"/>
  <c r="AZ190" i="105"/>
  <c r="AZ187" i="105"/>
  <c r="AZ191" i="105" s="1"/>
  <c r="BB154" i="105"/>
  <c r="AW61" i="105"/>
  <c r="BE236" i="105"/>
  <c r="BF236" i="105"/>
  <c r="AY236" i="105"/>
  <c r="AZ236" i="105"/>
  <c r="BA236" i="105"/>
  <c r="BB236" i="105"/>
  <c r="BC236" i="105"/>
  <c r="BG236" i="105"/>
  <c r="BD236" i="105"/>
  <c r="AN190" i="105"/>
  <c r="AN187" i="105"/>
  <c r="AN191" i="105" s="1"/>
  <c r="AP154" i="105"/>
  <c r="AM283" i="105" a="1"/>
  <c r="AM283" i="105" s="1"/>
  <c r="AM284" i="105" a="1"/>
  <c r="AM284" i="105" s="1"/>
  <c r="AM282" i="105" a="1"/>
  <c r="AM282" i="105" s="1"/>
  <c r="Y61" i="105"/>
  <c r="AA284" i="105" a="1"/>
  <c r="AA284" i="105" s="1"/>
  <c r="AA283" i="105" a="1"/>
  <c r="AA283" i="105" s="1"/>
  <c r="AA282" i="105" a="1"/>
  <c r="AA282" i="105" s="1"/>
  <c r="AW271" i="105"/>
  <c r="AI306" i="105"/>
  <c r="AE306" i="105"/>
  <c r="AA306" i="105"/>
  <c r="AH306" i="105"/>
  <c r="AC306" i="105"/>
  <c r="AG306" i="105"/>
  <c r="AB306" i="105"/>
  <c r="AF306" i="105"/>
  <c r="AD306" i="105"/>
  <c r="AE154" i="105"/>
  <c r="AB245" i="105"/>
  <c r="AF245" i="105"/>
  <c r="AC245" i="105"/>
  <c r="AG245" i="105"/>
  <c r="AA245" i="105"/>
  <c r="AI245" i="105"/>
  <c r="AD245" i="105"/>
  <c r="AH245" i="105"/>
  <c r="AE245" i="105"/>
  <c r="AB190" i="105"/>
  <c r="AB187" i="105"/>
  <c r="AB191" i="105" s="1"/>
  <c r="AZ75" i="105"/>
  <c r="AY284" i="105" a="1"/>
  <c r="AY284" i="105" s="1"/>
  <c r="AY283" i="105" a="1"/>
  <c r="AY283" i="105" s="1"/>
  <c r="AY282" i="105" a="1"/>
  <c r="AY282" i="105" s="1"/>
  <c r="BC154" i="105"/>
  <c r="AZ245" i="105"/>
  <c r="BC245" i="105"/>
  <c r="BG245" i="105"/>
  <c r="BD245" i="105"/>
  <c r="BA245" i="105"/>
  <c r="BB245" i="105"/>
  <c r="BF245" i="105"/>
  <c r="BE245" i="105"/>
  <c r="AK309" i="105"/>
  <c r="AK61" i="105"/>
  <c r="AN280" i="104"/>
  <c r="AN286" i="104" s="1" a="1"/>
  <c r="AN286" i="104" s="1"/>
  <c r="AN65" i="104"/>
  <c r="AN271" i="104"/>
  <c r="AN32" i="104"/>
  <c r="AN62" i="104"/>
  <c r="AN248" i="104"/>
  <c r="AN309" i="104"/>
  <c r="AN61" i="104"/>
  <c r="AN229" i="104" s="1"/>
  <c r="AM32" i="104"/>
  <c r="AN33" i="104"/>
  <c r="AM280" i="104"/>
  <c r="AM286" i="104" s="1" a="1"/>
  <c r="AM286" i="104" s="1"/>
  <c r="AP75" i="104"/>
  <c r="AU33" i="104"/>
  <c r="AU191" i="104" s="1"/>
  <c r="AM65" i="104"/>
  <c r="AR75" i="104" s="1"/>
  <c r="AR33" i="104"/>
  <c r="AO33" i="104"/>
  <c r="AM271" i="104"/>
  <c r="AQ75" i="104"/>
  <c r="AK63" i="104"/>
  <c r="AS33" i="104"/>
  <c r="AP33" i="104"/>
  <c r="AM33" i="104"/>
  <c r="AK64" i="104"/>
  <c r="AK31" i="104"/>
  <c r="AT33" i="104"/>
  <c r="AT191" i="104" s="1"/>
  <c r="AM62" i="104"/>
  <c r="AQ33" i="104"/>
  <c r="AM248" i="104"/>
  <c r="AM309" i="104"/>
  <c r="AM61" i="104"/>
  <c r="AM229" i="104" s="1"/>
  <c r="O31" i="103"/>
  <c r="O32" i="103" s="1"/>
  <c r="O31" i="104"/>
  <c r="BD75" i="103"/>
  <c r="BC307" i="103" s="1"/>
  <c r="BG33" i="104"/>
  <c r="BG191" i="104" s="1"/>
  <c r="BD33" i="104"/>
  <c r="AW63" i="104"/>
  <c r="BA33" i="104"/>
  <c r="BB75" i="104"/>
  <c r="AY32" i="104"/>
  <c r="BE33" i="104"/>
  <c r="AY271" i="104"/>
  <c r="AY65" i="104"/>
  <c r="AW65" i="104" s="1"/>
  <c r="BB33" i="104"/>
  <c r="AW64" i="104"/>
  <c r="BC75" i="104"/>
  <c r="AY33" i="104"/>
  <c r="AY62" i="104"/>
  <c r="AW62" i="104" s="1"/>
  <c r="BF33" i="104"/>
  <c r="BF191" i="104" s="1"/>
  <c r="BC33" i="104"/>
  <c r="AZ33" i="104"/>
  <c r="AY280" i="104"/>
  <c r="AY286" i="104" s="1" a="1"/>
  <c r="AY286" i="104" s="1"/>
  <c r="AW31" i="104"/>
  <c r="AY309" i="104"/>
  <c r="AW309" i="104" s="1"/>
  <c r="AW248" i="104"/>
  <c r="AY61" i="104"/>
  <c r="AY229" i="104" s="1"/>
  <c r="AH33" i="104"/>
  <c r="AH191" i="104" s="1"/>
  <c r="AE33" i="104"/>
  <c r="AB33" i="104"/>
  <c r="Y64" i="104"/>
  <c r="AA62" i="104"/>
  <c r="AC75" i="104" s="1"/>
  <c r="AA271" i="104"/>
  <c r="AI33" i="104"/>
  <c r="AI191" i="104" s="1"/>
  <c r="AF33" i="104"/>
  <c r="AD75" i="104"/>
  <c r="AC33" i="104"/>
  <c r="AA32" i="104"/>
  <c r="Y31" i="104"/>
  <c r="AE75" i="104"/>
  <c r="AG33" i="104"/>
  <c r="AA280" i="104"/>
  <c r="AA286" i="104" s="1" a="1"/>
  <c r="AA286" i="104" s="1"/>
  <c r="AA65" i="104"/>
  <c r="AF75" i="104" s="1"/>
  <c r="AD33" i="104"/>
  <c r="Y63" i="104"/>
  <c r="AA33" i="104"/>
  <c r="AA309" i="104"/>
  <c r="Y309" i="104" s="1"/>
  <c r="AA248" i="104"/>
  <c r="Y248" i="104" s="1"/>
  <c r="AA61" i="104"/>
  <c r="AA229" i="104" s="1"/>
  <c r="AF156" i="103"/>
  <c r="AE246" i="103"/>
  <c r="AI246" i="103"/>
  <c r="AB246" i="103"/>
  <c r="AF246" i="103"/>
  <c r="AD246" i="103"/>
  <c r="AH246" i="103"/>
  <c r="AC246" i="103"/>
  <c r="AG246" i="103"/>
  <c r="AF202" i="103"/>
  <c r="AF204" i="103" s="1"/>
  <c r="AA246" i="103" s="1"/>
  <c r="AF186" i="103"/>
  <c r="AF14" i="103" s="1"/>
  <c r="BA85" i="103"/>
  <c r="AN284" i="103" a="1"/>
  <c r="AN284" i="103" s="1"/>
  <c r="AN283" i="103" a="1"/>
  <c r="AN283" i="103" s="1"/>
  <c r="AN282" i="103" a="1"/>
  <c r="AN282" i="103" s="1"/>
  <c r="AW62" i="103"/>
  <c r="AP154" i="103"/>
  <c r="AK61" i="103"/>
  <c r="AM284" i="103" a="1"/>
  <c r="AM284" i="103" s="1"/>
  <c r="AM283" i="103" a="1"/>
  <c r="AM283" i="103" s="1"/>
  <c r="AM282" i="103" a="1"/>
  <c r="AM282" i="103" s="1"/>
  <c r="AA284" i="103" a="1"/>
  <c r="AA284" i="103" s="1"/>
  <c r="AA283" i="103" a="1"/>
  <c r="AA283" i="103" s="1"/>
  <c r="AA282" i="103" a="1"/>
  <c r="AA282" i="103" s="1"/>
  <c r="AB75" i="103"/>
  <c r="AQ154" i="103"/>
  <c r="AC236" i="103"/>
  <c r="AD236" i="103"/>
  <c r="AA236" i="103"/>
  <c r="AG236" i="103"/>
  <c r="AE236" i="103"/>
  <c r="AH236" i="103"/>
  <c r="AI236" i="103"/>
  <c r="AB236" i="103"/>
  <c r="AF236" i="103"/>
  <c r="AD154" i="103"/>
  <c r="Y65" i="103"/>
  <c r="O61" i="103"/>
  <c r="O229" i="103" s="1"/>
  <c r="AW61" i="103"/>
  <c r="BC154" i="103"/>
  <c r="BF245" i="103"/>
  <c r="AZ245" i="103"/>
  <c r="BC245" i="103"/>
  <c r="BD245" i="103"/>
  <c r="BB245" i="103"/>
  <c r="BG245" i="103"/>
  <c r="BA245" i="103"/>
  <c r="BE245" i="103"/>
  <c r="AY283" i="103" a="1"/>
  <c r="AY283" i="103" s="1"/>
  <c r="AY284" i="103" a="1"/>
  <c r="AY284" i="103" s="1"/>
  <c r="AY282" i="103" a="1"/>
  <c r="AY282" i="103" s="1"/>
  <c r="AZ75" i="103"/>
  <c r="AG306" i="103"/>
  <c r="AC306" i="103"/>
  <c r="AF306" i="103"/>
  <c r="AB306" i="103"/>
  <c r="AI306" i="103"/>
  <c r="AE306" i="103"/>
  <c r="AA306" i="103"/>
  <c r="AH306" i="103"/>
  <c r="AD306" i="103"/>
  <c r="AE154" i="103"/>
  <c r="AD245" i="103"/>
  <c r="AH245" i="103"/>
  <c r="AA245" i="103"/>
  <c r="AE245" i="103"/>
  <c r="AI245" i="103"/>
  <c r="AB245" i="103"/>
  <c r="AF245" i="103"/>
  <c r="AG245" i="103"/>
  <c r="AC245" i="103"/>
  <c r="Y61" i="103"/>
  <c r="AN286" i="103" a="1"/>
  <c r="AN286" i="103" s="1"/>
  <c r="BG307" i="103"/>
  <c r="BF307" i="103"/>
  <c r="BD156" i="103"/>
  <c r="BF246" i="103"/>
  <c r="BA246" i="103"/>
  <c r="BD186" i="103"/>
  <c r="BD14" i="103" s="1"/>
  <c r="AZ190" i="103"/>
  <c r="AZ187" i="103"/>
  <c r="AZ191" i="103" s="1"/>
  <c r="AK248" i="103"/>
  <c r="AN75" i="103"/>
  <c r="AK271" i="103"/>
  <c r="AC85" i="103"/>
  <c r="Y271" i="103"/>
  <c r="AB190" i="103"/>
  <c r="AB187" i="103"/>
  <c r="AB191" i="103" s="1"/>
  <c r="AF62" i="55"/>
  <c r="AF271" i="55"/>
  <c r="AG271" i="55"/>
  <c r="BC271" i="55"/>
  <c r="AB271" i="55"/>
  <c r="AI271" i="55"/>
  <c r="AE271" i="55"/>
  <c r="AD271" i="55"/>
  <c r="AC271" i="55"/>
  <c r="BD32" i="55"/>
  <c r="AF32" i="55"/>
  <c r="BD271" i="55"/>
  <c r="BD62" i="55"/>
  <c r="BB271" i="55"/>
  <c r="BE271" i="55"/>
  <c r="BG271" i="55"/>
  <c r="AS271" i="55"/>
  <c r="AZ271" i="55"/>
  <c r="AP271" i="55"/>
  <c r="AR271" i="55"/>
  <c r="AR62" i="55"/>
  <c r="BA271" i="55"/>
  <c r="AO271" i="55"/>
  <c r="AQ271" i="55"/>
  <c r="AR32" i="55"/>
  <c r="S31" i="55"/>
  <c r="T31" i="55"/>
  <c r="Q31" i="55"/>
  <c r="R31" i="55"/>
  <c r="U31" i="55"/>
  <c r="AU271" i="55"/>
  <c r="J35" i="43"/>
  <c r="J49" i="43"/>
  <c r="J63" i="43"/>
  <c r="L11" i="43"/>
  <c r="J23" i="43"/>
  <c r="M11" i="43" s="1"/>
  <c r="AW73" i="55"/>
  <c r="AK73" i="55"/>
  <c r="Y73" i="55"/>
  <c r="M73" i="55"/>
  <c r="J73" i="55"/>
  <c r="AS236" i="103" l="1"/>
  <c r="AN236" i="103"/>
  <c r="AU236" i="103"/>
  <c r="AR236" i="103"/>
  <c r="AT236" i="103"/>
  <c r="AP236" i="103"/>
  <c r="AO236" i="103"/>
  <c r="AM236" i="103"/>
  <c r="AQ236" i="103"/>
  <c r="AO75" i="103"/>
  <c r="O309" i="103"/>
  <c r="AK65" i="105"/>
  <c r="Y271" i="105"/>
  <c r="AR75" i="106"/>
  <c r="O248" i="105"/>
  <c r="O280" i="105"/>
  <c r="O283" i="105" s="1" a="1"/>
  <c r="O283" i="105" s="1"/>
  <c r="O32" i="105"/>
  <c r="AM236" i="105"/>
  <c r="O62" i="105"/>
  <c r="AS236" i="105"/>
  <c r="AU236" i="105"/>
  <c r="AF75" i="105"/>
  <c r="AI246" i="105" s="1"/>
  <c r="O309" i="105"/>
  <c r="O271" i="105"/>
  <c r="O62" i="103"/>
  <c r="AN187" i="103"/>
  <c r="AN191" i="103" s="1"/>
  <c r="O271" i="103"/>
  <c r="O280" i="103"/>
  <c r="O286" i="103" s="1" a="1"/>
  <c r="O286" i="103" s="1"/>
  <c r="O65" i="103"/>
  <c r="BF307" i="107"/>
  <c r="BC307" i="107"/>
  <c r="AR202" i="107"/>
  <c r="AR204" i="107" s="1"/>
  <c r="AN246" i="107" s="1"/>
  <c r="AR246" i="107"/>
  <c r="BA246" i="107"/>
  <c r="AY246" i="107"/>
  <c r="BB246" i="107"/>
  <c r="AW246" i="107" s="1"/>
  <c r="AZ307" i="107"/>
  <c r="BG307" i="107"/>
  <c r="AU246" i="107"/>
  <c r="AT246" i="107"/>
  <c r="AR156" i="107"/>
  <c r="AK156" i="107" s="1"/>
  <c r="BD202" i="107"/>
  <c r="BD204" i="107" s="1"/>
  <c r="BG246" i="107"/>
  <c r="BD156" i="107"/>
  <c r="BD162" i="107" s="1"/>
  <c r="BD13" i="107" s="1"/>
  <c r="BB307" i="107"/>
  <c r="AP246" i="107"/>
  <c r="AO88" i="107"/>
  <c r="AO214" i="107" s="1"/>
  <c r="AC88" i="107"/>
  <c r="AC214" i="107" s="1"/>
  <c r="BA88" i="107"/>
  <c r="BA214" i="107" s="1"/>
  <c r="BD75" i="106"/>
  <c r="AC75" i="106"/>
  <c r="AO75" i="106"/>
  <c r="AO85" i="106" s="1"/>
  <c r="AN236" i="105"/>
  <c r="AO236" i="105"/>
  <c r="BD75" i="105"/>
  <c r="BC307" i="105" s="1"/>
  <c r="AC94" i="105"/>
  <c r="AC112" i="105" s="1"/>
  <c r="AP236" i="105"/>
  <c r="BA88" i="105"/>
  <c r="BA214" i="105" s="1"/>
  <c r="AK309" i="104"/>
  <c r="AR245" i="103"/>
  <c r="AY246" i="103"/>
  <c r="AZ246" i="103"/>
  <c r="BD202" i="103"/>
  <c r="BD204" i="103" s="1"/>
  <c r="AZ307" i="103"/>
  <c r="BA307" i="103"/>
  <c r="AU245" i="103"/>
  <c r="AO245" i="103"/>
  <c r="BD246" i="103"/>
  <c r="BC246" i="103"/>
  <c r="BB307" i="103"/>
  <c r="AY307" i="103"/>
  <c r="BE307" i="103"/>
  <c r="AP245" i="103"/>
  <c r="AQ245" i="103"/>
  <c r="AO85" i="103"/>
  <c r="AC88" i="103"/>
  <c r="AC214" i="103" s="1"/>
  <c r="BE246" i="103"/>
  <c r="BG246" i="103"/>
  <c r="BB246" i="103"/>
  <c r="BD307" i="103"/>
  <c r="AS245" i="103"/>
  <c r="AR75" i="103"/>
  <c r="AQ246" i="103" s="1"/>
  <c r="BA88" i="103"/>
  <c r="BA214" i="103" s="1"/>
  <c r="Y246" i="107"/>
  <c r="AF75" i="106"/>
  <c r="AH246" i="106" s="1"/>
  <c r="Y271" i="106"/>
  <c r="AK309" i="106"/>
  <c r="BB171" i="107"/>
  <c r="BB187" i="107" s="1"/>
  <c r="BB191" i="107" s="1"/>
  <c r="BB162" i="107"/>
  <c r="BB159" i="107"/>
  <c r="AG236" i="107"/>
  <c r="AF236" i="107"/>
  <c r="AD236" i="107"/>
  <c r="AA236" i="107"/>
  <c r="AI236" i="107"/>
  <c r="AB236" i="107"/>
  <c r="AC236" i="107"/>
  <c r="AH236" i="107"/>
  <c r="AE236" i="107"/>
  <c r="AN235" i="107"/>
  <c r="AS235" i="107"/>
  <c r="AT235" i="107"/>
  <c r="AU235" i="107"/>
  <c r="AR235" i="107"/>
  <c r="AO235" i="107"/>
  <c r="AM235" i="107"/>
  <c r="AQ235" i="107"/>
  <c r="AP235" i="107"/>
  <c r="AS303" i="107"/>
  <c r="AO303" i="107"/>
  <c r="AU303" i="107"/>
  <c r="AQ303" i="107"/>
  <c r="AM303" i="107"/>
  <c r="AP303" i="107"/>
  <c r="AN303" i="107"/>
  <c r="AT303" i="107"/>
  <c r="AR303" i="107"/>
  <c r="AN85" i="107"/>
  <c r="AN94" i="107" s="1"/>
  <c r="AS242" i="107"/>
  <c r="AP242" i="107"/>
  <c r="AT242" i="107"/>
  <c r="AN242" i="107"/>
  <c r="AR242" i="107"/>
  <c r="AM242" i="107"/>
  <c r="AU242" i="107"/>
  <c r="AO242" i="107"/>
  <c r="AQ242" i="107"/>
  <c r="AN188" i="107"/>
  <c r="AN192" i="107" s="1"/>
  <c r="AK236" i="107"/>
  <c r="AK62" i="104"/>
  <c r="AK62" i="106"/>
  <c r="AP236" i="106" s="1"/>
  <c r="AD171" i="107"/>
  <c r="AD187" i="107" s="1"/>
  <c r="AD191" i="107" s="1"/>
  <c r="AD159" i="107"/>
  <c r="AD162" i="107"/>
  <c r="AQ171" i="107"/>
  <c r="AQ187" i="107" s="1"/>
  <c r="AQ191" i="107" s="1"/>
  <c r="AQ159" i="107"/>
  <c r="AQ162" i="107"/>
  <c r="AC235" i="107"/>
  <c r="AH235" i="107"/>
  <c r="AE235" i="107"/>
  <c r="AG235" i="107"/>
  <c r="AF235" i="107"/>
  <c r="AD235" i="107"/>
  <c r="AA235" i="107"/>
  <c r="AI235" i="107"/>
  <c r="AB235" i="107"/>
  <c r="BC171" i="107"/>
  <c r="BC187" i="107" s="1"/>
  <c r="BC191" i="107" s="1"/>
  <c r="BC159" i="107"/>
  <c r="BC162" i="107"/>
  <c r="BD159" i="107"/>
  <c r="BD12" i="107" s="1"/>
  <c r="AE171" i="107"/>
  <c r="AE187" i="107" s="1"/>
  <c r="AE191" i="107" s="1"/>
  <c r="AE162" i="107"/>
  <c r="AE13" i="107" s="1"/>
  <c r="AE159" i="107"/>
  <c r="BG235" i="107"/>
  <c r="BA235" i="107"/>
  <c r="BC235" i="107"/>
  <c r="BD235" i="107"/>
  <c r="AY235" i="107"/>
  <c r="BE235" i="107"/>
  <c r="AZ235" i="107"/>
  <c r="BB235" i="107"/>
  <c r="BF235" i="107"/>
  <c r="O284" i="107" a="1"/>
  <c r="O284" i="107" s="1"/>
  <c r="O283" i="107" a="1"/>
  <c r="O283" i="107" s="1"/>
  <c r="O282" i="107" a="1"/>
  <c r="O282" i="107" s="1"/>
  <c r="Y156" i="107"/>
  <c r="AF159" i="107"/>
  <c r="AF12" i="107" s="1"/>
  <c r="AF162" i="107"/>
  <c r="AW236" i="107"/>
  <c r="AK65" i="106"/>
  <c r="AP171" i="107"/>
  <c r="AP187" i="107" s="1"/>
  <c r="AP191" i="107" s="1"/>
  <c r="AP159" i="107"/>
  <c r="AP162" i="107"/>
  <c r="Y245" i="107"/>
  <c r="Y306" i="107"/>
  <c r="BG303" i="107"/>
  <c r="BC303" i="107"/>
  <c r="AY303" i="107"/>
  <c r="BE303" i="107"/>
  <c r="BA303" i="107"/>
  <c r="AZ303" i="107"/>
  <c r="BF303" i="107"/>
  <c r="BD303" i="107"/>
  <c r="BB303" i="107"/>
  <c r="AZ85" i="107"/>
  <c r="AZ188" i="107" s="1"/>
  <c r="AZ192" i="107" s="1"/>
  <c r="BB242" i="107"/>
  <c r="BF242" i="107"/>
  <c r="AY242" i="107"/>
  <c r="AZ242" i="107"/>
  <c r="BD242" i="107"/>
  <c r="BC242" i="107"/>
  <c r="BG242" i="107"/>
  <c r="BA242" i="107"/>
  <c r="BE242" i="107"/>
  <c r="AI303" i="107"/>
  <c r="AE303" i="107"/>
  <c r="AA303" i="107"/>
  <c r="AG303" i="107"/>
  <c r="AC303" i="107"/>
  <c r="AF303" i="107"/>
  <c r="AD303" i="107"/>
  <c r="AB303" i="107"/>
  <c r="AH303" i="107"/>
  <c r="AB85" i="107"/>
  <c r="AB188" i="107" s="1"/>
  <c r="AB192" i="107" s="1"/>
  <c r="AI242" i="107"/>
  <c r="AE242" i="107"/>
  <c r="AF242" i="107"/>
  <c r="AA242" i="107"/>
  <c r="AB242" i="107"/>
  <c r="AD242" i="107"/>
  <c r="AG242" i="107"/>
  <c r="AH242" i="107"/>
  <c r="AC242" i="107"/>
  <c r="AM246" i="107"/>
  <c r="AR156" i="106"/>
  <c r="AR246" i="106"/>
  <c r="AT246" i="106"/>
  <c r="AP246" i="106"/>
  <c r="AQ246" i="106"/>
  <c r="AU246" i="106"/>
  <c r="AO246" i="106"/>
  <c r="AS246" i="106"/>
  <c r="AR202" i="106"/>
  <c r="AR204" i="106" s="1"/>
  <c r="AM246" i="106" s="1"/>
  <c r="AR186" i="106"/>
  <c r="AR14" i="106" s="1"/>
  <c r="AK61" i="106"/>
  <c r="AI306" i="106"/>
  <c r="AE306" i="106"/>
  <c r="AA306" i="106"/>
  <c r="AH306" i="106"/>
  <c r="AD306" i="106"/>
  <c r="AG306" i="106"/>
  <c r="AC306" i="106"/>
  <c r="AF306" i="106"/>
  <c r="AB306" i="106"/>
  <c r="AE154" i="106"/>
  <c r="AD245" i="106"/>
  <c r="AC245" i="106"/>
  <c r="AH245" i="106"/>
  <c r="AB245" i="106"/>
  <c r="AF245" i="106"/>
  <c r="AG245" i="106"/>
  <c r="AI245" i="106"/>
  <c r="AA245" i="106"/>
  <c r="AE245" i="106"/>
  <c r="AW61" i="106"/>
  <c r="BA85" i="106"/>
  <c r="BA88" i="106" s="1"/>
  <c r="BA214" i="106" s="1"/>
  <c r="AW271" i="106"/>
  <c r="AF190" i="103"/>
  <c r="AK248" i="104"/>
  <c r="O286" i="105" a="1"/>
  <c r="O286" i="105" s="1"/>
  <c r="AK248" i="106"/>
  <c r="AQ154" i="106"/>
  <c r="AR245" i="106"/>
  <c r="AT245" i="106"/>
  <c r="AO245" i="106"/>
  <c r="AS245" i="106"/>
  <c r="AP245" i="106"/>
  <c r="AQ245" i="106"/>
  <c r="AU245" i="106"/>
  <c r="AN75" i="106"/>
  <c r="AD154" i="106"/>
  <c r="AB191" i="106"/>
  <c r="AB190" i="106"/>
  <c r="AB187" i="106"/>
  <c r="BB154" i="106"/>
  <c r="AZ75" i="106"/>
  <c r="AN284" i="106" a="1"/>
  <c r="AN284" i="106" s="1"/>
  <c r="AN283" i="106" a="1"/>
  <c r="AN283" i="106" s="1"/>
  <c r="AN282" i="106" a="1"/>
  <c r="AN282" i="106" s="1"/>
  <c r="AR190" i="106"/>
  <c r="AK271" i="106"/>
  <c r="O32" i="106"/>
  <c r="O62" i="106"/>
  <c r="O271" i="106"/>
  <c r="O65" i="106"/>
  <c r="O280" i="106"/>
  <c r="O248" i="106"/>
  <c r="O309" i="106"/>
  <c r="O61" i="106"/>
  <c r="O229" i="106" s="1"/>
  <c r="AA236" i="106"/>
  <c r="AE236" i="106"/>
  <c r="AI236" i="106"/>
  <c r="AF236" i="106"/>
  <c r="AC236" i="106"/>
  <c r="AB236" i="106"/>
  <c r="AH236" i="106"/>
  <c r="AG236" i="106"/>
  <c r="AD236" i="106"/>
  <c r="AA284" i="106" a="1"/>
  <c r="AA284" i="106" s="1"/>
  <c r="AA283" i="106" a="1"/>
  <c r="AA283" i="106" s="1"/>
  <c r="AA282" i="106" a="1"/>
  <c r="AA282" i="106" s="1"/>
  <c r="AC85" i="106"/>
  <c r="BC154" i="106"/>
  <c r="BF245" i="106"/>
  <c r="BB245" i="106"/>
  <c r="AZ245" i="106"/>
  <c r="BA245" i="106"/>
  <c r="BE245" i="106"/>
  <c r="BC245" i="106"/>
  <c r="BG245" i="106"/>
  <c r="BD245" i="106"/>
  <c r="AN190" i="106"/>
  <c r="AN187" i="106"/>
  <c r="AN191" i="106" s="1"/>
  <c r="AM236" i="106"/>
  <c r="AT236" i="106"/>
  <c r="AS236" i="106"/>
  <c r="AP154" i="106"/>
  <c r="AM283" i="106" a="1"/>
  <c r="AM283" i="106" s="1"/>
  <c r="AM284" i="106" a="1"/>
  <c r="AM284" i="106" s="1"/>
  <c r="AM282" i="106" a="1"/>
  <c r="AM282" i="106" s="1"/>
  <c r="Y61" i="106"/>
  <c r="AF186" i="106"/>
  <c r="AF14" i="106" s="1"/>
  <c r="AB75" i="106"/>
  <c r="BE307" i="106"/>
  <c r="BA307" i="106"/>
  <c r="BG307" i="106"/>
  <c r="BC307" i="106"/>
  <c r="AY307" i="106"/>
  <c r="BD307" i="106"/>
  <c r="BB307" i="106"/>
  <c r="AZ307" i="106"/>
  <c r="BF307" i="106"/>
  <c r="BD156" i="106"/>
  <c r="BB246" i="106"/>
  <c r="BD246" i="106"/>
  <c r="BA246" i="106"/>
  <c r="BE246" i="106"/>
  <c r="BF246" i="106"/>
  <c r="AZ246" i="106"/>
  <c r="AY246" i="106"/>
  <c r="BD202" i="106"/>
  <c r="BD204" i="106" s="1"/>
  <c r="BC246" i="106"/>
  <c r="BG246" i="106"/>
  <c r="BD186" i="106"/>
  <c r="BD14" i="106" s="1"/>
  <c r="AY236" i="106"/>
  <c r="BB236" i="106"/>
  <c r="BF236" i="106"/>
  <c r="BE236" i="106"/>
  <c r="BG236" i="106"/>
  <c r="AZ236" i="106"/>
  <c r="BA236" i="106"/>
  <c r="BC236" i="106"/>
  <c r="BD236" i="106"/>
  <c r="AZ190" i="106"/>
  <c r="AZ187" i="106"/>
  <c r="AZ191" i="106" s="1"/>
  <c r="AY284" i="106" a="1"/>
  <c r="AY284" i="106" s="1"/>
  <c r="AY283" i="106" a="1"/>
  <c r="AY283" i="106" s="1"/>
  <c r="AY282" i="106" a="1"/>
  <c r="AY282" i="106" s="1"/>
  <c r="Y246" i="103"/>
  <c r="Y62" i="104"/>
  <c r="AA236" i="104" s="1"/>
  <c r="BD75" i="104"/>
  <c r="BA307" i="104" s="1"/>
  <c r="AK65" i="104"/>
  <c r="AK271" i="104"/>
  <c r="AP235" i="105"/>
  <c r="AM235" i="105"/>
  <c r="AN235" i="105"/>
  <c r="AR235" i="105"/>
  <c r="AS235" i="105"/>
  <c r="AQ235" i="105"/>
  <c r="AT235" i="105"/>
  <c r="AO235" i="105"/>
  <c r="AU235" i="105"/>
  <c r="AE171" i="105"/>
  <c r="AE187" i="105" s="1"/>
  <c r="AE191" i="105" s="1"/>
  <c r="AE162" i="105"/>
  <c r="AE13" i="105" s="1"/>
  <c r="AE159" i="105"/>
  <c r="AP171" i="105"/>
  <c r="AP187" i="105" s="1"/>
  <c r="AP191" i="105" s="1"/>
  <c r="AP162" i="105"/>
  <c r="AP159" i="105"/>
  <c r="BG235" i="105"/>
  <c r="BD235" i="105"/>
  <c r="BA235" i="105"/>
  <c r="BF235" i="105"/>
  <c r="AY235" i="105"/>
  <c r="AZ235" i="105"/>
  <c r="BE235" i="105"/>
  <c r="BB235" i="105"/>
  <c r="BC235" i="105"/>
  <c r="AE236" i="105"/>
  <c r="AH236" i="105"/>
  <c r="AA236" i="105"/>
  <c r="AG236" i="105"/>
  <c r="AF236" i="105"/>
  <c r="AD236" i="105"/>
  <c r="AI236" i="105"/>
  <c r="AB236" i="105"/>
  <c r="AC236" i="105"/>
  <c r="AG303" i="105"/>
  <c r="AC303" i="105"/>
  <c r="AF303" i="105"/>
  <c r="AA303" i="105"/>
  <c r="AE303" i="105"/>
  <c r="AI303" i="105"/>
  <c r="AD303" i="105"/>
  <c r="AH303" i="105"/>
  <c r="AB303" i="105"/>
  <c r="AB85" i="105"/>
  <c r="AB188" i="105" s="1"/>
  <c r="AB192" i="105" s="1"/>
  <c r="AB242" i="105"/>
  <c r="AF242" i="105"/>
  <c r="AC242" i="105"/>
  <c r="AG242" i="105"/>
  <c r="AD242" i="105"/>
  <c r="AH242" i="105"/>
  <c r="AA242" i="105"/>
  <c r="AE242" i="105"/>
  <c r="AI242" i="105"/>
  <c r="BG307" i="105"/>
  <c r="BF307" i="105"/>
  <c r="BD156" i="105"/>
  <c r="BA246" i="105"/>
  <c r="BC246" i="105"/>
  <c r="BD186" i="105"/>
  <c r="AI235" i="105"/>
  <c r="AB235" i="105"/>
  <c r="AG235" i="105"/>
  <c r="AE235" i="105"/>
  <c r="AC235" i="105"/>
  <c r="AH235" i="105"/>
  <c r="AA235" i="105"/>
  <c r="AF235" i="105"/>
  <c r="AD235" i="105"/>
  <c r="AW236" i="105"/>
  <c r="BB171" i="105"/>
  <c r="BB187" i="105" s="1"/>
  <c r="BB191" i="105" s="1"/>
  <c r="BB162" i="105"/>
  <c r="BB159" i="105"/>
  <c r="AD171" i="105"/>
  <c r="AD187" i="105" s="1"/>
  <c r="AD191" i="105" s="1"/>
  <c r="AD162" i="105"/>
  <c r="AD159" i="105"/>
  <c r="AU303" i="105"/>
  <c r="AQ303" i="105"/>
  <c r="AM303" i="105"/>
  <c r="AS303" i="105"/>
  <c r="AN303" i="105"/>
  <c r="AR303" i="105"/>
  <c r="AP303" i="105"/>
  <c r="AT303" i="105"/>
  <c r="AO303" i="105"/>
  <c r="AN85" i="105"/>
  <c r="AN188" i="105" s="1"/>
  <c r="AN192" i="105" s="1"/>
  <c r="AR242" i="105"/>
  <c r="AO242" i="105"/>
  <c r="AS242" i="105"/>
  <c r="AP242" i="105"/>
  <c r="AT242" i="105"/>
  <c r="AM242" i="105"/>
  <c r="AQ242" i="105"/>
  <c r="AU242" i="105"/>
  <c r="AN242" i="105"/>
  <c r="AQ171" i="105"/>
  <c r="AQ187" i="105" s="1"/>
  <c r="AQ191" i="105" s="1"/>
  <c r="AQ159" i="105"/>
  <c r="AQ162" i="105"/>
  <c r="AW271" i="104"/>
  <c r="AO75" i="104"/>
  <c r="BC171" i="105"/>
  <c r="BC187" i="105" s="1"/>
  <c r="BC191" i="105" s="1"/>
  <c r="BC162" i="105"/>
  <c r="BC159" i="105"/>
  <c r="BE303" i="105"/>
  <c r="BA303" i="105"/>
  <c r="BF303" i="105"/>
  <c r="AZ303" i="105"/>
  <c r="BD303" i="105"/>
  <c r="AY303" i="105"/>
  <c r="BC303" i="105"/>
  <c r="BG303" i="105"/>
  <c r="BB303" i="105"/>
  <c r="AZ85" i="105"/>
  <c r="AZ188" i="105" s="1"/>
  <c r="AZ192" i="105" s="1"/>
  <c r="BA242" i="105"/>
  <c r="BC242" i="105"/>
  <c r="BE242" i="105"/>
  <c r="BB242" i="105"/>
  <c r="AY242" i="105"/>
  <c r="BG242" i="105"/>
  <c r="AZ242" i="105"/>
  <c r="BF242" i="105"/>
  <c r="BD242" i="105"/>
  <c r="Y245" i="105"/>
  <c r="Y306" i="105"/>
  <c r="AR156" i="105"/>
  <c r="AQ246" i="105"/>
  <c r="AS246" i="105"/>
  <c r="AT246" i="105"/>
  <c r="AO246" i="105"/>
  <c r="AP246" i="105"/>
  <c r="AU246" i="105"/>
  <c r="AR246" i="105"/>
  <c r="AR202" i="105"/>
  <c r="AR204" i="105" s="1"/>
  <c r="AM246" i="105" s="1"/>
  <c r="AR186" i="105"/>
  <c r="AH246" i="105"/>
  <c r="AF246" i="105"/>
  <c r="AF186" i="105"/>
  <c r="AO85" i="105"/>
  <c r="AN75" i="104"/>
  <c r="AU242" i="104" s="1"/>
  <c r="AF156" i="104"/>
  <c r="AI246" i="104"/>
  <c r="AF202" i="104"/>
  <c r="AF204" i="104" s="1"/>
  <c r="AA246" i="104" s="1"/>
  <c r="AF246" i="104"/>
  <c r="AH246" i="104"/>
  <c r="AB246" i="104"/>
  <c r="AC246" i="104"/>
  <c r="AD246" i="104"/>
  <c r="AG246" i="104"/>
  <c r="AE246" i="104"/>
  <c r="AF186" i="104"/>
  <c r="AF14" i="104" s="1"/>
  <c r="AR156" i="104"/>
  <c r="AS246" i="104"/>
  <c r="AQ246" i="104"/>
  <c r="AO246" i="104"/>
  <c r="AR202" i="104"/>
  <c r="AR204" i="104" s="1"/>
  <c r="AM246" i="104" s="1"/>
  <c r="AU246" i="104"/>
  <c r="AP246" i="104"/>
  <c r="AT246" i="104"/>
  <c r="AN246" i="104"/>
  <c r="AR246" i="104"/>
  <c r="AR186" i="104"/>
  <c r="AR14" i="104" s="1"/>
  <c r="BA236" i="104"/>
  <c r="BC236" i="104"/>
  <c r="AZ236" i="104"/>
  <c r="BE236" i="104"/>
  <c r="BB236" i="104"/>
  <c r="AY236" i="104"/>
  <c r="BG236" i="104"/>
  <c r="BD236" i="104"/>
  <c r="BF236" i="104"/>
  <c r="AA284" i="104" a="1"/>
  <c r="AA284" i="104" s="1"/>
  <c r="AA283" i="104" a="1"/>
  <c r="AA283" i="104" s="1"/>
  <c r="AA282" i="104" a="1"/>
  <c r="AA282" i="104" s="1"/>
  <c r="AI306" i="104"/>
  <c r="AE306" i="104"/>
  <c r="AA306" i="104"/>
  <c r="AG306" i="104"/>
  <c r="AC306" i="104"/>
  <c r="AD306" i="104"/>
  <c r="AB306" i="104"/>
  <c r="AH306" i="104"/>
  <c r="AF306" i="104"/>
  <c r="AE154" i="104"/>
  <c r="AA245" i="104"/>
  <c r="AE245" i="104"/>
  <c r="AF245" i="104"/>
  <c r="AB245" i="104"/>
  <c r="AG245" i="104"/>
  <c r="AH245" i="104"/>
  <c r="AC245" i="104"/>
  <c r="AI245" i="104"/>
  <c r="AD245" i="104"/>
  <c r="Y271" i="104"/>
  <c r="AZ190" i="104"/>
  <c r="AZ187" i="104"/>
  <c r="AZ191" i="104" s="1"/>
  <c r="BC154" i="104"/>
  <c r="BB245" i="104"/>
  <c r="BC245" i="104"/>
  <c r="BG245" i="104"/>
  <c r="AZ245" i="104"/>
  <c r="BD245" i="104"/>
  <c r="BA245" i="104"/>
  <c r="BE245" i="104"/>
  <c r="BF245" i="104"/>
  <c r="O32" i="104"/>
  <c r="O62" i="104"/>
  <c r="O271" i="104"/>
  <c r="O280" i="104"/>
  <c r="O65" i="104"/>
  <c r="O248" i="104"/>
  <c r="O309" i="104"/>
  <c r="O61" i="104"/>
  <c r="O229" i="104" s="1"/>
  <c r="AQ154" i="104"/>
  <c r="AR245" i="104"/>
  <c r="AO245" i="104"/>
  <c r="AS245" i="104"/>
  <c r="AP245" i="104"/>
  <c r="AT245" i="104"/>
  <c r="AQ245" i="104"/>
  <c r="AU245" i="104"/>
  <c r="AM284" i="104" a="1"/>
  <c r="AM284" i="104" s="1"/>
  <c r="AM283" i="104" a="1"/>
  <c r="AM283" i="104" s="1"/>
  <c r="AM282" i="104" a="1"/>
  <c r="AM282" i="104" s="1"/>
  <c r="AB75" i="104"/>
  <c r="AI236" i="104"/>
  <c r="AC85" i="104"/>
  <c r="AZ75" i="104"/>
  <c r="BE307" i="104"/>
  <c r="AY307" i="104"/>
  <c r="BB307" i="104"/>
  <c r="BA246" i="104"/>
  <c r="BD202" i="104"/>
  <c r="BD204" i="104" s="1"/>
  <c r="BD186" i="104"/>
  <c r="BD14" i="104" s="1"/>
  <c r="AS236" i="104"/>
  <c r="AM236" i="104"/>
  <c r="AU236" i="104"/>
  <c r="AO236" i="104"/>
  <c r="AP236" i="104"/>
  <c r="AQ236" i="104"/>
  <c r="AN236" i="104"/>
  <c r="AT236" i="104"/>
  <c r="AR236" i="104"/>
  <c r="Y65" i="104"/>
  <c r="AD154" i="104"/>
  <c r="BA75" i="104"/>
  <c r="BB154" i="104"/>
  <c r="AW61" i="104"/>
  <c r="AK61" i="104"/>
  <c r="AP154" i="104"/>
  <c r="AN284" i="104" a="1"/>
  <c r="AN284" i="104" s="1"/>
  <c r="AN283" i="104" a="1"/>
  <c r="AN283" i="104" s="1"/>
  <c r="AN282" i="104" a="1"/>
  <c r="AN282" i="104" s="1"/>
  <c r="O248" i="103"/>
  <c r="Y61" i="104"/>
  <c r="AB191" i="104"/>
  <c r="AB190" i="104"/>
  <c r="AB187" i="104"/>
  <c r="AY284" i="104" a="1"/>
  <c r="AY284" i="104" s="1"/>
  <c r="AY283" i="104" a="1"/>
  <c r="AY283" i="104" s="1"/>
  <c r="AY282" i="104" a="1"/>
  <c r="AY282" i="104" s="1"/>
  <c r="AR190" i="104"/>
  <c r="AN190" i="104"/>
  <c r="AN187" i="104"/>
  <c r="AN191" i="104" s="1"/>
  <c r="BB171" i="103"/>
  <c r="BB187" i="103" s="1"/>
  <c r="BB191" i="103" s="1"/>
  <c r="BB159" i="103"/>
  <c r="BB162" i="103"/>
  <c r="BD236" i="103"/>
  <c r="BA236" i="103"/>
  <c r="BE236" i="103"/>
  <c r="AY236" i="103"/>
  <c r="BC236" i="103"/>
  <c r="BG236" i="103"/>
  <c r="AZ236" i="103"/>
  <c r="BF236" i="103"/>
  <c r="BB236" i="103"/>
  <c r="BG303" i="103"/>
  <c r="BC303" i="103"/>
  <c r="AY303" i="103"/>
  <c r="BF303" i="103"/>
  <c r="BB303" i="103"/>
  <c r="BE303" i="103"/>
  <c r="BA303" i="103"/>
  <c r="BD303" i="103"/>
  <c r="AZ303" i="103"/>
  <c r="AZ85" i="103"/>
  <c r="AZ188" i="103" s="1"/>
  <c r="AZ192" i="103" s="1"/>
  <c r="BF242" i="103"/>
  <c r="BG242" i="103"/>
  <c r="BD242" i="103"/>
  <c r="AY242" i="103"/>
  <c r="BB242" i="103"/>
  <c r="BC242" i="103"/>
  <c r="AZ242" i="103"/>
  <c r="BE242" i="103"/>
  <c r="BA242" i="103"/>
  <c r="AW156" i="103"/>
  <c r="BD159" i="103"/>
  <c r="BD12" i="103" s="1"/>
  <c r="BD162" i="103"/>
  <c r="BD13" i="103" s="1"/>
  <c r="Y245" i="103"/>
  <c r="AD171" i="103"/>
  <c r="AD187" i="103" s="1"/>
  <c r="AD191" i="103" s="1"/>
  <c r="AD162" i="103"/>
  <c r="AD159" i="103"/>
  <c r="AT246" i="103"/>
  <c r="AR186" i="103"/>
  <c r="AS303" i="103"/>
  <c r="AO303" i="103"/>
  <c r="AU303" i="103"/>
  <c r="AQ303" i="103"/>
  <c r="AM303" i="103"/>
  <c r="AT303" i="103"/>
  <c r="AP303" i="103"/>
  <c r="AR303" i="103"/>
  <c r="AN303" i="103"/>
  <c r="AN85" i="103"/>
  <c r="AN188" i="103" s="1"/>
  <c r="AN192" i="103" s="1"/>
  <c r="AS242" i="103"/>
  <c r="AP242" i="103"/>
  <c r="AN242" i="103"/>
  <c r="AT242" i="103"/>
  <c r="AR242" i="103"/>
  <c r="AO242" i="103"/>
  <c r="AQ242" i="103"/>
  <c r="AM242" i="103"/>
  <c r="AU242" i="103"/>
  <c r="BC171" i="103"/>
  <c r="BC187" i="103" s="1"/>
  <c r="BC191" i="103" s="1"/>
  <c r="BC159" i="103"/>
  <c r="BC162" i="103"/>
  <c r="AC235" i="103"/>
  <c r="AD235" i="103"/>
  <c r="AA235" i="103"/>
  <c r="AG235" i="103"/>
  <c r="AE235" i="103"/>
  <c r="AH235" i="103"/>
  <c r="AI235" i="103"/>
  <c r="AB235" i="103"/>
  <c r="AF235" i="103"/>
  <c r="BD190" i="103"/>
  <c r="O284" i="103" a="1"/>
  <c r="O284" i="103" s="1"/>
  <c r="Y236" i="103"/>
  <c r="AI303" i="103"/>
  <c r="AE303" i="103"/>
  <c r="AA303" i="103"/>
  <c r="AG303" i="103"/>
  <c r="AC303" i="103"/>
  <c r="AD303" i="103"/>
  <c r="AB303" i="103"/>
  <c r="AH303" i="103"/>
  <c r="AF303" i="103"/>
  <c r="AB85" i="103"/>
  <c r="AB188" i="103" s="1"/>
  <c r="AB192" i="103" s="1"/>
  <c r="AC242" i="103"/>
  <c r="AG242" i="103"/>
  <c r="AD242" i="103"/>
  <c r="AH242" i="103"/>
  <c r="AA242" i="103"/>
  <c r="AE242" i="103"/>
  <c r="AI242" i="103"/>
  <c r="AB242" i="103"/>
  <c r="AF242" i="103"/>
  <c r="AN235" i="103"/>
  <c r="AT235" i="103"/>
  <c r="AO235" i="103"/>
  <c r="AP235" i="103"/>
  <c r="AS235" i="103"/>
  <c r="AQ235" i="103"/>
  <c r="AR235" i="103"/>
  <c r="AM235" i="103"/>
  <c r="AU235" i="103"/>
  <c r="AK236" i="103"/>
  <c r="Y156" i="103"/>
  <c r="AF159" i="103"/>
  <c r="AF12" i="103" s="1"/>
  <c r="AF162" i="103"/>
  <c r="AE171" i="103"/>
  <c r="AE187" i="103" s="1"/>
  <c r="AE191" i="103" s="1"/>
  <c r="AE159" i="103"/>
  <c r="AE162" i="103"/>
  <c r="AE13" i="103" s="1"/>
  <c r="Y306" i="103"/>
  <c r="AY235" i="103"/>
  <c r="BC235" i="103"/>
  <c r="BG235" i="103"/>
  <c r="AZ235" i="103"/>
  <c r="BD235" i="103"/>
  <c r="BA235" i="103"/>
  <c r="BE235" i="103"/>
  <c r="BF235" i="103"/>
  <c r="BB235" i="103"/>
  <c r="AQ171" i="103"/>
  <c r="AQ187" i="103" s="1"/>
  <c r="AQ191" i="103" s="1"/>
  <c r="AQ159" i="103"/>
  <c r="AQ162" i="103"/>
  <c r="AP171" i="103"/>
  <c r="AP187" i="103" s="1"/>
  <c r="AP191" i="103" s="1"/>
  <c r="AP159" i="103"/>
  <c r="AP162" i="103"/>
  <c r="T62" i="55"/>
  <c r="T32" i="55"/>
  <c r="J11" i="43"/>
  <c r="J21" i="43"/>
  <c r="L57" i="43"/>
  <c r="M57" i="43" s="1"/>
  <c r="N57" i="43" s="1"/>
  <c r="O57" i="43" s="1"/>
  <c r="P57" i="43" s="1"/>
  <c r="Q57" i="43" s="1"/>
  <c r="R57" i="43" s="1"/>
  <c r="L43" i="43"/>
  <c r="M43" i="43" s="1"/>
  <c r="N43" i="43" s="1"/>
  <c r="O43" i="43" s="1"/>
  <c r="P43" i="43" s="1"/>
  <c r="Q43" i="43" s="1"/>
  <c r="R43" i="43" s="1"/>
  <c r="L29" i="43"/>
  <c r="M29" i="43" s="1"/>
  <c r="N29" i="43" s="1"/>
  <c r="O29" i="43" s="1"/>
  <c r="P29" i="43" s="1"/>
  <c r="Q29" i="43" s="1"/>
  <c r="R29" i="43" s="1"/>
  <c r="L15" i="43"/>
  <c r="M15" i="43" s="1"/>
  <c r="N15" i="43" s="1"/>
  <c r="O15" i="43" s="1"/>
  <c r="P15" i="43" s="1"/>
  <c r="Q15" i="43" s="1"/>
  <c r="R15" i="43" s="1"/>
  <c r="J57" i="43"/>
  <c r="I320" i="24"/>
  <c r="I323" i="24" s="1"/>
  <c r="AW176" i="55"/>
  <c r="AK176" i="55"/>
  <c r="Y176" i="55"/>
  <c r="M176" i="55"/>
  <c r="P201" i="55"/>
  <c r="Q201" i="55"/>
  <c r="R201" i="55"/>
  <c r="S201" i="55"/>
  <c r="U201" i="55"/>
  <c r="V201" i="55"/>
  <c r="W201" i="55"/>
  <c r="O201" i="55"/>
  <c r="O282" i="105" l="1" a="1"/>
  <c r="O282" i="105" s="1"/>
  <c r="AC107" i="105"/>
  <c r="AO236" i="106"/>
  <c r="AR236" i="106"/>
  <c r="AW156" i="107"/>
  <c r="O284" i="105" a="1"/>
  <c r="O284" i="105" s="1"/>
  <c r="AU236" i="106"/>
  <c r="AN236" i="106"/>
  <c r="AQ236" i="106"/>
  <c r="AW307" i="107"/>
  <c r="AR162" i="107"/>
  <c r="AR159" i="107"/>
  <c r="AR12" i="107" s="1"/>
  <c r="AF202" i="105"/>
  <c r="AF204" i="105" s="1"/>
  <c r="AA246" i="105" s="1"/>
  <c r="AB246" i="105"/>
  <c r="AD246" i="105"/>
  <c r="AG246" i="105"/>
  <c r="Y246" i="105" s="1"/>
  <c r="AE246" i="105"/>
  <c r="AF156" i="105"/>
  <c r="AC246" i="105"/>
  <c r="AC155" i="105"/>
  <c r="AK236" i="105"/>
  <c r="AC135" i="105"/>
  <c r="AZ246" i="104"/>
  <c r="BG246" i="104"/>
  <c r="BC307" i="104"/>
  <c r="AY246" i="104"/>
  <c r="BB246" i="104"/>
  <c r="BC246" i="104"/>
  <c r="BD307" i="104"/>
  <c r="BG307" i="104"/>
  <c r="BD246" i="104"/>
  <c r="AZ307" i="104"/>
  <c r="BF246" i="104"/>
  <c r="BE246" i="104"/>
  <c r="BD156" i="104"/>
  <c r="BF307" i="104"/>
  <c r="AB236" i="104"/>
  <c r="O282" i="103" a="1"/>
  <c r="O282" i="103" s="1"/>
  <c r="O283" i="103" a="1"/>
  <c r="O283" i="103" s="1"/>
  <c r="AS246" i="103"/>
  <c r="AO94" i="107"/>
  <c r="AK246" i="107"/>
  <c r="AN135" i="107"/>
  <c r="AN95" i="107"/>
  <c r="AN96" i="107"/>
  <c r="AN107" i="107"/>
  <c r="AN155" i="107"/>
  <c r="AZ94" i="107"/>
  <c r="BA94" i="107"/>
  <c r="BA112" i="107" s="1"/>
  <c r="AB94" i="107"/>
  <c r="AC94" i="107"/>
  <c r="AC112" i="107" s="1"/>
  <c r="AG246" i="106"/>
  <c r="AC246" i="106"/>
  <c r="AI246" i="106"/>
  <c r="AF246" i="106"/>
  <c r="AD246" i="106"/>
  <c r="AE246" i="106"/>
  <c r="AB246" i="106"/>
  <c r="AF156" i="106"/>
  <c r="AF162" i="106" s="1"/>
  <c r="BA94" i="106"/>
  <c r="BA112" i="106" s="1"/>
  <c r="AO88" i="106"/>
  <c r="AO214" i="106" s="1"/>
  <c r="AF202" i="106"/>
  <c r="AF204" i="106" s="1"/>
  <c r="AA246" i="106" s="1"/>
  <c r="AC88" i="106"/>
  <c r="AC214" i="106" s="1"/>
  <c r="BE246" i="105"/>
  <c r="BF246" i="105"/>
  <c r="BD202" i="105"/>
  <c r="BD204" i="105" s="1"/>
  <c r="BB307" i="105"/>
  <c r="BA307" i="105"/>
  <c r="AN94" i="105"/>
  <c r="AZ246" i="105"/>
  <c r="BB246" i="105"/>
  <c r="AZ307" i="105"/>
  <c r="AY307" i="105"/>
  <c r="BE307" i="105"/>
  <c r="BA94" i="105"/>
  <c r="BA112" i="105" s="1"/>
  <c r="AB94" i="105"/>
  <c r="BG246" i="105"/>
  <c r="AY246" i="105"/>
  <c r="BD246" i="105"/>
  <c r="BD307" i="105"/>
  <c r="AZ94" i="105"/>
  <c r="AO88" i="105"/>
  <c r="AO214" i="105" s="1"/>
  <c r="AO85" i="104"/>
  <c r="AO88" i="104"/>
  <c r="AO214" i="104" s="1"/>
  <c r="AE236" i="104"/>
  <c r="AF236" i="104"/>
  <c r="AO303" i="104"/>
  <c r="AD236" i="104"/>
  <c r="AH236" i="104"/>
  <c r="AC88" i="104"/>
  <c r="AC214" i="104" s="1"/>
  <c r="AC236" i="104"/>
  <c r="AG236" i="104"/>
  <c r="AW246" i="103"/>
  <c r="AW307" i="103"/>
  <c r="AU246" i="103"/>
  <c r="AO246" i="103"/>
  <c r="AR156" i="103"/>
  <c r="AR159" i="103" s="1"/>
  <c r="AR12" i="103" s="1"/>
  <c r="AB94" i="103"/>
  <c r="AN94" i="103"/>
  <c r="AR202" i="103"/>
  <c r="AR204" i="103" s="1"/>
  <c r="AN246" i="103" s="1"/>
  <c r="AR246" i="103"/>
  <c r="AC94" i="103"/>
  <c r="AC112" i="103" s="1"/>
  <c r="AP246" i="103"/>
  <c r="AO88" i="103"/>
  <c r="AO214" i="103" s="1"/>
  <c r="BA94" i="103"/>
  <c r="BA112" i="103" s="1"/>
  <c r="AZ94" i="103"/>
  <c r="AK242" i="107"/>
  <c r="Y242" i="107"/>
  <c r="AW235" i="107"/>
  <c r="AY268" i="107"/>
  <c r="AW268" i="107" s="1"/>
  <c r="AY265" i="107"/>
  <c r="AW265" i="107" s="1"/>
  <c r="BC12" i="107"/>
  <c r="BC202" i="107"/>
  <c r="BC204" i="107" s="1"/>
  <c r="AY245" i="107"/>
  <c r="AW245" i="107" s="1"/>
  <c r="Y235" i="107"/>
  <c r="AA265" i="107"/>
  <c r="Y265" i="107" s="1"/>
  <c r="AA268" i="107"/>
  <c r="Y268" i="107" s="1"/>
  <c r="AQ12" i="107"/>
  <c r="AQ202" i="107"/>
  <c r="AQ204" i="107" s="1"/>
  <c r="AM245" i="107"/>
  <c r="AN245" i="107"/>
  <c r="AN268" i="107"/>
  <c r="AN265" i="107"/>
  <c r="AW242" i="107"/>
  <c r="AP13" i="107"/>
  <c r="AT305" i="107"/>
  <c r="AU305" i="107"/>
  <c r="AR305" i="107"/>
  <c r="AP305" i="107"/>
  <c r="AQ305" i="107"/>
  <c r="AS305" i="107"/>
  <c r="AM305" i="107"/>
  <c r="AO305" i="107"/>
  <c r="AN305" i="107"/>
  <c r="AE12" i="107"/>
  <c r="AE202" i="107"/>
  <c r="AE204" i="107" s="1"/>
  <c r="AM66" i="107"/>
  <c r="AY66" i="107"/>
  <c r="AN66" i="107"/>
  <c r="AA66" i="107"/>
  <c r="O66" i="107"/>
  <c r="AP12" i="107"/>
  <c r="AN244" i="107"/>
  <c r="AP202" i="107"/>
  <c r="AP204" i="107" s="1"/>
  <c r="AM244" i="107"/>
  <c r="AF13" i="107"/>
  <c r="AE307" i="107"/>
  <c r="AG307" i="107"/>
  <c r="AF307" i="107"/>
  <c r="AA307" i="107"/>
  <c r="AC307" i="107"/>
  <c r="AB307" i="107"/>
  <c r="AH307" i="107"/>
  <c r="AI307" i="107"/>
  <c r="AD307" i="107"/>
  <c r="AD13" i="107"/>
  <c r="AG305" i="107"/>
  <c r="AF305" i="107"/>
  <c r="AI305" i="107"/>
  <c r="AC305" i="107"/>
  <c r="AD305" i="107"/>
  <c r="AE305" i="107"/>
  <c r="AB305" i="107"/>
  <c r="AA305" i="107"/>
  <c r="AH305" i="107"/>
  <c r="AK235" i="107"/>
  <c r="AM265" i="107"/>
  <c r="AM268" i="107"/>
  <c r="Y236" i="107"/>
  <c r="BB12" i="107"/>
  <c r="BB202" i="107"/>
  <c r="BB204" i="107" s="1"/>
  <c r="AY244" i="107"/>
  <c r="AW244" i="107" s="1"/>
  <c r="Y303" i="107"/>
  <c r="AW303" i="107"/>
  <c r="BC13" i="107"/>
  <c r="BA306" i="107"/>
  <c r="BC306" i="107"/>
  <c r="BF306" i="107"/>
  <c r="BD306" i="107"/>
  <c r="AY306" i="107"/>
  <c r="BB306" i="107"/>
  <c r="AZ306" i="107"/>
  <c r="BE306" i="107"/>
  <c r="BG306" i="107"/>
  <c r="AQ13" i="107"/>
  <c r="AQ306" i="107"/>
  <c r="AS306" i="107"/>
  <c r="AR306" i="107"/>
  <c r="AM306" i="107"/>
  <c r="AO306" i="107"/>
  <c r="AN306" i="107"/>
  <c r="AT306" i="107"/>
  <c r="AU306" i="107"/>
  <c r="AP306" i="107"/>
  <c r="AD12" i="107"/>
  <c r="AA244" i="107"/>
  <c r="Y244" i="107" s="1"/>
  <c r="AD202" i="107"/>
  <c r="AD204" i="107" s="1"/>
  <c r="AR13" i="107"/>
  <c r="AS307" i="107"/>
  <c r="AU307" i="107"/>
  <c r="AO307" i="107"/>
  <c r="AQ307" i="107"/>
  <c r="AT307" i="107"/>
  <c r="AR307" i="107"/>
  <c r="AM307" i="107"/>
  <c r="AP307" i="107"/>
  <c r="AN307" i="107"/>
  <c r="AK303" i="107"/>
  <c r="BB13" i="107"/>
  <c r="BG305" i="107"/>
  <c r="BA305" i="107"/>
  <c r="BC305" i="107"/>
  <c r="BF305" i="107"/>
  <c r="BD305" i="107"/>
  <c r="AY305" i="107"/>
  <c r="BB305" i="107"/>
  <c r="AZ305" i="107"/>
  <c r="BE305" i="107"/>
  <c r="AR242" i="104"/>
  <c r="AT303" i="104"/>
  <c r="O283" i="106" a="1"/>
  <c r="O283" i="106" s="1"/>
  <c r="O284" i="106" a="1"/>
  <c r="O284" i="106" s="1"/>
  <c r="O282" i="106" a="1"/>
  <c r="O282" i="106" s="1"/>
  <c r="AF190" i="106"/>
  <c r="AU303" i="106"/>
  <c r="AQ303" i="106"/>
  <c r="AM303" i="106"/>
  <c r="AT303" i="106"/>
  <c r="AP303" i="106"/>
  <c r="AS303" i="106"/>
  <c r="AO303" i="106"/>
  <c r="AN303" i="106"/>
  <c r="AR303" i="106"/>
  <c r="AN85" i="106"/>
  <c r="AN188" i="106" s="1"/>
  <c r="AN192" i="106" s="1"/>
  <c r="AP242" i="106"/>
  <c r="AM242" i="106"/>
  <c r="AQ242" i="106"/>
  <c r="AU242" i="106"/>
  <c r="AN242" i="106"/>
  <c r="AR242" i="106"/>
  <c r="AT242" i="106"/>
  <c r="AO242" i="106"/>
  <c r="AS242" i="106"/>
  <c r="BE235" i="106"/>
  <c r="BC235" i="106"/>
  <c r="BA235" i="106"/>
  <c r="AY235" i="106"/>
  <c r="BB235" i="106"/>
  <c r="BF235" i="106"/>
  <c r="BG235" i="106"/>
  <c r="AZ235" i="106"/>
  <c r="BD235" i="106"/>
  <c r="Y245" i="106"/>
  <c r="AE171" i="106"/>
  <c r="AE187" i="106" s="1"/>
  <c r="AE191" i="106" s="1"/>
  <c r="AE159" i="106"/>
  <c r="AE162" i="106"/>
  <c r="AE13" i="106" s="1"/>
  <c r="AW236" i="106"/>
  <c r="AW156" i="106"/>
  <c r="BD159" i="106"/>
  <c r="BD12" i="106" s="1"/>
  <c r="BD162" i="106"/>
  <c r="BD13" i="106" s="1"/>
  <c r="AA235" i="106"/>
  <c r="AE235" i="106"/>
  <c r="AI235" i="106"/>
  <c r="AG235" i="106"/>
  <c r="AF235" i="106"/>
  <c r="AC235" i="106"/>
  <c r="AB235" i="106"/>
  <c r="AH235" i="106"/>
  <c r="AD235" i="106"/>
  <c r="AP171" i="106"/>
  <c r="AP187" i="106" s="1"/>
  <c r="AP191" i="106" s="1"/>
  <c r="AP159" i="106"/>
  <c r="AP162" i="106"/>
  <c r="Y236" i="106"/>
  <c r="O286" i="106" a="1"/>
  <c r="O286" i="106" s="1"/>
  <c r="BB171" i="106"/>
  <c r="BB187" i="106" s="1"/>
  <c r="BB191" i="106" s="1"/>
  <c r="BB159" i="106"/>
  <c r="BB162" i="106"/>
  <c r="AD171" i="106"/>
  <c r="AD187" i="106" s="1"/>
  <c r="AD191" i="106" s="1"/>
  <c r="AD162" i="106"/>
  <c r="AD159" i="106"/>
  <c r="AN246" i="106"/>
  <c r="AK246" i="106" s="1"/>
  <c r="AA66" i="106"/>
  <c r="AN66" i="106"/>
  <c r="AY66" i="106"/>
  <c r="AM66" i="106"/>
  <c r="O66" i="106"/>
  <c r="AW246" i="106"/>
  <c r="AW307" i="106"/>
  <c r="BC171" i="106"/>
  <c r="BC187" i="106" s="1"/>
  <c r="BC191" i="106" s="1"/>
  <c r="BC162" i="106"/>
  <c r="BC159" i="106"/>
  <c r="BD190" i="106"/>
  <c r="AQ171" i="106"/>
  <c r="AQ187" i="106" s="1"/>
  <c r="AQ191" i="106" s="1"/>
  <c r="AQ159" i="106"/>
  <c r="AQ162" i="106"/>
  <c r="AT235" i="106"/>
  <c r="AQ235" i="106"/>
  <c r="AU235" i="106"/>
  <c r="AM235" i="106"/>
  <c r="AP235" i="106"/>
  <c r="AN235" i="106"/>
  <c r="AR235" i="106"/>
  <c r="AO235" i="106"/>
  <c r="AS235" i="106"/>
  <c r="AK156" i="106"/>
  <c r="AR159" i="106"/>
  <c r="AR12" i="106" s="1"/>
  <c r="AR162" i="106"/>
  <c r="AG303" i="106"/>
  <c r="AC303" i="106"/>
  <c r="AF303" i="106"/>
  <c r="AB303" i="106"/>
  <c r="AI303" i="106"/>
  <c r="AE303" i="106"/>
  <c r="AA303" i="106"/>
  <c r="AH303" i="106"/>
  <c r="AD303" i="106"/>
  <c r="AB85" i="106"/>
  <c r="AB188" i="106" s="1"/>
  <c r="AB192" i="106" s="1"/>
  <c r="AB242" i="106"/>
  <c r="AF242" i="106"/>
  <c r="AG242" i="106"/>
  <c r="AD242" i="106"/>
  <c r="AC242" i="106"/>
  <c r="AE242" i="106"/>
  <c r="AH242" i="106"/>
  <c r="AI242" i="106"/>
  <c r="AA242" i="106"/>
  <c r="AF159" i="106"/>
  <c r="AF12" i="106" s="1"/>
  <c r="AK236" i="106"/>
  <c r="BE303" i="106"/>
  <c r="BA303" i="106"/>
  <c r="BD303" i="106"/>
  <c r="AZ303" i="106"/>
  <c r="BG303" i="106"/>
  <c r="BC303" i="106"/>
  <c r="AY303" i="106"/>
  <c r="BF303" i="106"/>
  <c r="BB303" i="106"/>
  <c r="AZ85" i="106"/>
  <c r="AZ188" i="106" s="1"/>
  <c r="AZ192" i="106" s="1"/>
  <c r="BD242" i="106"/>
  <c r="BF242" i="106"/>
  <c r="AZ242" i="106"/>
  <c r="BB242" i="106"/>
  <c r="BA242" i="106"/>
  <c r="BE242" i="106"/>
  <c r="BC242" i="106"/>
  <c r="BG242" i="106"/>
  <c r="AY242" i="106"/>
  <c r="Y306" i="106"/>
  <c r="AN303" i="104"/>
  <c r="AN242" i="104"/>
  <c r="AQ303" i="104"/>
  <c r="AP242" i="104"/>
  <c r="AS303" i="104"/>
  <c r="AK242" i="105"/>
  <c r="O66" i="105"/>
  <c r="AN66" i="105"/>
  <c r="AA66" i="105"/>
  <c r="AM66" i="105"/>
  <c r="AY66" i="105"/>
  <c r="AW303" i="105"/>
  <c r="AQ12" i="105"/>
  <c r="AQ202" i="105"/>
  <c r="AQ204" i="105" s="1"/>
  <c r="AM245" i="105"/>
  <c r="AN245" i="105"/>
  <c r="Y303" i="105"/>
  <c r="AF190" i="104"/>
  <c r="Y156" i="105"/>
  <c r="AF159" i="105"/>
  <c r="AF12" i="105" s="1"/>
  <c r="AF162" i="105"/>
  <c r="BB12" i="105"/>
  <c r="AY244" i="105"/>
  <c r="AW244" i="105" s="1"/>
  <c r="BB202" i="105"/>
  <c r="BB204" i="105" s="1"/>
  <c r="AW156" i="105"/>
  <c r="BD159" i="105"/>
  <c r="BD12" i="105" s="1"/>
  <c r="BD162" i="105"/>
  <c r="BD13" i="105" s="1"/>
  <c r="AW235" i="105"/>
  <c r="AY265" i="105"/>
  <c r="AW265" i="105" s="1"/>
  <c r="AY268" i="105"/>
  <c r="AW268" i="105" s="1"/>
  <c r="AE12" i="105"/>
  <c r="AE202" i="105"/>
  <c r="AE204" i="105" s="1"/>
  <c r="AF14" i="105"/>
  <c r="AF190" i="105"/>
  <c r="AN246" i="105"/>
  <c r="AK246" i="105" s="1"/>
  <c r="AK156" i="105"/>
  <c r="AR159" i="105"/>
  <c r="AR12" i="105" s="1"/>
  <c r="AR162" i="105"/>
  <c r="BC202" i="105"/>
  <c r="BC204" i="105" s="1"/>
  <c r="BC12" i="105"/>
  <c r="AY245" i="105"/>
  <c r="AW245" i="105" s="1"/>
  <c r="AD12" i="105"/>
  <c r="AA244" i="105"/>
  <c r="Y244" i="105" s="1"/>
  <c r="AD202" i="105"/>
  <c r="AD204" i="105" s="1"/>
  <c r="BB13" i="105"/>
  <c r="BB305" i="105"/>
  <c r="AY305" i="105"/>
  <c r="BE305" i="105"/>
  <c r="BF305" i="105"/>
  <c r="BC305" i="105"/>
  <c r="BA305" i="105"/>
  <c r="AZ305" i="105"/>
  <c r="BG305" i="105"/>
  <c r="BD305" i="105"/>
  <c r="Y236" i="105"/>
  <c r="AP12" i="105"/>
  <c r="AM244" i="105"/>
  <c r="AN244" i="105"/>
  <c r="AP202" i="105"/>
  <c r="AP204" i="105" s="1"/>
  <c r="AN265" i="105"/>
  <c r="AN268" i="105"/>
  <c r="AC138" i="105"/>
  <c r="AC144" i="105"/>
  <c r="AC140" i="105"/>
  <c r="AK246" i="104"/>
  <c r="AR14" i="105"/>
  <c r="AR190" i="105"/>
  <c r="AW242" i="105"/>
  <c r="BC13" i="105"/>
  <c r="BB306" i="105"/>
  <c r="BC306" i="105"/>
  <c r="BD306" i="105"/>
  <c r="AY306" i="105"/>
  <c r="AZ306" i="105"/>
  <c r="BE306" i="105"/>
  <c r="BF306" i="105"/>
  <c r="BG306" i="105"/>
  <c r="BA306" i="105"/>
  <c r="AQ13" i="105"/>
  <c r="AO306" i="105"/>
  <c r="AU306" i="105"/>
  <c r="AT306" i="105"/>
  <c r="AR306" i="105"/>
  <c r="AM306" i="105"/>
  <c r="AP306" i="105"/>
  <c r="AQ306" i="105"/>
  <c r="AS306" i="105"/>
  <c r="AN306" i="105"/>
  <c r="AK303" i="105"/>
  <c r="AD13" i="105"/>
  <c r="AB305" i="105"/>
  <c r="AI305" i="105"/>
  <c r="AG305" i="105"/>
  <c r="AF305" i="105"/>
  <c r="AD305" i="105"/>
  <c r="AC305" i="105"/>
  <c r="AA305" i="105"/>
  <c r="AH305" i="105"/>
  <c r="AE305" i="105"/>
  <c r="Y235" i="105"/>
  <c r="AA268" i="105"/>
  <c r="Y268" i="105" s="1"/>
  <c r="AA265" i="105"/>
  <c r="Y265" i="105" s="1"/>
  <c r="BD14" i="105"/>
  <c r="BD190" i="105"/>
  <c r="Y242" i="105"/>
  <c r="AP13" i="105"/>
  <c r="AM305" i="105"/>
  <c r="AN305" i="105"/>
  <c r="AT305" i="105"/>
  <c r="AR305" i="105"/>
  <c r="AU305" i="105"/>
  <c r="AO305" i="105"/>
  <c r="AP305" i="105"/>
  <c r="AQ305" i="105"/>
  <c r="AS305" i="105"/>
  <c r="AK235" i="105"/>
  <c r="AM268" i="105"/>
  <c r="AM265" i="105"/>
  <c r="AC212" i="105"/>
  <c r="AC211" i="105"/>
  <c r="AC113" i="105"/>
  <c r="AC209" i="105"/>
  <c r="AM303" i="104"/>
  <c r="AM242" i="104"/>
  <c r="AQ242" i="104"/>
  <c r="AO242" i="104"/>
  <c r="AP303" i="104"/>
  <c r="AR303" i="104"/>
  <c r="AS242" i="104"/>
  <c r="AT242" i="104"/>
  <c r="AN85" i="104"/>
  <c r="AN188" i="104" s="1"/>
  <c r="AN192" i="104" s="1"/>
  <c r="AU303" i="104"/>
  <c r="AD235" i="104"/>
  <c r="AE235" i="104"/>
  <c r="AB235" i="104"/>
  <c r="AC235" i="104"/>
  <c r="AA235" i="104"/>
  <c r="AH235" i="104"/>
  <c r="AF235" i="104"/>
  <c r="AI235" i="104"/>
  <c r="AG235" i="104"/>
  <c r="AP171" i="104"/>
  <c r="AP187" i="104" s="1"/>
  <c r="AP191" i="104" s="1"/>
  <c r="AP162" i="104"/>
  <c r="AP159" i="104"/>
  <c r="AI303" i="104"/>
  <c r="AE303" i="104"/>
  <c r="AA303" i="104"/>
  <c r="AF303" i="104"/>
  <c r="AD303" i="104"/>
  <c r="AH303" i="104"/>
  <c r="AC303" i="104"/>
  <c r="AG303" i="104"/>
  <c r="AB303" i="104"/>
  <c r="AB85" i="104"/>
  <c r="AB188" i="104" s="1"/>
  <c r="AB192" i="104" s="1"/>
  <c r="AA242" i="104"/>
  <c r="AB242" i="104"/>
  <c r="AC242" i="104"/>
  <c r="AG242" i="104"/>
  <c r="AE242" i="104"/>
  <c r="AF242" i="104"/>
  <c r="AH242" i="104"/>
  <c r="AI242" i="104"/>
  <c r="AD242" i="104"/>
  <c r="O284" i="104" a="1"/>
  <c r="O284" i="104" s="1"/>
  <c r="O283" i="104" a="1"/>
  <c r="O283" i="104" s="1"/>
  <c r="O282" i="104" a="1"/>
  <c r="O282" i="104" s="1"/>
  <c r="AE171" i="104"/>
  <c r="AE187" i="104" s="1"/>
  <c r="AE191" i="104" s="1"/>
  <c r="AE159" i="104"/>
  <c r="AE162" i="104"/>
  <c r="AE13" i="104" s="1"/>
  <c r="AW236" i="104"/>
  <c r="BA85" i="104"/>
  <c r="AK236" i="104"/>
  <c r="BG303" i="104"/>
  <c r="BC303" i="104"/>
  <c r="AY303" i="104"/>
  <c r="BE303" i="104"/>
  <c r="AZ303" i="104"/>
  <c r="BD303" i="104"/>
  <c r="BB303" i="104"/>
  <c r="BF303" i="104"/>
  <c r="BA303" i="104"/>
  <c r="AZ85" i="104"/>
  <c r="AZ188" i="104" s="1"/>
  <c r="AZ192" i="104" s="1"/>
  <c r="AY242" i="104"/>
  <c r="AZ242" i="104"/>
  <c r="BD242" i="104"/>
  <c r="BC242" i="104"/>
  <c r="BG242" i="104"/>
  <c r="BA242" i="104"/>
  <c r="BE242" i="104"/>
  <c r="BB242" i="104"/>
  <c r="BF242" i="104"/>
  <c r="AQ171" i="104"/>
  <c r="AQ187" i="104" s="1"/>
  <c r="AQ191" i="104" s="1"/>
  <c r="AQ159" i="104"/>
  <c r="AQ162" i="104"/>
  <c r="O286" i="104" a="1"/>
  <c r="O286" i="104" s="1"/>
  <c r="BC171" i="104"/>
  <c r="BC187" i="104" s="1"/>
  <c r="BC191" i="104" s="1"/>
  <c r="BC159" i="104"/>
  <c r="BC162" i="104"/>
  <c r="AK156" i="104"/>
  <c r="AR159" i="104"/>
  <c r="AR12" i="104" s="1"/>
  <c r="AR162" i="104"/>
  <c r="Y246" i="104"/>
  <c r="AN66" i="104"/>
  <c r="AM66" i="104"/>
  <c r="AA66" i="104"/>
  <c r="AY66" i="104"/>
  <c r="O66" i="104"/>
  <c r="BD190" i="104"/>
  <c r="AT235" i="104"/>
  <c r="AR235" i="104"/>
  <c r="AS235" i="104"/>
  <c r="AM235" i="104"/>
  <c r="AU235" i="104"/>
  <c r="AO235" i="104"/>
  <c r="AP235" i="104"/>
  <c r="AQ235" i="104"/>
  <c r="AN235" i="104"/>
  <c r="BD235" i="104"/>
  <c r="BF235" i="104"/>
  <c r="BA235" i="104"/>
  <c r="BC235" i="104"/>
  <c r="AZ235" i="104"/>
  <c r="BE235" i="104"/>
  <c r="BB235" i="104"/>
  <c r="AY235" i="104"/>
  <c r="BG235" i="104"/>
  <c r="AD171" i="104"/>
  <c r="AD187" i="104" s="1"/>
  <c r="AD191" i="104" s="1"/>
  <c r="AD159" i="104"/>
  <c r="AD162" i="104"/>
  <c r="Y156" i="104"/>
  <c r="AF159" i="104"/>
  <c r="AF12" i="104" s="1"/>
  <c r="AF162" i="104"/>
  <c r="BB171" i="104"/>
  <c r="BB187" i="104" s="1"/>
  <c r="BB191" i="104" s="1"/>
  <c r="BB159" i="104"/>
  <c r="BB162" i="104"/>
  <c r="AW156" i="104"/>
  <c r="BD159" i="104"/>
  <c r="BD12" i="104" s="1"/>
  <c r="BD162" i="104"/>
  <c r="BD13" i="104" s="1"/>
  <c r="Y245" i="104"/>
  <c r="Y306" i="104"/>
  <c r="AQ13" i="103"/>
  <c r="AQ306" i="103"/>
  <c r="AS306" i="103"/>
  <c r="AM306" i="103"/>
  <c r="AO306" i="103"/>
  <c r="AT306" i="103"/>
  <c r="AR306" i="103"/>
  <c r="AU306" i="103"/>
  <c r="AP306" i="103"/>
  <c r="AN306" i="103"/>
  <c r="BC13" i="103"/>
  <c r="BD306" i="103"/>
  <c r="AY306" i="103"/>
  <c r="BC306" i="103"/>
  <c r="AZ306" i="103"/>
  <c r="BF306" i="103"/>
  <c r="BE306" i="103"/>
  <c r="BG306" i="103"/>
  <c r="BB306" i="103"/>
  <c r="BA306" i="103"/>
  <c r="AD202" i="103"/>
  <c r="AD204" i="103" s="1"/>
  <c r="AD12" i="103"/>
  <c r="AA244" i="103"/>
  <c r="Y244" i="103" s="1"/>
  <c r="AP13" i="103"/>
  <c r="AO305" i="103"/>
  <c r="AQ305" i="103"/>
  <c r="AR305" i="103"/>
  <c r="AM305" i="103"/>
  <c r="AN305" i="103"/>
  <c r="AT305" i="103"/>
  <c r="AS305" i="103"/>
  <c r="AU305" i="103"/>
  <c r="AP305" i="103"/>
  <c r="AQ12" i="103"/>
  <c r="AQ202" i="103"/>
  <c r="AQ204" i="103" s="1"/>
  <c r="AM245" i="103"/>
  <c r="AN245" i="103"/>
  <c r="AF13" i="103"/>
  <c r="AI307" i="103"/>
  <c r="AD307" i="103"/>
  <c r="AB307" i="103"/>
  <c r="AE307" i="103"/>
  <c r="AG307" i="103"/>
  <c r="AA307" i="103"/>
  <c r="AC307" i="103"/>
  <c r="AH307" i="103"/>
  <c r="AF307" i="103"/>
  <c r="AN265" i="103"/>
  <c r="AN268" i="103"/>
  <c r="Y235" i="103"/>
  <c r="AA268" i="103"/>
  <c r="Y268" i="103" s="1"/>
  <c r="AA265" i="103"/>
  <c r="Y265" i="103" s="1"/>
  <c r="BC12" i="103"/>
  <c r="BC202" i="103"/>
  <c r="BC204" i="103" s="1"/>
  <c r="AY245" i="103"/>
  <c r="AW245" i="103" s="1"/>
  <c r="AK242" i="103"/>
  <c r="AM246" i="103"/>
  <c r="AD13" i="103"/>
  <c r="AH305" i="103"/>
  <c r="AF305" i="103"/>
  <c r="AI305" i="103"/>
  <c r="AD305" i="103"/>
  <c r="AB305" i="103"/>
  <c r="AE305" i="103"/>
  <c r="AG305" i="103"/>
  <c r="AA305" i="103"/>
  <c r="AC305" i="103"/>
  <c r="AW236" i="103"/>
  <c r="BB13" i="103"/>
  <c r="AY305" i="103"/>
  <c r="BA305" i="103"/>
  <c r="BF305" i="103"/>
  <c r="BD305" i="103"/>
  <c r="BG305" i="103"/>
  <c r="BB305" i="103"/>
  <c r="AZ305" i="103"/>
  <c r="BC305" i="103"/>
  <c r="BE305" i="103"/>
  <c r="AP12" i="103"/>
  <c r="AM244" i="103"/>
  <c r="AN244" i="103"/>
  <c r="AP202" i="103"/>
  <c r="AP204" i="103" s="1"/>
  <c r="AK235" i="103"/>
  <c r="AM265" i="103"/>
  <c r="AK265" i="103" s="1"/>
  <c r="AM268" i="103"/>
  <c r="AK303" i="103"/>
  <c r="AK156" i="103"/>
  <c r="AW303" i="103"/>
  <c r="BB12" i="103"/>
  <c r="AY244" i="103"/>
  <c r="AW244" i="103" s="1"/>
  <c r="BB202" i="103"/>
  <c r="BB204" i="103" s="1"/>
  <c r="AY66" i="103"/>
  <c r="AN66" i="103"/>
  <c r="O66" i="103"/>
  <c r="AM66" i="103"/>
  <c r="AA66" i="103"/>
  <c r="AW235" i="103"/>
  <c r="AY268" i="103"/>
  <c r="AW268" i="103" s="1"/>
  <c r="AY265" i="103"/>
  <c r="AW265" i="103" s="1"/>
  <c r="AE12" i="103"/>
  <c r="AE202" i="103"/>
  <c r="AE204" i="103" s="1"/>
  <c r="Y242" i="103"/>
  <c r="Y303" i="103"/>
  <c r="AR14" i="103"/>
  <c r="AR190" i="103"/>
  <c r="AW242" i="103"/>
  <c r="BD66" i="55"/>
  <c r="AF66" i="55"/>
  <c r="AR66" i="55"/>
  <c r="T66" i="55"/>
  <c r="S15" i="43"/>
  <c r="T15" i="43" s="1"/>
  <c r="S43" i="43"/>
  <c r="T43" i="43" s="1"/>
  <c r="S57" i="43"/>
  <c r="T57" i="43" s="1"/>
  <c r="S29" i="43"/>
  <c r="T29" i="43" s="1"/>
  <c r="AL90" i="24"/>
  <c r="AK90" i="24"/>
  <c r="AL89" i="24"/>
  <c r="AK89" i="24"/>
  <c r="AL88" i="24"/>
  <c r="AK88" i="24"/>
  <c r="Q223" i="24"/>
  <c r="Q224" i="24"/>
  <c r="O224" i="24"/>
  <c r="N224" i="24"/>
  <c r="Y236" i="104" l="1"/>
  <c r="AW307" i="104"/>
  <c r="AK268" i="107"/>
  <c r="BA107" i="106"/>
  <c r="BA209" i="106" s="1"/>
  <c r="BA155" i="106"/>
  <c r="BA135" i="106"/>
  <c r="AW246" i="105"/>
  <c r="AW307" i="105"/>
  <c r="AW246" i="104"/>
  <c r="AR162" i="103"/>
  <c r="AK246" i="103"/>
  <c r="AO112" i="107"/>
  <c r="AO155" i="107"/>
  <c r="AO107" i="107"/>
  <c r="AO135" i="107"/>
  <c r="AK265" i="107"/>
  <c r="AK244" i="107"/>
  <c r="AB135" i="107"/>
  <c r="AB96" i="107"/>
  <c r="AB95" i="107"/>
  <c r="AB107" i="107"/>
  <c r="AB155" i="107"/>
  <c r="AN113" i="107"/>
  <c r="AN209" i="107"/>
  <c r="AN210" i="107"/>
  <c r="AK210" i="107" s="1"/>
  <c r="AN213" i="107"/>
  <c r="AK213" i="107" s="1"/>
  <c r="AN212" i="107"/>
  <c r="BA135" i="107"/>
  <c r="BA155" i="107"/>
  <c r="BA107" i="107"/>
  <c r="AZ135" i="107"/>
  <c r="AZ96" i="107"/>
  <c r="AZ155" i="107"/>
  <c r="AZ95" i="107"/>
  <c r="AZ107" i="107"/>
  <c r="AC155" i="107"/>
  <c r="AC107" i="107"/>
  <c r="AC135" i="107"/>
  <c r="AN144" i="107"/>
  <c r="AN146" i="107" s="1"/>
  <c r="AN140" i="107"/>
  <c r="AN142" i="107" s="1"/>
  <c r="Y156" i="106"/>
  <c r="Y246" i="106"/>
  <c r="AO94" i="106"/>
  <c r="AO112" i="106" s="1"/>
  <c r="AZ94" i="106"/>
  <c r="AZ95" i="106" s="1"/>
  <c r="AB94" i="106"/>
  <c r="AB107" i="106" s="1"/>
  <c r="AN94" i="106"/>
  <c r="AZ96" i="106"/>
  <c r="AB96" i="106"/>
  <c r="AB155" i="106"/>
  <c r="AB95" i="106"/>
  <c r="AB135" i="106"/>
  <c r="AC94" i="106"/>
  <c r="AC112" i="106" s="1"/>
  <c r="AZ155" i="105"/>
  <c r="AZ96" i="105"/>
  <c r="AZ135" i="105"/>
  <c r="AZ95" i="105"/>
  <c r="AZ107" i="105"/>
  <c r="AO94" i="105"/>
  <c r="AO112" i="105" s="1"/>
  <c r="AN95" i="105"/>
  <c r="AN96" i="105"/>
  <c r="AN155" i="105"/>
  <c r="AN107" i="105"/>
  <c r="AN135" i="105"/>
  <c r="BA135" i="105"/>
  <c r="BA155" i="105"/>
  <c r="BA107" i="105"/>
  <c r="AB155" i="105"/>
  <c r="AB96" i="105"/>
  <c r="AB95" i="105"/>
  <c r="AB107" i="105"/>
  <c r="AB135" i="105"/>
  <c r="AN94" i="104"/>
  <c r="AN95" i="104" s="1"/>
  <c r="AZ94" i="104"/>
  <c r="AN96" i="104"/>
  <c r="AN107" i="104"/>
  <c r="AO94" i="104"/>
  <c r="AO112" i="104" s="1"/>
  <c r="BA88" i="104"/>
  <c r="BA214" i="104" s="1"/>
  <c r="AC94" i="104"/>
  <c r="AC112" i="104" s="1"/>
  <c r="AB94" i="104"/>
  <c r="BA135" i="103"/>
  <c r="BA155" i="103"/>
  <c r="BA107" i="103"/>
  <c r="AB155" i="103"/>
  <c r="AB96" i="103"/>
  <c r="AB107" i="103"/>
  <c r="AB95" i="103"/>
  <c r="AB135" i="103"/>
  <c r="AC107" i="103"/>
  <c r="AC155" i="103"/>
  <c r="AC135" i="103"/>
  <c r="AZ155" i="103"/>
  <c r="AZ96" i="103"/>
  <c r="AZ135" i="103"/>
  <c r="AZ107" i="103"/>
  <c r="AZ95" i="103"/>
  <c r="AO94" i="103"/>
  <c r="AO112" i="103" s="1"/>
  <c r="AN155" i="103"/>
  <c r="AN95" i="103"/>
  <c r="AN96" i="103"/>
  <c r="AN135" i="103"/>
  <c r="AN107" i="103"/>
  <c r="AK305" i="107"/>
  <c r="AW306" i="107"/>
  <c r="Y305" i="107"/>
  <c r="AS75" i="107"/>
  <c r="AK66" i="107"/>
  <c r="AK245" i="107"/>
  <c r="Y66" i="107"/>
  <c r="AG75" i="107"/>
  <c r="Y307" i="107"/>
  <c r="AW305" i="107"/>
  <c r="AK307" i="107"/>
  <c r="AK306" i="107"/>
  <c r="AW66" i="107"/>
  <c r="BE75" i="107"/>
  <c r="AK245" i="103"/>
  <c r="AK244" i="105"/>
  <c r="AW242" i="106"/>
  <c r="AW303" i="106"/>
  <c r="AF13" i="106"/>
  <c r="AC307" i="106"/>
  <c r="AE307" i="106"/>
  <c r="AF307" i="106"/>
  <c r="AA307" i="106"/>
  <c r="AB307" i="106"/>
  <c r="AD307" i="106"/>
  <c r="AG307" i="106"/>
  <c r="AI307" i="106"/>
  <c r="AH307" i="106"/>
  <c r="Y242" i="106"/>
  <c r="Y303" i="106"/>
  <c r="AQ12" i="106"/>
  <c r="AQ202" i="106"/>
  <c r="AQ204" i="106" s="1"/>
  <c r="AM245" i="106"/>
  <c r="AN245" i="106"/>
  <c r="BC13" i="106"/>
  <c r="BG306" i="106"/>
  <c r="BB306" i="106"/>
  <c r="AZ306" i="106"/>
  <c r="BC306" i="106"/>
  <c r="BE306" i="106"/>
  <c r="AY306" i="106"/>
  <c r="BA306" i="106"/>
  <c r="BF306" i="106"/>
  <c r="BD306" i="106"/>
  <c r="AG75" i="106"/>
  <c r="Y66" i="106"/>
  <c r="Y235" i="106"/>
  <c r="AA268" i="106"/>
  <c r="Y268" i="106" s="1"/>
  <c r="AA265" i="106"/>
  <c r="Y265" i="106" s="1"/>
  <c r="AN268" i="106"/>
  <c r="AN265" i="106"/>
  <c r="AS75" i="106"/>
  <c r="AK66" i="106"/>
  <c r="BB13" i="106"/>
  <c r="AZ305" i="106"/>
  <c r="BB305" i="106"/>
  <c r="BE305" i="106"/>
  <c r="BG305" i="106"/>
  <c r="BF305" i="106"/>
  <c r="BA305" i="106"/>
  <c r="BC305" i="106"/>
  <c r="BD305" i="106"/>
  <c r="AY305" i="106"/>
  <c r="AP13" i="106"/>
  <c r="AT305" i="106"/>
  <c r="AR305" i="106"/>
  <c r="AU305" i="106"/>
  <c r="AP305" i="106"/>
  <c r="AN305" i="106"/>
  <c r="AQ305" i="106"/>
  <c r="AS305" i="106"/>
  <c r="AM305" i="106"/>
  <c r="AO305" i="106"/>
  <c r="BA113" i="106"/>
  <c r="AC216" i="105"/>
  <c r="AK265" i="105"/>
  <c r="BE75" i="106"/>
  <c r="AW66" i="106"/>
  <c r="AD202" i="106"/>
  <c r="AD204" i="106" s="1"/>
  <c r="AD12" i="106"/>
  <c r="AA244" i="106"/>
  <c r="Y244" i="106" s="1"/>
  <c r="BB12" i="106"/>
  <c r="BB202" i="106"/>
  <c r="BB204" i="106" s="1"/>
  <c r="AY244" i="106"/>
  <c r="AW244" i="106" s="1"/>
  <c r="AP12" i="106"/>
  <c r="AN244" i="106"/>
  <c r="AM244" i="106"/>
  <c r="AP202" i="106"/>
  <c r="AP204" i="106" s="1"/>
  <c r="AE12" i="106"/>
  <c r="AE202" i="106"/>
  <c r="AE204" i="106" s="1"/>
  <c r="AW235" i="106"/>
  <c r="AY268" i="106"/>
  <c r="AW268" i="106" s="1"/>
  <c r="AY265" i="106"/>
  <c r="AW265" i="106" s="1"/>
  <c r="AK242" i="106"/>
  <c r="AR13" i="106"/>
  <c r="AU307" i="106"/>
  <c r="AP307" i="106"/>
  <c r="AN307" i="106"/>
  <c r="AQ307" i="106"/>
  <c r="AS307" i="106"/>
  <c r="AM307" i="106"/>
  <c r="AO307" i="106"/>
  <c r="AT307" i="106"/>
  <c r="AR307" i="106"/>
  <c r="AK235" i="106"/>
  <c r="AM265" i="106"/>
  <c r="AM268" i="106"/>
  <c r="AK268" i="106" s="1"/>
  <c r="AQ13" i="106"/>
  <c r="AS306" i="106"/>
  <c r="AU306" i="106"/>
  <c r="AT306" i="106"/>
  <c r="AO306" i="106"/>
  <c r="AQ306" i="106"/>
  <c r="AR306" i="106"/>
  <c r="AM306" i="106"/>
  <c r="AN306" i="106"/>
  <c r="AP306" i="106"/>
  <c r="BC12" i="106"/>
  <c r="BC202" i="106"/>
  <c r="BC204" i="106" s="1"/>
  <c r="AY245" i="106"/>
  <c r="AW245" i="106" s="1"/>
  <c r="AD13" i="106"/>
  <c r="AB305" i="106"/>
  <c r="AH305" i="106"/>
  <c r="AG305" i="106"/>
  <c r="AI305" i="106"/>
  <c r="AD305" i="106"/>
  <c r="AC305" i="106"/>
  <c r="AE305" i="106"/>
  <c r="AF305" i="106"/>
  <c r="AA305" i="106"/>
  <c r="AK303" i="106"/>
  <c r="BA144" i="106"/>
  <c r="BA140" i="106"/>
  <c r="BA138" i="106"/>
  <c r="AK268" i="105"/>
  <c r="AK244" i="103"/>
  <c r="AK306" i="105"/>
  <c r="AC142" i="105"/>
  <c r="AC200" i="105" s="1"/>
  <c r="AC146" i="105"/>
  <c r="AF13" i="105"/>
  <c r="AD307" i="105"/>
  <c r="AA307" i="105"/>
  <c r="AF307" i="105"/>
  <c r="AG307" i="105"/>
  <c r="AI307" i="105"/>
  <c r="AB307" i="105"/>
  <c r="AC307" i="105"/>
  <c r="AH307" i="105"/>
  <c r="AE307" i="105"/>
  <c r="Y66" i="105"/>
  <c r="AG75" i="105"/>
  <c r="AK305" i="105"/>
  <c r="Y305" i="105"/>
  <c r="AW305" i="105"/>
  <c r="AR13" i="105"/>
  <c r="AT307" i="105"/>
  <c r="AU307" i="105"/>
  <c r="AO307" i="105"/>
  <c r="AP307" i="105"/>
  <c r="AQ307" i="105"/>
  <c r="AR307" i="105"/>
  <c r="AM307" i="105"/>
  <c r="AN307" i="105"/>
  <c r="AS307" i="105"/>
  <c r="AK245" i="105"/>
  <c r="AW66" i="105"/>
  <c r="BE75" i="105"/>
  <c r="AC167" i="105"/>
  <c r="AC169" i="105" s="1"/>
  <c r="AC121" i="105"/>
  <c r="AC117" i="105"/>
  <c r="AW306" i="105"/>
  <c r="AS75" i="105"/>
  <c r="AK66" i="105"/>
  <c r="AK303" i="104"/>
  <c r="AK242" i="104"/>
  <c r="Y307" i="103"/>
  <c r="BB13" i="104"/>
  <c r="BA305" i="104"/>
  <c r="AZ305" i="104"/>
  <c r="BG305" i="104"/>
  <c r="BF305" i="104"/>
  <c r="BC305" i="104"/>
  <c r="BD305" i="104"/>
  <c r="BE305" i="104"/>
  <c r="AY305" i="104"/>
  <c r="BB305" i="104"/>
  <c r="AD12" i="104"/>
  <c r="AD202" i="104"/>
  <c r="AD204" i="104" s="1"/>
  <c r="AA244" i="104"/>
  <c r="Y244" i="104" s="1"/>
  <c r="AK235" i="104"/>
  <c r="AM265" i="104"/>
  <c r="AM268" i="104"/>
  <c r="AS75" i="104"/>
  <c r="AK66" i="104"/>
  <c r="AQ13" i="104"/>
  <c r="AO306" i="104"/>
  <c r="AR306" i="104"/>
  <c r="AT306" i="104"/>
  <c r="AU306" i="104"/>
  <c r="AN306" i="104"/>
  <c r="AP306" i="104"/>
  <c r="AQ306" i="104"/>
  <c r="AS306" i="104"/>
  <c r="AM306" i="104"/>
  <c r="AW242" i="104"/>
  <c r="AW303" i="104"/>
  <c r="Y242" i="104"/>
  <c r="Y303" i="104"/>
  <c r="Y235" i="104"/>
  <c r="AA268" i="104"/>
  <c r="Y268" i="104" s="1"/>
  <c r="AA265" i="104"/>
  <c r="Y265" i="104" s="1"/>
  <c r="BB12" i="104"/>
  <c r="BB202" i="104"/>
  <c r="BB204" i="104" s="1"/>
  <c r="AY244" i="104"/>
  <c r="AW244" i="104" s="1"/>
  <c r="AQ12" i="104"/>
  <c r="AQ202" i="104"/>
  <c r="AQ204" i="104" s="1"/>
  <c r="AN245" i="104"/>
  <c r="AM245" i="104"/>
  <c r="AP12" i="104"/>
  <c r="AN244" i="104"/>
  <c r="AM244" i="104"/>
  <c r="AP202" i="104"/>
  <c r="AP204" i="104" s="1"/>
  <c r="Y305" i="103"/>
  <c r="BE75" i="104"/>
  <c r="AW66" i="104"/>
  <c r="BC13" i="104"/>
  <c r="BC306" i="104"/>
  <c r="BF306" i="104"/>
  <c r="BD306" i="104"/>
  <c r="AY306" i="104"/>
  <c r="BB306" i="104"/>
  <c r="AZ306" i="104"/>
  <c r="BE306" i="104"/>
  <c r="BG306" i="104"/>
  <c r="BA306" i="104"/>
  <c r="AP13" i="104"/>
  <c r="AM305" i="104"/>
  <c r="AN305" i="104"/>
  <c r="AS305" i="104"/>
  <c r="AT305" i="104"/>
  <c r="AU305" i="104"/>
  <c r="AO305" i="104"/>
  <c r="AR305" i="104"/>
  <c r="AQ305" i="104"/>
  <c r="AP305" i="104"/>
  <c r="AF13" i="104"/>
  <c r="AH307" i="104"/>
  <c r="AI307" i="104"/>
  <c r="AB307" i="104"/>
  <c r="AD307" i="104"/>
  <c r="AE307" i="104"/>
  <c r="AG307" i="104"/>
  <c r="AA307" i="104"/>
  <c r="AC307" i="104"/>
  <c r="AF307" i="104"/>
  <c r="AD13" i="104"/>
  <c r="AG305" i="104"/>
  <c r="AA305" i="104"/>
  <c r="AH305" i="104"/>
  <c r="AC305" i="104"/>
  <c r="AF305" i="104"/>
  <c r="AI305" i="104"/>
  <c r="AD305" i="104"/>
  <c r="AE305" i="104"/>
  <c r="AB305" i="104"/>
  <c r="AW235" i="104"/>
  <c r="AY265" i="104"/>
  <c r="AW265" i="104" s="1"/>
  <c r="AY268" i="104"/>
  <c r="AW268" i="104" s="1"/>
  <c r="AN268" i="104"/>
  <c r="AN265" i="104"/>
  <c r="AG75" i="104"/>
  <c r="Y66" i="104"/>
  <c r="AR13" i="104"/>
  <c r="AQ307" i="104"/>
  <c r="AT307" i="104"/>
  <c r="AR307" i="104"/>
  <c r="AM307" i="104"/>
  <c r="AP307" i="104"/>
  <c r="AN307" i="104"/>
  <c r="AS307" i="104"/>
  <c r="AU307" i="104"/>
  <c r="AO307" i="104"/>
  <c r="BC202" i="104"/>
  <c r="BC204" i="104" s="1"/>
  <c r="BC12" i="104"/>
  <c r="AY245" i="104"/>
  <c r="AW245" i="104" s="1"/>
  <c r="AE202" i="104"/>
  <c r="AE204" i="104" s="1"/>
  <c r="AE12" i="104"/>
  <c r="AK268" i="103"/>
  <c r="AK306" i="103"/>
  <c r="AK305" i="103"/>
  <c r="AW306" i="103"/>
  <c r="Y66" i="103"/>
  <c r="AG75" i="103"/>
  <c r="AW66" i="103"/>
  <c r="BE75" i="103"/>
  <c r="AR13" i="103"/>
  <c r="AS307" i="103"/>
  <c r="AU307" i="103"/>
  <c r="AP307" i="103"/>
  <c r="AO307" i="103"/>
  <c r="AQ307" i="103"/>
  <c r="AR307" i="103"/>
  <c r="AM307" i="103"/>
  <c r="AN307" i="103"/>
  <c r="AT307" i="103"/>
  <c r="AW305" i="103"/>
  <c r="AK66" i="103"/>
  <c r="AS75" i="103"/>
  <c r="BA101" i="55"/>
  <c r="BA110" i="55" s="1"/>
  <c r="AZ101" i="55"/>
  <c r="AZ131" i="55" s="1"/>
  <c r="AZ132" i="55" s="1"/>
  <c r="AY101" i="55"/>
  <c r="AY110" i="55" s="1"/>
  <c r="AO101" i="55"/>
  <c r="AO110" i="55" s="1"/>
  <c r="AN101" i="55"/>
  <c r="AN131" i="55" s="1"/>
  <c r="AN132" i="55" s="1"/>
  <c r="AM101" i="55"/>
  <c r="AM110" i="55" s="1"/>
  <c r="AC101" i="55"/>
  <c r="AC110" i="55" s="1"/>
  <c r="AB101" i="55"/>
  <c r="AB131" i="55" s="1"/>
  <c r="AB132" i="55" s="1"/>
  <c r="AA101" i="55"/>
  <c r="AA110" i="55" s="1"/>
  <c r="P101" i="55"/>
  <c r="O4" i="55" s="1"/>
  <c r="Q101" i="55"/>
  <c r="AW99" i="55"/>
  <c r="AK99" i="55"/>
  <c r="Y99" i="55"/>
  <c r="Q99" i="55"/>
  <c r="P99" i="55"/>
  <c r="O99" i="55"/>
  <c r="M99" i="55"/>
  <c r="J99" i="55"/>
  <c r="BA211" i="106" l="1"/>
  <c r="BA212" i="106"/>
  <c r="AZ155" i="106"/>
  <c r="AN135" i="104"/>
  <c r="AN144" i="104" s="1"/>
  <c r="AN146" i="104" s="1"/>
  <c r="AN155" i="104"/>
  <c r="AO144" i="107"/>
  <c r="AO140" i="107"/>
  <c r="AO138" i="107"/>
  <c r="AO211" i="107"/>
  <c r="AO113" i="107"/>
  <c r="AO209" i="107"/>
  <c r="AO212" i="107"/>
  <c r="AC113" i="107"/>
  <c r="AC209" i="107"/>
  <c r="AC212" i="107"/>
  <c r="AC211" i="107"/>
  <c r="AB209" i="107"/>
  <c r="AB113" i="107"/>
  <c r="AB210" i="107"/>
  <c r="Y210" i="107" s="1"/>
  <c r="AB213" i="107"/>
  <c r="Y213" i="107" s="1"/>
  <c r="AB212" i="107"/>
  <c r="BA140" i="107"/>
  <c r="BA138" i="107"/>
  <c r="BA144" i="107"/>
  <c r="AN216" i="107"/>
  <c r="AZ113" i="107"/>
  <c r="AZ209" i="107"/>
  <c r="AZ210" i="107"/>
  <c r="AW210" i="107" s="1"/>
  <c r="AZ213" i="107"/>
  <c r="AW213" i="107" s="1"/>
  <c r="AZ212" i="107"/>
  <c r="AZ144" i="107"/>
  <c r="AZ146" i="107" s="1"/>
  <c r="AZ140" i="107"/>
  <c r="AZ142" i="107" s="1"/>
  <c r="AN117" i="107"/>
  <c r="AN198" i="107" s="1"/>
  <c r="AN167" i="107"/>
  <c r="AN169" i="107" s="1"/>
  <c r="AN121" i="107"/>
  <c r="AC140" i="107"/>
  <c r="AC144" i="107"/>
  <c r="AC138" i="107"/>
  <c r="BA212" i="107"/>
  <c r="BA211" i="107"/>
  <c r="BA113" i="107"/>
  <c r="BA209" i="107"/>
  <c r="AB144" i="107"/>
  <c r="AB146" i="107" s="1"/>
  <c r="AB140" i="107"/>
  <c r="AB142" i="107" s="1"/>
  <c r="AZ107" i="106"/>
  <c r="AO135" i="106"/>
  <c r="AO155" i="106"/>
  <c r="AO107" i="106"/>
  <c r="AZ135" i="106"/>
  <c r="AZ212" i="106" s="1"/>
  <c r="AC155" i="106"/>
  <c r="AC107" i="106"/>
  <c r="AC135" i="106"/>
  <c r="AK245" i="106"/>
  <c r="AB144" i="106"/>
  <c r="AB146" i="106" s="1"/>
  <c r="AB140" i="106"/>
  <c r="AB142" i="106" s="1"/>
  <c r="BA216" i="106"/>
  <c r="AZ209" i="106"/>
  <c r="AZ113" i="106"/>
  <c r="AZ210" i="106"/>
  <c r="AW210" i="106" s="1"/>
  <c r="AZ213" i="106"/>
  <c r="AW213" i="106" s="1"/>
  <c r="AB113" i="106"/>
  <c r="AB209" i="106"/>
  <c r="AB210" i="106"/>
  <c r="Y210" i="106" s="1"/>
  <c r="AB213" i="106"/>
  <c r="Y213" i="106" s="1"/>
  <c r="AB212" i="106"/>
  <c r="AK265" i="106"/>
  <c r="AZ140" i="106"/>
  <c r="AZ142" i="106" s="1"/>
  <c r="AZ144" i="106"/>
  <c r="AZ146" i="106" s="1"/>
  <c r="AN95" i="106"/>
  <c r="AN96" i="106"/>
  <c r="AN155" i="106"/>
  <c r="AN107" i="106"/>
  <c r="AN135" i="106"/>
  <c r="AB144" i="105"/>
  <c r="AB146" i="105" s="1"/>
  <c r="AB140" i="105"/>
  <c r="AB142" i="105" s="1"/>
  <c r="AN144" i="105"/>
  <c r="AN146" i="105" s="1"/>
  <c r="AN140" i="105"/>
  <c r="AN142" i="105" s="1"/>
  <c r="AZ144" i="105"/>
  <c r="AZ146" i="105" s="1"/>
  <c r="AZ140" i="105"/>
  <c r="AZ142" i="105" s="1"/>
  <c r="AB209" i="105"/>
  <c r="AB113" i="105"/>
  <c r="AB210" i="105"/>
  <c r="Y210" i="105" s="1"/>
  <c r="AB213" i="105"/>
  <c r="Y213" i="105" s="1"/>
  <c r="AB212" i="105"/>
  <c r="BA211" i="105"/>
  <c r="BA212" i="105"/>
  <c r="BA113" i="105"/>
  <c r="BA209" i="105"/>
  <c r="AN113" i="105"/>
  <c r="AN209" i="105"/>
  <c r="AN210" i="105"/>
  <c r="AK210" i="105" s="1"/>
  <c r="AN212" i="105"/>
  <c r="AN213" i="105"/>
  <c r="AK213" i="105" s="1"/>
  <c r="AO135" i="105"/>
  <c r="AO155" i="105"/>
  <c r="AO107" i="105"/>
  <c r="BA144" i="105"/>
  <c r="BA140" i="105"/>
  <c r="BA138" i="105"/>
  <c r="AZ113" i="105"/>
  <c r="AZ209" i="105"/>
  <c r="AZ210" i="105"/>
  <c r="AW210" i="105" s="1"/>
  <c r="AZ212" i="105"/>
  <c r="AZ213" i="105"/>
  <c r="AW213" i="105" s="1"/>
  <c r="BA94" i="104"/>
  <c r="BA112" i="104" s="1"/>
  <c r="AB135" i="104"/>
  <c r="AB96" i="104"/>
  <c r="AB95" i="104"/>
  <c r="AB155" i="104"/>
  <c r="AB107" i="104"/>
  <c r="AO135" i="104"/>
  <c r="AO107" i="104"/>
  <c r="AO155" i="104"/>
  <c r="AC107" i="104"/>
  <c r="AC155" i="104"/>
  <c r="AC135" i="104"/>
  <c r="AN209" i="104"/>
  <c r="AN113" i="104"/>
  <c r="AN210" i="104"/>
  <c r="AK210" i="104" s="1"/>
  <c r="AN213" i="104"/>
  <c r="AK213" i="104" s="1"/>
  <c r="AZ135" i="104"/>
  <c r="AZ96" i="104"/>
  <c r="AZ107" i="104"/>
  <c r="AZ95" i="104"/>
  <c r="AZ155" i="104"/>
  <c r="AZ209" i="103"/>
  <c r="AZ113" i="103"/>
  <c r="AZ210" i="103"/>
  <c r="AW210" i="103" s="1"/>
  <c r="AZ212" i="103"/>
  <c r="AZ213" i="103"/>
  <c r="AW213" i="103" s="1"/>
  <c r="AC140" i="103"/>
  <c r="AC138" i="103"/>
  <c r="AC144" i="103"/>
  <c r="BA212" i="103"/>
  <c r="BA113" i="103"/>
  <c r="BA209" i="103"/>
  <c r="BA211" i="103"/>
  <c r="AN209" i="103"/>
  <c r="AN113" i="103"/>
  <c r="AN210" i="103"/>
  <c r="AK210" i="103" s="1"/>
  <c r="AN212" i="103"/>
  <c r="AN213" i="103"/>
  <c r="AK213" i="103" s="1"/>
  <c r="AZ144" i="103"/>
  <c r="AZ146" i="103" s="1"/>
  <c r="AZ140" i="103"/>
  <c r="AZ142" i="103" s="1"/>
  <c r="AB113" i="103"/>
  <c r="AB209" i="103"/>
  <c r="AB210" i="103"/>
  <c r="Y210" i="103" s="1"/>
  <c r="AB212" i="103"/>
  <c r="AB213" i="103"/>
  <c r="Y213" i="103" s="1"/>
  <c r="AB144" i="103"/>
  <c r="AB146" i="103" s="1"/>
  <c r="AB140" i="103"/>
  <c r="AB142" i="103" s="1"/>
  <c r="AN140" i="103"/>
  <c r="AN142" i="103" s="1"/>
  <c r="AN144" i="103"/>
  <c r="AN146" i="103" s="1"/>
  <c r="AO107" i="103"/>
  <c r="AO155" i="103"/>
  <c r="AO135" i="103"/>
  <c r="AC211" i="103"/>
  <c r="AC113" i="103"/>
  <c r="AC212" i="103"/>
  <c r="AC209" i="103"/>
  <c r="BA144" i="103"/>
  <c r="BA140" i="103"/>
  <c r="BA138" i="103"/>
  <c r="AK307" i="106"/>
  <c r="BG304" i="107"/>
  <c r="BD304" i="107"/>
  <c r="BC304" i="107"/>
  <c r="BB304" i="107"/>
  <c r="BE304" i="107"/>
  <c r="AY304" i="107"/>
  <c r="AZ304" i="107"/>
  <c r="BA304" i="107"/>
  <c r="BF304" i="107"/>
  <c r="AG154" i="107"/>
  <c r="AN243" i="107"/>
  <c r="AM243" i="107"/>
  <c r="AS154" i="107"/>
  <c r="BE154" i="107"/>
  <c r="AM304" i="107"/>
  <c r="AT304" i="107"/>
  <c r="AS304" i="107"/>
  <c r="AR304" i="107"/>
  <c r="AU304" i="107"/>
  <c r="AO304" i="107"/>
  <c r="AP304" i="107"/>
  <c r="AQ304" i="107"/>
  <c r="AN304" i="107"/>
  <c r="AA243" i="107"/>
  <c r="Y243" i="107" s="1"/>
  <c r="AK244" i="106"/>
  <c r="AY243" i="107"/>
  <c r="AW243" i="107" s="1"/>
  <c r="AC304" i="107"/>
  <c r="AD304" i="107"/>
  <c r="AI304" i="107"/>
  <c r="AB304" i="107"/>
  <c r="AE304" i="107"/>
  <c r="AH304" i="107"/>
  <c r="AG304" i="107"/>
  <c r="AA304" i="107"/>
  <c r="AF304" i="107"/>
  <c r="AK306" i="106"/>
  <c r="BE154" i="106"/>
  <c r="AK305" i="106"/>
  <c r="AS154" i="106"/>
  <c r="AG154" i="106"/>
  <c r="AW306" i="106"/>
  <c r="Y307" i="106"/>
  <c r="AK245" i="104"/>
  <c r="AK307" i="105"/>
  <c r="BA146" i="106"/>
  <c r="BA142" i="106"/>
  <c r="BA200" i="106" s="1"/>
  <c r="Y305" i="106"/>
  <c r="AW305" i="106"/>
  <c r="BA167" i="106"/>
  <c r="BA169" i="106" s="1"/>
  <c r="BA121" i="106"/>
  <c r="BA117" i="106"/>
  <c r="BE154" i="105"/>
  <c r="Y307" i="105"/>
  <c r="AK307" i="103"/>
  <c r="AY243" i="105"/>
  <c r="AW243" i="105" s="1"/>
  <c r="AA243" i="105"/>
  <c r="Y243" i="105" s="1"/>
  <c r="AC198" i="105"/>
  <c r="AY304" i="105"/>
  <c r="AZ304" i="105"/>
  <c r="BF304" i="105"/>
  <c r="BD304" i="105"/>
  <c r="BG304" i="105"/>
  <c r="BA304" i="105"/>
  <c r="BB304" i="105"/>
  <c r="BC304" i="105"/>
  <c r="BE304" i="105"/>
  <c r="AG304" i="105"/>
  <c r="AH304" i="105"/>
  <c r="AI304" i="105"/>
  <c r="AB304" i="105"/>
  <c r="AC304" i="105"/>
  <c r="AE304" i="105"/>
  <c r="AF304" i="105"/>
  <c r="AA304" i="105"/>
  <c r="AD304" i="105"/>
  <c r="AG154" i="105"/>
  <c r="AS154" i="105"/>
  <c r="AG154" i="104"/>
  <c r="AW306" i="104"/>
  <c r="AK244" i="104"/>
  <c r="AK265" i="104"/>
  <c r="Y305" i="104"/>
  <c r="AK307" i="104"/>
  <c r="Y307" i="104"/>
  <c r="AK305" i="104"/>
  <c r="BE154" i="104"/>
  <c r="AS154" i="104"/>
  <c r="AW305" i="104"/>
  <c r="AK306" i="104"/>
  <c r="AK268" i="104"/>
  <c r="BD304" i="103"/>
  <c r="AY304" i="103"/>
  <c r="AZ304" i="103"/>
  <c r="BF304" i="103"/>
  <c r="BE304" i="103"/>
  <c r="BG304" i="103"/>
  <c r="BB304" i="103"/>
  <c r="BA304" i="103"/>
  <c r="BC304" i="103"/>
  <c r="AT304" i="103"/>
  <c r="AR304" i="103"/>
  <c r="AU304" i="103"/>
  <c r="AP304" i="103"/>
  <c r="AN304" i="103"/>
  <c r="AQ304" i="103"/>
  <c r="AS304" i="103"/>
  <c r="AM304" i="103"/>
  <c r="AO304" i="103"/>
  <c r="AG304" i="103"/>
  <c r="AI304" i="103"/>
  <c r="AD304" i="103"/>
  <c r="AB304" i="103"/>
  <c r="AC304" i="103"/>
  <c r="AE304" i="103"/>
  <c r="AF304" i="103"/>
  <c r="AA304" i="103"/>
  <c r="AH304" i="103"/>
  <c r="BE154" i="103"/>
  <c r="AS154" i="103"/>
  <c r="AY243" i="103"/>
  <c r="AW243" i="103" s="1"/>
  <c r="AM243" i="103"/>
  <c r="AN243" i="103"/>
  <c r="AA243" i="103"/>
  <c r="Y243" i="103" s="1"/>
  <c r="AG154" i="103"/>
  <c r="Q110" i="55"/>
  <c r="P131" i="55"/>
  <c r="P132" i="55" s="1"/>
  <c r="I208" i="24"/>
  <c r="J208" i="24" s="1"/>
  <c r="K208" i="24" s="1"/>
  <c r="L208" i="24" s="1"/>
  <c r="M208" i="24" s="1"/>
  <c r="N208" i="24" s="1"/>
  <c r="O208" i="24" s="1"/>
  <c r="P208" i="24" s="1"/>
  <c r="AN140" i="104" l="1"/>
  <c r="AN142" i="104" s="1"/>
  <c r="AN212" i="104"/>
  <c r="BA107" i="104"/>
  <c r="BA113" i="104" s="1"/>
  <c r="BA209" i="104"/>
  <c r="AO216" i="107"/>
  <c r="AO146" i="107"/>
  <c r="AO142" i="107"/>
  <c r="AO200" i="107" s="1"/>
  <c r="BA216" i="107"/>
  <c r="AC216" i="107"/>
  <c r="AO167" i="107"/>
  <c r="AO169" i="107" s="1"/>
  <c r="AO121" i="107"/>
  <c r="AO117" i="107"/>
  <c r="AO198" i="107" s="1"/>
  <c r="AZ216" i="107"/>
  <c r="Y304" i="107"/>
  <c r="BA117" i="107"/>
  <c r="BA198" i="107" s="1"/>
  <c r="BA167" i="107"/>
  <c r="BA169" i="107" s="1"/>
  <c r="BA121" i="107"/>
  <c r="AZ121" i="107"/>
  <c r="AZ117" i="107"/>
  <c r="AZ198" i="107" s="1"/>
  <c r="AZ167" i="107"/>
  <c r="AZ169" i="107" s="1"/>
  <c r="AB121" i="107"/>
  <c r="AB167" i="107"/>
  <c r="AB169" i="107" s="1"/>
  <c r="AB117" i="107"/>
  <c r="AB198" i="107" s="1"/>
  <c r="AC142" i="107"/>
  <c r="AC200" i="107" s="1"/>
  <c r="AC146" i="107"/>
  <c r="BA146" i="107"/>
  <c r="BA142" i="107"/>
  <c r="BA200" i="107" s="1"/>
  <c r="AB216" i="107"/>
  <c r="AC167" i="107"/>
  <c r="AC169" i="107" s="1"/>
  <c r="AC121" i="107"/>
  <c r="AC117" i="107"/>
  <c r="AC198" i="107" s="1"/>
  <c r="AO212" i="106"/>
  <c r="AO211" i="106"/>
  <c r="AO113" i="106"/>
  <c r="AO209" i="106"/>
  <c r="AO144" i="106"/>
  <c r="AO140" i="106"/>
  <c r="AO138" i="106"/>
  <c r="AB216" i="106"/>
  <c r="AN113" i="106"/>
  <c r="AN209" i="106"/>
  <c r="AN210" i="106"/>
  <c r="AK210" i="106" s="1"/>
  <c r="AN212" i="106"/>
  <c r="AN213" i="106"/>
  <c r="AK213" i="106" s="1"/>
  <c r="AB117" i="106"/>
  <c r="AB198" i="106" s="1"/>
  <c r="AB121" i="106"/>
  <c r="AB167" i="106"/>
  <c r="AB169" i="106" s="1"/>
  <c r="AZ117" i="106"/>
  <c r="AZ198" i="106" s="1"/>
  <c r="AZ121" i="106"/>
  <c r="AZ167" i="106"/>
  <c r="AZ169" i="106" s="1"/>
  <c r="AC140" i="106"/>
  <c r="AC144" i="106"/>
  <c r="AC138" i="106"/>
  <c r="AC211" i="106"/>
  <c r="AC209" i="106"/>
  <c r="AC212" i="106"/>
  <c r="AC113" i="106"/>
  <c r="AN144" i="106"/>
  <c r="AN146" i="106" s="1"/>
  <c r="AN140" i="106"/>
  <c r="AN142" i="106" s="1"/>
  <c r="AZ216" i="106"/>
  <c r="BA216" i="105"/>
  <c r="AB216" i="105"/>
  <c r="BA142" i="105"/>
  <c r="BA200" i="105" s="1"/>
  <c r="BA146" i="105"/>
  <c r="BA117" i="105"/>
  <c r="BA198" i="105" s="1"/>
  <c r="BA121" i="105"/>
  <c r="BA167" i="105"/>
  <c r="BA169" i="105" s="1"/>
  <c r="AO144" i="105"/>
  <c r="AO138" i="105"/>
  <c r="AO140" i="105"/>
  <c r="AZ216" i="105"/>
  <c r="AN121" i="105"/>
  <c r="AN117" i="105"/>
  <c r="AN198" i="105" s="1"/>
  <c r="AN167" i="105"/>
  <c r="AN169" i="105" s="1"/>
  <c r="AB121" i="105"/>
  <c r="AB117" i="105"/>
  <c r="AB198" i="105" s="1"/>
  <c r="AB167" i="105"/>
  <c r="AB169" i="105" s="1"/>
  <c r="AZ167" i="105"/>
  <c r="AZ169" i="105" s="1"/>
  <c r="AZ121" i="105"/>
  <c r="AZ117" i="105"/>
  <c r="AZ198" i="105" s="1"/>
  <c r="AO209" i="105"/>
  <c r="AO113" i="105"/>
  <c r="AO211" i="105"/>
  <c r="AO212" i="105"/>
  <c r="AN216" i="105"/>
  <c r="BA155" i="104"/>
  <c r="BA135" i="104"/>
  <c r="AC113" i="104"/>
  <c r="AC211" i="104"/>
  <c r="AC212" i="104"/>
  <c r="AC209" i="104"/>
  <c r="AB140" i="104"/>
  <c r="AB142" i="104" s="1"/>
  <c r="AB144" i="104"/>
  <c r="AB146" i="104" s="1"/>
  <c r="AZ113" i="104"/>
  <c r="AZ209" i="104"/>
  <c r="AZ210" i="104"/>
  <c r="AW210" i="104" s="1"/>
  <c r="AZ213" i="104"/>
  <c r="AW213" i="104" s="1"/>
  <c r="AZ212" i="104"/>
  <c r="AB209" i="104"/>
  <c r="AB113" i="104"/>
  <c r="AB210" i="104"/>
  <c r="Y210" i="104" s="1"/>
  <c r="AB212" i="104"/>
  <c r="AB213" i="104"/>
  <c r="Y213" i="104" s="1"/>
  <c r="AZ140" i="104"/>
  <c r="AZ142" i="104" s="1"/>
  <c r="AZ144" i="104"/>
  <c r="AZ146" i="104" s="1"/>
  <c r="AN167" i="104"/>
  <c r="AN169" i="104" s="1"/>
  <c r="AN117" i="104"/>
  <c r="AN198" i="104" s="1"/>
  <c r="AN121" i="104"/>
  <c r="AC140" i="104"/>
  <c r="AC144" i="104"/>
  <c r="AC138" i="104"/>
  <c r="AO113" i="104"/>
  <c r="AO209" i="104"/>
  <c r="AO211" i="104"/>
  <c r="AO212" i="104"/>
  <c r="AN216" i="104"/>
  <c r="AO144" i="104"/>
  <c r="AO140" i="104"/>
  <c r="AO138" i="104"/>
  <c r="AZ216" i="103"/>
  <c r="BA146" i="103"/>
  <c r="BA142" i="103"/>
  <c r="BA200" i="103" s="1"/>
  <c r="AB121" i="103"/>
  <c r="AB117" i="103"/>
  <c r="AB198" i="103" s="1"/>
  <c r="AB167" i="103"/>
  <c r="AB169" i="103" s="1"/>
  <c r="BA121" i="103"/>
  <c r="BA117" i="103"/>
  <c r="BA198" i="103" s="1"/>
  <c r="BA167" i="103"/>
  <c r="BA169" i="103" s="1"/>
  <c r="AZ121" i="103"/>
  <c r="AZ117" i="103"/>
  <c r="AZ198" i="103" s="1"/>
  <c r="AZ167" i="103"/>
  <c r="AZ169" i="103" s="1"/>
  <c r="AC167" i="103"/>
  <c r="AC169" i="103" s="1"/>
  <c r="AC121" i="103"/>
  <c r="AC117" i="103"/>
  <c r="AC198" i="103" s="1"/>
  <c r="AO209" i="103"/>
  <c r="AO113" i="103"/>
  <c r="AO211" i="103"/>
  <c r="AO212" i="103"/>
  <c r="AB216" i="103"/>
  <c r="AN121" i="103"/>
  <c r="AN117" i="103"/>
  <c r="AN198" i="103" s="1"/>
  <c r="AN167" i="103"/>
  <c r="AN169" i="103" s="1"/>
  <c r="AC216" i="103"/>
  <c r="AO144" i="103"/>
  <c r="AO140" i="103"/>
  <c r="AO138" i="103"/>
  <c r="AN216" i="103"/>
  <c r="BA216" i="103"/>
  <c r="AC146" i="103"/>
  <c r="AC142" i="103"/>
  <c r="AC200" i="103" s="1"/>
  <c r="AK243" i="107"/>
  <c r="AW304" i="107"/>
  <c r="AK304" i="107"/>
  <c r="AS171" i="107"/>
  <c r="AS187" i="107" s="1"/>
  <c r="AS191" i="107" s="1"/>
  <c r="AS159" i="107"/>
  <c r="AS162" i="107"/>
  <c r="BE171" i="107"/>
  <c r="BE187" i="107" s="1"/>
  <c r="BE191" i="107" s="1"/>
  <c r="BE159" i="107"/>
  <c r="BE162" i="107"/>
  <c r="AG171" i="107"/>
  <c r="AG187" i="107" s="1"/>
  <c r="AG191" i="107" s="1"/>
  <c r="AG162" i="107"/>
  <c r="AG159" i="107"/>
  <c r="BF304" i="106"/>
  <c r="BD304" i="106"/>
  <c r="BG304" i="106"/>
  <c r="BB304" i="106"/>
  <c r="AZ304" i="106"/>
  <c r="BC304" i="106"/>
  <c r="BE304" i="106"/>
  <c r="AY304" i="106"/>
  <c r="BA304" i="106"/>
  <c r="AR304" i="106"/>
  <c r="AM304" i="106"/>
  <c r="AN304" i="106"/>
  <c r="AT304" i="106"/>
  <c r="AS304" i="106"/>
  <c r="AU304" i="106"/>
  <c r="AP304" i="106"/>
  <c r="AO304" i="106"/>
  <c r="AQ304" i="106"/>
  <c r="AG171" i="106"/>
  <c r="AG187" i="106" s="1"/>
  <c r="AG191" i="106" s="1"/>
  <c r="AG159" i="106"/>
  <c r="AG162" i="106"/>
  <c r="AA243" i="106"/>
  <c r="Y243" i="106" s="1"/>
  <c r="AS171" i="106"/>
  <c r="AS187" i="106" s="1"/>
  <c r="AS191" i="106" s="1"/>
  <c r="AS162" i="106"/>
  <c r="AS159" i="106"/>
  <c r="BE171" i="106"/>
  <c r="BE187" i="106" s="1"/>
  <c r="BE191" i="106" s="1"/>
  <c r="BE159" i="106"/>
  <c r="BE162" i="106"/>
  <c r="AH304" i="106"/>
  <c r="AB304" i="106"/>
  <c r="AI304" i="106"/>
  <c r="AD304" i="106"/>
  <c r="AF304" i="106"/>
  <c r="AE304" i="106"/>
  <c r="AG304" i="106"/>
  <c r="AA304" i="106"/>
  <c r="AC304" i="106"/>
  <c r="AY243" i="106"/>
  <c r="AW243" i="106" s="1"/>
  <c r="BA198" i="106"/>
  <c r="AN243" i="106"/>
  <c r="AM243" i="106"/>
  <c r="Y304" i="105"/>
  <c r="BE171" i="105"/>
  <c r="BE187" i="105" s="1"/>
  <c r="BE191" i="105" s="1"/>
  <c r="BE162" i="105"/>
  <c r="BE159" i="105"/>
  <c r="AG171" i="105"/>
  <c r="AG187" i="105" s="1"/>
  <c r="AG191" i="105" s="1"/>
  <c r="AG162" i="105"/>
  <c r="AG159" i="105"/>
  <c r="AW304" i="105"/>
  <c r="AK243" i="103"/>
  <c r="AK304" i="103"/>
  <c r="AM243" i="105"/>
  <c r="AN243" i="105"/>
  <c r="AS171" i="105"/>
  <c r="AS187" i="105" s="1"/>
  <c r="AS191" i="105" s="1"/>
  <c r="AS159" i="105"/>
  <c r="AS162" i="105"/>
  <c r="AT304" i="105"/>
  <c r="AQ304" i="105"/>
  <c r="AN304" i="105"/>
  <c r="AU304" i="105"/>
  <c r="AS304" i="105"/>
  <c r="AR304" i="105"/>
  <c r="AP304" i="105"/>
  <c r="AO304" i="105"/>
  <c r="AM304" i="105"/>
  <c r="BA167" i="104"/>
  <c r="BA169" i="104" s="1"/>
  <c r="BA121" i="104"/>
  <c r="BA117" i="104"/>
  <c r="AU304" i="104"/>
  <c r="AP304" i="104"/>
  <c r="AQ304" i="104"/>
  <c r="AN304" i="104"/>
  <c r="AS304" i="104"/>
  <c r="AM304" i="104"/>
  <c r="AT304" i="104"/>
  <c r="AO304" i="104"/>
  <c r="AR304" i="104"/>
  <c r="AS171" i="104"/>
  <c r="AS187" i="104" s="1"/>
  <c r="AS191" i="104" s="1"/>
  <c r="AS162" i="104"/>
  <c r="AS159" i="104"/>
  <c r="AA243" i="104"/>
  <c r="Y243" i="104" s="1"/>
  <c r="AG171" i="104"/>
  <c r="AG187" i="104" s="1"/>
  <c r="AG191" i="104" s="1"/>
  <c r="AG162" i="104"/>
  <c r="AG159" i="104"/>
  <c r="BE171" i="104"/>
  <c r="BE187" i="104" s="1"/>
  <c r="BE191" i="104" s="1"/>
  <c r="BE162" i="104"/>
  <c r="BE159" i="104"/>
  <c r="AG304" i="104"/>
  <c r="AD304" i="104"/>
  <c r="AI304" i="104"/>
  <c r="AC304" i="104"/>
  <c r="AB304" i="104"/>
  <c r="AE304" i="104"/>
  <c r="AH304" i="104"/>
  <c r="AA304" i="104"/>
  <c r="AF304" i="104"/>
  <c r="AM243" i="104"/>
  <c r="AN243" i="104"/>
  <c r="BE171" i="103"/>
  <c r="BE187" i="103" s="1"/>
  <c r="BE191" i="103" s="1"/>
  <c r="BE159" i="103"/>
  <c r="BE162" i="103"/>
  <c r="AW304" i="103"/>
  <c r="AG171" i="103"/>
  <c r="AG187" i="103" s="1"/>
  <c r="AG191" i="103" s="1"/>
  <c r="AG162" i="103"/>
  <c r="AG159" i="103"/>
  <c r="AS171" i="103"/>
  <c r="AS187" i="103" s="1"/>
  <c r="AS191" i="103" s="1"/>
  <c r="AS159" i="103"/>
  <c r="AS162" i="103"/>
  <c r="Y304" i="103"/>
  <c r="Q208" i="24"/>
  <c r="AZ216" i="104" l="1"/>
  <c r="AC216" i="106"/>
  <c r="AO216" i="106"/>
  <c r="AO216" i="105"/>
  <c r="AO167" i="106"/>
  <c r="AO169" i="106" s="1"/>
  <c r="AO121" i="106"/>
  <c r="AO117" i="106"/>
  <c r="AO198" i="106" s="1"/>
  <c r="AO146" i="106"/>
  <c r="AO142" i="106"/>
  <c r="AO200" i="106" s="1"/>
  <c r="AK243" i="106"/>
  <c r="AC117" i="106"/>
  <c r="AC198" i="106" s="1"/>
  <c r="AC121" i="106"/>
  <c r="AC167" i="106"/>
  <c r="AC169" i="106" s="1"/>
  <c r="AC142" i="106"/>
  <c r="AC200" i="106" s="1"/>
  <c r="AC146" i="106"/>
  <c r="AN216" i="106"/>
  <c r="AN121" i="106"/>
  <c r="AN167" i="106"/>
  <c r="AN169" i="106" s="1"/>
  <c r="AN117" i="106"/>
  <c r="AN198" i="106" s="1"/>
  <c r="AO117" i="105"/>
  <c r="AO198" i="105" s="1"/>
  <c r="AO167" i="105"/>
  <c r="AO169" i="105" s="1"/>
  <c r="AO121" i="105"/>
  <c r="AO142" i="105"/>
  <c r="AO200" i="105" s="1"/>
  <c r="AO146" i="105"/>
  <c r="AC216" i="104"/>
  <c r="AB216" i="104"/>
  <c r="BA138" i="104"/>
  <c r="BA144" i="104"/>
  <c r="BA212" i="104"/>
  <c r="BA140" i="104"/>
  <c r="BA211" i="104"/>
  <c r="AC146" i="104"/>
  <c r="AC142" i="104"/>
  <c r="AC200" i="104" s="1"/>
  <c r="AZ167" i="104"/>
  <c r="AZ169" i="104" s="1"/>
  <c r="AZ117" i="104"/>
  <c r="AZ198" i="104" s="1"/>
  <c r="AZ121" i="104"/>
  <c r="AO121" i="104"/>
  <c r="AO117" i="104"/>
  <c r="AO198" i="104" s="1"/>
  <c r="AO167" i="104"/>
  <c r="AO169" i="104" s="1"/>
  <c r="AO142" i="104"/>
  <c r="AO200" i="104" s="1"/>
  <c r="AO146" i="104"/>
  <c r="AO216" i="104"/>
  <c r="AB167" i="104"/>
  <c r="AB169" i="104" s="1"/>
  <c r="AB121" i="104"/>
  <c r="AB117" i="104"/>
  <c r="AB198" i="104" s="1"/>
  <c r="AC117" i="104"/>
  <c r="AC198" i="104" s="1"/>
  <c r="AC167" i="104"/>
  <c r="AC169" i="104" s="1"/>
  <c r="AC121" i="104"/>
  <c r="AO117" i="103"/>
  <c r="AO198" i="103" s="1"/>
  <c r="AO167" i="103"/>
  <c r="AO169" i="103" s="1"/>
  <c r="AO121" i="103"/>
  <c r="AO142" i="103"/>
  <c r="AO200" i="103" s="1"/>
  <c r="AO146" i="103"/>
  <c r="AO216" i="103"/>
  <c r="AW304" i="106"/>
  <c r="BE13" i="107"/>
  <c r="BG308" i="107"/>
  <c r="BA308" i="107"/>
  <c r="BB308" i="107"/>
  <c r="BC308" i="107"/>
  <c r="AZ308" i="107"/>
  <c r="AY308" i="107"/>
  <c r="BF308" i="107"/>
  <c r="BE308" i="107"/>
  <c r="BD308" i="107"/>
  <c r="AS13" i="107"/>
  <c r="AU308" i="107"/>
  <c r="AN308" i="107"/>
  <c r="AQ308" i="107"/>
  <c r="AT308" i="107"/>
  <c r="AS308" i="107"/>
  <c r="AM308" i="107"/>
  <c r="AR308" i="107"/>
  <c r="AO308" i="107"/>
  <c r="AP308" i="107"/>
  <c r="Y304" i="106"/>
  <c r="AG12" i="107"/>
  <c r="AG202" i="107"/>
  <c r="AG204" i="107" s="1"/>
  <c r="BE12" i="107"/>
  <c r="BE202" i="107"/>
  <c r="BE204" i="107" s="1"/>
  <c r="AS12" i="107"/>
  <c r="AS202" i="107"/>
  <c r="AS204" i="107" s="1"/>
  <c r="AG13" i="107"/>
  <c r="AI308" i="107"/>
  <c r="AC308" i="107"/>
  <c r="AH308" i="107"/>
  <c r="AE308" i="107"/>
  <c r="AF308" i="107"/>
  <c r="AA308" i="107"/>
  <c r="AD308" i="107"/>
  <c r="AG308" i="107"/>
  <c r="AB308" i="107"/>
  <c r="BE13" i="106"/>
  <c r="BG308" i="106"/>
  <c r="BA308" i="106"/>
  <c r="BD308" i="106"/>
  <c r="BC308" i="106"/>
  <c r="BB308" i="106"/>
  <c r="AY308" i="106"/>
  <c r="AZ308" i="106"/>
  <c r="BE308" i="106"/>
  <c r="BF308" i="106"/>
  <c r="AS13" i="106"/>
  <c r="AS308" i="106"/>
  <c r="AM308" i="106"/>
  <c r="AT308" i="106"/>
  <c r="AO308" i="106"/>
  <c r="AR308" i="106"/>
  <c r="AU308" i="106"/>
  <c r="AP308" i="106"/>
  <c r="AQ308" i="106"/>
  <c r="AN308" i="106"/>
  <c r="BE202" i="106"/>
  <c r="BE204" i="106" s="1"/>
  <c r="BE12" i="106"/>
  <c r="AG13" i="106"/>
  <c r="AG308" i="106"/>
  <c r="AD308" i="106"/>
  <c r="AI308" i="106"/>
  <c r="AC308" i="106"/>
  <c r="AB308" i="106"/>
  <c r="AE308" i="106"/>
  <c r="AH308" i="106"/>
  <c r="AA308" i="106"/>
  <c r="AF308" i="106"/>
  <c r="AG202" i="106"/>
  <c r="AG204" i="106" s="1"/>
  <c r="AG12" i="106"/>
  <c r="AS12" i="106"/>
  <c r="AS202" i="106"/>
  <c r="AS204" i="106" s="1"/>
  <c r="AK304" i="106"/>
  <c r="AS12" i="105"/>
  <c r="AS202" i="105"/>
  <c r="AS204" i="105" s="1"/>
  <c r="AK243" i="105"/>
  <c r="BE12" i="105"/>
  <c r="BE202" i="105"/>
  <c r="BE204" i="105" s="1"/>
  <c r="AK304" i="105"/>
  <c r="AG202" i="105"/>
  <c r="AG204" i="105" s="1"/>
  <c r="AG12" i="105"/>
  <c r="BE13" i="105"/>
  <c r="AY308" i="105"/>
  <c r="BF308" i="105"/>
  <c r="BE308" i="105"/>
  <c r="BD308" i="105"/>
  <c r="BG308" i="105"/>
  <c r="BA308" i="105"/>
  <c r="BB308" i="105"/>
  <c r="BC308" i="105"/>
  <c r="AZ308" i="105"/>
  <c r="AG13" i="105"/>
  <c r="AG308" i="105"/>
  <c r="AH308" i="105"/>
  <c r="AI308" i="105"/>
  <c r="AC308" i="105"/>
  <c r="AD308" i="105"/>
  <c r="AE308" i="105"/>
  <c r="AF308" i="105"/>
  <c r="AA308" i="105"/>
  <c r="AB308" i="105"/>
  <c r="AS13" i="105"/>
  <c r="AO308" i="105"/>
  <c r="AP308" i="105"/>
  <c r="AU308" i="105"/>
  <c r="AT308" i="105"/>
  <c r="AQ308" i="105"/>
  <c r="AR308" i="105"/>
  <c r="AS308" i="105"/>
  <c r="AM308" i="105"/>
  <c r="AN308" i="105"/>
  <c r="BE12" i="104"/>
  <c r="BE202" i="104"/>
  <c r="BE204" i="104" s="1"/>
  <c r="AG13" i="104"/>
  <c r="AI308" i="104"/>
  <c r="AC308" i="104"/>
  <c r="AD308" i="104"/>
  <c r="AE308" i="104"/>
  <c r="AB308" i="104"/>
  <c r="AA308" i="104"/>
  <c r="AH308" i="104"/>
  <c r="AG308" i="104"/>
  <c r="AF308" i="104"/>
  <c r="BE13" i="104"/>
  <c r="BC308" i="104"/>
  <c r="BD308" i="104"/>
  <c r="AY308" i="104"/>
  <c r="BB308" i="104"/>
  <c r="BE308" i="104"/>
  <c r="AZ308" i="104"/>
  <c r="BG308" i="104"/>
  <c r="BA308" i="104"/>
  <c r="BF308" i="104"/>
  <c r="AY243" i="104"/>
  <c r="AW243" i="104" s="1"/>
  <c r="BA198" i="104"/>
  <c r="AS12" i="104"/>
  <c r="AS202" i="104"/>
  <c r="AS204" i="104" s="1"/>
  <c r="AK304" i="104"/>
  <c r="BC304" i="104"/>
  <c r="BB304" i="104"/>
  <c r="AY304" i="104"/>
  <c r="AZ304" i="104"/>
  <c r="BE304" i="104"/>
  <c r="BF304" i="104"/>
  <c r="BG304" i="104"/>
  <c r="BA304" i="104"/>
  <c r="BD304" i="104"/>
  <c r="AK243" i="104"/>
  <c r="Y304" i="104"/>
  <c r="AG12" i="104"/>
  <c r="AG202" i="104"/>
  <c r="AG204" i="104" s="1"/>
  <c r="AS13" i="104"/>
  <c r="AQ308" i="104"/>
  <c r="AP308" i="104"/>
  <c r="AS308" i="104"/>
  <c r="AM308" i="104"/>
  <c r="AN308" i="104"/>
  <c r="AO308" i="104"/>
  <c r="AT308" i="104"/>
  <c r="AU308" i="104"/>
  <c r="AR308" i="104"/>
  <c r="BE13" i="103"/>
  <c r="AY308" i="103"/>
  <c r="BD308" i="103"/>
  <c r="BE308" i="103"/>
  <c r="BB308" i="103"/>
  <c r="BG308" i="103"/>
  <c r="AZ308" i="103"/>
  <c r="BA308" i="103"/>
  <c r="BC308" i="103"/>
  <c r="BF308" i="103"/>
  <c r="AG12" i="103"/>
  <c r="AG202" i="103"/>
  <c r="AG204" i="103" s="1"/>
  <c r="AS13" i="103"/>
  <c r="AS308" i="103"/>
  <c r="AM308" i="103"/>
  <c r="AP308" i="103"/>
  <c r="AO308" i="103"/>
  <c r="AN308" i="103"/>
  <c r="AU308" i="103"/>
  <c r="AT308" i="103"/>
  <c r="AQ308" i="103"/>
  <c r="AR308" i="103"/>
  <c r="AG13" i="103"/>
  <c r="AI308" i="103"/>
  <c r="AC308" i="103"/>
  <c r="AF308" i="103"/>
  <c r="AE308" i="103"/>
  <c r="AD308" i="103"/>
  <c r="AA308" i="103"/>
  <c r="AB308" i="103"/>
  <c r="AG308" i="103"/>
  <c r="AH308" i="103"/>
  <c r="BE12" i="103"/>
  <c r="BE202" i="103"/>
  <c r="BE204" i="103" s="1"/>
  <c r="AS12" i="103"/>
  <c r="AS202" i="103"/>
  <c r="AS204" i="103" s="1"/>
  <c r="AH107" i="24"/>
  <c r="AG107" i="24"/>
  <c r="J107" i="24"/>
  <c r="I107" i="24"/>
  <c r="K81" i="24"/>
  <c r="L81" i="24"/>
  <c r="M81" i="24"/>
  <c r="N81" i="24"/>
  <c r="R81" i="24"/>
  <c r="S81" i="24"/>
  <c r="W81" i="24"/>
  <c r="X81" i="24"/>
  <c r="Y81" i="24"/>
  <c r="Z81" i="24"/>
  <c r="AA81" i="24"/>
  <c r="AB81" i="24"/>
  <c r="AC81" i="24"/>
  <c r="AD81" i="24"/>
  <c r="AD102" i="24" s="1"/>
  <c r="AE81" i="24"/>
  <c r="AE102" i="24" s="1"/>
  <c r="AF81" i="24"/>
  <c r="AG81" i="24"/>
  <c r="AH81" i="24"/>
  <c r="R88" i="24"/>
  <c r="S88" i="24"/>
  <c r="U88" i="24"/>
  <c r="W88" i="24"/>
  <c r="X88" i="24"/>
  <c r="Y88" i="24"/>
  <c r="Z88" i="24"/>
  <c r="AA88" i="24"/>
  <c r="AB88" i="24"/>
  <c r="AC88" i="24"/>
  <c r="AD88" i="24"/>
  <c r="AE88" i="24"/>
  <c r="AF88" i="24"/>
  <c r="R89" i="24"/>
  <c r="S89" i="24"/>
  <c r="U89" i="24"/>
  <c r="W89" i="24"/>
  <c r="X89" i="24"/>
  <c r="Y89" i="24"/>
  <c r="Z89" i="24"/>
  <c r="AA89" i="24"/>
  <c r="AB89" i="24"/>
  <c r="AC89" i="24"/>
  <c r="AD89" i="24"/>
  <c r="AE89" i="24"/>
  <c r="AF89" i="24"/>
  <c r="R90" i="24"/>
  <c r="S90" i="24"/>
  <c r="U90" i="24"/>
  <c r="W90" i="24"/>
  <c r="X90" i="24"/>
  <c r="Y90" i="24"/>
  <c r="Z90" i="24"/>
  <c r="AA90" i="24"/>
  <c r="AB90" i="24"/>
  <c r="AC90" i="24"/>
  <c r="AD90" i="24"/>
  <c r="AE90" i="24"/>
  <c r="AF90" i="24"/>
  <c r="L101" i="24"/>
  <c r="Q101" i="24"/>
  <c r="S101" i="24"/>
  <c r="AM81" i="107" l="1"/>
  <c r="AM221" i="107" s="1"/>
  <c r="O81" i="107"/>
  <c r="O221" i="107" s="1"/>
  <c r="AY81" i="106"/>
  <c r="AY221" i="106" s="1"/>
  <c r="AA81" i="106"/>
  <c r="AA221" i="106" s="1"/>
  <c r="AM81" i="105"/>
  <c r="AM221" i="105" s="1"/>
  <c r="O81" i="105"/>
  <c r="O221" i="105" s="1"/>
  <c r="AY81" i="104"/>
  <c r="AY221" i="104" s="1"/>
  <c r="AA81" i="104"/>
  <c r="AA221" i="104" s="1"/>
  <c r="AY81" i="107"/>
  <c r="AY221" i="107" s="1"/>
  <c r="AA81" i="107"/>
  <c r="AA221" i="107" s="1"/>
  <c r="AM81" i="106"/>
  <c r="AM221" i="106" s="1"/>
  <c r="O81" i="106"/>
  <c r="O221" i="106" s="1"/>
  <c r="AM81" i="103"/>
  <c r="AM221" i="103" s="1"/>
  <c r="O81" i="103"/>
  <c r="O221" i="103" s="1"/>
  <c r="AA81" i="103"/>
  <c r="AA221" i="103" s="1"/>
  <c r="AY81" i="105"/>
  <c r="AY221" i="105" s="1"/>
  <c r="AA81" i="105"/>
  <c r="AA221" i="105" s="1"/>
  <c r="AM81" i="104"/>
  <c r="AM221" i="104" s="1"/>
  <c r="O81" i="104"/>
  <c r="O221" i="104" s="1"/>
  <c r="AY81" i="103"/>
  <c r="AY221" i="103" s="1"/>
  <c r="AA132" i="105"/>
  <c r="AM132" i="103"/>
  <c r="AA132" i="103"/>
  <c r="O132" i="107"/>
  <c r="O132" i="105"/>
  <c r="O132" i="104"/>
  <c r="O132" i="103"/>
  <c r="AA132" i="106"/>
  <c r="AA132" i="107"/>
  <c r="AM132" i="107"/>
  <c r="AY132" i="107"/>
  <c r="O132" i="106"/>
  <c r="AM132" i="106"/>
  <c r="AM132" i="104"/>
  <c r="AY132" i="106"/>
  <c r="AY132" i="105"/>
  <c r="AM132" i="105"/>
  <c r="AY132" i="104"/>
  <c r="AA132" i="104"/>
  <c r="AY132" i="103"/>
  <c r="BA216" i="104"/>
  <c r="BA142" i="104"/>
  <c r="BA200" i="104" s="1"/>
  <c r="BA146" i="104"/>
  <c r="AW308" i="107"/>
  <c r="Y308" i="107"/>
  <c r="AK308" i="107"/>
  <c r="Y308" i="106"/>
  <c r="AW308" i="106"/>
  <c r="AK308" i="105"/>
  <c r="AK308" i="106"/>
  <c r="Y308" i="105"/>
  <c r="AW308" i="105"/>
  <c r="AW304" i="104"/>
  <c r="AW308" i="104"/>
  <c r="AK308" i="104"/>
  <c r="Y308" i="104"/>
  <c r="AK308" i="103"/>
  <c r="AW308" i="103"/>
  <c r="Y308" i="103"/>
  <c r="AM132" i="55"/>
  <c r="AY132" i="55"/>
  <c r="O132" i="55"/>
  <c r="AA132" i="55"/>
  <c r="AH93" i="24"/>
  <c r="N93" i="24"/>
  <c r="L93" i="24"/>
  <c r="S93" i="24"/>
  <c r="M93" i="24"/>
  <c r="AG93" i="24"/>
  <c r="Q102" i="24"/>
  <c r="L102" i="24"/>
  <c r="Z93" i="24"/>
  <c r="Z102" i="24"/>
  <c r="AB93" i="24"/>
  <c r="AB102" i="24"/>
  <c r="W93" i="24"/>
  <c r="W102" i="24"/>
  <c r="AA93" i="24"/>
  <c r="AA102" i="24"/>
  <c r="X93" i="24"/>
  <c r="X102" i="24"/>
  <c r="R93" i="24"/>
  <c r="R102" i="24"/>
  <c r="Y93" i="24"/>
  <c r="Y102" i="24"/>
  <c r="AE93" i="24"/>
  <c r="K93" i="24"/>
  <c r="K102" i="24"/>
  <c r="AF102" i="24"/>
  <c r="AF93" i="24"/>
  <c r="AD93" i="24"/>
  <c r="S102" i="24"/>
  <c r="AC93" i="24"/>
  <c r="AC102" i="24"/>
  <c r="AA199" i="106" l="1"/>
  <c r="AA133" i="106"/>
  <c r="AY199" i="105"/>
  <c r="AY133" i="105"/>
  <c r="AA199" i="104"/>
  <c r="AA133" i="104"/>
  <c r="AY199" i="106"/>
  <c r="AY133" i="106"/>
  <c r="AY199" i="107"/>
  <c r="AY133" i="107"/>
  <c r="O199" i="103"/>
  <c r="O133" i="103"/>
  <c r="AA199" i="103"/>
  <c r="AA133" i="103"/>
  <c r="AY199" i="103"/>
  <c r="AY133" i="103"/>
  <c r="AY199" i="104"/>
  <c r="AY133" i="104"/>
  <c r="AM199" i="104"/>
  <c r="AM133" i="104"/>
  <c r="AM199" i="107"/>
  <c r="AM133" i="107"/>
  <c r="O199" i="104"/>
  <c r="O133" i="104"/>
  <c r="AM199" i="103"/>
  <c r="AM133" i="103"/>
  <c r="O199" i="106"/>
  <c r="O133" i="106"/>
  <c r="O199" i="107"/>
  <c r="O133" i="107"/>
  <c r="AM199" i="105"/>
  <c r="AM133" i="105"/>
  <c r="AM199" i="106"/>
  <c r="AM133" i="106"/>
  <c r="AA199" i="107"/>
  <c r="AA133" i="107"/>
  <c r="O199" i="105"/>
  <c r="O133" i="105"/>
  <c r="AA199" i="105"/>
  <c r="AA133" i="105"/>
  <c r="I292" i="24"/>
  <c r="J292" i="24" s="1"/>
  <c r="K292" i="24" s="1"/>
  <c r="L292" i="24" s="1"/>
  <c r="M292" i="24" s="1"/>
  <c r="N292" i="24" s="1"/>
  <c r="O292" i="24" s="1"/>
  <c r="P292" i="24" s="1"/>
  <c r="Q292" i="24" s="1"/>
  <c r="R292" i="24" s="1"/>
  <c r="S292" i="24" s="1"/>
  <c r="T292" i="24" s="1"/>
  <c r="I284" i="24"/>
  <c r="J284" i="24" s="1"/>
  <c r="K284" i="24" s="1"/>
  <c r="L284" i="24" s="1"/>
  <c r="M284" i="24" s="1"/>
  <c r="N284" i="24" s="1"/>
  <c r="O284" i="24" s="1"/>
  <c r="P284" i="24" s="1"/>
  <c r="Q284" i="24" s="1"/>
  <c r="R284" i="24" s="1"/>
  <c r="S284" i="24" s="1"/>
  <c r="T284" i="24" s="1"/>
  <c r="I329" i="24" l="1"/>
  <c r="D462" i="24"/>
  <c r="I459" i="24"/>
  <c r="J459" i="24" s="1"/>
  <c r="K459" i="24" s="1"/>
  <c r="L459" i="24" s="1"/>
  <c r="M459" i="24" s="1"/>
  <c r="T451" i="24"/>
  <c r="T450" i="24"/>
  <c r="D450" i="24"/>
  <c r="D451" i="24" s="1"/>
  <c r="T449" i="24"/>
  <c r="S449" i="24"/>
  <c r="R449" i="24"/>
  <c r="Q449" i="24"/>
  <c r="P449" i="24"/>
  <c r="O449" i="24"/>
  <c r="N449" i="24"/>
  <c r="M449" i="24"/>
  <c r="L449" i="24"/>
  <c r="K449" i="24"/>
  <c r="J449" i="24"/>
  <c r="I449" i="24"/>
  <c r="I447" i="24"/>
  <c r="J447" i="24" s="1"/>
  <c r="K447" i="24" s="1"/>
  <c r="L447" i="24" s="1"/>
  <c r="M447" i="24" s="1"/>
  <c r="N447" i="24" s="1"/>
  <c r="O447" i="24" s="1"/>
  <c r="P447" i="24" s="1"/>
  <c r="Q447" i="24" s="1"/>
  <c r="R447" i="24" s="1"/>
  <c r="S447" i="24" s="1"/>
  <c r="T447" i="24" s="1"/>
  <c r="AF63" i="55" l="1"/>
  <c r="T63" i="55"/>
  <c r="BD63" i="55"/>
  <c r="AR63" i="55"/>
  <c r="D354" i="24"/>
  <c r="E354" i="24" s="1"/>
  <c r="D347" i="24"/>
  <c r="D348" i="24" s="1"/>
  <c r="D349" i="24" s="1"/>
  <c r="D350" i="24" s="1"/>
  <c r="D351" i="24" s="1"/>
  <c r="D340" i="24"/>
  <c r="D341" i="24" s="1"/>
  <c r="D342" i="24" s="1"/>
  <c r="D343" i="24" s="1"/>
  <c r="D344" i="24" s="1"/>
  <c r="T338" i="24"/>
  <c r="AH338" i="24" s="1"/>
  <c r="S338" i="24"/>
  <c r="AG338" i="24" s="1"/>
  <c r="R338" i="24"/>
  <c r="AF338" i="24" s="1"/>
  <c r="Q338" i="24"/>
  <c r="AE338" i="24" s="1"/>
  <c r="P338" i="24"/>
  <c r="AD338" i="24" s="1"/>
  <c r="O338" i="24"/>
  <c r="AC338" i="24" s="1"/>
  <c r="N338" i="24"/>
  <c r="AB338" i="24" s="1"/>
  <c r="M338" i="24"/>
  <c r="AA338" i="24" s="1"/>
  <c r="L338" i="24"/>
  <c r="Z338" i="24" s="1"/>
  <c r="K338" i="24"/>
  <c r="Y338" i="24" s="1"/>
  <c r="J338" i="24"/>
  <c r="X338" i="24" s="1"/>
  <c r="I338" i="24"/>
  <c r="I336" i="24"/>
  <c r="J336" i="24" s="1"/>
  <c r="K336" i="24" s="1"/>
  <c r="L336" i="24" s="1"/>
  <c r="M336" i="24" s="1"/>
  <c r="N336" i="24" s="1"/>
  <c r="O336" i="24" s="1"/>
  <c r="P336" i="24" s="1"/>
  <c r="Q336" i="24" s="1"/>
  <c r="R336" i="24" s="1"/>
  <c r="S336" i="24" s="1"/>
  <c r="T336" i="24" s="1"/>
  <c r="W338" i="24" l="1"/>
  <c r="E351" i="24"/>
  <c r="D352" i="24"/>
  <c r="E352" i="24" s="1"/>
  <c r="E344" i="24"/>
  <c r="D345" i="24"/>
  <c r="E345" i="24" s="1"/>
  <c r="AH355" i="24"/>
  <c r="AH354" i="24"/>
  <c r="AH356" i="24"/>
  <c r="AH358" i="24"/>
  <c r="Z342" i="24"/>
  <c r="W342" i="24"/>
  <c r="AA342" i="24"/>
  <c r="AC349" i="24"/>
  <c r="Z349" i="24"/>
  <c r="AB342" i="24"/>
  <c r="AD342" i="24"/>
  <c r="AC342" i="24"/>
  <c r="AF349" i="24"/>
  <c r="X342" i="24"/>
  <c r="AE349" i="24"/>
  <c r="AE342" i="24"/>
  <c r="AF342" i="24"/>
  <c r="AH342" i="24"/>
  <c r="AD349" i="24"/>
  <c r="AA349" i="24"/>
  <c r="Y342" i="24"/>
  <c r="AB349" i="24"/>
  <c r="Y349" i="24"/>
  <c r="W349" i="24"/>
  <c r="X349" i="24"/>
  <c r="AH348" i="24"/>
  <c r="AH347" i="24"/>
  <c r="AH344" i="24"/>
  <c r="AH340" i="24"/>
  <c r="AH341" i="24"/>
  <c r="AH349" i="24"/>
  <c r="AH351" i="24"/>
  <c r="D355" i="24"/>
  <c r="E349" i="24"/>
  <c r="E347" i="24"/>
  <c r="E350" i="24"/>
  <c r="E348" i="24"/>
  <c r="E343" i="24"/>
  <c r="E342" i="24"/>
  <c r="E341" i="24"/>
  <c r="E340" i="24"/>
  <c r="I49" i="24"/>
  <c r="J49" i="24" s="1"/>
  <c r="T68" i="24"/>
  <c r="S68" i="24"/>
  <c r="R68" i="24"/>
  <c r="Q68" i="24"/>
  <c r="P68" i="24"/>
  <c r="O68" i="24"/>
  <c r="N68" i="24"/>
  <c r="M68" i="24"/>
  <c r="L68" i="24"/>
  <c r="K68" i="24"/>
  <c r="J68" i="24"/>
  <c r="I68" i="24"/>
  <c r="E70" i="24"/>
  <c r="E71" i="24"/>
  <c r="E69" i="24"/>
  <c r="T62" i="24"/>
  <c r="S62" i="24"/>
  <c r="R62" i="24"/>
  <c r="Q62" i="24"/>
  <c r="P62" i="24"/>
  <c r="O62" i="24"/>
  <c r="N62" i="24"/>
  <c r="M62" i="24"/>
  <c r="L62" i="24"/>
  <c r="K62" i="24"/>
  <c r="J62" i="24"/>
  <c r="I62" i="24"/>
  <c r="I60" i="24"/>
  <c r="J60" i="24" s="1"/>
  <c r="K60" i="24" s="1"/>
  <c r="L60" i="24" s="1"/>
  <c r="M60" i="24" s="1"/>
  <c r="N60" i="24" s="1"/>
  <c r="O60" i="24" s="1"/>
  <c r="P60" i="24" s="1"/>
  <c r="Q60" i="24" s="1"/>
  <c r="R60" i="24" s="1"/>
  <c r="S60" i="24" s="1"/>
  <c r="T60" i="24" s="1"/>
  <c r="AA20" i="55"/>
  <c r="AA19" i="55"/>
  <c r="AA40" i="55" s="1"/>
  <c r="AA24" i="55"/>
  <c r="T469" i="24"/>
  <c r="S469" i="24"/>
  <c r="R469" i="24"/>
  <c r="Q469" i="24"/>
  <c r="P469" i="24"/>
  <c r="O469" i="24"/>
  <c r="N469" i="24"/>
  <c r="M469" i="24"/>
  <c r="L469" i="24"/>
  <c r="K469" i="24"/>
  <c r="J469" i="24"/>
  <c r="I469" i="24"/>
  <c r="I467" i="24"/>
  <c r="J467" i="24" s="1"/>
  <c r="K467" i="24" s="1"/>
  <c r="L467" i="24" s="1"/>
  <c r="M467" i="24" s="1"/>
  <c r="N467" i="24" s="1"/>
  <c r="O467" i="24" s="1"/>
  <c r="P467" i="24" s="1"/>
  <c r="Q467" i="24" s="1"/>
  <c r="R467" i="24" s="1"/>
  <c r="S467" i="24" s="1"/>
  <c r="T467" i="24" s="1"/>
  <c r="T296" i="24"/>
  <c r="S296" i="24"/>
  <c r="J94" i="23"/>
  <c r="J51" i="23"/>
  <c r="J189" i="23"/>
  <c r="J233" i="23"/>
  <c r="K95" i="23"/>
  <c r="J242" i="23"/>
  <c r="K176" i="23"/>
  <c r="K45" i="23"/>
  <c r="J121" i="23"/>
  <c r="J209" i="23"/>
  <c r="K53" i="23"/>
  <c r="K210" i="23"/>
  <c r="K232" i="23"/>
  <c r="K26" i="23"/>
  <c r="J47" i="23"/>
  <c r="J118" i="23"/>
  <c r="J196" i="23"/>
  <c r="K192" i="23"/>
  <c r="K239" i="23"/>
  <c r="K68" i="23"/>
  <c r="K226" i="23"/>
  <c r="J109" i="23"/>
  <c r="J219" i="23"/>
  <c r="J163" i="23"/>
  <c r="K148" i="23"/>
  <c r="J230" i="23"/>
  <c r="K123" i="23"/>
  <c r="J12" i="23"/>
  <c r="K33" i="23"/>
  <c r="J90" i="23"/>
  <c r="J111" i="23"/>
  <c r="K190" i="23"/>
  <c r="J220" i="23"/>
  <c r="J239" i="23"/>
  <c r="J241" i="23"/>
  <c r="K103" i="23"/>
  <c r="K189" i="23"/>
  <c r="J224" i="23"/>
  <c r="K124" i="23"/>
  <c r="J46" i="23"/>
  <c r="K135" i="23"/>
  <c r="J88" i="23"/>
  <c r="K178" i="23"/>
  <c r="K233" i="23"/>
  <c r="J41" i="23"/>
  <c r="K227" i="23"/>
  <c r="J26" i="23"/>
  <c r="K27" i="23"/>
  <c r="K106" i="23"/>
  <c r="J174" i="23"/>
  <c r="J161" i="23"/>
  <c r="J180" i="23"/>
  <c r="J124" i="23"/>
  <c r="J177" i="23"/>
  <c r="K96" i="23"/>
  <c r="J58" i="23"/>
  <c r="J50" i="23"/>
  <c r="K40" i="23"/>
  <c r="K32" i="23"/>
  <c r="J176" i="23"/>
  <c r="K137" i="23"/>
  <c r="K25" i="23"/>
  <c r="K195" i="23"/>
  <c r="J34" i="23"/>
  <c r="J204" i="23"/>
  <c r="K207" i="23"/>
  <c r="K44" i="23"/>
  <c r="K133" i="23"/>
  <c r="J160" i="23"/>
  <c r="J38" i="23"/>
  <c r="J123" i="23"/>
  <c r="K39" i="23"/>
  <c r="J221" i="23"/>
  <c r="J104" i="23"/>
  <c r="K69" i="23"/>
  <c r="K160" i="23"/>
  <c r="J110" i="23"/>
  <c r="K64" i="23"/>
  <c r="J96" i="23"/>
  <c r="K120" i="23"/>
  <c r="J218" i="23"/>
  <c r="J151" i="23"/>
  <c r="J158" i="23"/>
  <c r="J19" i="23"/>
  <c r="K206" i="23"/>
  <c r="K58" i="23"/>
  <c r="J70" i="23"/>
  <c r="K219" i="23"/>
  <c r="J44" i="23"/>
  <c r="K141" i="23"/>
  <c r="K90" i="23"/>
  <c r="J20" i="23"/>
  <c r="J69" i="23"/>
  <c r="J150" i="23"/>
  <c r="J105" i="23"/>
  <c r="K231" i="23"/>
  <c r="J173" i="23"/>
  <c r="J125" i="23"/>
  <c r="K35" i="23"/>
  <c r="K162" i="23"/>
  <c r="J107" i="23"/>
  <c r="K150" i="23"/>
  <c r="J175" i="23"/>
  <c r="J232" i="23"/>
  <c r="K119" i="23"/>
  <c r="J225" i="23"/>
  <c r="K138" i="23"/>
  <c r="J56" i="23"/>
  <c r="K218" i="23"/>
  <c r="J138" i="23"/>
  <c r="J71" i="23"/>
  <c r="K181" i="23"/>
  <c r="K109" i="23"/>
  <c r="J226" i="23"/>
  <c r="J195" i="23"/>
  <c r="J208" i="23"/>
  <c r="J52" i="23"/>
  <c r="K56" i="23"/>
  <c r="K221" i="23"/>
  <c r="K20" i="23"/>
  <c r="J133" i="23"/>
  <c r="J159" i="23"/>
  <c r="J33" i="23"/>
  <c r="K46" i="23"/>
  <c r="J59" i="23"/>
  <c r="J103" i="23"/>
  <c r="J126" i="23"/>
  <c r="K118" i="23"/>
  <c r="K51" i="23"/>
  <c r="J95" i="23"/>
  <c r="K34" i="23"/>
  <c r="J45" i="23"/>
  <c r="K193" i="23"/>
  <c r="K41" i="23"/>
  <c r="J240" i="23"/>
  <c r="K104" i="23"/>
  <c r="J137" i="23"/>
  <c r="K91" i="23"/>
  <c r="J63" i="23"/>
  <c r="K110" i="23"/>
  <c r="J89" i="23"/>
  <c r="J11" i="23"/>
  <c r="J18" i="23"/>
  <c r="K122" i="23"/>
  <c r="J192" i="23"/>
  <c r="J203" i="23"/>
  <c r="K63" i="23"/>
  <c r="K50" i="23"/>
  <c r="J227" i="23"/>
  <c r="J205" i="23"/>
  <c r="J148" i="23"/>
  <c r="K177" i="23"/>
  <c r="J165" i="23"/>
  <c r="J236" i="23"/>
  <c r="J139" i="23"/>
  <c r="K47" i="23"/>
  <c r="J194" i="23"/>
  <c r="J178" i="23"/>
  <c r="K140" i="23"/>
  <c r="J179" i="23"/>
  <c r="J28" i="23"/>
  <c r="J65" i="23"/>
  <c r="K21" i="23"/>
  <c r="K52" i="23"/>
  <c r="J149" i="23"/>
  <c r="J108" i="23"/>
  <c r="K18" i="23"/>
  <c r="J188" i="23"/>
  <c r="J120" i="23"/>
  <c r="K180" i="23"/>
  <c r="K107" i="23"/>
  <c r="J193" i="23"/>
  <c r="J191" i="23"/>
  <c r="J237" i="23"/>
  <c r="K209" i="23"/>
  <c r="J40" i="23"/>
  <c r="K149" i="23"/>
  <c r="K105" i="23"/>
  <c r="K161" i="23"/>
  <c r="J91" i="23"/>
  <c r="K163" i="23"/>
  <c r="K238" i="23"/>
  <c r="J106" i="23"/>
  <c r="J162" i="23"/>
  <c r="K241" i="23"/>
  <c r="K108" i="23"/>
  <c r="K191" i="23"/>
  <c r="J68" i="23"/>
  <c r="J134" i="23"/>
  <c r="J122" i="23"/>
  <c r="K121" i="23"/>
  <c r="K93" i="23"/>
  <c r="J207" i="23"/>
  <c r="K224" i="23"/>
  <c r="K211" i="23"/>
  <c r="K88" i="23"/>
  <c r="J141" i="23"/>
  <c r="K59" i="23"/>
  <c r="K164" i="23"/>
  <c r="K194" i="23"/>
  <c r="K230" i="23"/>
  <c r="J62" i="23"/>
  <c r="K38" i="23"/>
  <c r="K240" i="23"/>
  <c r="J181" i="23"/>
  <c r="K166" i="23"/>
  <c r="K205" i="23"/>
  <c r="J231" i="23"/>
  <c r="K158" i="23"/>
  <c r="K188" i="23"/>
  <c r="K125" i="23"/>
  <c r="K136" i="23"/>
  <c r="K12" i="23"/>
  <c r="J190" i="23"/>
  <c r="J210" i="23"/>
  <c r="K175" i="23"/>
  <c r="K71" i="23"/>
  <c r="K19" i="23"/>
  <c r="K151" i="23"/>
  <c r="J93" i="23"/>
  <c r="K203" i="23"/>
  <c r="J35" i="23"/>
  <c r="J136" i="23"/>
  <c r="J135" i="23"/>
  <c r="K139" i="23"/>
  <c r="J53" i="23"/>
  <c r="J21" i="23"/>
  <c r="K70" i="23"/>
  <c r="K225" i="23"/>
  <c r="K62" i="23"/>
  <c r="K31" i="23"/>
  <c r="K165" i="23"/>
  <c r="J31" i="23"/>
  <c r="J238" i="23"/>
  <c r="J25" i="23"/>
  <c r="K28" i="23"/>
  <c r="K126" i="23"/>
  <c r="J164" i="23"/>
  <c r="K208" i="23"/>
  <c r="J39" i="23"/>
  <c r="K204" i="23"/>
  <c r="J206" i="23"/>
  <c r="K134" i="23"/>
  <c r="K11" i="23"/>
  <c r="J32" i="23"/>
  <c r="J57" i="23"/>
  <c r="K89" i="23"/>
  <c r="J140" i="23"/>
  <c r="K236" i="23"/>
  <c r="K94" i="23"/>
  <c r="K242" i="23"/>
  <c r="K173" i="23"/>
  <c r="K174" i="23"/>
  <c r="K196" i="23"/>
  <c r="K111" i="23"/>
  <c r="K159" i="23"/>
  <c r="J27" i="23"/>
  <c r="K92" i="23"/>
  <c r="J211" i="23"/>
  <c r="K179" i="23"/>
  <c r="J64" i="23"/>
  <c r="J92" i="23"/>
  <c r="K220" i="23"/>
  <c r="K57" i="23"/>
  <c r="J119" i="23"/>
  <c r="K65" i="23"/>
  <c r="K237" i="23"/>
  <c r="J166" i="23"/>
  <c r="AA60" i="107" l="1"/>
  <c r="AA60" i="106"/>
  <c r="AA60" i="105"/>
  <c r="AA60" i="104"/>
  <c r="AA60" i="103"/>
  <c r="I33" i="23"/>
  <c r="AF64" i="55"/>
  <c r="BD64" i="55"/>
  <c r="AR64" i="55"/>
  <c r="T64" i="55"/>
  <c r="AA35" i="55"/>
  <c r="O12" i="61"/>
  <c r="O14" i="61"/>
  <c r="O13" i="61"/>
  <c r="O15" i="61"/>
  <c r="O16" i="61"/>
  <c r="O11" i="61"/>
  <c r="BD280" i="55"/>
  <c r="AR280" i="55"/>
  <c r="AF280" i="55"/>
  <c r="T280" i="55"/>
  <c r="AA31" i="55"/>
  <c r="AI17" i="55"/>
  <c r="AI278" i="55" s="1"/>
  <c r="AB17" i="55"/>
  <c r="AB232" i="55" s="1"/>
  <c r="W17" i="55"/>
  <c r="W225" i="55" s="1"/>
  <c r="AA17" i="55"/>
  <c r="AA58" i="55" s="1"/>
  <c r="V17" i="55"/>
  <c r="U17" i="55"/>
  <c r="AH17" i="55"/>
  <c r="AH225" i="55" s="1"/>
  <c r="AE17" i="55"/>
  <c r="S17" i="55"/>
  <c r="R17" i="55"/>
  <c r="Q17" i="55"/>
  <c r="AG357" i="24"/>
  <c r="AH357" i="24"/>
  <c r="AH343" i="24"/>
  <c r="AG343" i="24"/>
  <c r="AH350" i="24"/>
  <c r="AG350" i="24"/>
  <c r="AG22" i="55"/>
  <c r="AG17" i="55"/>
  <c r="AD22" i="55"/>
  <c r="AD17" i="55"/>
  <c r="AC22" i="55"/>
  <c r="AC17" i="55"/>
  <c r="Q21" i="55"/>
  <c r="AE22" i="55"/>
  <c r="S21" i="55"/>
  <c r="S64" i="55" s="1"/>
  <c r="V21" i="55"/>
  <c r="V64" i="55" s="1"/>
  <c r="R21" i="55"/>
  <c r="AB22" i="55"/>
  <c r="AB21" i="55"/>
  <c r="AI21" i="55"/>
  <c r="W21" i="55"/>
  <c r="W64" i="55" s="1"/>
  <c r="D356" i="24"/>
  <c r="E355" i="24"/>
  <c r="Q22" i="55"/>
  <c r="U21" i="55"/>
  <c r="U64" i="55" s="1"/>
  <c r="R22" i="55"/>
  <c r="S22" i="55"/>
  <c r="U22" i="55"/>
  <c r="V22" i="55"/>
  <c r="AA22" i="55"/>
  <c r="W22" i="55"/>
  <c r="AA21" i="55"/>
  <c r="AA64" i="55" s="1"/>
  <c r="AC21" i="55"/>
  <c r="AD21" i="55"/>
  <c r="AE21" i="55"/>
  <c r="AG21" i="55"/>
  <c r="AH21" i="55"/>
  <c r="AI22" i="55"/>
  <c r="AH22" i="55"/>
  <c r="O19" i="23"/>
  <c r="Q20" i="23"/>
  <c r="R19" i="23"/>
  <c r="R20" i="23"/>
  <c r="N20" i="23"/>
  <c r="Q19" i="23"/>
  <c r="R21" i="23"/>
  <c r="N21" i="23"/>
  <c r="N19" i="23"/>
  <c r="O11" i="23"/>
  <c r="P21" i="23"/>
  <c r="O21" i="23"/>
  <c r="Q11" i="23"/>
  <c r="P20" i="23"/>
  <c r="N11" i="23"/>
  <c r="Q21" i="23"/>
  <c r="M11" i="23"/>
  <c r="R11" i="23"/>
  <c r="P19" i="23"/>
  <c r="O20" i="23"/>
  <c r="P11" i="23"/>
  <c r="AA227" i="107" l="1"/>
  <c r="Y60" i="107"/>
  <c r="AA75" i="107"/>
  <c r="Y53" i="107"/>
  <c r="AA227" i="106"/>
  <c r="Y60" i="106"/>
  <c r="AA75" i="106"/>
  <c r="Y53" i="106"/>
  <c r="AA227" i="105"/>
  <c r="Y60" i="105"/>
  <c r="AA75" i="105"/>
  <c r="Y53" i="105"/>
  <c r="AA227" i="104"/>
  <c r="AA75" i="104"/>
  <c r="Y60" i="104"/>
  <c r="Y53" i="104"/>
  <c r="AA227" i="103"/>
  <c r="Y60" i="103"/>
  <c r="AA75" i="103"/>
  <c r="Y53" i="103"/>
  <c r="Q55" i="55" a="1"/>
  <c r="Q55" i="55" s="1"/>
  <c r="Q53" i="55" s="1"/>
  <c r="Q64" i="55"/>
  <c r="R55" i="55" a="1"/>
  <c r="R55" i="55" s="1"/>
  <c r="R53" i="55" s="1"/>
  <c r="R64" i="55"/>
  <c r="AG280" i="55"/>
  <c r="AG283" i="55" s="1" a="1"/>
  <c r="AG283" i="55" s="1"/>
  <c r="AG64" i="55"/>
  <c r="AH280" i="55"/>
  <c r="AH284" i="55" s="1" a="1"/>
  <c r="AH284" i="55" s="1"/>
  <c r="AH64" i="55"/>
  <c r="AI280" i="55"/>
  <c r="AI284" i="55" s="1" a="1"/>
  <c r="AI284" i="55" s="1"/>
  <c r="AI64" i="55"/>
  <c r="AE280" i="55"/>
  <c r="AE283" i="55" s="1" a="1"/>
  <c r="AE283" i="55" s="1"/>
  <c r="AE64" i="55"/>
  <c r="AC280" i="55"/>
  <c r="AC284" i="55" s="1" a="1"/>
  <c r="AC284" i="55" s="1"/>
  <c r="AC64" i="55"/>
  <c r="AD280" i="55"/>
  <c r="AD283" i="55" s="1" a="1"/>
  <c r="AD283" i="55" s="1"/>
  <c r="AD64" i="55"/>
  <c r="AB280" i="55"/>
  <c r="AB284" i="55" s="1" a="1"/>
  <c r="AB284" i="55" s="1"/>
  <c r="AB64" i="55"/>
  <c r="V280" i="55"/>
  <c r="U280" i="55"/>
  <c r="P14" i="61"/>
  <c r="S280" i="55"/>
  <c r="S284" i="55" s="1" a="1"/>
  <c r="S284" i="55" s="1"/>
  <c r="R280" i="55"/>
  <c r="Q280" i="55"/>
  <c r="Q283" i="55" s="1" a="1"/>
  <c r="Q283" i="55" s="1"/>
  <c r="P15" i="61"/>
  <c r="P13" i="61"/>
  <c r="P16" i="61"/>
  <c r="P11" i="61"/>
  <c r="P12" i="61"/>
  <c r="BD283" i="55" a="1"/>
  <c r="BD283" i="55" s="1"/>
  <c r="BD284" i="55" a="1"/>
  <c r="BD284" i="55" s="1"/>
  <c r="T283" i="55" a="1"/>
  <c r="T283" i="55" s="1"/>
  <c r="T284" i="55" a="1"/>
  <c r="T284" i="55" s="1"/>
  <c r="AA280" i="55"/>
  <c r="AR283" i="55" a="1"/>
  <c r="AR283" i="55" s="1"/>
  <c r="AR284" i="55" a="1"/>
  <c r="AR284" i="55" s="1"/>
  <c r="AF283" i="55" a="1"/>
  <c r="AF283" i="55" s="1"/>
  <c r="AF284" i="55" a="1"/>
  <c r="AF284" i="55" s="1"/>
  <c r="AE50" i="55"/>
  <c r="AD50" i="55"/>
  <c r="AB50" i="55"/>
  <c r="AH50" i="55"/>
  <c r="AC50" i="55"/>
  <c r="AG50" i="55"/>
  <c r="AI50" i="55"/>
  <c r="AH66" i="55"/>
  <c r="AH62" i="55"/>
  <c r="AG66" i="55"/>
  <c r="AG62" i="55"/>
  <c r="AE66" i="55"/>
  <c r="AE62" i="55"/>
  <c r="AI66" i="55"/>
  <c r="AI62" i="55"/>
  <c r="AD66" i="55"/>
  <c r="AD62" i="55"/>
  <c r="AB66" i="55"/>
  <c r="AB62" i="55"/>
  <c r="AC66" i="55"/>
  <c r="AC62" i="55"/>
  <c r="S66" i="55"/>
  <c r="S62" i="55"/>
  <c r="V66" i="55"/>
  <c r="V62" i="55"/>
  <c r="U66" i="55"/>
  <c r="U62" i="55"/>
  <c r="AA63" i="55"/>
  <c r="AA66" i="55"/>
  <c r="R50" i="55"/>
  <c r="R66" i="55"/>
  <c r="R62" i="55"/>
  <c r="AA62" i="55"/>
  <c r="Q50" i="55"/>
  <c r="Q66" i="55"/>
  <c r="Q62" i="55"/>
  <c r="S50" i="55"/>
  <c r="AA50" i="55"/>
  <c r="W50" i="55"/>
  <c r="V50" i="55"/>
  <c r="U50" i="55"/>
  <c r="W63" i="55"/>
  <c r="U63" i="55"/>
  <c r="V63" i="55"/>
  <c r="AG63" i="55"/>
  <c r="R63" i="55"/>
  <c r="Q63" i="55"/>
  <c r="AC63" i="55"/>
  <c r="AE63" i="55"/>
  <c r="AD63" i="55"/>
  <c r="AH63" i="55"/>
  <c r="AI63" i="55"/>
  <c r="S63" i="55"/>
  <c r="AB63" i="55"/>
  <c r="AD27" i="55"/>
  <c r="AD26" i="55"/>
  <c r="S27" i="55"/>
  <c r="S26" i="55"/>
  <c r="U27" i="55"/>
  <c r="U26" i="55"/>
  <c r="AE27" i="55"/>
  <c r="AE26" i="55"/>
  <c r="AC27" i="55"/>
  <c r="AC26" i="55"/>
  <c r="AI26" i="55"/>
  <c r="AI27" i="55"/>
  <c r="V27" i="55"/>
  <c r="V26" i="55"/>
  <c r="Q26" i="55"/>
  <c r="Q27" i="55"/>
  <c r="AA26" i="55"/>
  <c r="AA27" i="55"/>
  <c r="AH27" i="55"/>
  <c r="AH26" i="55"/>
  <c r="AG27" i="55"/>
  <c r="AG26" i="55"/>
  <c r="W27" i="55"/>
  <c r="W26" i="55"/>
  <c r="AB27" i="55"/>
  <c r="AB26" i="55"/>
  <c r="R27" i="55"/>
  <c r="R26" i="55"/>
  <c r="AI38" i="55"/>
  <c r="AI300" i="55"/>
  <c r="AI225" i="55"/>
  <c r="W232" i="55"/>
  <c r="W278" i="55"/>
  <c r="W300" i="55"/>
  <c r="AA232" i="55"/>
  <c r="AA239" i="55"/>
  <c r="AA260" i="55"/>
  <c r="AI58" i="55"/>
  <c r="AI232" i="55"/>
  <c r="AI260" i="55"/>
  <c r="AI239" i="55"/>
  <c r="W239" i="55"/>
  <c r="W58" i="55"/>
  <c r="AB239" i="55"/>
  <c r="AB260" i="55"/>
  <c r="AB38" i="55"/>
  <c r="AB278" i="55"/>
  <c r="AB300" i="55"/>
  <c r="AB225" i="55"/>
  <c r="W260" i="55"/>
  <c r="AB58" i="55"/>
  <c r="W38" i="55"/>
  <c r="P17" i="55"/>
  <c r="P58" i="55" s="1"/>
  <c r="AA278" i="55"/>
  <c r="AA38" i="55"/>
  <c r="AA300" i="55"/>
  <c r="AA225" i="55"/>
  <c r="AH232" i="55"/>
  <c r="AH38" i="55"/>
  <c r="AH260" i="55"/>
  <c r="V38" i="55"/>
  <c r="R225" i="55"/>
  <c r="U38" i="55"/>
  <c r="V278" i="55"/>
  <c r="V232" i="55"/>
  <c r="S58" i="55"/>
  <c r="V58" i="55"/>
  <c r="AE260" i="55"/>
  <c r="V239" i="55"/>
  <c r="V300" i="55"/>
  <c r="AH300" i="55"/>
  <c r="AH239" i="55"/>
  <c r="AH58" i="55"/>
  <c r="AH278" i="55"/>
  <c r="U278" i="55"/>
  <c r="S239" i="55"/>
  <c r="AE232" i="55"/>
  <c r="U225" i="55"/>
  <c r="S225" i="55"/>
  <c r="AE38" i="55"/>
  <c r="U232" i="55"/>
  <c r="S300" i="55"/>
  <c r="AE239" i="55"/>
  <c r="U58" i="55"/>
  <c r="V260" i="55"/>
  <c r="U239" i="55"/>
  <c r="V225" i="55"/>
  <c r="U300" i="55"/>
  <c r="U260" i="55"/>
  <c r="R278" i="55"/>
  <c r="AE300" i="55"/>
  <c r="AE278" i="55"/>
  <c r="AE225" i="55"/>
  <c r="AE58" i="55"/>
  <c r="R260" i="55"/>
  <c r="Q232" i="55"/>
  <c r="Q278" i="55"/>
  <c r="Q260" i="55"/>
  <c r="Q38" i="55"/>
  <c r="R38" i="55"/>
  <c r="Q239" i="55"/>
  <c r="S260" i="55"/>
  <c r="Q58" i="55"/>
  <c r="R58" i="55"/>
  <c r="S278" i="55"/>
  <c r="Q300" i="55"/>
  <c r="R232" i="55"/>
  <c r="S232" i="55"/>
  <c r="Q225" i="55"/>
  <c r="R239" i="55"/>
  <c r="R300" i="55"/>
  <c r="S38" i="55"/>
  <c r="R32" i="55"/>
  <c r="Q32" i="55"/>
  <c r="V32" i="55"/>
  <c r="U32" i="55"/>
  <c r="S32" i="55"/>
  <c r="AB32" i="55"/>
  <c r="AG32" i="55"/>
  <c r="AH32" i="55"/>
  <c r="AE32" i="55"/>
  <c r="AD32" i="55"/>
  <c r="AC32" i="55"/>
  <c r="AD225" i="55"/>
  <c r="AD278" i="55"/>
  <c r="AD239" i="55"/>
  <c r="AD232" i="55"/>
  <c r="AD300" i="55"/>
  <c r="AD38" i="55"/>
  <c r="AD260" i="55"/>
  <c r="AD58" i="55"/>
  <c r="AC58" i="55"/>
  <c r="AC225" i="55"/>
  <c r="AC278" i="55"/>
  <c r="AC232" i="55"/>
  <c r="AC300" i="55"/>
  <c r="AC38" i="55"/>
  <c r="AC239" i="55"/>
  <c r="AC260" i="55"/>
  <c r="AG225" i="55"/>
  <c r="AG260" i="55"/>
  <c r="AG38" i="55"/>
  <c r="AG278" i="55"/>
  <c r="AG239" i="55"/>
  <c r="AG300" i="55"/>
  <c r="AG232" i="55"/>
  <c r="AG58" i="55"/>
  <c r="D357" i="24"/>
  <c r="E356" i="24"/>
  <c r="AM60" i="104" s="1"/>
  <c r="P21" i="55"/>
  <c r="P64" i="55" s="1"/>
  <c r="P22" i="55"/>
  <c r="Q47" i="23"/>
  <c r="Q53" i="23"/>
  <c r="Q52" i="23"/>
  <c r="Q51" i="23"/>
  <c r="Q109" i="23"/>
  <c r="Q124" i="23"/>
  <c r="Q41" i="23"/>
  <c r="Q46" i="23"/>
  <c r="Q58" i="23"/>
  <c r="Q45" i="23"/>
  <c r="Q26" i="23"/>
  <c r="Q28" i="23"/>
  <c r="Q59" i="23"/>
  <c r="Q65" i="23"/>
  <c r="Q64" i="23"/>
  <c r="Q40" i="23"/>
  <c r="Q57" i="23"/>
  <c r="Q39" i="23"/>
  <c r="Q139" i="23"/>
  <c r="Q27" i="23"/>
  <c r="Q63" i="23"/>
  <c r="P65" i="23"/>
  <c r="P28" i="23"/>
  <c r="P64" i="23"/>
  <c r="P27" i="23"/>
  <c r="P58" i="23"/>
  <c r="P109" i="23"/>
  <c r="P51" i="23"/>
  <c r="P41" i="23"/>
  <c r="P40" i="23"/>
  <c r="P59" i="23"/>
  <c r="P46" i="23"/>
  <c r="P53" i="23"/>
  <c r="P124" i="23"/>
  <c r="P57" i="23"/>
  <c r="P139" i="23"/>
  <c r="P52" i="23"/>
  <c r="P45" i="23"/>
  <c r="P26" i="23"/>
  <c r="P63" i="23"/>
  <c r="P47" i="23"/>
  <c r="P39" i="23"/>
  <c r="O53" i="23"/>
  <c r="O124" i="23"/>
  <c r="O41" i="23"/>
  <c r="O59" i="23"/>
  <c r="O40" i="23"/>
  <c r="O58" i="23"/>
  <c r="O39" i="23"/>
  <c r="O57" i="23"/>
  <c r="O28" i="23"/>
  <c r="O139" i="23"/>
  <c r="O52" i="23"/>
  <c r="O27" i="23"/>
  <c r="O64" i="23"/>
  <c r="O109" i="23"/>
  <c r="O63" i="23"/>
  <c r="O65" i="23"/>
  <c r="O47" i="23"/>
  <c r="O45" i="23"/>
  <c r="O46" i="23"/>
  <c r="O51" i="23"/>
  <c r="O26" i="23"/>
  <c r="N59" i="23"/>
  <c r="N58" i="23"/>
  <c r="N26" i="23"/>
  <c r="N51" i="23"/>
  <c r="N28" i="23"/>
  <c r="N64" i="23"/>
  <c r="N41" i="23"/>
  <c r="N46" i="23"/>
  <c r="N39" i="23"/>
  <c r="N45" i="23"/>
  <c r="N40" i="23"/>
  <c r="N139" i="23"/>
  <c r="N47" i="23"/>
  <c r="N53" i="23"/>
  <c r="N27" i="23"/>
  <c r="N57" i="23"/>
  <c r="N65" i="23"/>
  <c r="N52" i="23"/>
  <c r="N63" i="23"/>
  <c r="R65" i="23"/>
  <c r="R139" i="23"/>
  <c r="R41" i="23"/>
  <c r="R40" i="23"/>
  <c r="R27" i="23"/>
  <c r="R58" i="23"/>
  <c r="R45" i="23"/>
  <c r="R47" i="23"/>
  <c r="R28" i="23"/>
  <c r="R39" i="23"/>
  <c r="R59" i="23"/>
  <c r="R52" i="23"/>
  <c r="R46" i="23"/>
  <c r="R51" i="23"/>
  <c r="R109" i="23"/>
  <c r="R64" i="23"/>
  <c r="R57" i="23"/>
  <c r="R53" i="23"/>
  <c r="R124" i="23"/>
  <c r="R63" i="23"/>
  <c r="R26" i="23"/>
  <c r="AA88" i="107" l="1"/>
  <c r="AA214" i="107" s="1"/>
  <c r="Y214" i="107" s="1"/>
  <c r="Y75" i="107"/>
  <c r="AA85" i="107"/>
  <c r="AA188" i="107"/>
  <c r="AF234" i="107"/>
  <c r="AD234" i="107"/>
  <c r="AC234" i="107"/>
  <c r="AB234" i="107"/>
  <c r="AH234" i="107"/>
  <c r="AI234" i="107"/>
  <c r="AG234" i="107"/>
  <c r="AA234" i="107"/>
  <c r="AE234" i="107"/>
  <c r="AA294" i="107"/>
  <c r="AA297" i="107"/>
  <c r="AA294" i="106"/>
  <c r="AA297" i="106"/>
  <c r="AN60" i="106"/>
  <c r="AN227" i="106" s="1"/>
  <c r="Y75" i="106"/>
  <c r="AA85" i="106"/>
  <c r="AA188" i="106" s="1"/>
  <c r="AM60" i="106"/>
  <c r="AA234" i="106"/>
  <c r="AE234" i="106"/>
  <c r="AI234" i="106"/>
  <c r="AG234" i="106"/>
  <c r="AF234" i="106"/>
  <c r="AD234" i="106"/>
  <c r="AC234" i="106"/>
  <c r="AB234" i="106"/>
  <c r="AH234" i="106"/>
  <c r="AM60" i="105"/>
  <c r="AA294" i="105"/>
  <c r="AA297" i="105"/>
  <c r="Y75" i="105"/>
  <c r="AA85" i="105"/>
  <c r="AA188" i="105" s="1"/>
  <c r="AF234" i="105"/>
  <c r="AC234" i="105"/>
  <c r="AD234" i="105"/>
  <c r="AI234" i="105"/>
  <c r="AB234" i="105"/>
  <c r="AE234" i="105"/>
  <c r="AG234" i="105"/>
  <c r="AH234" i="105"/>
  <c r="AA234" i="105"/>
  <c r="AM227" i="104"/>
  <c r="AI234" i="104"/>
  <c r="AG234" i="104"/>
  <c r="AD234" i="104"/>
  <c r="AE234" i="104"/>
  <c r="AB234" i="104"/>
  <c r="AC234" i="104"/>
  <c r="AA234" i="104"/>
  <c r="AH234" i="104"/>
  <c r="AF234" i="104"/>
  <c r="Y75" i="104"/>
  <c r="AA85" i="104"/>
  <c r="AA297" i="104"/>
  <c r="AA294" i="104"/>
  <c r="AH234" i="103"/>
  <c r="AI234" i="103"/>
  <c r="AB234" i="103"/>
  <c r="AF234" i="103"/>
  <c r="AC234" i="103"/>
  <c r="AD234" i="103"/>
  <c r="AA234" i="103"/>
  <c r="AG234" i="103"/>
  <c r="AE234" i="103"/>
  <c r="AA294" i="103"/>
  <c r="AA297" i="103"/>
  <c r="AA85" i="103"/>
  <c r="Y75" i="103"/>
  <c r="AE284" i="55" a="1"/>
  <c r="AE284" i="55" s="1"/>
  <c r="AG284" i="55" a="1"/>
  <c r="AG284" i="55" s="1"/>
  <c r="AC283" i="55" a="1"/>
  <c r="AC283" i="55" s="1"/>
  <c r="AH283" i="55" a="1"/>
  <c r="AH283" i="55" s="1"/>
  <c r="AD284" i="55" a="1"/>
  <c r="AD284" i="55" s="1"/>
  <c r="AB283" i="55" a="1"/>
  <c r="AB283" i="55" s="1"/>
  <c r="AI283" i="55" a="1"/>
  <c r="AI283" i="55" s="1"/>
  <c r="S283" i="55" a="1"/>
  <c r="S283" i="55" s="1"/>
  <c r="V284" i="55" a="1"/>
  <c r="V284" i="55" s="1"/>
  <c r="V283" i="55" a="1"/>
  <c r="V283" i="55" s="1"/>
  <c r="U283" i="55" a="1"/>
  <c r="U283" i="55" s="1"/>
  <c r="U284" i="55" a="1"/>
  <c r="U284" i="55" s="1"/>
  <c r="R283" i="55" a="1"/>
  <c r="R283" i="55" s="1"/>
  <c r="R284" i="55" a="1"/>
  <c r="R284" i="55" s="1"/>
  <c r="Q284" i="55" a="1"/>
  <c r="Q284" i="55" s="1"/>
  <c r="Q13" i="61"/>
  <c r="Q14" i="61"/>
  <c r="Q12" i="61"/>
  <c r="Q11" i="61"/>
  <c r="Q16" i="61"/>
  <c r="Q15" i="61"/>
  <c r="AA284" i="55" a="1"/>
  <c r="AA284" i="55" s="1"/>
  <c r="AA283" i="55" a="1"/>
  <c r="AA283" i="55" s="1"/>
  <c r="P50" i="55"/>
  <c r="V28" i="55"/>
  <c r="AI28" i="55"/>
  <c r="Y26" i="55"/>
  <c r="P63" i="55"/>
  <c r="AA28" i="55"/>
  <c r="AG28" i="55"/>
  <c r="U28" i="55"/>
  <c r="Q28" i="55"/>
  <c r="W28" i="55"/>
  <c r="AE28" i="55"/>
  <c r="P27" i="55"/>
  <c r="P26" i="55"/>
  <c r="R28" i="55"/>
  <c r="AH28" i="55"/>
  <c r="S28" i="55"/>
  <c r="AB28" i="55"/>
  <c r="AC28" i="55"/>
  <c r="AD28" i="55"/>
  <c r="P38" i="55"/>
  <c r="P260" i="55"/>
  <c r="P225" i="55"/>
  <c r="P278" i="55"/>
  <c r="P239" i="55"/>
  <c r="P232" i="55"/>
  <c r="P300" i="55"/>
  <c r="Y27" i="55"/>
  <c r="D358" i="24"/>
  <c r="E357" i="24"/>
  <c r="AA94" i="107" l="1"/>
  <c r="AA107" i="107" s="1"/>
  <c r="AA88" i="106"/>
  <c r="AA214" i="106" s="1"/>
  <c r="Y214" i="106" s="1"/>
  <c r="AA88" i="105"/>
  <c r="AA214" i="105" s="1"/>
  <c r="Y214" i="105" s="1"/>
  <c r="AA88" i="104"/>
  <c r="AA214" i="104" s="1"/>
  <c r="Y214" i="104" s="1"/>
  <c r="AA88" i="103"/>
  <c r="AA214" i="103" s="1"/>
  <c r="Y214" i="103" s="1"/>
  <c r="AA293" i="107"/>
  <c r="AA296" i="107" a="1"/>
  <c r="AA296" i="107" s="1"/>
  <c r="Y234" i="107"/>
  <c r="AA269" i="107"/>
  <c r="Y269" i="107" s="1"/>
  <c r="AA192" i="107"/>
  <c r="AN294" i="106"/>
  <c r="AN297" i="106"/>
  <c r="Y234" i="106"/>
  <c r="AA269" i="106"/>
  <c r="Y269" i="106" s="1"/>
  <c r="AM227" i="106"/>
  <c r="AM75" i="106"/>
  <c r="AK60" i="106"/>
  <c r="AK53" i="106"/>
  <c r="AA296" i="106" a="1"/>
  <c r="AA296" i="106" s="1"/>
  <c r="AA293" i="106"/>
  <c r="AA192" i="106"/>
  <c r="AA192" i="105"/>
  <c r="AA293" i="105"/>
  <c r="AA296" i="105" a="1"/>
  <c r="AA296" i="105" s="1"/>
  <c r="Y234" i="105"/>
  <c r="AA269" i="105"/>
  <c r="Y269" i="105" s="1"/>
  <c r="AM227" i="105"/>
  <c r="AA188" i="103"/>
  <c r="AA192" i="103" s="1"/>
  <c r="AA188" i="104"/>
  <c r="AA192" i="104" s="1"/>
  <c r="AA296" i="104" a="1"/>
  <c r="AA296" i="104" s="1"/>
  <c r="AA293" i="104"/>
  <c r="Y234" i="104"/>
  <c r="AA269" i="104"/>
  <c r="Y269" i="104" s="1"/>
  <c r="AM297" i="104"/>
  <c r="AM294" i="104"/>
  <c r="AA296" i="103" a="1"/>
  <c r="AA296" i="103" s="1"/>
  <c r="AA293" i="103"/>
  <c r="Y234" i="103"/>
  <c r="AA269" i="103"/>
  <c r="Y269" i="103" s="1"/>
  <c r="R291" i="55"/>
  <c r="AD291" i="55"/>
  <c r="AE291" i="55"/>
  <c r="AI291" i="55"/>
  <c r="AC291" i="55"/>
  <c r="W291" i="55"/>
  <c r="V291" i="55"/>
  <c r="AB291" i="55"/>
  <c r="Q291" i="55"/>
  <c r="S291" i="55"/>
  <c r="U291" i="55"/>
  <c r="AA291" i="55"/>
  <c r="AG291" i="55"/>
  <c r="AH291" i="55"/>
  <c r="R12" i="61"/>
  <c r="R13" i="61"/>
  <c r="R16" i="61"/>
  <c r="R11" i="61"/>
  <c r="R14" i="61"/>
  <c r="R15" i="61"/>
  <c r="AI75" i="55"/>
  <c r="AI168" i="55" s="1"/>
  <c r="AA271" i="55"/>
  <c r="E358" i="24"/>
  <c r="S12" i="61" s="1"/>
  <c r="D359" i="24"/>
  <c r="E359" i="24" s="1"/>
  <c r="Y28" i="55"/>
  <c r="Y29" i="55" s="1"/>
  <c r="P28" i="55"/>
  <c r="P291" i="55" s="1"/>
  <c r="R41" i="24"/>
  <c r="S41" i="24"/>
  <c r="T41" i="24"/>
  <c r="U41" i="24"/>
  <c r="V41" i="24"/>
  <c r="R42" i="24"/>
  <c r="S42" i="24"/>
  <c r="T42" i="24"/>
  <c r="U42" i="24"/>
  <c r="V42" i="24"/>
  <c r="R43" i="24"/>
  <c r="S43" i="24"/>
  <c r="T43" i="24"/>
  <c r="U43" i="24"/>
  <c r="V43" i="24"/>
  <c r="I42" i="24"/>
  <c r="I43" i="24"/>
  <c r="I41" i="24"/>
  <c r="R39" i="24"/>
  <c r="R40" i="24" s="1"/>
  <c r="S39" i="24"/>
  <c r="S40" i="24" s="1"/>
  <c r="T39" i="24"/>
  <c r="T40" i="24" s="1"/>
  <c r="U39" i="24"/>
  <c r="U40" i="24" s="1"/>
  <c r="V39" i="24"/>
  <c r="V40" i="24" s="1"/>
  <c r="I39" i="24"/>
  <c r="I40" i="24" s="1"/>
  <c r="I32" i="24"/>
  <c r="J32" i="24" s="1"/>
  <c r="K32" i="24" s="1"/>
  <c r="L32" i="24" s="1"/>
  <c r="M32" i="24" s="1"/>
  <c r="N32" i="24" s="1"/>
  <c r="O32" i="24" s="1"/>
  <c r="P32" i="24" s="1"/>
  <c r="Q32" i="24" s="1"/>
  <c r="R32" i="24" s="1"/>
  <c r="S32" i="24" s="1"/>
  <c r="T32" i="24" s="1"/>
  <c r="U32" i="24" s="1"/>
  <c r="V32" i="24" s="1"/>
  <c r="DX26" i="24"/>
  <c r="DY26" i="24"/>
  <c r="DZ26" i="24"/>
  <c r="EA26" i="24"/>
  <c r="EB26" i="24"/>
  <c r="DW26" i="24"/>
  <c r="Q136" i="23"/>
  <c r="P136" i="23"/>
  <c r="O136" i="23"/>
  <c r="N136" i="23"/>
  <c r="R136" i="23"/>
  <c r="AA95" i="107" l="1"/>
  <c r="AA96" i="107"/>
  <c r="AA135" i="107"/>
  <c r="AA212" i="107" s="1"/>
  <c r="AA112" i="107"/>
  <c r="AA155" i="107"/>
  <c r="Y155" i="107" s="1"/>
  <c r="AA94" i="106"/>
  <c r="AA95" i="106" s="1"/>
  <c r="AA154" i="106" s="1"/>
  <c r="AA94" i="105"/>
  <c r="AA95" i="105" s="1"/>
  <c r="AA94" i="104"/>
  <c r="AA112" i="104" s="1"/>
  <c r="AA94" i="103"/>
  <c r="AA112" i="103" s="1"/>
  <c r="AA96" i="106"/>
  <c r="P60" i="107"/>
  <c r="P227" i="107" s="1"/>
  <c r="AN60" i="107"/>
  <c r="AN227" i="107" s="1"/>
  <c r="AM60" i="107"/>
  <c r="O60" i="107"/>
  <c r="O227" i="107" s="1"/>
  <c r="AY60" i="107"/>
  <c r="AA154" i="107"/>
  <c r="AA211" i="107"/>
  <c r="Y107" i="107"/>
  <c r="AA113" i="107"/>
  <c r="AA209" i="107"/>
  <c r="Y135" i="107"/>
  <c r="O60" i="106"/>
  <c r="O227" i="106" s="1"/>
  <c r="P60" i="106"/>
  <c r="P227" i="106" s="1"/>
  <c r="AY60" i="106"/>
  <c r="AM294" i="106"/>
  <c r="AM297" i="106"/>
  <c r="AT234" i="106"/>
  <c r="AQ234" i="106"/>
  <c r="AU234" i="106"/>
  <c r="AM234" i="106"/>
  <c r="AP234" i="106"/>
  <c r="AN234" i="106"/>
  <c r="AR234" i="106"/>
  <c r="AS234" i="106"/>
  <c r="AO234" i="106"/>
  <c r="AM85" i="106"/>
  <c r="AM188" i="106" s="1"/>
  <c r="AK75" i="106"/>
  <c r="AN296" i="106" a="1"/>
  <c r="AN296" i="106" s="1"/>
  <c r="AN293" i="106"/>
  <c r="AN60" i="105"/>
  <c r="AY60" i="105"/>
  <c r="O60" i="105"/>
  <c r="O227" i="105" s="1"/>
  <c r="P60" i="105"/>
  <c r="P227" i="105" s="1"/>
  <c r="AM297" i="105"/>
  <c r="AM294" i="105"/>
  <c r="AA154" i="104"/>
  <c r="O60" i="104"/>
  <c r="O227" i="104" s="1"/>
  <c r="AY60" i="104"/>
  <c r="P60" i="104"/>
  <c r="P227" i="104" s="1"/>
  <c r="AN60" i="104"/>
  <c r="AA154" i="103"/>
  <c r="AM293" i="104"/>
  <c r="AM296" i="104" a="1"/>
  <c r="AM296" i="104" s="1"/>
  <c r="Y154" i="104"/>
  <c r="AY60" i="103"/>
  <c r="AM60" i="103"/>
  <c r="AN60" i="103"/>
  <c r="AN227" i="103" s="1"/>
  <c r="O60" i="103"/>
  <c r="O227" i="103" s="1"/>
  <c r="P60" i="103"/>
  <c r="P227" i="103" s="1"/>
  <c r="T12" i="61"/>
  <c r="S14" i="61"/>
  <c r="S15" i="61"/>
  <c r="T16" i="61"/>
  <c r="T11" i="61"/>
  <c r="T13" i="61"/>
  <c r="S13" i="61"/>
  <c r="S11" i="61"/>
  <c r="T15" i="61"/>
  <c r="S16" i="61"/>
  <c r="T14" i="61"/>
  <c r="BC52" i="55"/>
  <c r="M68" i="43"/>
  <c r="AN52" i="55"/>
  <c r="AE52" i="55"/>
  <c r="AE55" i="55" s="1" a="1"/>
  <c r="AE55" i="55" s="1"/>
  <c r="AE53" i="55" s="1"/>
  <c r="AH52" i="55"/>
  <c r="AH55" i="55" s="1" a="1"/>
  <c r="AH55" i="55" s="1"/>
  <c r="AH53" i="55" s="1"/>
  <c r="AF52" i="55"/>
  <c r="AF55" i="55" s="1" a="1"/>
  <c r="AF55" i="55" s="1"/>
  <c r="AF53" i="55" s="1"/>
  <c r="AD52" i="55"/>
  <c r="AD55" i="55" s="1" a="1"/>
  <c r="AD55" i="55" s="1"/>
  <c r="AD53" i="55" s="1"/>
  <c r="AI52" i="55"/>
  <c r="AI55" i="55" s="1" a="1"/>
  <c r="AI55" i="55" s="1"/>
  <c r="AI53" i="55" s="1"/>
  <c r="AC52" i="55"/>
  <c r="AC55" i="55" s="1" a="1"/>
  <c r="AC55" i="55" s="1"/>
  <c r="AC53" i="55" s="1"/>
  <c r="AG52" i="55"/>
  <c r="AG55" i="55" s="1" a="1"/>
  <c r="AG55" i="55" s="1"/>
  <c r="AG53" i="55" s="1"/>
  <c r="P55" i="55" a="1"/>
  <c r="P55" i="55" s="1"/>
  <c r="P53" i="55" s="1"/>
  <c r="AU52" i="55"/>
  <c r="T52" i="55"/>
  <c r="T55" i="55" s="1" a="1"/>
  <c r="T55" i="55" s="1"/>
  <c r="T53" i="55" s="1"/>
  <c r="BE52" i="55"/>
  <c r="BF52" i="55"/>
  <c r="U52" i="55"/>
  <c r="U55" i="55" s="1" a="1"/>
  <c r="U55" i="55" s="1"/>
  <c r="U53" i="55" s="1"/>
  <c r="V52" i="55"/>
  <c r="V55" i="55" s="1" a="1"/>
  <c r="V55" i="55" s="1"/>
  <c r="V53" i="55" s="1"/>
  <c r="S52" i="55"/>
  <c r="S55" i="55" s="1" a="1"/>
  <c r="S55" i="55" s="1"/>
  <c r="S53" i="55" s="1"/>
  <c r="BD52" i="55"/>
  <c r="BD55" i="55" s="1" a="1"/>
  <c r="BD55" i="55" s="1"/>
  <c r="BD53" i="55" s="1"/>
  <c r="BA52" i="55"/>
  <c r="BB52" i="55"/>
  <c r="BG52" i="55"/>
  <c r="AZ52" i="55"/>
  <c r="AS52" i="55"/>
  <c r="AT52" i="55"/>
  <c r="AR52" i="55"/>
  <c r="AR55" i="55" s="1" a="1"/>
  <c r="AR55" i="55" s="1"/>
  <c r="AR53" i="55" s="1"/>
  <c r="AB52" i="55"/>
  <c r="AB55" i="55" s="1" a="1"/>
  <c r="AB55" i="55" s="1"/>
  <c r="AB53" i="55" s="1"/>
  <c r="AO52" i="55"/>
  <c r="AP52" i="55"/>
  <c r="AQ52" i="55"/>
  <c r="AA52" i="55"/>
  <c r="CT26" i="24"/>
  <c r="CU26" i="24"/>
  <c r="J26" i="24"/>
  <c r="DV26" i="24"/>
  <c r="DU26" i="24"/>
  <c r="W52" i="55"/>
  <c r="W55" i="55" s="1" a="1"/>
  <c r="W55" i="55" s="1"/>
  <c r="W53" i="55" s="1"/>
  <c r="AA144" i="107" l="1"/>
  <c r="AA140" i="107"/>
  <c r="AA138" i="107"/>
  <c r="Y112" i="107"/>
  <c r="AB123" i="107"/>
  <c r="AB153" i="107" s="1"/>
  <c r="AC123" i="107"/>
  <c r="AC153" i="107" s="1"/>
  <c r="AA123" i="107"/>
  <c r="AA135" i="106"/>
  <c r="AA112" i="106"/>
  <c r="AA107" i="106"/>
  <c r="AA155" i="106"/>
  <c r="Y155" i="106" s="1"/>
  <c r="AM88" i="106"/>
  <c r="AM214" i="106" s="1"/>
  <c r="AK214" i="106" s="1"/>
  <c r="AA155" i="105"/>
  <c r="Y155" i="105" s="1"/>
  <c r="AA96" i="105"/>
  <c r="AA107" i="105"/>
  <c r="AA113" i="105" s="1"/>
  <c r="AA135" i="105"/>
  <c r="AA112" i="105"/>
  <c r="AA96" i="104"/>
  <c r="AA107" i="104"/>
  <c r="Y112" i="104"/>
  <c r="AA123" i="104"/>
  <c r="AC123" i="104"/>
  <c r="AC153" i="104" s="1"/>
  <c r="AB123" i="104"/>
  <c r="AB153" i="104" s="1"/>
  <c r="AA155" i="104"/>
  <c r="Y155" i="104" s="1"/>
  <c r="AA95" i="104"/>
  <c r="AA135" i="104"/>
  <c r="AA123" i="103"/>
  <c r="AB123" i="103"/>
  <c r="AB153" i="103" s="1"/>
  <c r="AC123" i="103"/>
  <c r="AC153" i="103" s="1"/>
  <c r="Y112" i="103"/>
  <c r="AA155" i="103"/>
  <c r="Y155" i="103" s="1"/>
  <c r="AA135" i="103"/>
  <c r="AA107" i="103"/>
  <c r="AA96" i="103"/>
  <c r="AA95" i="103"/>
  <c r="Y154" i="106"/>
  <c r="AA154" i="105"/>
  <c r="Y154" i="105" s="1"/>
  <c r="AA216" i="107"/>
  <c r="Y209" i="107"/>
  <c r="AA264" i="107"/>
  <c r="Y211" i="107"/>
  <c r="AA266" i="107"/>
  <c r="Y266" i="107" s="1"/>
  <c r="O294" i="107"/>
  <c r="O297" i="107"/>
  <c r="Y138" i="107"/>
  <c r="AA146" i="107"/>
  <c r="Y146" i="107" s="1"/>
  <c r="AA117" i="107"/>
  <c r="AA167" i="107"/>
  <c r="Y113" i="107"/>
  <c r="AA121" i="107"/>
  <c r="AA186" i="107"/>
  <c r="Y154" i="107"/>
  <c r="AM227" i="107"/>
  <c r="AK60" i="107"/>
  <c r="AM75" i="107"/>
  <c r="AK53" i="107"/>
  <c r="AN294" i="107"/>
  <c r="AN297" i="107"/>
  <c r="Y212" i="107"/>
  <c r="AA267" i="107"/>
  <c r="Y267" i="107" s="1"/>
  <c r="AY227" i="107"/>
  <c r="AY75" i="107"/>
  <c r="AW60" i="107"/>
  <c r="AW53" i="107"/>
  <c r="AM192" i="106"/>
  <c r="AA186" i="106"/>
  <c r="AA266" i="106"/>
  <c r="Y266" i="106" s="1"/>
  <c r="AA264" i="106"/>
  <c r="AN269" i="106"/>
  <c r="AY227" i="106"/>
  <c r="AW60" i="106"/>
  <c r="AY75" i="106"/>
  <c r="AW53" i="106"/>
  <c r="AA267" i="106"/>
  <c r="Y267" i="106" s="1"/>
  <c r="AK234" i="106"/>
  <c r="AM269" i="106"/>
  <c r="AK269" i="106" s="1"/>
  <c r="AM293" i="106"/>
  <c r="AM296" i="106" a="1"/>
  <c r="AM296" i="106" s="1"/>
  <c r="O297" i="106"/>
  <c r="O294" i="106"/>
  <c r="AA267" i="105"/>
  <c r="Y267" i="105" s="1"/>
  <c r="O297" i="105"/>
  <c r="O294" i="105"/>
  <c r="AA264" i="105"/>
  <c r="AA266" i="105"/>
  <c r="Y266" i="105" s="1"/>
  <c r="AM293" i="105"/>
  <c r="AM296" i="105" a="1"/>
  <c r="AM296" i="105" s="1"/>
  <c r="AY227" i="105"/>
  <c r="AW60" i="105"/>
  <c r="AY75" i="105"/>
  <c r="AW53" i="105"/>
  <c r="AA167" i="105"/>
  <c r="Y113" i="105"/>
  <c r="AA121" i="105"/>
  <c r="AA117" i="105"/>
  <c r="AA186" i="105"/>
  <c r="AN227" i="105"/>
  <c r="AK60" i="105"/>
  <c r="AK53" i="105"/>
  <c r="AM75" i="105"/>
  <c r="Y154" i="103"/>
  <c r="AN227" i="104"/>
  <c r="AK60" i="104"/>
  <c r="AM75" i="104"/>
  <c r="AK53" i="104"/>
  <c r="AA264" i="104"/>
  <c r="AA267" i="104"/>
  <c r="Y267" i="104" s="1"/>
  <c r="AA186" i="104"/>
  <c r="AY227" i="104"/>
  <c r="AY75" i="104"/>
  <c r="AW60" i="104"/>
  <c r="AW53" i="104"/>
  <c r="AA266" i="104"/>
  <c r="Y266" i="104" s="1"/>
  <c r="O294" i="104"/>
  <c r="O297" i="104"/>
  <c r="AA186" i="103"/>
  <c r="AY227" i="103"/>
  <c r="AY75" i="103"/>
  <c r="AW60" i="103"/>
  <c r="AW53" i="103"/>
  <c r="O297" i="103"/>
  <c r="O294" i="103"/>
  <c r="AA266" i="103"/>
  <c r="Y266" i="103" s="1"/>
  <c r="AN294" i="103"/>
  <c r="AN297" i="103"/>
  <c r="AA264" i="103"/>
  <c r="AA267" i="103"/>
  <c r="Y267" i="103" s="1"/>
  <c r="AM227" i="103"/>
  <c r="AM75" i="103"/>
  <c r="AK60" i="103"/>
  <c r="AK53" i="103"/>
  <c r="AA55" i="55" a="1"/>
  <c r="AA55" i="55" s="1"/>
  <c r="AA53" i="55" s="1"/>
  <c r="K26" i="24"/>
  <c r="Q122" i="23"/>
  <c r="Q137" i="23"/>
  <c r="P122" i="23"/>
  <c r="P137" i="23"/>
  <c r="O137" i="23"/>
  <c r="O122" i="23"/>
  <c r="N122" i="23"/>
  <c r="N137" i="23"/>
  <c r="R137" i="23"/>
  <c r="R122" i="23"/>
  <c r="AA142" i="107" l="1"/>
  <c r="Y107" i="105"/>
  <c r="AA209" i="105"/>
  <c r="Y209" i="105" s="1"/>
  <c r="Y123" i="107"/>
  <c r="AA153" i="107"/>
  <c r="AC162" i="107"/>
  <c r="AC13" i="107" s="1"/>
  <c r="AC159" i="107"/>
  <c r="Y142" i="107"/>
  <c r="AA200" i="107"/>
  <c r="Y200" i="107" s="1"/>
  <c r="AB162" i="107"/>
  <c r="AB13" i="107" s="1"/>
  <c r="AB159" i="107"/>
  <c r="AB171" i="107"/>
  <c r="AA123" i="106"/>
  <c r="Y112" i="106"/>
  <c r="AB123" i="106"/>
  <c r="AB153" i="106" s="1"/>
  <c r="AC123" i="106"/>
  <c r="AC153" i="106" s="1"/>
  <c r="Y135" i="106"/>
  <c r="AA138" i="106"/>
  <c r="AA144" i="106"/>
  <c r="AA140" i="106"/>
  <c r="Y107" i="106"/>
  <c r="AA113" i="106"/>
  <c r="AA211" i="106"/>
  <c r="Y211" i="106" s="1"/>
  <c r="AA212" i="106"/>
  <c r="Y212" i="106" s="1"/>
  <c r="AA209" i="106"/>
  <c r="AM94" i="106"/>
  <c r="AM112" i="106" s="1"/>
  <c r="Y135" i="105"/>
  <c r="AA138" i="105"/>
  <c r="AA144" i="105"/>
  <c r="AA140" i="105"/>
  <c r="AA211" i="105"/>
  <c r="AB123" i="105"/>
  <c r="AB153" i="105" s="1"/>
  <c r="AA123" i="105"/>
  <c r="Y112" i="105"/>
  <c r="AC123" i="105"/>
  <c r="AC153" i="105" s="1"/>
  <c r="AA212" i="105"/>
  <c r="Y212" i="105" s="1"/>
  <c r="AA153" i="104"/>
  <c r="Y123" i="104"/>
  <c r="AB162" i="104"/>
  <c r="AB13" i="104" s="1"/>
  <c r="AB159" i="104"/>
  <c r="AB171" i="104"/>
  <c r="AA113" i="104"/>
  <c r="AA209" i="104"/>
  <c r="Y209" i="104" s="1"/>
  <c r="Y107" i="104"/>
  <c r="AC159" i="104"/>
  <c r="AC162" i="104"/>
  <c r="AC13" i="104" s="1"/>
  <c r="Y135" i="104"/>
  <c r="AA138" i="104"/>
  <c r="AA211" i="104"/>
  <c r="AA140" i="104"/>
  <c r="AA144" i="104"/>
  <c r="AA212" i="104"/>
  <c r="Y212" i="104" s="1"/>
  <c r="AC162" i="103"/>
  <c r="AC13" i="103" s="1"/>
  <c r="AC159" i="103"/>
  <c r="AB159" i="103"/>
  <c r="AB162" i="103"/>
  <c r="AB13" i="103" s="1"/>
  <c r="AB171" i="103"/>
  <c r="AA153" i="103"/>
  <c r="AA162" i="103" s="1"/>
  <c r="Y123" i="103"/>
  <c r="Y107" i="103"/>
  <c r="AA113" i="103"/>
  <c r="AA212" i="103"/>
  <c r="Y212" i="103" s="1"/>
  <c r="AA209" i="103"/>
  <c r="AA211" i="103"/>
  <c r="Y211" i="103" s="1"/>
  <c r="Y135" i="103"/>
  <c r="AA144" i="103"/>
  <c r="AA138" i="103"/>
  <c r="AA140" i="103"/>
  <c r="AA187" i="107"/>
  <c r="Y117" i="107"/>
  <c r="AA198" i="107"/>
  <c r="AA241" i="107"/>
  <c r="Y264" i="107"/>
  <c r="AA273" i="107"/>
  <c r="Y273" i="107" s="1"/>
  <c r="AZ234" i="107"/>
  <c r="BF234" i="107"/>
  <c r="BG234" i="107"/>
  <c r="BA234" i="107"/>
  <c r="BC234" i="107"/>
  <c r="BD234" i="107"/>
  <c r="AY234" i="107"/>
  <c r="BE234" i="107"/>
  <c r="BB234" i="107"/>
  <c r="AM85" i="107"/>
  <c r="AM88" i="107" s="1"/>
  <c r="AM214" i="107" s="1"/>
  <c r="AK214" i="107" s="1"/>
  <c r="AK75" i="107"/>
  <c r="Y121" i="107"/>
  <c r="AG302" i="107"/>
  <c r="AG310" i="107" s="1"/>
  <c r="AA302" i="107"/>
  <c r="AB302" i="107"/>
  <c r="AB310" i="107" s="1"/>
  <c r="AC302" i="107"/>
  <c r="AC310" i="107" s="1"/>
  <c r="AH302" i="107"/>
  <c r="AH310" i="107" s="1"/>
  <c r="AI302" i="107"/>
  <c r="AI310" i="107" s="1"/>
  <c r="AF302" i="107"/>
  <c r="AF310" i="107" s="1"/>
  <c r="AE302" i="107"/>
  <c r="AE310" i="107" s="1"/>
  <c r="AD302" i="107"/>
  <c r="AD310" i="107" s="1"/>
  <c r="O296" i="107" a="1"/>
  <c r="O296" i="107" s="1"/>
  <c r="O293" i="107"/>
  <c r="Y216" i="107"/>
  <c r="AM154" i="106"/>
  <c r="AK154" i="106" s="1"/>
  <c r="AY85" i="107"/>
  <c r="AW75" i="107"/>
  <c r="AP234" i="107"/>
  <c r="AN234" i="107"/>
  <c r="AM234" i="107"/>
  <c r="AQ234" i="107"/>
  <c r="AR234" i="107"/>
  <c r="AO234" i="107"/>
  <c r="AS234" i="107"/>
  <c r="AU234" i="107"/>
  <c r="AT234" i="107"/>
  <c r="AY294" i="107"/>
  <c r="AY297" i="107"/>
  <c r="AN293" i="107"/>
  <c r="AN296" i="107" a="1"/>
  <c r="AN296" i="107" s="1"/>
  <c r="AM297" i="107"/>
  <c r="AM294" i="107"/>
  <c r="AA14" i="107"/>
  <c r="AA190" i="107"/>
  <c r="AA169" i="107"/>
  <c r="Y167" i="107"/>
  <c r="O296" i="106" a="1"/>
  <c r="O296" i="106" s="1"/>
  <c r="O293" i="106"/>
  <c r="Y264" i="106"/>
  <c r="AA273" i="106"/>
  <c r="Y273" i="106" s="1"/>
  <c r="AY85" i="106"/>
  <c r="AY188" i="106" s="1"/>
  <c r="AW75" i="106"/>
  <c r="BG234" i="106"/>
  <c r="BE234" i="106"/>
  <c r="BC234" i="106"/>
  <c r="BA234" i="106"/>
  <c r="AY234" i="106"/>
  <c r="BB234" i="106"/>
  <c r="BF234" i="106"/>
  <c r="AZ234" i="106"/>
  <c r="BD234" i="106"/>
  <c r="AA14" i="106"/>
  <c r="AA190" i="106"/>
  <c r="AA241" i="106"/>
  <c r="AY294" i="106"/>
  <c r="AY297" i="106"/>
  <c r="AA187" i="106"/>
  <c r="AI302" i="106"/>
  <c r="AI310" i="106" s="1"/>
  <c r="AC302" i="106"/>
  <c r="AC310" i="106" s="1"/>
  <c r="AH302" i="106"/>
  <c r="AH310" i="106" s="1"/>
  <c r="AE302" i="106"/>
  <c r="AE310" i="106" s="1"/>
  <c r="AF302" i="106"/>
  <c r="AF310" i="106" s="1"/>
  <c r="AA302" i="106"/>
  <c r="AD302" i="106"/>
  <c r="AD310" i="106" s="1"/>
  <c r="AG302" i="106"/>
  <c r="AG310" i="106" s="1"/>
  <c r="AB302" i="106"/>
  <c r="AB310" i="106" s="1"/>
  <c r="AP234" i="105"/>
  <c r="AU234" i="105"/>
  <c r="AN234" i="105"/>
  <c r="AR234" i="105"/>
  <c r="AS234" i="105"/>
  <c r="AT234" i="105"/>
  <c r="AM234" i="105"/>
  <c r="AQ234" i="105"/>
  <c r="AO234" i="105"/>
  <c r="AA187" i="105"/>
  <c r="AA169" i="105"/>
  <c r="Y167" i="105"/>
  <c r="AY297" i="105"/>
  <c r="AY294" i="105"/>
  <c r="O296" i="105" a="1"/>
  <c r="O296" i="105" s="1"/>
  <c r="O293" i="105"/>
  <c r="AN294" i="105"/>
  <c r="AN297" i="105"/>
  <c r="Y117" i="105"/>
  <c r="AA241" i="105"/>
  <c r="AA198" i="105"/>
  <c r="Y264" i="105"/>
  <c r="AA273" i="105"/>
  <c r="Y273" i="105" s="1"/>
  <c r="AK75" i="105"/>
  <c r="AM85" i="105"/>
  <c r="Y121" i="105"/>
  <c r="AE302" i="105"/>
  <c r="AE310" i="105" s="1"/>
  <c r="AH302" i="105"/>
  <c r="AH310" i="105" s="1"/>
  <c r="AA302" i="105"/>
  <c r="AC302" i="105"/>
  <c r="AC310" i="105" s="1"/>
  <c r="AF302" i="105"/>
  <c r="AF310" i="105" s="1"/>
  <c r="AG302" i="105"/>
  <c r="AG310" i="105" s="1"/>
  <c r="AI302" i="105"/>
  <c r="AI310" i="105" s="1"/>
  <c r="AD302" i="105"/>
  <c r="AD310" i="105" s="1"/>
  <c r="AB302" i="105"/>
  <c r="AB310" i="105" s="1"/>
  <c r="AY85" i="105"/>
  <c r="AY188" i="105" s="1"/>
  <c r="AW75" i="105"/>
  <c r="AA14" i="105"/>
  <c r="AA190" i="105"/>
  <c r="BB234" i="105"/>
  <c r="BC234" i="105"/>
  <c r="BE234" i="105"/>
  <c r="BG234" i="105"/>
  <c r="BD234" i="105"/>
  <c r="BF234" i="105"/>
  <c r="BA234" i="105"/>
  <c r="AY234" i="105"/>
  <c r="AZ234" i="105"/>
  <c r="O296" i="104" a="1"/>
  <c r="O296" i="104" s="1"/>
  <c r="O293" i="104"/>
  <c r="AZ234" i="104"/>
  <c r="BE234" i="104"/>
  <c r="BB234" i="104"/>
  <c r="AY234" i="104"/>
  <c r="BG234" i="104"/>
  <c r="BD234" i="104"/>
  <c r="BF234" i="104"/>
  <c r="BA234" i="104"/>
  <c r="BC234" i="104"/>
  <c r="Y264" i="104"/>
  <c r="AA273" i="104"/>
  <c r="Y273" i="104" s="1"/>
  <c r="AM85" i="104"/>
  <c r="AK75" i="104"/>
  <c r="AY85" i="104"/>
  <c r="AW75" i="104"/>
  <c r="AA14" i="104"/>
  <c r="AA190" i="104"/>
  <c r="AO234" i="104"/>
  <c r="AP234" i="104"/>
  <c r="AQ234" i="104"/>
  <c r="AN234" i="104"/>
  <c r="AT234" i="104"/>
  <c r="AR234" i="104"/>
  <c r="AS234" i="104"/>
  <c r="AM234" i="104"/>
  <c r="AU234" i="104"/>
  <c r="AY297" i="104"/>
  <c r="AY294" i="104"/>
  <c r="AA187" i="104"/>
  <c r="AA241" i="104"/>
  <c r="AN297" i="104"/>
  <c r="AN294" i="104"/>
  <c r="AI302" i="104"/>
  <c r="AI310" i="104" s="1"/>
  <c r="AF302" i="104"/>
  <c r="AF310" i="104" s="1"/>
  <c r="AG302" i="104"/>
  <c r="AG310" i="104" s="1"/>
  <c r="AD302" i="104"/>
  <c r="AD310" i="104" s="1"/>
  <c r="AB302" i="104"/>
  <c r="AB310" i="104" s="1"/>
  <c r="AE302" i="104"/>
  <c r="AE310" i="104" s="1"/>
  <c r="AH302" i="104"/>
  <c r="AH310" i="104" s="1"/>
  <c r="AA302" i="104"/>
  <c r="AC302" i="104"/>
  <c r="AC310" i="104" s="1"/>
  <c r="AK75" i="103"/>
  <c r="AM85" i="103"/>
  <c r="AM188" i="103" s="1"/>
  <c r="Y264" i="103"/>
  <c r="AA273" i="103"/>
  <c r="Y273" i="103" s="1"/>
  <c r="O296" i="103" a="1"/>
  <c r="O296" i="103" s="1"/>
  <c r="O293" i="103"/>
  <c r="AY85" i="103"/>
  <c r="AY188" i="103" s="1"/>
  <c r="AW75" i="103"/>
  <c r="AA241" i="103"/>
  <c r="AM294" i="103"/>
  <c r="AM297" i="103"/>
  <c r="AN296" i="103" a="1"/>
  <c r="AN296" i="103" s="1"/>
  <c r="AN293" i="103"/>
  <c r="AY297" i="103"/>
  <c r="AY294" i="103"/>
  <c r="AE302" i="103"/>
  <c r="AE310" i="103" s="1"/>
  <c r="AB302" i="103"/>
  <c r="AB310" i="103" s="1"/>
  <c r="AG302" i="103"/>
  <c r="AG310" i="103" s="1"/>
  <c r="AA302" i="103"/>
  <c r="AH302" i="103"/>
  <c r="AH310" i="103" s="1"/>
  <c r="AC302" i="103"/>
  <c r="AC310" i="103" s="1"/>
  <c r="AF302" i="103"/>
  <c r="AF310" i="103" s="1"/>
  <c r="AI302" i="103"/>
  <c r="AI310" i="103" s="1"/>
  <c r="AD302" i="103"/>
  <c r="AD310" i="103" s="1"/>
  <c r="AA14" i="103"/>
  <c r="AA190" i="103"/>
  <c r="AR234" i="103"/>
  <c r="AM234" i="103"/>
  <c r="AU234" i="103"/>
  <c r="AN234" i="103"/>
  <c r="AT234" i="103"/>
  <c r="AO234" i="103"/>
  <c r="AP234" i="103"/>
  <c r="AS234" i="103"/>
  <c r="AQ234" i="103"/>
  <c r="AY234" i="103"/>
  <c r="BC234" i="103"/>
  <c r="BG234" i="103"/>
  <c r="AZ234" i="103"/>
  <c r="BD234" i="103"/>
  <c r="BA234" i="103"/>
  <c r="BE234" i="103"/>
  <c r="BF234" i="103"/>
  <c r="BB234" i="103"/>
  <c r="AA187" i="103"/>
  <c r="L68" i="43"/>
  <c r="L54" i="43"/>
  <c r="L26" i="24"/>
  <c r="T24" i="43"/>
  <c r="M24" i="43"/>
  <c r="P31" i="107" s="1"/>
  <c r="I11" i="24"/>
  <c r="J11" i="24" s="1"/>
  <c r="K11" i="24" s="1"/>
  <c r="L11" i="24" s="1"/>
  <c r="M11" i="24" s="1"/>
  <c r="Y153" i="107" l="1"/>
  <c r="AA162" i="107"/>
  <c r="AA171" i="107"/>
  <c r="AA159" i="107"/>
  <c r="Y159" i="107" s="1"/>
  <c r="AM94" i="107"/>
  <c r="AM112" i="107" s="1"/>
  <c r="AY88" i="107"/>
  <c r="AY214" i="107" s="1"/>
  <c r="AW214" i="107" s="1"/>
  <c r="AN123" i="106"/>
  <c r="AN153" i="106" s="1"/>
  <c r="AO123" i="106"/>
  <c r="AO153" i="106" s="1"/>
  <c r="AM123" i="106"/>
  <c r="AK112" i="106"/>
  <c r="AC159" i="106"/>
  <c r="AC162" i="106"/>
  <c r="AC13" i="106" s="1"/>
  <c r="AB159" i="106"/>
  <c r="AB162" i="106"/>
  <c r="AB13" i="106" s="1"/>
  <c r="AB171" i="106"/>
  <c r="Y138" i="106"/>
  <c r="AA146" i="106"/>
  <c r="Y146" i="106" s="1"/>
  <c r="AA142" i="106"/>
  <c r="AA153" i="106"/>
  <c r="AA171" i="106" s="1"/>
  <c r="Y123" i="106"/>
  <c r="AA121" i="106"/>
  <c r="AA117" i="106"/>
  <c r="AA167" i="106"/>
  <c r="Y113" i="106"/>
  <c r="AA216" i="106"/>
  <c r="Y209" i="106"/>
  <c r="Y216" i="106" s="1"/>
  <c r="AY88" i="106"/>
  <c r="AY214" i="106" s="1"/>
  <c r="AW214" i="106" s="1"/>
  <c r="AM135" i="106"/>
  <c r="AM96" i="106"/>
  <c r="AM155" i="106"/>
  <c r="AK155" i="106" s="1"/>
  <c r="AM95" i="106"/>
  <c r="AM107" i="106"/>
  <c r="Y123" i="105"/>
  <c r="AA153" i="105"/>
  <c r="AB159" i="105"/>
  <c r="AB162" i="105"/>
  <c r="AB13" i="105" s="1"/>
  <c r="AB171" i="105"/>
  <c r="Y138" i="105"/>
  <c r="AA146" i="105"/>
  <c r="AA171" i="105"/>
  <c r="AA142" i="105"/>
  <c r="AC159" i="105"/>
  <c r="AC162" i="105"/>
  <c r="AC13" i="105" s="1"/>
  <c r="AA216" i="105"/>
  <c r="Y211" i="105"/>
  <c r="Y216" i="105" s="1"/>
  <c r="AM88" i="105"/>
  <c r="AM214" i="105" s="1"/>
  <c r="AK214" i="105" s="1"/>
  <c r="AY88" i="105"/>
  <c r="AY214" i="105" s="1"/>
  <c r="AW214" i="105" s="1"/>
  <c r="AA117" i="104"/>
  <c r="AA167" i="104"/>
  <c r="Y113" i="104"/>
  <c r="AA121" i="104"/>
  <c r="Y121" i="104" s="1"/>
  <c r="Y153" i="104"/>
  <c r="AA162" i="104"/>
  <c r="Y162" i="104" s="1"/>
  <c r="AA159" i="104"/>
  <c r="Y159" i="104" s="1"/>
  <c r="AA216" i="104"/>
  <c r="Y211" i="104"/>
  <c r="Y216" i="104" s="1"/>
  <c r="Y138" i="104"/>
  <c r="AA146" i="104"/>
  <c r="AA171" i="104"/>
  <c r="AA142" i="104"/>
  <c r="AM88" i="104"/>
  <c r="AM214" i="104" s="1"/>
  <c r="AK214" i="104" s="1"/>
  <c r="AY88" i="104"/>
  <c r="AY214" i="104" s="1"/>
  <c r="AW214" i="104" s="1"/>
  <c r="Y162" i="103"/>
  <c r="Y153" i="103"/>
  <c r="AA159" i="103"/>
  <c r="Y159" i="103" s="1"/>
  <c r="AM88" i="103"/>
  <c r="AM214" i="103" s="1"/>
  <c r="AK214" i="103" s="1"/>
  <c r="AA167" i="103"/>
  <c r="AA171" i="103"/>
  <c r="Y113" i="103"/>
  <c r="AA121" i="103"/>
  <c r="AA117" i="103"/>
  <c r="AA146" i="103"/>
  <c r="Y146" i="103" s="1"/>
  <c r="AA142" i="103"/>
  <c r="Y138" i="103"/>
  <c r="Y209" i="103"/>
  <c r="Y216" i="103" s="1"/>
  <c r="AA216" i="103"/>
  <c r="AY88" i="103"/>
  <c r="AY214" i="103" s="1"/>
  <c r="AW214" i="103" s="1"/>
  <c r="AM155" i="107"/>
  <c r="AK155" i="107" s="1"/>
  <c r="P62" i="107"/>
  <c r="P271" i="107"/>
  <c r="P280" i="107"/>
  <c r="P65" i="107"/>
  <c r="M65" i="107" s="1"/>
  <c r="J65" i="107" s="1"/>
  <c r="P32" i="107"/>
  <c r="M53" i="107" s="1"/>
  <c r="P248" i="107"/>
  <c r="M248" i="107" s="1"/>
  <c r="J248" i="107" s="1"/>
  <c r="P309" i="107"/>
  <c r="M309" i="107" s="1"/>
  <c r="J309" i="107" s="1"/>
  <c r="P61" i="107"/>
  <c r="P229" i="107" s="1"/>
  <c r="O33" i="107"/>
  <c r="M66" i="107"/>
  <c r="J66" i="107" s="1"/>
  <c r="P33" i="107"/>
  <c r="W33" i="107"/>
  <c r="W191" i="107" s="1"/>
  <c r="O75" i="107"/>
  <c r="S33" i="107"/>
  <c r="U75" i="107"/>
  <c r="V33" i="107"/>
  <c r="V191" i="107" s="1"/>
  <c r="M64" i="107"/>
  <c r="J64" i="107" s="1"/>
  <c r="Q33" i="107"/>
  <c r="U33" i="107"/>
  <c r="T33" i="107"/>
  <c r="Q75" i="107"/>
  <c r="T75" i="107"/>
  <c r="M60" i="107"/>
  <c r="M31" i="107"/>
  <c r="M63" i="107"/>
  <c r="J63" i="107" s="1"/>
  <c r="R33" i="107"/>
  <c r="M62" i="107"/>
  <c r="R75" i="107"/>
  <c r="S75" i="107"/>
  <c r="Y169" i="107"/>
  <c r="AD251" i="107"/>
  <c r="AE313" i="107"/>
  <c r="AI252" i="107"/>
  <c r="AF313" i="107"/>
  <c r="AE252" i="107"/>
  <c r="AI312" i="107"/>
  <c r="AE251" i="107"/>
  <c r="AI251" i="107"/>
  <c r="AF312" i="107"/>
  <c r="AD312" i="107"/>
  <c r="AF252" i="107"/>
  <c r="AE312" i="107"/>
  <c r="AI313" i="107"/>
  <c r="AF251" i="107"/>
  <c r="AG312" i="107"/>
  <c r="AH251" i="107"/>
  <c r="AC312" i="107"/>
  <c r="AC313" i="107"/>
  <c r="AC251" i="107"/>
  <c r="AD313" i="107"/>
  <c r="AB252" i="107"/>
  <c r="AG251" i="107"/>
  <c r="AH252" i="107"/>
  <c r="AG313" i="107"/>
  <c r="AC252" i="107"/>
  <c r="AG252" i="107"/>
  <c r="AD252" i="107"/>
  <c r="AB251" i="107"/>
  <c r="AH313" i="107"/>
  <c r="AH312" i="107"/>
  <c r="AB313" i="107"/>
  <c r="AB312" i="107"/>
  <c r="AA252" i="107"/>
  <c r="AA251" i="107"/>
  <c r="AA312" i="107"/>
  <c r="AA313" i="107"/>
  <c r="AY188" i="107"/>
  <c r="AA310" i="107"/>
  <c r="Y302" i="107"/>
  <c r="Y310" i="107" s="1"/>
  <c r="AM188" i="107"/>
  <c r="Y241" i="107"/>
  <c r="AA191" i="107"/>
  <c r="AM296" i="107" a="1"/>
  <c r="AM296" i="107" s="1"/>
  <c r="AM293" i="107"/>
  <c r="AK234" i="107"/>
  <c r="AM269" i="107"/>
  <c r="Y198" i="107"/>
  <c r="AY293" i="107"/>
  <c r="AY296" i="107" a="1"/>
  <c r="AY296" i="107" s="1"/>
  <c r="AN269" i="107"/>
  <c r="AW234" i="107"/>
  <c r="AY269" i="107"/>
  <c r="AW269" i="107" s="1"/>
  <c r="AY192" i="106"/>
  <c r="P31" i="105"/>
  <c r="P31" i="106"/>
  <c r="AA310" i="106"/>
  <c r="Y302" i="106"/>
  <c r="Y310" i="106" s="1"/>
  <c r="AA191" i="106"/>
  <c r="Y241" i="106"/>
  <c r="AM267" i="106"/>
  <c r="AN267" i="106"/>
  <c r="AM266" i="106"/>
  <c r="AN266" i="106"/>
  <c r="AY296" i="106" a="1"/>
  <c r="AY296" i="106" s="1"/>
  <c r="AY293" i="106"/>
  <c r="AM186" i="106"/>
  <c r="AN264" i="106"/>
  <c r="AN273" i="106" s="1"/>
  <c r="AM264" i="106"/>
  <c r="AW234" i="106"/>
  <c r="AY269" i="106"/>
  <c r="AW269" i="106" s="1"/>
  <c r="AY94" i="105"/>
  <c r="AM188" i="105"/>
  <c r="AM192" i="105" s="1"/>
  <c r="AY192" i="105"/>
  <c r="AA310" i="105"/>
  <c r="Y302" i="105"/>
  <c r="Y310" i="105" s="1"/>
  <c r="Y198" i="105"/>
  <c r="AY293" i="105"/>
  <c r="AY296" i="105" a="1"/>
  <c r="AY296" i="105" s="1"/>
  <c r="AA191" i="105"/>
  <c r="AK234" i="105"/>
  <c r="AM269" i="105"/>
  <c r="AN269" i="105"/>
  <c r="Y241" i="105"/>
  <c r="AN293" i="105"/>
  <c r="AN296" i="105" a="1"/>
  <c r="AN296" i="105" s="1"/>
  <c r="P32" i="105"/>
  <c r="M53" i="105" s="1"/>
  <c r="P65" i="105"/>
  <c r="P62" i="105"/>
  <c r="M62" i="105" s="1"/>
  <c r="P280" i="105"/>
  <c r="P286" i="105" s="1" a="1"/>
  <c r="P286" i="105" s="1"/>
  <c r="P271" i="105"/>
  <c r="M271" i="105" s="1"/>
  <c r="J271" i="105" s="1"/>
  <c r="P248" i="105"/>
  <c r="M248" i="105" s="1"/>
  <c r="J248" i="105" s="1"/>
  <c r="P309" i="105"/>
  <c r="M309" i="105" s="1"/>
  <c r="J309" i="105" s="1"/>
  <c r="P61" i="105"/>
  <c r="P229" i="105" s="1"/>
  <c r="O33" i="105"/>
  <c r="T75" i="105"/>
  <c r="P33" i="105"/>
  <c r="S33" i="105"/>
  <c r="M64" i="105"/>
  <c r="J64" i="105" s="1"/>
  <c r="M60" i="105"/>
  <c r="M63" i="105"/>
  <c r="J63" i="105" s="1"/>
  <c r="S75" i="105"/>
  <c r="U33" i="105"/>
  <c r="T33" i="105"/>
  <c r="R75" i="105"/>
  <c r="W33" i="105"/>
  <c r="W191" i="105" s="1"/>
  <c r="R33" i="105"/>
  <c r="M66" i="105"/>
  <c r="J66" i="105" s="1"/>
  <c r="M31" i="105"/>
  <c r="O75" i="105"/>
  <c r="U75" i="105"/>
  <c r="M65" i="105"/>
  <c r="J65" i="105" s="1"/>
  <c r="Q33" i="105"/>
  <c r="V33" i="105"/>
  <c r="V191" i="105" s="1"/>
  <c r="AW234" i="105"/>
  <c r="AY269" i="105"/>
  <c r="AW269" i="105" s="1"/>
  <c r="Y169" i="105"/>
  <c r="AG313" i="105"/>
  <c r="AH252" i="105"/>
  <c r="AE252" i="105"/>
  <c r="AB312" i="105"/>
  <c r="AG312" i="105"/>
  <c r="AG314" i="105" s="1"/>
  <c r="AG316" i="105" s="1"/>
  <c r="AG318" i="105" s="1"/>
  <c r="AG251" i="105"/>
  <c r="AH313" i="105"/>
  <c r="AH251" i="105"/>
  <c r="AE312" i="105"/>
  <c r="AB252" i="105"/>
  <c r="AB251" i="105"/>
  <c r="AF251" i="105"/>
  <c r="AG252" i="105"/>
  <c r="AC251" i="105"/>
  <c r="AB313" i="105"/>
  <c r="AC313" i="105"/>
  <c r="AI251" i="105"/>
  <c r="AI313" i="105"/>
  <c r="AF313" i="105"/>
  <c r="AC252" i="105"/>
  <c r="AF252" i="105"/>
  <c r="AE313" i="105"/>
  <c r="AH312" i="105"/>
  <c r="AH314" i="105" s="1"/>
  <c r="AH316" i="105" s="1"/>
  <c r="AH318" i="105" s="1"/>
  <c r="AD313" i="105"/>
  <c r="AC312" i="105"/>
  <c r="AD252" i="105"/>
  <c r="AI252" i="105"/>
  <c r="AI312" i="105"/>
  <c r="AD251" i="105"/>
  <c r="AD312" i="105"/>
  <c r="AF312" i="105"/>
  <c r="AF314" i="105" s="1"/>
  <c r="AF316" i="105" s="1"/>
  <c r="AF318" i="105" s="1"/>
  <c r="AE251" i="105"/>
  <c r="AA251" i="105"/>
  <c r="AA313" i="105"/>
  <c r="AA252" i="105"/>
  <c r="AA312" i="105"/>
  <c r="AM188" i="104"/>
  <c r="P31" i="103"/>
  <c r="P280" i="103" s="1"/>
  <c r="P31" i="104"/>
  <c r="AN296" i="104" a="1"/>
  <c r="AN296" i="104" s="1"/>
  <c r="AN293" i="104"/>
  <c r="AY188" i="104"/>
  <c r="AA310" i="104"/>
  <c r="Y302" i="104"/>
  <c r="Y310" i="104" s="1"/>
  <c r="Y241" i="104"/>
  <c r="AA191" i="104"/>
  <c r="AK234" i="104"/>
  <c r="AM269" i="104"/>
  <c r="AN269" i="104"/>
  <c r="AM192" i="104"/>
  <c r="AW234" i="104"/>
  <c r="AY269" i="104"/>
  <c r="AW269" i="104" s="1"/>
  <c r="AY296" i="104" a="1"/>
  <c r="AY296" i="104" s="1"/>
  <c r="AY293" i="104"/>
  <c r="AY192" i="103"/>
  <c r="AK234" i="103"/>
  <c r="AM269" i="103"/>
  <c r="AY296" i="103" a="1"/>
  <c r="AY296" i="103" s="1"/>
  <c r="AY293" i="103"/>
  <c r="AW234" i="103"/>
  <c r="AY269" i="103"/>
  <c r="AW269" i="103" s="1"/>
  <c r="AM296" i="103" a="1"/>
  <c r="AM296" i="103" s="1"/>
  <c r="AM293" i="103"/>
  <c r="AY94" i="103"/>
  <c r="AY112" i="103" s="1"/>
  <c r="AA191" i="103"/>
  <c r="AN269" i="103"/>
  <c r="AA310" i="103"/>
  <c r="Y302" i="103"/>
  <c r="Y310" i="103" s="1"/>
  <c r="P309" i="103"/>
  <c r="M309" i="103" s="1"/>
  <c r="J309" i="103" s="1"/>
  <c r="R33" i="103"/>
  <c r="O33" i="103"/>
  <c r="M31" i="103"/>
  <c r="S75" i="103"/>
  <c r="W33" i="103"/>
  <c r="W191" i="103" s="1"/>
  <c r="T33" i="103"/>
  <c r="R75" i="103"/>
  <c r="U75" i="103"/>
  <c r="P33" i="103"/>
  <c r="M60" i="103"/>
  <c r="Y241" i="103"/>
  <c r="AM192" i="103"/>
  <c r="P68" i="43"/>
  <c r="N68" i="43"/>
  <c r="O68" i="43"/>
  <c r="S34" i="55"/>
  <c r="Q40" i="43"/>
  <c r="Q68" i="43"/>
  <c r="O40" i="43"/>
  <c r="O26" i="43"/>
  <c r="R68" i="43"/>
  <c r="P40" i="43"/>
  <c r="T54" i="43"/>
  <c r="AD34" i="55"/>
  <c r="N26" i="43"/>
  <c r="T68" i="43"/>
  <c r="N40" i="43"/>
  <c r="R26" i="43"/>
  <c r="AE34" i="55"/>
  <c r="U34" i="55"/>
  <c r="P54" i="43"/>
  <c r="AF34" i="55"/>
  <c r="T34" i="55"/>
  <c r="Q34" i="55"/>
  <c r="R40" i="43"/>
  <c r="AR34" i="55"/>
  <c r="AC34" i="55"/>
  <c r="AG34" i="55"/>
  <c r="R34" i="55"/>
  <c r="N54" i="43"/>
  <c r="Q26" i="43"/>
  <c r="P26" i="43"/>
  <c r="BD34" i="55"/>
  <c r="O54" i="43"/>
  <c r="Q54" i="43"/>
  <c r="R54" i="43"/>
  <c r="L26" i="43"/>
  <c r="R271" i="55"/>
  <c r="U271" i="55"/>
  <c r="Q271" i="55"/>
  <c r="S271" i="55"/>
  <c r="T271" i="55"/>
  <c r="W31" i="55"/>
  <c r="P31" i="55"/>
  <c r="N11" i="24"/>
  <c r="O11" i="24" s="1"/>
  <c r="S40" i="43"/>
  <c r="AH34" i="55"/>
  <c r="M12" i="43"/>
  <c r="L12" i="43"/>
  <c r="L40" i="43"/>
  <c r="M40" i="43"/>
  <c r="T40" i="43"/>
  <c r="T26" i="43"/>
  <c r="J24" i="43"/>
  <c r="AB34" i="55"/>
  <c r="M26" i="24"/>
  <c r="AW300" i="55"/>
  <c r="AK300" i="55"/>
  <c r="Y300" i="55"/>
  <c r="M300" i="55"/>
  <c r="J300" i="55"/>
  <c r="AW239" i="55"/>
  <c r="AK239" i="55"/>
  <c r="Y239" i="55"/>
  <c r="M239" i="55"/>
  <c r="J239" i="55"/>
  <c r="AW232" i="55"/>
  <c r="AK232" i="55"/>
  <c r="Y232" i="55"/>
  <c r="M232" i="55"/>
  <c r="J232" i="55"/>
  <c r="AW219" i="55"/>
  <c r="AK219" i="55"/>
  <c r="Y219" i="55"/>
  <c r="M219" i="55"/>
  <c r="J219" i="55"/>
  <c r="AW195" i="55"/>
  <c r="AK195" i="55"/>
  <c r="Y195" i="55"/>
  <c r="W195" i="55"/>
  <c r="V195" i="55"/>
  <c r="U195" i="55"/>
  <c r="S195" i="55"/>
  <c r="R195" i="55"/>
  <c r="Q195" i="55"/>
  <c r="P195" i="55"/>
  <c r="O195" i="55"/>
  <c r="M195" i="55"/>
  <c r="J195" i="55"/>
  <c r="H188" i="55"/>
  <c r="H187" i="55"/>
  <c r="H186" i="55"/>
  <c r="AW184" i="55"/>
  <c r="AK184" i="55"/>
  <c r="Y184" i="55"/>
  <c r="W184" i="55"/>
  <c r="V184" i="55"/>
  <c r="U184" i="55"/>
  <c r="S184" i="55"/>
  <c r="R184" i="55"/>
  <c r="Q184" i="55"/>
  <c r="P184" i="55"/>
  <c r="O184" i="55"/>
  <c r="M184" i="55"/>
  <c r="W165" i="55"/>
  <c r="V165" i="55"/>
  <c r="U165" i="55"/>
  <c r="S165" i="55"/>
  <c r="R165" i="55"/>
  <c r="Q165" i="55"/>
  <c r="P165" i="55"/>
  <c r="O165" i="55"/>
  <c r="J165" i="55"/>
  <c r="BA151" i="55"/>
  <c r="AZ151" i="55"/>
  <c r="AY151" i="55"/>
  <c r="AO151" i="55"/>
  <c r="AN151" i="55"/>
  <c r="AM151" i="55"/>
  <c r="AC151" i="55"/>
  <c r="AB151" i="55"/>
  <c r="AA151" i="55"/>
  <c r="Q151" i="55"/>
  <c r="P151" i="55"/>
  <c r="O151" i="55"/>
  <c r="BA136" i="55"/>
  <c r="AZ136" i="55"/>
  <c r="AZ138" i="55" s="1"/>
  <c r="AY136" i="55"/>
  <c r="AO136" i="55"/>
  <c r="AN136" i="55"/>
  <c r="AN138" i="55" s="1"/>
  <c r="AM136" i="55"/>
  <c r="AC136" i="55"/>
  <c r="AB136" i="55"/>
  <c r="AB138" i="55" s="1"/>
  <c r="AA136" i="55"/>
  <c r="Q136" i="55"/>
  <c r="P136" i="55"/>
  <c r="P138" i="55" s="1"/>
  <c r="AZ133" i="55"/>
  <c r="AY133" i="55"/>
  <c r="AN133" i="55"/>
  <c r="AM133" i="55"/>
  <c r="AB133" i="55"/>
  <c r="AA133" i="55"/>
  <c r="P133" i="55"/>
  <c r="O133" i="55"/>
  <c r="AZ199" i="55"/>
  <c r="AZ200" i="55" s="1"/>
  <c r="AN199" i="55"/>
  <c r="AN200" i="55" s="1"/>
  <c r="AB199" i="55"/>
  <c r="AB200" i="55" s="1"/>
  <c r="P199" i="55"/>
  <c r="P200" i="55" s="1"/>
  <c r="BA124" i="55"/>
  <c r="AZ124" i="55"/>
  <c r="AY124" i="55"/>
  <c r="AO124" i="55"/>
  <c r="AN124" i="55"/>
  <c r="AM124" i="55"/>
  <c r="AC124" i="55"/>
  <c r="AB124" i="55"/>
  <c r="AA124" i="55"/>
  <c r="Q124" i="55"/>
  <c r="P124" i="55"/>
  <c r="O124" i="55"/>
  <c r="BA111" i="55"/>
  <c r="AY111" i="55"/>
  <c r="AO111" i="55"/>
  <c r="AM111" i="55"/>
  <c r="AC111" i="55"/>
  <c r="AA111" i="55"/>
  <c r="Q111" i="55"/>
  <c r="O111" i="55"/>
  <c r="AZ108" i="55"/>
  <c r="AY108" i="55"/>
  <c r="AN108" i="55"/>
  <c r="AM108" i="55"/>
  <c r="AB108" i="55"/>
  <c r="AA108" i="55"/>
  <c r="AZ134" i="55"/>
  <c r="AY134" i="55"/>
  <c r="AN134" i="55"/>
  <c r="AM134" i="55"/>
  <c r="AB134" i="55"/>
  <c r="AA134" i="55"/>
  <c r="P134" i="55"/>
  <c r="O134" i="55"/>
  <c r="BA83" i="55"/>
  <c r="AZ83" i="55"/>
  <c r="AY83" i="55"/>
  <c r="AO83" i="55"/>
  <c r="AN83" i="55"/>
  <c r="AM83" i="55"/>
  <c r="AC83" i="55"/>
  <c r="AB83" i="55"/>
  <c r="AA83" i="55"/>
  <c r="Q83" i="55"/>
  <c r="O83" i="55"/>
  <c r="AZ102" i="55"/>
  <c r="AZ119" i="55" s="1"/>
  <c r="AO102" i="55"/>
  <c r="AN102" i="55"/>
  <c r="AN119" i="55" s="1"/>
  <c r="AB102" i="55"/>
  <c r="AB119" i="55" s="1"/>
  <c r="P102" i="55"/>
  <c r="P119" i="55" s="1"/>
  <c r="AZ81" i="55"/>
  <c r="AZ221" i="55" s="1"/>
  <c r="AN81" i="55"/>
  <c r="AN221" i="55" s="1"/>
  <c r="AM81" i="55"/>
  <c r="AB81" i="55"/>
  <c r="AB221" i="55" s="1"/>
  <c r="P81" i="55"/>
  <c r="P221" i="55" s="1"/>
  <c r="E81" i="55"/>
  <c r="W73" i="55"/>
  <c r="V73" i="55"/>
  <c r="U73" i="55"/>
  <c r="S73" i="55"/>
  <c r="R73" i="55"/>
  <c r="Q73" i="55"/>
  <c r="P73" i="55"/>
  <c r="O73" i="55"/>
  <c r="AW58" i="55"/>
  <c r="AK58" i="55"/>
  <c r="Y58" i="55"/>
  <c r="M58" i="55"/>
  <c r="J58" i="55"/>
  <c r="AY24" i="55"/>
  <c r="AM24" i="55"/>
  <c r="AY19" i="55"/>
  <c r="AY40" i="55" s="1"/>
  <c r="AM19" i="55"/>
  <c r="AM40" i="55" s="1"/>
  <c r="O19" i="55"/>
  <c r="O40" i="55" s="1"/>
  <c r="AY20" i="55"/>
  <c r="AM20" i="55"/>
  <c r="O20" i="55"/>
  <c r="AW17" i="55"/>
  <c r="AK17" i="55"/>
  <c r="Y17" i="55"/>
  <c r="M17" i="55"/>
  <c r="J17" i="55"/>
  <c r="BG10" i="55"/>
  <c r="BG219" i="55" s="1"/>
  <c r="BF10" i="55"/>
  <c r="BE10" i="55"/>
  <c r="BC10" i="55"/>
  <c r="BB10" i="55"/>
  <c r="BA10" i="55"/>
  <c r="AZ10" i="55"/>
  <c r="AY10" i="55"/>
  <c r="AU10" i="55"/>
  <c r="AU219" i="55" s="1"/>
  <c r="AT10" i="55"/>
  <c r="AS10" i="55"/>
  <c r="AQ10" i="55"/>
  <c r="AP10" i="55"/>
  <c r="AO10" i="55"/>
  <c r="AN10" i="55"/>
  <c r="AM10" i="55"/>
  <c r="AI10" i="55"/>
  <c r="AI219" i="55" s="1"/>
  <c r="AH10" i="55"/>
  <c r="AG10" i="55"/>
  <c r="AE10" i="55"/>
  <c r="AD10" i="55"/>
  <c r="AC10" i="55"/>
  <c r="AB10" i="55"/>
  <c r="AA10" i="55"/>
  <c r="E2" i="55"/>
  <c r="Q75" i="105" l="1"/>
  <c r="AM94" i="103"/>
  <c r="P248" i="103"/>
  <c r="M248" i="103" s="1"/>
  <c r="J248" i="103" s="1"/>
  <c r="AM95" i="107"/>
  <c r="AM154" i="107" s="1"/>
  <c r="AK154" i="107" s="1"/>
  <c r="AM96" i="107"/>
  <c r="AM107" i="107"/>
  <c r="AM135" i="107"/>
  <c r="Y162" i="107"/>
  <c r="AA13" i="107"/>
  <c r="AO123" i="107"/>
  <c r="AO153" i="107" s="1"/>
  <c r="AM123" i="107"/>
  <c r="AK112" i="107"/>
  <c r="AN123" i="107"/>
  <c r="AN153" i="107" s="1"/>
  <c r="AF314" i="107"/>
  <c r="AF316" i="107" s="1"/>
  <c r="AF318" i="107" s="1"/>
  <c r="AY94" i="107"/>
  <c r="AY112" i="107" s="1"/>
  <c r="Y142" i="106"/>
  <c r="AA200" i="106"/>
  <c r="Y200" i="106" s="1"/>
  <c r="AK123" i="106"/>
  <c r="AM153" i="106"/>
  <c r="AK153" i="106" s="1"/>
  <c r="AO159" i="106"/>
  <c r="AO162" i="106"/>
  <c r="AO13" i="106" s="1"/>
  <c r="Y153" i="106"/>
  <c r="AA159" i="106"/>
  <c r="Y159" i="106" s="1"/>
  <c r="AA162" i="106"/>
  <c r="Y162" i="106" s="1"/>
  <c r="AN159" i="106"/>
  <c r="AN162" i="106"/>
  <c r="AN13" i="106" s="1"/>
  <c r="AN171" i="106"/>
  <c r="Y167" i="106"/>
  <c r="AA169" i="106"/>
  <c r="Y117" i="106"/>
  <c r="AA198" i="106"/>
  <c r="Y198" i="106" s="1"/>
  <c r="AY94" i="106"/>
  <c r="AY112" i="106" s="1"/>
  <c r="Y121" i="106"/>
  <c r="AK107" i="106"/>
  <c r="AM113" i="106"/>
  <c r="AM211" i="106"/>
  <c r="AK211" i="106" s="1"/>
  <c r="AM212" i="106"/>
  <c r="AK212" i="106" s="1"/>
  <c r="AM209" i="106"/>
  <c r="AM138" i="106"/>
  <c r="AM140" i="106"/>
  <c r="AM144" i="106"/>
  <c r="AK135" i="106"/>
  <c r="AM162" i="106"/>
  <c r="Y146" i="105"/>
  <c r="Y153" i="105"/>
  <c r="AA162" i="105"/>
  <c r="Y162" i="105" s="1"/>
  <c r="AA159" i="105"/>
  <c r="Y159" i="105" s="1"/>
  <c r="AY107" i="105"/>
  <c r="AW107" i="105" s="1"/>
  <c r="AY112" i="105"/>
  <c r="Y142" i="105"/>
  <c r="AA200" i="105"/>
  <c r="Y200" i="105" s="1"/>
  <c r="AM94" i="105"/>
  <c r="AM112" i="105" s="1"/>
  <c r="Y167" i="104"/>
  <c r="AA169" i="104"/>
  <c r="Y142" i="104"/>
  <c r="AA200" i="104"/>
  <c r="Y200" i="104" s="1"/>
  <c r="Y117" i="104"/>
  <c r="AA198" i="104"/>
  <c r="Y198" i="104" s="1"/>
  <c r="Y146" i="104"/>
  <c r="AA13" i="104"/>
  <c r="AY94" i="104"/>
  <c r="AY112" i="104" s="1"/>
  <c r="AM94" i="104"/>
  <c r="AM112" i="104" s="1"/>
  <c r="AZ123" i="103"/>
  <c r="AZ153" i="103" s="1"/>
  <c r="BA123" i="103"/>
  <c r="BA153" i="103" s="1"/>
  <c r="AW112" i="103"/>
  <c r="AY123" i="103"/>
  <c r="Y142" i="103"/>
  <c r="AA200" i="103"/>
  <c r="Y200" i="103" s="1"/>
  <c r="AA198" i="103"/>
  <c r="Y198" i="103" s="1"/>
  <c r="Y117" i="103"/>
  <c r="AA169" i="103"/>
  <c r="Y167" i="103"/>
  <c r="Y121" i="103"/>
  <c r="AA13" i="103"/>
  <c r="AG314" i="107"/>
  <c r="AG316" i="107" s="1"/>
  <c r="AG318" i="107" s="1"/>
  <c r="AE253" i="107"/>
  <c r="M61" i="107"/>
  <c r="O235" i="107" s="1"/>
  <c r="AD314" i="107"/>
  <c r="AD316" i="107" s="1"/>
  <c r="AD318" i="107" s="1"/>
  <c r="AC253" i="107"/>
  <c r="AH314" i="107"/>
  <c r="AH316" i="107" s="1"/>
  <c r="AH318" i="107" s="1"/>
  <c r="AF253" i="107"/>
  <c r="AI314" i="107"/>
  <c r="AI316" i="107" s="1"/>
  <c r="AI318" i="107" s="1"/>
  <c r="AM192" i="107"/>
  <c r="AY192" i="107"/>
  <c r="Y252" i="107"/>
  <c r="AC314" i="107"/>
  <c r="AC316" i="107" s="1"/>
  <c r="AC318" i="107" s="1"/>
  <c r="AD253" i="107"/>
  <c r="R154" i="107"/>
  <c r="J80" i="107"/>
  <c r="J31" i="107"/>
  <c r="Y313" i="107"/>
  <c r="AB314" i="107"/>
  <c r="AB316" i="107" s="1"/>
  <c r="AB318" i="107" s="1"/>
  <c r="AB253" i="107"/>
  <c r="AH253" i="107"/>
  <c r="AE314" i="107"/>
  <c r="AE316" i="107" s="1"/>
  <c r="AE318" i="107" s="1"/>
  <c r="AI253" i="107"/>
  <c r="J62" i="107"/>
  <c r="V236" i="107"/>
  <c r="P236" i="107"/>
  <c r="S236" i="107"/>
  <c r="T236" i="107"/>
  <c r="Q236" i="107"/>
  <c r="U236" i="107"/>
  <c r="O236" i="107"/>
  <c r="W236" i="107"/>
  <c r="R236" i="107"/>
  <c r="J60" i="107"/>
  <c r="O234" i="107"/>
  <c r="S234" i="107"/>
  <c r="W234" i="107"/>
  <c r="P234" i="107"/>
  <c r="R234" i="107"/>
  <c r="T234" i="107"/>
  <c r="V234" i="107"/>
  <c r="U234" i="107"/>
  <c r="Q234" i="107"/>
  <c r="O85" i="107"/>
  <c r="T241" i="107"/>
  <c r="AD290" i="107"/>
  <c r="BF290" i="107"/>
  <c r="Q241" i="107"/>
  <c r="U241" i="107"/>
  <c r="AI290" i="107"/>
  <c r="AS290" i="107"/>
  <c r="BC290" i="107"/>
  <c r="BG290" i="107"/>
  <c r="R290" i="107"/>
  <c r="V290" i="107"/>
  <c r="AB290" i="107"/>
  <c r="S241" i="107"/>
  <c r="AE290" i="107"/>
  <c r="R241" i="107"/>
  <c r="V241" i="107"/>
  <c r="AP290" i="107"/>
  <c r="AT290" i="107"/>
  <c r="AZ290" i="107"/>
  <c r="AR290" i="107"/>
  <c r="BD290" i="107"/>
  <c r="BB290" i="107"/>
  <c r="AQ290" i="107"/>
  <c r="Q290" i="107"/>
  <c r="AH290" i="107"/>
  <c r="AO290" i="107"/>
  <c r="S290" i="107"/>
  <c r="AU290" i="107"/>
  <c r="U290" i="107"/>
  <c r="W290" i="107"/>
  <c r="AC290" i="107"/>
  <c r="T290" i="107"/>
  <c r="AF290" i="107"/>
  <c r="W241" i="107"/>
  <c r="AG290" i="107"/>
  <c r="BA290" i="107"/>
  <c r="BE290" i="107"/>
  <c r="O188" i="107"/>
  <c r="O192" i="107" s="1"/>
  <c r="AK269" i="107"/>
  <c r="Y312" i="107"/>
  <c r="AA314" i="107"/>
  <c r="AA316" i="107" s="1"/>
  <c r="AA318" i="107" s="1"/>
  <c r="AC181" i="107"/>
  <c r="AI177" i="107"/>
  <c r="AB181" i="107"/>
  <c r="AC177" i="107"/>
  <c r="AA181" i="107"/>
  <c r="AB177" i="107"/>
  <c r="AI181" i="107"/>
  <c r="AI13" i="107" s="1"/>
  <c r="Y13" i="107" s="1"/>
  <c r="AA177" i="107"/>
  <c r="V307" i="107"/>
  <c r="R307" i="107"/>
  <c r="U307" i="107"/>
  <c r="Q307" i="107"/>
  <c r="T307" i="107"/>
  <c r="P307" i="107"/>
  <c r="W307" i="107"/>
  <c r="S307" i="107"/>
  <c r="O307" i="107"/>
  <c r="T156" i="107"/>
  <c r="O246" i="107"/>
  <c r="P246" i="107"/>
  <c r="T246" i="107"/>
  <c r="Q246" i="107"/>
  <c r="U246" i="107"/>
  <c r="R246" i="107"/>
  <c r="V246" i="107"/>
  <c r="W246" i="107"/>
  <c r="S246" i="107"/>
  <c r="T202" i="107"/>
  <c r="T204" i="107" s="1"/>
  <c r="T186" i="107"/>
  <c r="T14" i="107" s="1"/>
  <c r="U154" i="107"/>
  <c r="T247" i="107"/>
  <c r="AD247" i="107"/>
  <c r="AD249" i="107" s="1"/>
  <c r="AD255" i="107" s="1"/>
  <c r="AD257" i="107" s="1"/>
  <c r="BB247" i="107"/>
  <c r="BB249" i="107" s="1"/>
  <c r="AA247" i="107"/>
  <c r="AF247" i="107"/>
  <c r="AF249" i="107" s="1"/>
  <c r="BD247" i="107"/>
  <c r="BD249" i="107" s="1"/>
  <c r="BF247" i="107"/>
  <c r="BF249" i="107" s="1"/>
  <c r="Q247" i="107"/>
  <c r="U247" i="107"/>
  <c r="AI247" i="107"/>
  <c r="AI249" i="107" s="1"/>
  <c r="AO247" i="107"/>
  <c r="AO249" i="107" s="1"/>
  <c r="BC247" i="107"/>
  <c r="BC249" i="107" s="1"/>
  <c r="BG247" i="107"/>
  <c r="BG249" i="107" s="1"/>
  <c r="AB247" i="107"/>
  <c r="AB249" i="107" s="1"/>
  <c r="AE247" i="107"/>
  <c r="AE249" i="107" s="1"/>
  <c r="AS247" i="107"/>
  <c r="AS249" i="107" s="1"/>
  <c r="AY247" i="107"/>
  <c r="R247" i="107"/>
  <c r="V247" i="107"/>
  <c r="AN247" i="107"/>
  <c r="AR247" i="107"/>
  <c r="AR249" i="107" s="1"/>
  <c r="AP247" i="107"/>
  <c r="AP249" i="107" s="1"/>
  <c r="AZ247" i="107"/>
  <c r="AZ249" i="107" s="1"/>
  <c r="S247" i="107"/>
  <c r="W247" i="107"/>
  <c r="BA247" i="107"/>
  <c r="BA249" i="107" s="1"/>
  <c r="AQ247" i="107"/>
  <c r="AQ249" i="107" s="1"/>
  <c r="AC247" i="107"/>
  <c r="AC249" i="107" s="1"/>
  <c r="BE247" i="107"/>
  <c r="BE249" i="107" s="1"/>
  <c r="AT247" i="107"/>
  <c r="AT249" i="107" s="1"/>
  <c r="AG247" i="107"/>
  <c r="AG249" i="107" s="1"/>
  <c r="AM247" i="107"/>
  <c r="AU247" i="107"/>
  <c r="AU249" i="107" s="1"/>
  <c r="AH247" i="107"/>
  <c r="AH249" i="107" s="1"/>
  <c r="AH255" i="107" s="1"/>
  <c r="AH257" i="107" s="1"/>
  <c r="P75" i="107"/>
  <c r="P284" i="107" a="1"/>
  <c r="P284" i="107" s="1"/>
  <c r="P283" i="107" a="1"/>
  <c r="P283" i="107" s="1"/>
  <c r="P297" i="107"/>
  <c r="P294" i="107"/>
  <c r="P282" i="107" a="1"/>
  <c r="P282" i="107" s="1"/>
  <c r="AM211" i="107"/>
  <c r="AM212" i="107"/>
  <c r="AK107" i="107"/>
  <c r="AM209" i="107"/>
  <c r="AM113" i="107"/>
  <c r="AM144" i="107"/>
  <c r="AK135" i="107"/>
  <c r="AM140" i="107"/>
  <c r="AM138" i="107"/>
  <c r="Y251" i="107"/>
  <c r="AA253" i="107"/>
  <c r="AG253" i="107"/>
  <c r="S154" i="107"/>
  <c r="T245" i="107"/>
  <c r="Q245" i="107"/>
  <c r="U245" i="107"/>
  <c r="W245" i="107"/>
  <c r="R245" i="107"/>
  <c r="V245" i="107"/>
  <c r="S245" i="107"/>
  <c r="Q85" i="107"/>
  <c r="R235" i="107"/>
  <c r="P235" i="107"/>
  <c r="U235" i="107"/>
  <c r="P190" i="107"/>
  <c r="P187" i="107"/>
  <c r="P191" i="107" s="1"/>
  <c r="P286" i="107" a="1"/>
  <c r="P286" i="107" s="1"/>
  <c r="M271" i="107"/>
  <c r="J271" i="107" s="1"/>
  <c r="AY95" i="105"/>
  <c r="AG253" i="105"/>
  <c r="AY135" i="105"/>
  <c r="AW135" i="105" s="1"/>
  <c r="AY155" i="105"/>
  <c r="AW155" i="105" s="1"/>
  <c r="AM154" i="105"/>
  <c r="AK154" i="105" s="1"/>
  <c r="AK264" i="106"/>
  <c r="AM273" i="106"/>
  <c r="AK273" i="106" s="1"/>
  <c r="AY95" i="106"/>
  <c r="AM14" i="106"/>
  <c r="AM190" i="106"/>
  <c r="AN241" i="106"/>
  <c r="AM241" i="106"/>
  <c r="P62" i="106"/>
  <c r="P280" i="106"/>
  <c r="P271" i="106"/>
  <c r="P65" i="106"/>
  <c r="P32" i="106"/>
  <c r="M53" i="106" s="1"/>
  <c r="P309" i="106"/>
  <c r="M309" i="106" s="1"/>
  <c r="J309" i="106" s="1"/>
  <c r="P248" i="106"/>
  <c r="M248" i="106" s="1"/>
  <c r="J248" i="106" s="1"/>
  <c r="P61" i="106"/>
  <c r="P229" i="106" s="1"/>
  <c r="Q33" i="106"/>
  <c r="U75" i="106"/>
  <c r="T75" i="106"/>
  <c r="R75" i="106"/>
  <c r="M66" i="106"/>
  <c r="J66" i="106" s="1"/>
  <c r="T33" i="106"/>
  <c r="W33" i="106"/>
  <c r="W191" i="106" s="1"/>
  <c r="P33" i="106"/>
  <c r="R33" i="106"/>
  <c r="O75" i="106"/>
  <c r="S75" i="106"/>
  <c r="M60" i="106"/>
  <c r="Q75" i="106"/>
  <c r="U33" i="106"/>
  <c r="M63" i="106"/>
  <c r="J63" i="106" s="1"/>
  <c r="M31" i="106"/>
  <c r="M62" i="106"/>
  <c r="O33" i="106"/>
  <c r="S33" i="106"/>
  <c r="M65" i="106"/>
  <c r="J65" i="106" s="1"/>
  <c r="V33" i="106"/>
  <c r="V191" i="106" s="1"/>
  <c r="M64" i="106"/>
  <c r="J64" i="106" s="1"/>
  <c r="AM187" i="106"/>
  <c r="AS302" i="106"/>
  <c r="AS310" i="106" s="1"/>
  <c r="AM302" i="106"/>
  <c r="AR302" i="106"/>
  <c r="AR310" i="106" s="1"/>
  <c r="AO302" i="106"/>
  <c r="AO310" i="106" s="1"/>
  <c r="AP302" i="106"/>
  <c r="AP310" i="106" s="1"/>
  <c r="AU302" i="106"/>
  <c r="AU310" i="106" s="1"/>
  <c r="AN302" i="106"/>
  <c r="AN310" i="106" s="1"/>
  <c r="AQ302" i="106"/>
  <c r="AQ310" i="106" s="1"/>
  <c r="AT302" i="106"/>
  <c r="AT310" i="106" s="1"/>
  <c r="AK266" i="106"/>
  <c r="AK267" i="106"/>
  <c r="AY96" i="105"/>
  <c r="AY154" i="104"/>
  <c r="AW154" i="104" s="1"/>
  <c r="AM154" i="104"/>
  <c r="AE253" i="105"/>
  <c r="AI314" i="105"/>
  <c r="AI316" i="105" s="1"/>
  <c r="AI318" i="105" s="1"/>
  <c r="AF253" i="105"/>
  <c r="AH253" i="105"/>
  <c r="AK269" i="105"/>
  <c r="Y252" i="105"/>
  <c r="AB253" i="105"/>
  <c r="P75" i="105"/>
  <c r="M64" i="103"/>
  <c r="J64" i="103" s="1"/>
  <c r="P61" i="103"/>
  <c r="P229" i="103" s="1"/>
  <c r="Y251" i="105"/>
  <c r="AA253" i="105"/>
  <c r="AD253" i="105"/>
  <c r="AC314" i="105"/>
  <c r="AC316" i="105" s="1"/>
  <c r="AC318" i="105" s="1"/>
  <c r="AI253" i="105"/>
  <c r="AE314" i="105"/>
  <c r="AE316" i="105" s="1"/>
  <c r="AE318" i="105" s="1"/>
  <c r="J80" i="105"/>
  <c r="J31" i="105"/>
  <c r="M61" i="105"/>
  <c r="P190" i="105"/>
  <c r="P187" i="105"/>
  <c r="P191" i="105" s="1"/>
  <c r="AY154" i="105"/>
  <c r="P286" i="103" a="1"/>
  <c r="P286" i="103" s="1"/>
  <c r="Y312" i="105"/>
  <c r="AA314" i="105"/>
  <c r="AA316" i="105" s="1"/>
  <c r="AA318" i="105" s="1"/>
  <c r="AB314" i="105"/>
  <c r="AB316" i="105" s="1"/>
  <c r="AB318" i="105" s="1"/>
  <c r="T242" i="105"/>
  <c r="J60" i="105"/>
  <c r="Q234" i="105"/>
  <c r="R234" i="105"/>
  <c r="V234" i="105"/>
  <c r="S234" i="105"/>
  <c r="P234" i="105"/>
  <c r="U234" i="105"/>
  <c r="W234" i="105"/>
  <c r="T234" i="105"/>
  <c r="O234" i="105"/>
  <c r="V307" i="105"/>
  <c r="R307" i="105"/>
  <c r="T307" i="105"/>
  <c r="P307" i="105"/>
  <c r="W307" i="105"/>
  <c r="S307" i="105"/>
  <c r="O307" i="105"/>
  <c r="U307" i="105"/>
  <c r="Q307" i="105"/>
  <c r="T156" i="105"/>
  <c r="R246" i="105"/>
  <c r="P246" i="105"/>
  <c r="Q246" i="105"/>
  <c r="V246" i="105"/>
  <c r="O246" i="105"/>
  <c r="W246" i="105"/>
  <c r="T246" i="105"/>
  <c r="U246" i="105"/>
  <c r="S246" i="105"/>
  <c r="T202" i="105"/>
  <c r="T204" i="105" s="1"/>
  <c r="T186" i="105"/>
  <c r="T14" i="105" s="1"/>
  <c r="AC181" i="105"/>
  <c r="AI177" i="105"/>
  <c r="AB181" i="105"/>
  <c r="AC177" i="105"/>
  <c r="AA181" i="105"/>
  <c r="AB177" i="105"/>
  <c r="AI181" i="105"/>
  <c r="AI13" i="105" s="1"/>
  <c r="AA177" i="105"/>
  <c r="U154" i="105"/>
  <c r="V247" i="105"/>
  <c r="AZ247" i="105"/>
  <c r="AZ249" i="105" s="1"/>
  <c r="W247" i="105"/>
  <c r="AU247" i="105"/>
  <c r="AU249" i="105" s="1"/>
  <c r="T247" i="105"/>
  <c r="AR247" i="105"/>
  <c r="AR249" i="105" s="1"/>
  <c r="Q247" i="105"/>
  <c r="AY247" i="105"/>
  <c r="BD247" i="105"/>
  <c r="BD249" i="105" s="1"/>
  <c r="S247" i="105"/>
  <c r="BA247" i="105"/>
  <c r="BA249" i="105" s="1"/>
  <c r="AN247" i="105"/>
  <c r="U247" i="105"/>
  <c r="AA247" i="105"/>
  <c r="AE247" i="105"/>
  <c r="AE249" i="105" s="1"/>
  <c r="AI247" i="105"/>
  <c r="AI249" i="105" s="1"/>
  <c r="AB247" i="105"/>
  <c r="AB249" i="105" s="1"/>
  <c r="AF247" i="105"/>
  <c r="AF249" i="105" s="1"/>
  <c r="AP247" i="105"/>
  <c r="AP249" i="105" s="1"/>
  <c r="AC247" i="105"/>
  <c r="AC249" i="105" s="1"/>
  <c r="AG247" i="105"/>
  <c r="AG249" i="105" s="1"/>
  <c r="AG255" i="105" s="1"/>
  <c r="AG257" i="105" s="1"/>
  <c r="AM247" i="105"/>
  <c r="BE247" i="105"/>
  <c r="BE249" i="105" s="1"/>
  <c r="AD247" i="105"/>
  <c r="AD249" i="105" s="1"/>
  <c r="AH247" i="105"/>
  <c r="AH249" i="105" s="1"/>
  <c r="BB247" i="105"/>
  <c r="BB249" i="105" s="1"/>
  <c r="AO247" i="105"/>
  <c r="AO249" i="105" s="1"/>
  <c r="BC247" i="105"/>
  <c r="BC249" i="105" s="1"/>
  <c r="R247" i="105"/>
  <c r="AT247" i="105"/>
  <c r="AT249" i="105" s="1"/>
  <c r="AQ247" i="105"/>
  <c r="AQ249" i="105" s="1"/>
  <c r="BF247" i="105"/>
  <c r="BF249" i="105" s="1"/>
  <c r="BG247" i="105"/>
  <c r="BG249" i="105" s="1"/>
  <c r="AS247" i="105"/>
  <c r="AS249" i="105" s="1"/>
  <c r="Q85" i="105"/>
  <c r="J62" i="105"/>
  <c r="P236" i="105"/>
  <c r="U236" i="105"/>
  <c r="S236" i="105"/>
  <c r="T236" i="105"/>
  <c r="W236" i="105"/>
  <c r="Q236" i="105"/>
  <c r="R236" i="105"/>
  <c r="V236" i="105"/>
  <c r="O236" i="105"/>
  <c r="P284" i="105" a="1"/>
  <c r="P284" i="105" s="1"/>
  <c r="P283" i="105" a="1"/>
  <c r="P283" i="105" s="1"/>
  <c r="P294" i="105"/>
  <c r="P282" i="105" a="1"/>
  <c r="P282" i="105" s="1"/>
  <c r="P297" i="105"/>
  <c r="O75" i="103"/>
  <c r="M63" i="103"/>
  <c r="J63" i="103" s="1"/>
  <c r="M66" i="103"/>
  <c r="J66" i="103" s="1"/>
  <c r="P62" i="103"/>
  <c r="Q75" i="103" s="1"/>
  <c r="Q85" i="103" s="1"/>
  <c r="Y313" i="105"/>
  <c r="AD314" i="105"/>
  <c r="AD316" i="105" s="1"/>
  <c r="AD318" i="105" s="1"/>
  <c r="AC253" i="105"/>
  <c r="O85" i="105"/>
  <c r="O88" i="105" s="1"/>
  <c r="O214" i="105" s="1"/>
  <c r="R290" i="105"/>
  <c r="AT290" i="105"/>
  <c r="S290" i="105"/>
  <c r="S241" i="105"/>
  <c r="AQ290" i="105"/>
  <c r="T241" i="105"/>
  <c r="AR290" i="105"/>
  <c r="BB290" i="105"/>
  <c r="U241" i="105"/>
  <c r="AS290" i="105"/>
  <c r="BG290" i="105"/>
  <c r="R241" i="105"/>
  <c r="V290" i="105"/>
  <c r="AZ290" i="105"/>
  <c r="W290" i="105"/>
  <c r="AU290" i="105"/>
  <c r="BF290" i="105"/>
  <c r="Q290" i="105"/>
  <c r="V241" i="105"/>
  <c r="AB290" i="105"/>
  <c r="AF290" i="105"/>
  <c r="BD290" i="105"/>
  <c r="W241" i="105"/>
  <c r="AC290" i="105"/>
  <c r="AG290" i="105"/>
  <c r="BA290" i="105"/>
  <c r="U290" i="105"/>
  <c r="AP290" i="105"/>
  <c r="BE290" i="105"/>
  <c r="T290" i="105"/>
  <c r="AD290" i="105"/>
  <c r="AH290" i="105"/>
  <c r="Q241" i="105"/>
  <c r="AO290" i="105"/>
  <c r="AI290" i="105"/>
  <c r="AE290" i="105"/>
  <c r="BC290" i="105"/>
  <c r="R154" i="105"/>
  <c r="S154" i="105"/>
  <c r="V245" i="105"/>
  <c r="W245" i="105"/>
  <c r="Q245" i="105"/>
  <c r="S245" i="105"/>
  <c r="T245" i="105"/>
  <c r="U245" i="105"/>
  <c r="R245" i="105"/>
  <c r="P271" i="103"/>
  <c r="P65" i="103"/>
  <c r="P32" i="104"/>
  <c r="M53" i="104" s="1"/>
  <c r="P271" i="104"/>
  <c r="P280" i="104"/>
  <c r="P65" i="104"/>
  <c r="M65" i="104" s="1"/>
  <c r="J65" i="104" s="1"/>
  <c r="P62" i="104"/>
  <c r="Q75" i="104" s="1"/>
  <c r="P248" i="104"/>
  <c r="M248" i="104" s="1"/>
  <c r="J248" i="104" s="1"/>
  <c r="P309" i="104"/>
  <c r="M309" i="104" s="1"/>
  <c r="J309" i="104" s="1"/>
  <c r="P61" i="104"/>
  <c r="P229" i="104" s="1"/>
  <c r="O33" i="104"/>
  <c r="M66" i="104"/>
  <c r="J66" i="104" s="1"/>
  <c r="R75" i="104"/>
  <c r="U33" i="104"/>
  <c r="V33" i="104"/>
  <c r="V191" i="104" s="1"/>
  <c r="P33" i="104"/>
  <c r="O75" i="104"/>
  <c r="Q33" i="104"/>
  <c r="R33" i="104"/>
  <c r="M63" i="104"/>
  <c r="J63" i="104" s="1"/>
  <c r="S33" i="104"/>
  <c r="U75" i="104"/>
  <c r="W33" i="104"/>
  <c r="W191" i="104" s="1"/>
  <c r="M31" i="104"/>
  <c r="M64" i="104"/>
  <c r="J64" i="104" s="1"/>
  <c r="T33" i="104"/>
  <c r="M60" i="104"/>
  <c r="S75" i="104"/>
  <c r="AK269" i="104"/>
  <c r="AY192" i="104"/>
  <c r="Q33" i="103"/>
  <c r="U33" i="103"/>
  <c r="V33" i="103"/>
  <c r="V191" i="103" s="1"/>
  <c r="S33" i="103"/>
  <c r="P32" i="103"/>
  <c r="M53" i="103" s="1"/>
  <c r="P75" i="103"/>
  <c r="AM154" i="103"/>
  <c r="AK154" i="103" s="1"/>
  <c r="J60" i="103"/>
  <c r="O234" i="103"/>
  <c r="W234" i="103"/>
  <c r="U234" i="103"/>
  <c r="T234" i="103"/>
  <c r="V234" i="103"/>
  <c r="R234" i="103"/>
  <c r="S234" i="103"/>
  <c r="P234" i="103"/>
  <c r="Q234" i="103"/>
  <c r="BF290" i="103"/>
  <c r="BG290" i="103"/>
  <c r="W241" i="103"/>
  <c r="AG290" i="103"/>
  <c r="AT290" i="103"/>
  <c r="T290" i="103"/>
  <c r="AH290" i="103"/>
  <c r="U290" i="103"/>
  <c r="R241" i="103"/>
  <c r="AB290" i="103"/>
  <c r="T241" i="103"/>
  <c r="BB290" i="103"/>
  <c r="AE290" i="103"/>
  <c r="AS290" i="103"/>
  <c r="V241" i="103"/>
  <c r="S241" i="103"/>
  <c r="W290" i="103"/>
  <c r="S290" i="103"/>
  <c r="BA290" i="103"/>
  <c r="AY155" i="103"/>
  <c r="AW155" i="103" s="1"/>
  <c r="AY107" i="103"/>
  <c r="AY96" i="103"/>
  <c r="AY95" i="103"/>
  <c r="AY135" i="103"/>
  <c r="P190" i="103"/>
  <c r="P187" i="103"/>
  <c r="P191" i="103" s="1"/>
  <c r="R154" i="103"/>
  <c r="J80" i="103"/>
  <c r="J31" i="103"/>
  <c r="P284" i="103" a="1"/>
  <c r="P284" i="103" s="1"/>
  <c r="P283" i="103" a="1"/>
  <c r="P283" i="103" s="1"/>
  <c r="P297" i="103"/>
  <c r="P282" i="103" a="1"/>
  <c r="P282" i="103" s="1"/>
  <c r="P294" i="103"/>
  <c r="U154" i="103"/>
  <c r="T247" i="103"/>
  <c r="AD247" i="103"/>
  <c r="AD249" i="103" s="1"/>
  <c r="AH247" i="103"/>
  <c r="AH249" i="103" s="1"/>
  <c r="AO247" i="103"/>
  <c r="AO249" i="103" s="1"/>
  <c r="BC247" i="103"/>
  <c r="BC249" i="103" s="1"/>
  <c r="V247" i="103"/>
  <c r="AB247" i="103"/>
  <c r="AB249" i="103" s="1"/>
  <c r="AF247" i="103"/>
  <c r="AF249" i="103" s="1"/>
  <c r="AZ247" i="103"/>
  <c r="AZ249" i="103" s="1"/>
  <c r="AN247" i="103"/>
  <c r="AS247" i="103"/>
  <c r="AS249" i="103" s="1"/>
  <c r="BG247" i="103"/>
  <c r="BG249" i="103" s="1"/>
  <c r="BD247" i="103"/>
  <c r="BD249" i="103" s="1"/>
  <c r="AR247" i="103"/>
  <c r="AR249" i="103" s="1"/>
  <c r="BB247" i="103"/>
  <c r="BB249" i="103" s="1"/>
  <c r="Q247" i="103"/>
  <c r="AY247" i="103"/>
  <c r="AP247" i="103"/>
  <c r="AP249" i="103" s="1"/>
  <c r="BF247" i="103"/>
  <c r="BF249" i="103" s="1"/>
  <c r="U247" i="103"/>
  <c r="AA247" i="103"/>
  <c r="AE247" i="103"/>
  <c r="AE249" i="103" s="1"/>
  <c r="AI247" i="103"/>
  <c r="AI249" i="103" s="1"/>
  <c r="R247" i="103"/>
  <c r="AT247" i="103"/>
  <c r="AT249" i="103" s="1"/>
  <c r="AG247" i="103"/>
  <c r="AG249" i="103" s="1"/>
  <c r="AU247" i="103"/>
  <c r="AU249" i="103" s="1"/>
  <c r="BA247" i="103"/>
  <c r="BA249" i="103" s="1"/>
  <c r="W247" i="103"/>
  <c r="BE247" i="103"/>
  <c r="BE249" i="103" s="1"/>
  <c r="S247" i="103"/>
  <c r="AC247" i="103"/>
  <c r="AC249" i="103" s="1"/>
  <c r="AQ247" i="103"/>
  <c r="AQ249" i="103" s="1"/>
  <c r="AM247" i="103"/>
  <c r="AK269" i="103"/>
  <c r="M61" i="103"/>
  <c r="S154" i="103"/>
  <c r="Q245" i="103"/>
  <c r="R245" i="103"/>
  <c r="S245" i="103"/>
  <c r="T245" i="103"/>
  <c r="U245" i="103"/>
  <c r="V245" i="103"/>
  <c r="W245" i="103"/>
  <c r="I35" i="23"/>
  <c r="I34" i="23"/>
  <c r="AG282" i="55" a="1"/>
  <c r="AG282" i="55" s="1"/>
  <c r="AG286" i="55" a="1"/>
  <c r="AG286" i="55" s="1"/>
  <c r="AG60" i="55"/>
  <c r="AG227" i="55" s="1"/>
  <c r="AG61" i="55"/>
  <c r="AG229" i="55" s="1"/>
  <c r="AC282" i="55" a="1"/>
  <c r="AC282" i="55" s="1"/>
  <c r="AC60" i="55"/>
  <c r="AC227" i="55" s="1"/>
  <c r="AC286" i="55" a="1"/>
  <c r="AC286" i="55" s="1"/>
  <c r="AC61" i="55"/>
  <c r="AC229" i="55" s="1"/>
  <c r="AR282" i="55" a="1"/>
  <c r="AR282" i="55" s="1"/>
  <c r="AR286" i="55" a="1"/>
  <c r="AR286" i="55" s="1"/>
  <c r="AR60" i="55"/>
  <c r="AR227" i="55" s="1"/>
  <c r="AR61" i="55"/>
  <c r="AR229" i="55" s="1"/>
  <c r="Q282" i="55" a="1"/>
  <c r="Q282" i="55" s="1"/>
  <c r="Q60" i="55"/>
  <c r="Q227" i="55" s="1"/>
  <c r="Q61" i="55"/>
  <c r="Q229" i="55" s="1"/>
  <c r="Q286" i="55" a="1"/>
  <c r="Q286" i="55" s="1"/>
  <c r="T282" i="55" a="1"/>
  <c r="T282" i="55" s="1"/>
  <c r="T286" i="55" a="1"/>
  <c r="T286" i="55" s="1"/>
  <c r="T61" i="55"/>
  <c r="T229" i="55" s="1"/>
  <c r="T60" i="55"/>
  <c r="T227" i="55" s="1"/>
  <c r="AF60" i="55"/>
  <c r="AF227" i="55" s="1"/>
  <c r="AF61" i="55"/>
  <c r="AF229" i="55" s="1"/>
  <c r="AF286" i="55" a="1"/>
  <c r="AF286" i="55" s="1"/>
  <c r="AF282" i="55" a="1"/>
  <c r="AF282" i="55" s="1"/>
  <c r="S61" i="55"/>
  <c r="S229" i="55" s="1"/>
  <c r="S282" i="55" a="1"/>
  <c r="S282" i="55" s="1"/>
  <c r="S60" i="55"/>
  <c r="S227" i="55" s="1"/>
  <c r="S286" i="55" a="1"/>
  <c r="S286" i="55" s="1"/>
  <c r="U282" i="55" a="1"/>
  <c r="U282" i="55" s="1"/>
  <c r="U60" i="55"/>
  <c r="U227" i="55" s="1"/>
  <c r="U61" i="55"/>
  <c r="U229" i="55" s="1"/>
  <c r="U286" i="55" a="1"/>
  <c r="U286" i="55" s="1"/>
  <c r="P34" i="55"/>
  <c r="P60" i="55" s="1"/>
  <c r="P227" i="55" s="1"/>
  <c r="M54" i="43"/>
  <c r="AE282" i="55" a="1"/>
  <c r="AE282" i="55" s="1"/>
  <c r="AE60" i="55"/>
  <c r="AE227" i="55" s="1"/>
  <c r="AE61" i="55"/>
  <c r="AE229" i="55" s="1"/>
  <c r="AE286" i="55" a="1"/>
  <c r="AE286" i="55" s="1"/>
  <c r="BD282" i="55" a="1"/>
  <c r="BD282" i="55" s="1"/>
  <c r="BD286" i="55" a="1"/>
  <c r="BD286" i="55" s="1"/>
  <c r="BD61" i="55"/>
  <c r="BD229" i="55" s="1"/>
  <c r="BD60" i="55"/>
  <c r="BD227" i="55" s="1"/>
  <c r="AD60" i="55"/>
  <c r="AD227" i="55" s="1"/>
  <c r="AD61" i="55"/>
  <c r="AD229" i="55" s="1"/>
  <c r="AD286" i="55" a="1"/>
  <c r="AD286" i="55" s="1"/>
  <c r="AD282" i="55" a="1"/>
  <c r="AD282" i="55" s="1"/>
  <c r="R282" i="55" a="1"/>
  <c r="R282" i="55" s="1"/>
  <c r="R60" i="55"/>
  <c r="R227" i="55" s="1"/>
  <c r="R61" i="55"/>
  <c r="R229" i="55" s="1"/>
  <c r="R286" i="55" a="1"/>
  <c r="R286" i="55" s="1"/>
  <c r="AH282" i="55" a="1"/>
  <c r="AH282" i="55" s="1"/>
  <c r="AH60" i="55"/>
  <c r="AH227" i="55" s="1"/>
  <c r="AB282" i="55" a="1"/>
  <c r="AB282" i="55" s="1"/>
  <c r="AB60" i="55"/>
  <c r="AB227" i="55" s="1"/>
  <c r="AM35" i="55"/>
  <c r="AE149" i="55"/>
  <c r="AE219" i="55"/>
  <c r="BC149" i="55"/>
  <c r="BC219" i="55"/>
  <c r="AG149" i="55"/>
  <c r="AG219" i="55"/>
  <c r="BE149" i="55"/>
  <c r="BE219" i="55"/>
  <c r="AH149" i="55"/>
  <c r="AH219" i="55"/>
  <c r="BF149" i="55"/>
  <c r="BF219" i="55"/>
  <c r="BB149" i="55"/>
  <c r="BB219" i="55"/>
  <c r="AM149" i="55"/>
  <c r="AM219" i="55"/>
  <c r="AN149" i="55"/>
  <c r="AN219" i="55"/>
  <c r="AO149" i="55"/>
  <c r="AO219" i="55"/>
  <c r="AD149" i="55"/>
  <c r="AD219" i="55"/>
  <c r="AQ149" i="55"/>
  <c r="AQ219" i="55"/>
  <c r="AS149" i="55"/>
  <c r="AS219" i="55"/>
  <c r="AP149" i="55"/>
  <c r="AP219" i="55"/>
  <c r="AY149" i="55"/>
  <c r="AY219" i="55"/>
  <c r="AT149" i="55"/>
  <c r="AT219" i="55"/>
  <c r="AA149" i="55"/>
  <c r="AA219" i="55"/>
  <c r="AB149" i="55"/>
  <c r="AB219" i="55"/>
  <c r="AZ149" i="55"/>
  <c r="AZ219" i="55"/>
  <c r="AC149" i="55"/>
  <c r="AC219" i="55"/>
  <c r="BA149" i="55"/>
  <c r="BA219" i="55"/>
  <c r="AM221" i="55"/>
  <c r="AN197" i="55"/>
  <c r="AN103" i="55"/>
  <c r="AO197" i="55"/>
  <c r="AO103" i="55"/>
  <c r="AZ197" i="55"/>
  <c r="AZ103" i="55"/>
  <c r="P197" i="55"/>
  <c r="P103" i="55"/>
  <c r="AB197" i="55"/>
  <c r="AB103" i="55"/>
  <c r="AH286" i="55" a="1"/>
  <c r="AH286" i="55" s="1"/>
  <c r="P280" i="55"/>
  <c r="AB286" i="55" a="1"/>
  <c r="AB286" i="55" s="1"/>
  <c r="W280" i="55"/>
  <c r="AY35" i="55"/>
  <c r="O35" i="55"/>
  <c r="O34" i="55"/>
  <c r="AH61" i="55"/>
  <c r="AH229" i="55" s="1"/>
  <c r="P66" i="55"/>
  <c r="W66" i="55"/>
  <c r="AB61" i="55"/>
  <c r="AB229" i="55" s="1"/>
  <c r="P62" i="55"/>
  <c r="W62" i="55"/>
  <c r="AM199" i="55"/>
  <c r="AY52" i="55"/>
  <c r="AY31" i="55"/>
  <c r="O31" i="55"/>
  <c r="AM52" i="55"/>
  <c r="AM31" i="55"/>
  <c r="V34" i="55"/>
  <c r="AA199" i="55"/>
  <c r="S68" i="43"/>
  <c r="J68" i="43" s="1"/>
  <c r="S54" i="43"/>
  <c r="S26" i="43"/>
  <c r="P11" i="24"/>
  <c r="Q11" i="24" s="1"/>
  <c r="R11" i="24" s="1"/>
  <c r="S11" i="24" s="1"/>
  <c r="T11" i="24" s="1"/>
  <c r="U11" i="24" s="1"/>
  <c r="V11" i="24" s="1"/>
  <c r="W11" i="24" s="1"/>
  <c r="X11" i="24" s="1"/>
  <c r="Y11" i="24" s="1"/>
  <c r="Z11" i="24" s="1"/>
  <c r="AA11" i="24" s="1"/>
  <c r="AB11" i="24" s="1"/>
  <c r="AC11" i="24" s="1"/>
  <c r="AD11" i="24" s="1"/>
  <c r="AE11" i="24" s="1"/>
  <c r="AF11" i="24" s="1"/>
  <c r="AG11" i="24" s="1"/>
  <c r="AH11" i="24" s="1"/>
  <c r="AI11" i="24" s="1"/>
  <c r="AJ11" i="24" s="1"/>
  <c r="AK11" i="24" s="1"/>
  <c r="AL11" i="24" s="1"/>
  <c r="AM11" i="24" s="1"/>
  <c r="AN11" i="24" s="1"/>
  <c r="AO11" i="24" s="1"/>
  <c r="AP11" i="24" s="1"/>
  <c r="AQ11" i="24" s="1"/>
  <c r="AR11" i="24" s="1"/>
  <c r="AS11" i="24" s="1"/>
  <c r="AT11" i="24" s="1"/>
  <c r="AU11" i="24" s="1"/>
  <c r="AV11" i="24" s="1"/>
  <c r="AW11" i="24" s="1"/>
  <c r="AX11" i="24" s="1"/>
  <c r="AY11" i="24" s="1"/>
  <c r="AZ11" i="24" s="1"/>
  <c r="BA11" i="24" s="1"/>
  <c r="BB11" i="24" s="1"/>
  <c r="BC11" i="24" s="1"/>
  <c r="BD11" i="24" s="1"/>
  <c r="BE11" i="24" s="1"/>
  <c r="BF11" i="24" s="1"/>
  <c r="BG11" i="24" s="1"/>
  <c r="BH11" i="24" s="1"/>
  <c r="BI11" i="24" s="1"/>
  <c r="BJ11" i="24" s="1"/>
  <c r="BK11" i="24" s="1"/>
  <c r="BL11" i="24" s="1"/>
  <c r="BM11" i="24" s="1"/>
  <c r="BN11" i="24" s="1"/>
  <c r="O199" i="55"/>
  <c r="AB33" i="55"/>
  <c r="AI33" i="55"/>
  <c r="AH33" i="55"/>
  <c r="AG33" i="55"/>
  <c r="AF33" i="55"/>
  <c r="AE33" i="55"/>
  <c r="AD33" i="55"/>
  <c r="AC33" i="55"/>
  <c r="AA33" i="55"/>
  <c r="AY199" i="55"/>
  <c r="W34" i="55"/>
  <c r="W60" i="55" s="1"/>
  <c r="AB207" i="55"/>
  <c r="AT73" i="55"/>
  <c r="AU207" i="55"/>
  <c r="AA207" i="55"/>
  <c r="AC207" i="55"/>
  <c r="AD73" i="55"/>
  <c r="BB73" i="55"/>
  <c r="AG73" i="55"/>
  <c r="BE73" i="55"/>
  <c r="BG207" i="55"/>
  <c r="BC73" i="55"/>
  <c r="AE73" i="55"/>
  <c r="AI207" i="55"/>
  <c r="AM207" i="55"/>
  <c r="AN207" i="55"/>
  <c r="AO207" i="55"/>
  <c r="AY17" i="55"/>
  <c r="AY225" i="55" s="1"/>
  <c r="O17" i="55"/>
  <c r="O300" i="55" s="1"/>
  <c r="BA207" i="55"/>
  <c r="AY207" i="55"/>
  <c r="AZ207" i="55"/>
  <c r="BG17" i="55"/>
  <c r="BG278" i="55" s="1"/>
  <c r="AA32" i="55"/>
  <c r="BB17" i="55"/>
  <c r="AO17" i="55"/>
  <c r="AP17" i="55"/>
  <c r="AQ17" i="55"/>
  <c r="AS17" i="55"/>
  <c r="BF17" i="55"/>
  <c r="AT17" i="55"/>
  <c r="BC17" i="55"/>
  <c r="BC260" i="55" s="1"/>
  <c r="AN17" i="55"/>
  <c r="AN300" i="55" s="1"/>
  <c r="AZ17" i="55"/>
  <c r="AZ300" i="55" s="1"/>
  <c r="BE17" i="55"/>
  <c r="AU17" i="55"/>
  <c r="BA17" i="55"/>
  <c r="AM17" i="55"/>
  <c r="P32" i="55"/>
  <c r="W32" i="55"/>
  <c r="AI32" i="55"/>
  <c r="J12" i="43"/>
  <c r="G2" i="43" s="1"/>
  <c r="F2" i="107" s="1"/>
  <c r="AA99" i="55"/>
  <c r="AU73" i="55"/>
  <c r="AB99" i="55"/>
  <c r="AM99" i="55"/>
  <c r="AN99" i="55"/>
  <c r="AO99" i="55"/>
  <c r="AC99" i="55"/>
  <c r="J40" i="43"/>
  <c r="M26" i="43"/>
  <c r="Y31" i="55"/>
  <c r="I26" i="23" s="1"/>
  <c r="E241" i="55"/>
  <c r="E302" i="55"/>
  <c r="E242" i="55"/>
  <c r="E303" i="55"/>
  <c r="E243" i="55"/>
  <c r="E304" i="55"/>
  <c r="E244" i="55"/>
  <c r="E305" i="55"/>
  <c r="E245" i="55"/>
  <c r="E306" i="55"/>
  <c r="E247" i="55"/>
  <c r="E308" i="55"/>
  <c r="E248" i="55"/>
  <c r="E309" i="55"/>
  <c r="AY99" i="55"/>
  <c r="AZ99" i="55"/>
  <c r="BA99" i="55"/>
  <c r="BB21" i="55"/>
  <c r="BB55" i="55" s="1" a="1"/>
  <c r="BB55" i="55" s="1"/>
  <c r="BB53" i="55" s="1"/>
  <c r="BE21" i="55"/>
  <c r="BE55" i="55" s="1" a="1"/>
  <c r="BE55" i="55" s="1"/>
  <c r="BE53" i="55" s="1"/>
  <c r="BF21" i="55"/>
  <c r="BF55" i="55" s="1" a="1"/>
  <c r="BF55" i="55" s="1"/>
  <c r="BF53" i="55" s="1"/>
  <c r="BG21" i="55"/>
  <c r="BG55" i="55" s="1" a="1"/>
  <c r="BG55" i="55" s="1"/>
  <c r="BG53" i="55" s="1"/>
  <c r="AM22" i="55"/>
  <c r="AM21" i="55"/>
  <c r="AM64" i="55" s="1"/>
  <c r="AM34" i="55"/>
  <c r="AN22" i="55"/>
  <c r="AN21" i="55"/>
  <c r="AN55" i="55" s="1" a="1"/>
  <c r="AN55" i="55" s="1"/>
  <c r="AN53" i="55" s="1"/>
  <c r="AN34" i="55"/>
  <c r="BC21" i="55"/>
  <c r="BC55" i="55" s="1" a="1"/>
  <c r="BC55" i="55" s="1"/>
  <c r="BC53" i="55" s="1"/>
  <c r="O22" i="55"/>
  <c r="AP34" i="55"/>
  <c r="AP21" i="55"/>
  <c r="AP55" i="55" s="1" a="1"/>
  <c r="AP55" i="55" s="1"/>
  <c r="AP53" i="55" s="1"/>
  <c r="AP22" i="55"/>
  <c r="AQ21" i="55"/>
  <c r="AQ55" i="55" s="1" a="1"/>
  <c r="AQ55" i="55" s="1"/>
  <c r="AQ53" i="55" s="1"/>
  <c r="AQ34" i="55"/>
  <c r="AQ22" i="55"/>
  <c r="AS21" i="55"/>
  <c r="AS55" i="55" s="1" a="1"/>
  <c r="AS55" i="55" s="1"/>
  <c r="AS53" i="55" s="1"/>
  <c r="AS34" i="55"/>
  <c r="AS22" i="55"/>
  <c r="AO22" i="55"/>
  <c r="AO21" i="55"/>
  <c r="AO55" i="55" s="1" a="1"/>
  <c r="AO55" i="55" s="1"/>
  <c r="AO53" i="55" s="1"/>
  <c r="AO34" i="55"/>
  <c r="AU21" i="55"/>
  <c r="AU55" i="55" s="1" a="1"/>
  <c r="AU55" i="55" s="1"/>
  <c r="AU53" i="55" s="1"/>
  <c r="AU22" i="55"/>
  <c r="AU34" i="55"/>
  <c r="AT34" i="55"/>
  <c r="AT21" i="55"/>
  <c r="AT55" i="55" s="1" a="1"/>
  <c r="AT55" i="55" s="1"/>
  <c r="AT53" i="55" s="1"/>
  <c r="AT22" i="55"/>
  <c r="AY21" i="55"/>
  <c r="AY64" i="55" s="1"/>
  <c r="AZ21" i="55"/>
  <c r="AZ55" i="55" s="1" a="1"/>
  <c r="AZ55" i="55" s="1"/>
  <c r="AZ53" i="55" s="1"/>
  <c r="BA21" i="55"/>
  <c r="BA55" i="55" s="1" a="1"/>
  <c r="BA55" i="55" s="1"/>
  <c r="BA53" i="55" s="1"/>
  <c r="AA34" i="55"/>
  <c r="AI34" i="55"/>
  <c r="BG22" i="55"/>
  <c r="BG34" i="55"/>
  <c r="AY22" i="55"/>
  <c r="AY34" i="55"/>
  <c r="AZ34" i="55"/>
  <c r="AZ22" i="55"/>
  <c r="BA22" i="55"/>
  <c r="BA34" i="55"/>
  <c r="BB22" i="55"/>
  <c r="BB34" i="55"/>
  <c r="BC34" i="55"/>
  <c r="BC22" i="55"/>
  <c r="BE22" i="55"/>
  <c r="BE34" i="55"/>
  <c r="BF22" i="55"/>
  <c r="BF34" i="55"/>
  <c r="O21" i="55"/>
  <c r="O64" i="55" s="1"/>
  <c r="AA73" i="55"/>
  <c r="BF75" i="55"/>
  <c r="BF154" i="55" s="1"/>
  <c r="AH195" i="55"/>
  <c r="AH165" i="55"/>
  <c r="AH184" i="55"/>
  <c r="BF195" i="55"/>
  <c r="BF165" i="55"/>
  <c r="BF184" i="55"/>
  <c r="AK24" i="55"/>
  <c r="AE184" i="55"/>
  <c r="AM195" i="55"/>
  <c r="AM165" i="55"/>
  <c r="AM184" i="55"/>
  <c r="AB73" i="55"/>
  <c r="AN195" i="55"/>
  <c r="AN165" i="55"/>
  <c r="AN184" i="55"/>
  <c r="Y70" i="55"/>
  <c r="AC73" i="55"/>
  <c r="AY73" i="55"/>
  <c r="BA184" i="55"/>
  <c r="AO195" i="55"/>
  <c r="AO165" i="55"/>
  <c r="AO184" i="55"/>
  <c r="AZ73" i="55"/>
  <c r="AI195" i="55"/>
  <c r="AI165" i="55"/>
  <c r="AI184" i="55"/>
  <c r="BA73" i="55"/>
  <c r="V75" i="55"/>
  <c r="V154" i="55" s="1"/>
  <c r="AQ165" i="55"/>
  <c r="AQ184" i="55"/>
  <c r="AQ195" i="55"/>
  <c r="AB165" i="55"/>
  <c r="AS165" i="55"/>
  <c r="AS184" i="55"/>
  <c r="Y24" i="55"/>
  <c r="AH73" i="55"/>
  <c r="AZ165" i="55"/>
  <c r="AI73" i="55"/>
  <c r="AU165" i="55"/>
  <c r="AU184" i="55"/>
  <c r="AU195" i="55"/>
  <c r="AW24" i="55"/>
  <c r="BF73" i="55"/>
  <c r="AH75" i="55"/>
  <c r="AH154" i="55" s="1"/>
  <c r="BG195" i="55"/>
  <c r="BG165" i="55"/>
  <c r="BG184" i="55"/>
  <c r="AY184" i="55"/>
  <c r="AY195" i="55"/>
  <c r="AY165" i="55"/>
  <c r="AM73" i="55"/>
  <c r="BG73" i="55"/>
  <c r="AI169" i="55"/>
  <c r="AP195" i="55"/>
  <c r="AP165" i="55"/>
  <c r="AP184" i="55"/>
  <c r="AB184" i="55"/>
  <c r="AB195" i="55"/>
  <c r="AZ195" i="55"/>
  <c r="AZ184" i="55"/>
  <c r="AN73" i="55"/>
  <c r="AT165" i="55"/>
  <c r="AT184" i="55"/>
  <c r="AT195" i="55"/>
  <c r="AA184" i="55"/>
  <c r="AA195" i="55"/>
  <c r="AA165" i="55"/>
  <c r="AC184" i="55"/>
  <c r="AC195" i="55"/>
  <c r="AC165" i="55"/>
  <c r="BA195" i="55"/>
  <c r="BA165" i="55"/>
  <c r="M68" i="55"/>
  <c r="I38" i="23" s="1"/>
  <c r="AO73" i="55"/>
  <c r="AS195" i="55"/>
  <c r="AD195" i="55"/>
  <c r="AD165" i="55"/>
  <c r="AD184" i="55"/>
  <c r="BB195" i="55"/>
  <c r="BB165" i="55"/>
  <c r="BB184" i="55"/>
  <c r="Y68" i="55"/>
  <c r="I39" i="23" s="1"/>
  <c r="AP73" i="55"/>
  <c r="AE195" i="55"/>
  <c r="AE165" i="55"/>
  <c r="BC195" i="55"/>
  <c r="BC165" i="55"/>
  <c r="BC184" i="55"/>
  <c r="AK68" i="55"/>
  <c r="I40" i="23" s="1"/>
  <c r="AQ73" i="55"/>
  <c r="AT75" i="55"/>
  <c r="AT154" i="55" s="1"/>
  <c r="AG195" i="55"/>
  <c r="AG165" i="55"/>
  <c r="AG184" i="55"/>
  <c r="BE195" i="55"/>
  <c r="BE165" i="55"/>
  <c r="BE184" i="55"/>
  <c r="AW68" i="55"/>
  <c r="I41" i="23" s="1"/>
  <c r="AS73" i="55"/>
  <c r="P121" i="23"/>
  <c r="O121" i="23"/>
  <c r="T75" i="104" l="1"/>
  <c r="AY135" i="106"/>
  <c r="AY107" i="106"/>
  <c r="AY96" i="106"/>
  <c r="AY155" i="106"/>
  <c r="AW155" i="106" s="1"/>
  <c r="AY113" i="105"/>
  <c r="AY209" i="105"/>
  <c r="AY138" i="105"/>
  <c r="AF255" i="105"/>
  <c r="AF257" i="105" s="1"/>
  <c r="AM112" i="103"/>
  <c r="AM95" i="103"/>
  <c r="AM155" i="103"/>
  <c r="AK155" i="103" s="1"/>
  <c r="AM107" i="103"/>
  <c r="AM96" i="103"/>
  <c r="AM135" i="103"/>
  <c r="AI255" i="107"/>
  <c r="AI257" i="107" s="1"/>
  <c r="AK162" i="106"/>
  <c r="AC255" i="107"/>
  <c r="AC257" i="107" s="1"/>
  <c r="AM159" i="106"/>
  <c r="AB255" i="107"/>
  <c r="AB257" i="107" s="1"/>
  <c r="BA123" i="107"/>
  <c r="BA153" i="107" s="1"/>
  <c r="AZ123" i="107"/>
  <c r="AZ153" i="107" s="1"/>
  <c r="AY123" i="107"/>
  <c r="AW112" i="107"/>
  <c r="AK123" i="107"/>
  <c r="AM153" i="107"/>
  <c r="AO159" i="107"/>
  <c r="AO162" i="107"/>
  <c r="AO13" i="107" s="1"/>
  <c r="AN159" i="107"/>
  <c r="AN162" i="107"/>
  <c r="AN13" i="107" s="1"/>
  <c r="AN171" i="107"/>
  <c r="Q235" i="107"/>
  <c r="AF255" i="107"/>
  <c r="AF257" i="107" s="1"/>
  <c r="T235" i="107"/>
  <c r="W235" i="107"/>
  <c r="V235" i="107"/>
  <c r="J61" i="107"/>
  <c r="Y253" i="107"/>
  <c r="S235" i="107"/>
  <c r="AE255" i="107"/>
  <c r="AE257" i="107" s="1"/>
  <c r="AY135" i="107"/>
  <c r="AY155" i="107"/>
  <c r="AW155" i="107" s="1"/>
  <c r="AY96" i="107"/>
  <c r="AY107" i="107"/>
  <c r="AY95" i="107"/>
  <c r="AY154" i="107" s="1"/>
  <c r="Y318" i="107"/>
  <c r="Y314" i="107"/>
  <c r="Y316" i="107" s="1"/>
  <c r="M236" i="107"/>
  <c r="O88" i="107"/>
  <c r="O214" i="107" s="1"/>
  <c r="Q88" i="107"/>
  <c r="Q214" i="107" s="1"/>
  <c r="AK159" i="106"/>
  <c r="AA13" i="106"/>
  <c r="AZ123" i="106"/>
  <c r="AZ153" i="106" s="1"/>
  <c r="BA123" i="106"/>
  <c r="BA153" i="106" s="1"/>
  <c r="AY123" i="106"/>
  <c r="AW112" i="106"/>
  <c r="AD313" i="106"/>
  <c r="AB251" i="106"/>
  <c r="AH313" i="106"/>
  <c r="AH312" i="106"/>
  <c r="AE313" i="106"/>
  <c r="AF251" i="106"/>
  <c r="AE252" i="106"/>
  <c r="AI313" i="106"/>
  <c r="AA251" i="106"/>
  <c r="AH252" i="106"/>
  <c r="AC313" i="106"/>
  <c r="AB252" i="106"/>
  <c r="AB313" i="106"/>
  <c r="AI252" i="106"/>
  <c r="AC252" i="106"/>
  <c r="AI312" i="106"/>
  <c r="AI314" i="106" s="1"/>
  <c r="AI316" i="106" s="1"/>
  <c r="AI318" i="106" s="1"/>
  <c r="AC251" i="106"/>
  <c r="AA312" i="106"/>
  <c r="Y169" i="106"/>
  <c r="AD312" i="106"/>
  <c r="AG252" i="106"/>
  <c r="AE312" i="106"/>
  <c r="AI251" i="106"/>
  <c r="AG251" i="106"/>
  <c r="AG312" i="106"/>
  <c r="AF312" i="106"/>
  <c r="AF252" i="106"/>
  <c r="AD252" i="106"/>
  <c r="AG313" i="106"/>
  <c r="AD251" i="106"/>
  <c r="AE251" i="106"/>
  <c r="AE253" i="106" s="1"/>
  <c r="AA313" i="106"/>
  <c r="AB312" i="106"/>
  <c r="AB314" i="106" s="1"/>
  <c r="AB316" i="106" s="1"/>
  <c r="AB318" i="106" s="1"/>
  <c r="AC312" i="106"/>
  <c r="AF313" i="106"/>
  <c r="AH251" i="106"/>
  <c r="AA252" i="106"/>
  <c r="AM142" i="106"/>
  <c r="AK138" i="106"/>
  <c r="AM146" i="106"/>
  <c r="AK146" i="106" s="1"/>
  <c r="AM167" i="106"/>
  <c r="AK113" i="106"/>
  <c r="AM121" i="106"/>
  <c r="AM171" i="106"/>
  <c r="AM117" i="106"/>
  <c r="AM216" i="106"/>
  <c r="AK209" i="106"/>
  <c r="AK216" i="106" s="1"/>
  <c r="AD255" i="105"/>
  <c r="AD257" i="105" s="1"/>
  <c r="AW112" i="105"/>
  <c r="BA123" i="105"/>
  <c r="BA153" i="105" s="1"/>
  <c r="AY123" i="105"/>
  <c r="AZ123" i="105"/>
  <c r="AZ153" i="105" s="1"/>
  <c r="AE255" i="105"/>
  <c r="AE257" i="105" s="1"/>
  <c r="AO123" i="105"/>
  <c r="AO153" i="105" s="1"/>
  <c r="AK112" i="105"/>
  <c r="AN123" i="105"/>
  <c r="AN153" i="105" s="1"/>
  <c r="AM123" i="105"/>
  <c r="AA13" i="105"/>
  <c r="Y13" i="105" s="1"/>
  <c r="AI255" i="105"/>
  <c r="AI257" i="105" s="1"/>
  <c r="AY140" i="105"/>
  <c r="AY142" i="105" s="1"/>
  <c r="AY211" i="105"/>
  <c r="AW211" i="105" s="1"/>
  <c r="AY144" i="105"/>
  <c r="AY146" i="105" s="1"/>
  <c r="AW146" i="105" s="1"/>
  <c r="AY212" i="105"/>
  <c r="AW212" i="105" s="1"/>
  <c r="W303" i="105"/>
  <c r="U303" i="105"/>
  <c r="AM135" i="105"/>
  <c r="AM107" i="105"/>
  <c r="AM96" i="105"/>
  <c r="AM95" i="105"/>
  <c r="AM155" i="105"/>
  <c r="M75" i="105"/>
  <c r="J75" i="105" s="1"/>
  <c r="O94" i="105"/>
  <c r="Q88" i="105"/>
  <c r="Q214" i="105" s="1"/>
  <c r="M214" i="105" s="1"/>
  <c r="J214" i="105" s="1"/>
  <c r="AO123" i="104"/>
  <c r="AO153" i="104" s="1"/>
  <c r="AK112" i="104"/>
  <c r="AM123" i="104"/>
  <c r="AN123" i="104"/>
  <c r="AN153" i="104" s="1"/>
  <c r="AZ123" i="104"/>
  <c r="AZ153" i="104" s="1"/>
  <c r="AY123" i="104"/>
  <c r="BA123" i="104"/>
  <c r="BA153" i="104" s="1"/>
  <c r="AW112" i="104"/>
  <c r="AB252" i="104"/>
  <c r="AE251" i="104"/>
  <c r="AC252" i="104"/>
  <c r="AC313" i="104"/>
  <c r="AG251" i="104"/>
  <c r="AD251" i="104"/>
  <c r="AH252" i="104"/>
  <c r="AE313" i="104"/>
  <c r="AA252" i="104"/>
  <c r="AF313" i="104"/>
  <c r="AB313" i="104"/>
  <c r="AG313" i="104"/>
  <c r="AD312" i="104"/>
  <c r="AC312" i="104"/>
  <c r="AG312" i="104"/>
  <c r="AI313" i="104"/>
  <c r="AG252" i="104"/>
  <c r="AA251" i="104"/>
  <c r="AC251" i="104"/>
  <c r="AC253" i="104" s="1"/>
  <c r="AD313" i="104"/>
  <c r="AE252" i="104"/>
  <c r="AI312" i="104"/>
  <c r="AE312" i="104"/>
  <c r="AA312" i="104"/>
  <c r="AI251" i="104"/>
  <c r="AD252" i="104"/>
  <c r="AF251" i="104"/>
  <c r="AB312" i="104"/>
  <c r="AB251" i="104"/>
  <c r="AB253" i="104" s="1"/>
  <c r="AH313" i="104"/>
  <c r="AI252" i="104"/>
  <c r="AH312" i="104"/>
  <c r="AA313" i="104"/>
  <c r="Y169" i="104"/>
  <c r="AF312" i="104"/>
  <c r="AF252" i="104"/>
  <c r="AH251" i="104"/>
  <c r="AH253" i="104" s="1"/>
  <c r="M62" i="104"/>
  <c r="AK154" i="104"/>
  <c r="AM155" i="104"/>
  <c r="AM135" i="104"/>
  <c r="AM107" i="104"/>
  <c r="AM96" i="104"/>
  <c r="AM95" i="104"/>
  <c r="AY135" i="104"/>
  <c r="AY155" i="104"/>
  <c r="AY95" i="104"/>
  <c r="AY96" i="104"/>
  <c r="AY107" i="104"/>
  <c r="AY153" i="103"/>
  <c r="AW153" i="103" s="1"/>
  <c r="AW123" i="103"/>
  <c r="BA159" i="103"/>
  <c r="BA162" i="103"/>
  <c r="BA13" i="103" s="1"/>
  <c r="AZ162" i="103"/>
  <c r="AZ13" i="103" s="1"/>
  <c r="AZ159" i="103"/>
  <c r="AZ171" i="103"/>
  <c r="M62" i="103"/>
  <c r="O85" i="103"/>
  <c r="O88" i="103" s="1"/>
  <c r="O214" i="103" s="1"/>
  <c r="Y169" i="103"/>
  <c r="AE251" i="103"/>
  <c r="AI313" i="103"/>
  <c r="AF251" i="103"/>
  <c r="AC312" i="103"/>
  <c r="AD313" i="103"/>
  <c r="AE312" i="103"/>
  <c r="AE313" i="103"/>
  <c r="AF252" i="103"/>
  <c r="AA313" i="103"/>
  <c r="AD251" i="103"/>
  <c r="AF313" i="103"/>
  <c r="AI251" i="103"/>
  <c r="AC313" i="103"/>
  <c r="AH313" i="103"/>
  <c r="AE252" i="103"/>
  <c r="AG251" i="103"/>
  <c r="AB252" i="103"/>
  <c r="AA252" i="103"/>
  <c r="AD312" i="103"/>
  <c r="AB251" i="103"/>
  <c r="AD252" i="103"/>
  <c r="AG252" i="103"/>
  <c r="AH252" i="103"/>
  <c r="AC251" i="103"/>
  <c r="AG313" i="103"/>
  <c r="AF312" i="103"/>
  <c r="AA251" i="103"/>
  <c r="AI312" i="103"/>
  <c r="AH251" i="103"/>
  <c r="AG312" i="103"/>
  <c r="AC252" i="103"/>
  <c r="AH312" i="103"/>
  <c r="AB312" i="103"/>
  <c r="AI252" i="103"/>
  <c r="AB313" i="103"/>
  <c r="AA312" i="103"/>
  <c r="Q88" i="103"/>
  <c r="Q214" i="103" s="1"/>
  <c r="W303" i="103"/>
  <c r="T303" i="105"/>
  <c r="Q242" i="105"/>
  <c r="Q249" i="105" s="1"/>
  <c r="R242" i="105"/>
  <c r="R249" i="105" s="1"/>
  <c r="AY266" i="107"/>
  <c r="AW266" i="107" s="1"/>
  <c r="O265" i="107"/>
  <c r="O268" i="107"/>
  <c r="AM216" i="107"/>
  <c r="AK209" i="107"/>
  <c r="AM264" i="107"/>
  <c r="AN264" i="107"/>
  <c r="AW247" i="107"/>
  <c r="M156" i="107"/>
  <c r="J156" i="107" s="1"/>
  <c r="T159" i="107"/>
  <c r="T12" i="107" s="1"/>
  <c r="T162" i="107"/>
  <c r="T13" i="107" s="1"/>
  <c r="P269" i="107"/>
  <c r="AY186" i="107"/>
  <c r="AY267" i="107"/>
  <c r="AW267" i="107" s="1"/>
  <c r="P265" i="107"/>
  <c r="P268" i="107"/>
  <c r="P293" i="107"/>
  <c r="P296" i="107" a="1"/>
  <c r="P296" i="107" s="1"/>
  <c r="AK247" i="107"/>
  <c r="M307" i="107"/>
  <c r="J307" i="107" s="1"/>
  <c r="AB202" i="107"/>
  <c r="AB204" i="107" s="1"/>
  <c r="AB222" i="107" s="1"/>
  <c r="AB12" i="107"/>
  <c r="AI12" i="107"/>
  <c r="AI202" i="107"/>
  <c r="AI204" i="107" s="1"/>
  <c r="T190" i="107"/>
  <c r="M271" i="106"/>
  <c r="J271" i="106" s="1"/>
  <c r="AY264" i="107"/>
  <c r="AK212" i="107"/>
  <c r="AM267" i="107"/>
  <c r="AN267" i="107"/>
  <c r="U303" i="107"/>
  <c r="Q303" i="107"/>
  <c r="W303" i="107"/>
  <c r="S303" i="107"/>
  <c r="O303" i="107"/>
  <c r="V303" i="107"/>
  <c r="T303" i="107"/>
  <c r="R303" i="107"/>
  <c r="P303" i="107"/>
  <c r="P85" i="107"/>
  <c r="P94" i="107" s="1"/>
  <c r="P242" i="107"/>
  <c r="R242" i="107"/>
  <c r="R249" i="107" s="1"/>
  <c r="V242" i="107"/>
  <c r="V249" i="107" s="1"/>
  <c r="S242" i="107"/>
  <c r="S249" i="107" s="1"/>
  <c r="Q242" i="107"/>
  <c r="Q249" i="107" s="1"/>
  <c r="U242" i="107"/>
  <c r="U249" i="107" s="1"/>
  <c r="T242" i="107"/>
  <c r="T249" i="107" s="1"/>
  <c r="O242" i="107"/>
  <c r="W242" i="107"/>
  <c r="W249" i="107" s="1"/>
  <c r="P188" i="107"/>
  <c r="P192" i="107" s="1"/>
  <c r="AG255" i="107"/>
  <c r="AG257" i="107" s="1"/>
  <c r="Y247" i="107"/>
  <c r="Y249" i="107" s="1"/>
  <c r="Y255" i="107" s="1"/>
  <c r="AA249" i="107"/>
  <c r="AA255" i="107" s="1"/>
  <c r="M75" i="107"/>
  <c r="J75" i="107" s="1"/>
  <c r="S171" i="107"/>
  <c r="S187" i="107" s="1"/>
  <c r="S191" i="107" s="1"/>
  <c r="S159" i="107"/>
  <c r="S162" i="107"/>
  <c r="AK138" i="107"/>
  <c r="AM146" i="107"/>
  <c r="AK146" i="107" s="1"/>
  <c r="AM142" i="107"/>
  <c r="AM117" i="107"/>
  <c r="AM167" i="107"/>
  <c r="AK113" i="107"/>
  <c r="AM121" i="107"/>
  <c r="AM171" i="107"/>
  <c r="AM186" i="107"/>
  <c r="AK211" i="107"/>
  <c r="AM266" i="107"/>
  <c r="AN266" i="107"/>
  <c r="U171" i="107"/>
  <c r="U187" i="107" s="1"/>
  <c r="U191" i="107" s="1"/>
  <c r="U159" i="107"/>
  <c r="U162" i="107"/>
  <c r="M246" i="107"/>
  <c r="J246" i="107" s="1"/>
  <c r="AA202" i="107"/>
  <c r="AA12" i="107"/>
  <c r="AC202" i="107"/>
  <c r="AC204" i="107" s="1"/>
  <c r="AC12" i="107"/>
  <c r="M234" i="107"/>
  <c r="O269" i="107"/>
  <c r="R171" i="107"/>
  <c r="R187" i="107" s="1"/>
  <c r="R191" i="107" s="1"/>
  <c r="R159" i="107"/>
  <c r="R162" i="107"/>
  <c r="AY154" i="106"/>
  <c r="AW154" i="106" s="1"/>
  <c r="W242" i="105"/>
  <c r="P303" i="105"/>
  <c r="S303" i="105"/>
  <c r="P242" i="105"/>
  <c r="V303" i="105"/>
  <c r="AQ290" i="103"/>
  <c r="AF290" i="103"/>
  <c r="AI290" i="103"/>
  <c r="AR290" i="103"/>
  <c r="V290" i="103"/>
  <c r="Q241" i="103"/>
  <c r="AZ290" i="103"/>
  <c r="AC290" i="103"/>
  <c r="Q290" i="103"/>
  <c r="AU290" i="103"/>
  <c r="BE290" i="103"/>
  <c r="BC290" i="103"/>
  <c r="U241" i="103"/>
  <c r="BD290" i="103"/>
  <c r="AO290" i="103"/>
  <c r="AD290" i="103"/>
  <c r="R290" i="103"/>
  <c r="AP290" i="103"/>
  <c r="AH255" i="105"/>
  <c r="AH257" i="105" s="1"/>
  <c r="AB255" i="105"/>
  <c r="AB257" i="105" s="1"/>
  <c r="O242" i="105"/>
  <c r="P85" i="105"/>
  <c r="P188" i="105" s="1"/>
  <c r="P192" i="105" s="1"/>
  <c r="R303" i="105"/>
  <c r="F2" i="105"/>
  <c r="O85" i="106"/>
  <c r="T241" i="106"/>
  <c r="AF290" i="106"/>
  <c r="AP290" i="106"/>
  <c r="BD290" i="106"/>
  <c r="AQ290" i="106"/>
  <c r="AU290" i="106"/>
  <c r="BA290" i="106"/>
  <c r="BE290" i="106"/>
  <c r="BF290" i="106"/>
  <c r="V290" i="106"/>
  <c r="AG290" i="106"/>
  <c r="AD290" i="106"/>
  <c r="AR290" i="106"/>
  <c r="BB290" i="106"/>
  <c r="R290" i="106"/>
  <c r="V241" i="106"/>
  <c r="AZ290" i="106"/>
  <c r="S290" i="106"/>
  <c r="W290" i="106"/>
  <c r="AC290" i="106"/>
  <c r="AI290" i="106"/>
  <c r="T290" i="106"/>
  <c r="AH290" i="106"/>
  <c r="R241" i="106"/>
  <c r="AB290" i="106"/>
  <c r="AT290" i="106"/>
  <c r="S241" i="106"/>
  <c r="W241" i="106"/>
  <c r="AO290" i="106"/>
  <c r="BG290" i="106"/>
  <c r="AS290" i="106"/>
  <c r="U290" i="106"/>
  <c r="U241" i="106"/>
  <c r="AE290" i="106"/>
  <c r="BC290" i="106"/>
  <c r="Q290" i="106"/>
  <c r="Q241" i="106"/>
  <c r="M61" i="106"/>
  <c r="W307" i="106"/>
  <c r="S307" i="106"/>
  <c r="O307" i="106"/>
  <c r="V307" i="106"/>
  <c r="R307" i="106"/>
  <c r="U307" i="106"/>
  <c r="Q307" i="106"/>
  <c r="T307" i="106"/>
  <c r="P307" i="106"/>
  <c r="T202" i="106"/>
  <c r="T204" i="106" s="1"/>
  <c r="T156" i="106"/>
  <c r="R246" i="106"/>
  <c r="O246" i="106"/>
  <c r="S246" i="106"/>
  <c r="W246" i="106"/>
  <c r="P246" i="106"/>
  <c r="T246" i="106"/>
  <c r="V246" i="106"/>
  <c r="U246" i="106"/>
  <c r="Q246" i="106"/>
  <c r="T186" i="106"/>
  <c r="T14" i="106" s="1"/>
  <c r="P284" i="106" a="1"/>
  <c r="P284" i="106" s="1"/>
  <c r="P283" i="106" a="1"/>
  <c r="P283" i="106" s="1"/>
  <c r="P297" i="106"/>
  <c r="P294" i="106"/>
  <c r="P282" i="106" a="1"/>
  <c r="P282" i="106" s="1"/>
  <c r="AK241" i="106"/>
  <c r="M307" i="105"/>
  <c r="J307" i="105" s="1"/>
  <c r="AM310" i="106"/>
  <c r="AK302" i="106"/>
  <c r="AK310" i="106" s="1"/>
  <c r="AM191" i="106"/>
  <c r="P75" i="106"/>
  <c r="J62" i="106"/>
  <c r="P236" i="106"/>
  <c r="T236" i="106"/>
  <c r="Q236" i="106"/>
  <c r="V236" i="106"/>
  <c r="R236" i="106"/>
  <c r="U236" i="106"/>
  <c r="O236" i="106"/>
  <c r="S236" i="106"/>
  <c r="W236" i="106"/>
  <c r="Q85" i="106"/>
  <c r="T190" i="106"/>
  <c r="U154" i="106"/>
  <c r="AH247" i="106"/>
  <c r="AH249" i="106" s="1"/>
  <c r="AR247" i="106"/>
  <c r="AR249" i="106" s="1"/>
  <c r="BB247" i="106"/>
  <c r="BB249" i="106" s="1"/>
  <c r="R247" i="106"/>
  <c r="AZ247" i="106"/>
  <c r="AZ249" i="106" s="1"/>
  <c r="S247" i="106"/>
  <c r="W247" i="106"/>
  <c r="T247" i="106"/>
  <c r="AB247" i="106"/>
  <c r="AB249" i="106" s="1"/>
  <c r="AT247" i="106"/>
  <c r="AT249" i="106" s="1"/>
  <c r="BA247" i="106"/>
  <c r="BA249" i="106" s="1"/>
  <c r="BE247" i="106"/>
  <c r="BE249" i="106" s="1"/>
  <c r="AN247" i="106"/>
  <c r="AN249" i="106" s="1"/>
  <c r="AF247" i="106"/>
  <c r="AF249" i="106" s="1"/>
  <c r="AP247" i="106"/>
  <c r="AP249" i="106" s="1"/>
  <c r="BD247" i="106"/>
  <c r="BD249" i="106" s="1"/>
  <c r="AG247" i="106"/>
  <c r="AG249" i="106" s="1"/>
  <c r="AM247" i="106"/>
  <c r="AQ247" i="106"/>
  <c r="AQ249" i="106" s="1"/>
  <c r="AU247" i="106"/>
  <c r="AU249" i="106" s="1"/>
  <c r="AI247" i="106"/>
  <c r="AI249" i="106" s="1"/>
  <c r="AO247" i="106"/>
  <c r="AO249" i="106" s="1"/>
  <c r="AS247" i="106"/>
  <c r="AS249" i="106" s="1"/>
  <c r="AY247" i="106"/>
  <c r="BC247" i="106"/>
  <c r="BC249" i="106" s="1"/>
  <c r="BG247" i="106"/>
  <c r="BG249" i="106" s="1"/>
  <c r="AD247" i="106"/>
  <c r="AD249" i="106" s="1"/>
  <c r="BF247" i="106"/>
  <c r="BF249" i="106" s="1"/>
  <c r="V247" i="106"/>
  <c r="AC247" i="106"/>
  <c r="AC249" i="106" s="1"/>
  <c r="U247" i="106"/>
  <c r="AA247" i="106"/>
  <c r="Q247" i="106"/>
  <c r="AE247" i="106"/>
  <c r="AE249" i="106" s="1"/>
  <c r="AE255" i="106" s="1"/>
  <c r="AE257" i="106" s="1"/>
  <c r="AY144" i="106"/>
  <c r="AY140" i="106"/>
  <c r="AW135" i="106"/>
  <c r="AY138" i="106"/>
  <c r="P303" i="103"/>
  <c r="Y253" i="105"/>
  <c r="J31" i="106"/>
  <c r="J80" i="106"/>
  <c r="F2" i="106" s="1"/>
  <c r="J60" i="106"/>
  <c r="R234" i="106"/>
  <c r="U234" i="106"/>
  <c r="P234" i="106"/>
  <c r="T234" i="106"/>
  <c r="Q234" i="106"/>
  <c r="W234" i="106"/>
  <c r="V234" i="106"/>
  <c r="S234" i="106"/>
  <c r="O234" i="106"/>
  <c r="P190" i="106"/>
  <c r="P187" i="106"/>
  <c r="P191" i="106" s="1"/>
  <c r="AW107" i="106"/>
  <c r="AY212" i="106"/>
  <c r="AY211" i="106"/>
  <c r="AY209" i="106"/>
  <c r="AY113" i="106"/>
  <c r="S154" i="106"/>
  <c r="V245" i="106"/>
  <c r="R245" i="106"/>
  <c r="S245" i="106"/>
  <c r="W245" i="106"/>
  <c r="T245" i="106"/>
  <c r="U245" i="106"/>
  <c r="Q245" i="106"/>
  <c r="R154" i="106"/>
  <c r="P286" i="106" a="1"/>
  <c r="P286" i="106" s="1"/>
  <c r="Q303" i="103"/>
  <c r="U242" i="105"/>
  <c r="U249" i="105" s="1"/>
  <c r="V242" i="105"/>
  <c r="S242" i="105"/>
  <c r="S249" i="105" s="1"/>
  <c r="Q303" i="105"/>
  <c r="O303" i="105"/>
  <c r="S242" i="103"/>
  <c r="T242" i="103"/>
  <c r="W242" i="103"/>
  <c r="Q242" i="103"/>
  <c r="T303" i="103"/>
  <c r="U303" i="103"/>
  <c r="V242" i="103"/>
  <c r="P85" i="103"/>
  <c r="P188" i="103" s="1"/>
  <c r="P192" i="103" s="1"/>
  <c r="O303" i="103"/>
  <c r="AY154" i="103"/>
  <c r="U242" i="103"/>
  <c r="V303" i="103"/>
  <c r="S303" i="103"/>
  <c r="AC255" i="105"/>
  <c r="AC257" i="105" s="1"/>
  <c r="O155" i="105"/>
  <c r="S171" i="105"/>
  <c r="S187" i="105" s="1"/>
  <c r="S191" i="105" s="1"/>
  <c r="S162" i="105"/>
  <c r="S159" i="105"/>
  <c r="AK247" i="105"/>
  <c r="Y247" i="105"/>
  <c r="Y249" i="105" s="1"/>
  <c r="AA249" i="105"/>
  <c r="AA255" i="105" s="1"/>
  <c r="U171" i="105"/>
  <c r="U187" i="105" s="1"/>
  <c r="U191" i="105" s="1"/>
  <c r="U159" i="105"/>
  <c r="U162" i="105"/>
  <c r="AB202" i="105"/>
  <c r="AB204" i="105" s="1"/>
  <c r="AB222" i="105" s="1"/>
  <c r="AB12" i="105"/>
  <c r="AI12" i="105"/>
  <c r="AI202" i="105"/>
  <c r="AI204" i="105" s="1"/>
  <c r="AW138" i="105"/>
  <c r="AW154" i="105"/>
  <c r="O188" i="105"/>
  <c r="T249" i="105"/>
  <c r="AY266" i="105"/>
  <c r="AW266" i="105" s="1"/>
  <c r="AN267" i="105"/>
  <c r="AM267" i="105"/>
  <c r="M234" i="105"/>
  <c r="O269" i="105"/>
  <c r="P269" i="105"/>
  <c r="R171" i="105"/>
  <c r="R187" i="105" s="1"/>
  <c r="R191" i="105" s="1"/>
  <c r="R162" i="105"/>
  <c r="R159" i="105"/>
  <c r="W249" i="105"/>
  <c r="AY167" i="105"/>
  <c r="AW113" i="105"/>
  <c r="AY121" i="105"/>
  <c r="AY117" i="105"/>
  <c r="AY186" i="105"/>
  <c r="AY267" i="105"/>
  <c r="AW267" i="105" s="1"/>
  <c r="P293" i="105"/>
  <c r="P296" i="105" a="1"/>
  <c r="P296" i="105" s="1"/>
  <c r="AA202" i="105"/>
  <c r="AA12" i="105"/>
  <c r="AC202" i="105"/>
  <c r="AC204" i="105" s="1"/>
  <c r="AC12" i="105"/>
  <c r="AM186" i="105"/>
  <c r="AM266" i="105"/>
  <c r="AN266" i="105"/>
  <c r="M246" i="105"/>
  <c r="J246" i="105" s="1"/>
  <c r="Y314" i="105"/>
  <c r="Y316" i="105" s="1"/>
  <c r="J61" i="105"/>
  <c r="O235" i="105"/>
  <c r="P235" i="105"/>
  <c r="U235" i="105"/>
  <c r="T235" i="105"/>
  <c r="Q235" i="105"/>
  <c r="R235" i="105"/>
  <c r="V235" i="105"/>
  <c r="S235" i="105"/>
  <c r="W235" i="105"/>
  <c r="V249" i="105"/>
  <c r="AY216" i="105"/>
  <c r="AW209" i="105"/>
  <c r="AY264" i="105"/>
  <c r="Y318" i="105"/>
  <c r="M236" i="105"/>
  <c r="AW247" i="105"/>
  <c r="AM264" i="105"/>
  <c r="AN264" i="105"/>
  <c r="M156" i="105"/>
  <c r="J156" i="105" s="1"/>
  <c r="T159" i="105"/>
  <c r="T12" i="105" s="1"/>
  <c r="T162" i="105"/>
  <c r="T13" i="105" s="1"/>
  <c r="T190" i="105"/>
  <c r="O242" i="103"/>
  <c r="R242" i="103"/>
  <c r="P242" i="103"/>
  <c r="R303" i="103"/>
  <c r="AM267" i="104"/>
  <c r="AN267" i="104"/>
  <c r="AY264" i="104"/>
  <c r="T307" i="104"/>
  <c r="P307" i="104"/>
  <c r="W307" i="104"/>
  <c r="S307" i="104"/>
  <c r="O307" i="104"/>
  <c r="U307" i="104"/>
  <c r="Q307" i="104"/>
  <c r="V307" i="104"/>
  <c r="R307" i="104"/>
  <c r="T156" i="104"/>
  <c r="Q246" i="104"/>
  <c r="U246" i="104"/>
  <c r="O246" i="104"/>
  <c r="S246" i="104"/>
  <c r="W246" i="104"/>
  <c r="P246" i="104"/>
  <c r="T246" i="104"/>
  <c r="T202" i="104"/>
  <c r="T204" i="104" s="1"/>
  <c r="V246" i="104"/>
  <c r="R246" i="104"/>
  <c r="T186" i="104"/>
  <c r="T14" i="104" s="1"/>
  <c r="O85" i="104"/>
  <c r="O88" i="104" s="1"/>
  <c r="O214" i="104" s="1"/>
  <c r="AI290" i="104"/>
  <c r="R241" i="104"/>
  <c r="V241" i="104"/>
  <c r="AP290" i="104"/>
  <c r="AT290" i="104"/>
  <c r="AZ290" i="104"/>
  <c r="BD290" i="104"/>
  <c r="S290" i="104"/>
  <c r="W290" i="104"/>
  <c r="AC290" i="104"/>
  <c r="AQ290" i="104"/>
  <c r="AU290" i="104"/>
  <c r="BA290" i="104"/>
  <c r="BE290" i="104"/>
  <c r="T241" i="104"/>
  <c r="Q290" i="104"/>
  <c r="U290" i="104"/>
  <c r="AE290" i="104"/>
  <c r="BC290" i="104"/>
  <c r="BG290" i="104"/>
  <c r="S241" i="104"/>
  <c r="W241" i="104"/>
  <c r="AR290" i="104"/>
  <c r="AF290" i="104"/>
  <c r="T290" i="104"/>
  <c r="AH290" i="104"/>
  <c r="BB290" i="104"/>
  <c r="BF290" i="104"/>
  <c r="Q241" i="104"/>
  <c r="U241" i="104"/>
  <c r="AO290" i="104"/>
  <c r="AS290" i="104"/>
  <c r="R290" i="104"/>
  <c r="V290" i="104"/>
  <c r="AB290" i="104"/>
  <c r="AG290" i="104"/>
  <c r="AD290" i="104"/>
  <c r="P284" i="104" a="1"/>
  <c r="P284" i="104" s="1"/>
  <c r="P283" i="104" a="1"/>
  <c r="P283" i="104" s="1"/>
  <c r="P294" i="104"/>
  <c r="P282" i="104" a="1"/>
  <c r="P282" i="104" s="1"/>
  <c r="P297" i="104"/>
  <c r="AY186" i="104"/>
  <c r="S154" i="104"/>
  <c r="Q245" i="104"/>
  <c r="U245" i="104"/>
  <c r="R245" i="104"/>
  <c r="V245" i="104"/>
  <c r="T245" i="104"/>
  <c r="S245" i="104"/>
  <c r="W245" i="104"/>
  <c r="P190" i="104"/>
  <c r="P187" i="104"/>
  <c r="P191" i="104" s="1"/>
  <c r="J62" i="104"/>
  <c r="O236" i="104"/>
  <c r="W236" i="104"/>
  <c r="T236" i="104"/>
  <c r="U236" i="104"/>
  <c r="R236" i="104"/>
  <c r="V236" i="104"/>
  <c r="S236" i="104"/>
  <c r="Q236" i="104"/>
  <c r="P236" i="104"/>
  <c r="M271" i="104"/>
  <c r="J271" i="104" s="1"/>
  <c r="AM186" i="104"/>
  <c r="AN266" i="104"/>
  <c r="AM266" i="104"/>
  <c r="AY266" i="104"/>
  <c r="AW266" i="104" s="1"/>
  <c r="J60" i="104"/>
  <c r="S234" i="104"/>
  <c r="Q234" i="104"/>
  <c r="P234" i="104"/>
  <c r="O234" i="104"/>
  <c r="W234" i="104"/>
  <c r="T234" i="104"/>
  <c r="U234" i="104"/>
  <c r="R234" i="104"/>
  <c r="V234" i="104"/>
  <c r="J80" i="104"/>
  <c r="F2" i="104" s="1"/>
  <c r="J31" i="104"/>
  <c r="U154" i="104"/>
  <c r="Q247" i="104"/>
  <c r="U247" i="104"/>
  <c r="BC247" i="104"/>
  <c r="BC249" i="104" s="1"/>
  <c r="BG247" i="104"/>
  <c r="BG249" i="104" s="1"/>
  <c r="AT247" i="104"/>
  <c r="AT249" i="104" s="1"/>
  <c r="BA247" i="104"/>
  <c r="BA249" i="104" s="1"/>
  <c r="BE247" i="104"/>
  <c r="BE249" i="104" s="1"/>
  <c r="AH247" i="104"/>
  <c r="AH249" i="104" s="1"/>
  <c r="AH255" i="104" s="1"/>
  <c r="AH257" i="104" s="1"/>
  <c r="AR247" i="104"/>
  <c r="AR249" i="104" s="1"/>
  <c r="BB247" i="104"/>
  <c r="BB249" i="104" s="1"/>
  <c r="V247" i="104"/>
  <c r="AG247" i="104"/>
  <c r="AG249" i="104" s="1"/>
  <c r="AM247" i="104"/>
  <c r="T247" i="104"/>
  <c r="AN247" i="104"/>
  <c r="BF247" i="104"/>
  <c r="BF249" i="104" s="1"/>
  <c r="AI247" i="104"/>
  <c r="AI249" i="104" s="1"/>
  <c r="AO247" i="104"/>
  <c r="AO249" i="104" s="1"/>
  <c r="AS247" i="104"/>
  <c r="AS249" i="104" s="1"/>
  <c r="AY247" i="104"/>
  <c r="R247" i="104"/>
  <c r="AB247" i="104"/>
  <c r="AB249" i="104" s="1"/>
  <c r="AB255" i="104" s="1"/>
  <c r="AB257" i="104" s="1"/>
  <c r="AP247" i="104"/>
  <c r="AP249" i="104" s="1"/>
  <c r="AZ247" i="104"/>
  <c r="AZ249" i="104" s="1"/>
  <c r="AC247" i="104"/>
  <c r="AC249" i="104" s="1"/>
  <c r="AC255" i="104" s="1"/>
  <c r="AC257" i="104" s="1"/>
  <c r="AD247" i="104"/>
  <c r="AD249" i="104" s="1"/>
  <c r="AA247" i="104"/>
  <c r="AE247" i="104"/>
  <c r="AE249" i="104" s="1"/>
  <c r="AF247" i="104"/>
  <c r="AF249" i="104" s="1"/>
  <c r="BD247" i="104"/>
  <c r="BD249" i="104" s="1"/>
  <c r="S247" i="104"/>
  <c r="W247" i="104"/>
  <c r="AQ247" i="104"/>
  <c r="AQ249" i="104" s="1"/>
  <c r="AU247" i="104"/>
  <c r="AU249" i="104" s="1"/>
  <c r="Q85" i="104"/>
  <c r="Q88" i="104" s="1"/>
  <c r="Q214" i="104" s="1"/>
  <c r="R154" i="104"/>
  <c r="T75" i="103"/>
  <c r="M65" i="103"/>
  <c r="J65" i="103" s="1"/>
  <c r="F2" i="103"/>
  <c r="AM264" i="104"/>
  <c r="AN264" i="104"/>
  <c r="AN273" i="104" s="1"/>
  <c r="AY267" i="104"/>
  <c r="AW267" i="104" s="1"/>
  <c r="T190" i="104"/>
  <c r="P75" i="104"/>
  <c r="M61" i="104"/>
  <c r="P286" i="104" a="1"/>
  <c r="P286" i="104" s="1"/>
  <c r="M271" i="103"/>
  <c r="J271" i="103" s="1"/>
  <c r="O188" i="103"/>
  <c r="O192" i="103" s="1"/>
  <c r="S171" i="103"/>
  <c r="S187" i="103" s="1"/>
  <c r="S191" i="103" s="1"/>
  <c r="S159" i="103"/>
  <c r="S162" i="103"/>
  <c r="AK247" i="103"/>
  <c r="U171" i="103"/>
  <c r="U187" i="103" s="1"/>
  <c r="U191" i="103" s="1"/>
  <c r="U159" i="103"/>
  <c r="U162" i="103"/>
  <c r="P296" i="103" a="1"/>
  <c r="P296" i="103" s="1"/>
  <c r="P293" i="103"/>
  <c r="AM186" i="103"/>
  <c r="R171" i="103"/>
  <c r="R187" i="103" s="1"/>
  <c r="R191" i="103" s="1"/>
  <c r="R159" i="103"/>
  <c r="R162" i="103"/>
  <c r="AY212" i="103"/>
  <c r="AY211" i="103"/>
  <c r="AW107" i="103"/>
  <c r="AY113" i="103"/>
  <c r="AY209" i="103"/>
  <c r="J61" i="103"/>
  <c r="T235" i="103"/>
  <c r="V235" i="103"/>
  <c r="R235" i="103"/>
  <c r="S235" i="103"/>
  <c r="P235" i="103"/>
  <c r="Q235" i="103"/>
  <c r="O235" i="103"/>
  <c r="W235" i="103"/>
  <c r="U235" i="103"/>
  <c r="Y247" i="103"/>
  <c r="Y249" i="103" s="1"/>
  <c r="AA249" i="103"/>
  <c r="AW247" i="103"/>
  <c r="AW135" i="103"/>
  <c r="AY144" i="103"/>
  <c r="AY140" i="103"/>
  <c r="AY138" i="103"/>
  <c r="AM267" i="103"/>
  <c r="AN267" i="103"/>
  <c r="M234" i="103"/>
  <c r="O269" i="103"/>
  <c r="AW154" i="103"/>
  <c r="AY159" i="103"/>
  <c r="AY162" i="103"/>
  <c r="AW162" i="103" s="1"/>
  <c r="AM264" i="103"/>
  <c r="AN264" i="103"/>
  <c r="AM266" i="103"/>
  <c r="AN266" i="103"/>
  <c r="P269" i="103"/>
  <c r="P61" i="55"/>
  <c r="P229" i="55" s="1"/>
  <c r="J54" i="43"/>
  <c r="BO11" i="24"/>
  <c r="BP11" i="24" s="1"/>
  <c r="BQ11" i="24" s="1"/>
  <c r="BR11" i="24" s="1"/>
  <c r="BS11" i="24" s="1"/>
  <c r="BT11" i="24" s="1"/>
  <c r="BU11" i="24" s="1"/>
  <c r="BV11" i="24" s="1"/>
  <c r="BW11" i="24" s="1"/>
  <c r="BX11" i="24" s="1"/>
  <c r="BY11" i="24" s="1"/>
  <c r="BZ11" i="24" s="1"/>
  <c r="CA11" i="24" s="1"/>
  <c r="CB11" i="24" s="1"/>
  <c r="CC11" i="24" s="1"/>
  <c r="CD11" i="24" s="1"/>
  <c r="CE11" i="24" s="1"/>
  <c r="CF11" i="24" s="1"/>
  <c r="CG11" i="24" s="1"/>
  <c r="CH11" i="24" s="1"/>
  <c r="CI11" i="24" s="1"/>
  <c r="CJ11" i="24" s="1"/>
  <c r="CK11" i="24" s="1"/>
  <c r="CL11" i="24" s="1"/>
  <c r="CM11" i="24" s="1"/>
  <c r="CN11" i="24" s="1"/>
  <c r="CO11" i="24" s="1"/>
  <c r="CP11" i="24" s="1"/>
  <c r="CQ11" i="24" s="1"/>
  <c r="CR11" i="24" s="1"/>
  <c r="CS11" i="24" s="1"/>
  <c r="CT11" i="24" s="1"/>
  <c r="CU11" i="24" s="1"/>
  <c r="CV11" i="24" s="1"/>
  <c r="CW11" i="24" s="1"/>
  <c r="CX11" i="24" s="1"/>
  <c r="CY11" i="24" s="1"/>
  <c r="CZ11" i="24" s="1"/>
  <c r="DA11" i="24" s="1"/>
  <c r="DB11" i="24" s="1"/>
  <c r="DC11" i="24" s="1"/>
  <c r="DD11" i="24" s="1"/>
  <c r="DE11" i="24" s="1"/>
  <c r="DF11" i="24" s="1"/>
  <c r="DG11" i="24" s="1"/>
  <c r="DH11" i="24" s="1"/>
  <c r="DI11" i="24" s="1"/>
  <c r="DJ11" i="24" s="1"/>
  <c r="DK11" i="24" s="1"/>
  <c r="DL11" i="24" s="1"/>
  <c r="DM11" i="24" s="1"/>
  <c r="DN11" i="24" s="1"/>
  <c r="DO11" i="24" s="1"/>
  <c r="DP11" i="24" s="1"/>
  <c r="DQ11" i="24" s="1"/>
  <c r="DR11" i="24" s="1"/>
  <c r="DS11" i="24" s="1"/>
  <c r="DT11" i="24" s="1"/>
  <c r="DU11" i="24" s="1"/>
  <c r="DV11" i="24" s="1"/>
  <c r="DW11" i="24" s="1"/>
  <c r="DX11" i="24" s="1"/>
  <c r="DY11" i="24" s="1"/>
  <c r="DZ11" i="24" s="1"/>
  <c r="EA11" i="24" s="1"/>
  <c r="EB11" i="24" s="1"/>
  <c r="R297" i="55"/>
  <c r="R294" i="55"/>
  <c r="BD294" i="55"/>
  <c r="BD297" i="55"/>
  <c r="AD294" i="55"/>
  <c r="AD297" i="55"/>
  <c r="Q297" i="55"/>
  <c r="Q294" i="55"/>
  <c r="U294" i="55"/>
  <c r="U297" i="55"/>
  <c r="T294" i="55"/>
  <c r="T297" i="55"/>
  <c r="AC297" i="55"/>
  <c r="AC294" i="55"/>
  <c r="AE294" i="55"/>
  <c r="AE297" i="55"/>
  <c r="S294" i="55"/>
  <c r="S297" i="55"/>
  <c r="AR294" i="55"/>
  <c r="AR297" i="55"/>
  <c r="AG294" i="55"/>
  <c r="AG297" i="55"/>
  <c r="AF294" i="55"/>
  <c r="AF297" i="55"/>
  <c r="BB280" i="55"/>
  <c r="BB282" i="55" s="1" a="1"/>
  <c r="BB282" i="55" s="1"/>
  <c r="BB64" i="55"/>
  <c r="BB60" i="55"/>
  <c r="BB227" i="55" s="1"/>
  <c r="AQ280" i="55"/>
  <c r="AQ283" i="55" s="1" a="1"/>
  <c r="AQ283" i="55" s="1"/>
  <c r="AQ64" i="55"/>
  <c r="AQ60" i="55"/>
  <c r="AQ227" i="55" s="1"/>
  <c r="BC64" i="55"/>
  <c r="BC60" i="55"/>
  <c r="BC227" i="55" s="1"/>
  <c r="BA280" i="55"/>
  <c r="BA282" i="55" s="1" a="1"/>
  <c r="BA282" i="55" s="1"/>
  <c r="BA64" i="55"/>
  <c r="BA60" i="55"/>
  <c r="BA227" i="55" s="1"/>
  <c r="AU280" i="55"/>
  <c r="AU282" i="55" s="1" a="1"/>
  <c r="AU282" i="55" s="1"/>
  <c r="AU64" i="55"/>
  <c r="AU60" i="55"/>
  <c r="AU227" i="55" s="1"/>
  <c r="AP280" i="55"/>
  <c r="AP283" i="55" s="1" a="1"/>
  <c r="AP283" i="55" s="1"/>
  <c r="AP64" i="55"/>
  <c r="AP60" i="55"/>
  <c r="AP227" i="55" s="1"/>
  <c r="AT280" i="55"/>
  <c r="AT282" i="55" s="1" a="1"/>
  <c r="AT282" i="55" s="1"/>
  <c r="AT60" i="55"/>
  <c r="AT227" i="55" s="1"/>
  <c r="AT64" i="55"/>
  <c r="AO280" i="55"/>
  <c r="AO282" i="55" s="1" a="1"/>
  <c r="AO282" i="55" s="1"/>
  <c r="AO64" i="55"/>
  <c r="AO60" i="55"/>
  <c r="AO227" i="55" s="1"/>
  <c r="BG280" i="55"/>
  <c r="BG282" i="55" s="1" a="1"/>
  <c r="BG282" i="55" s="1"/>
  <c r="BG64" i="55"/>
  <c r="BG60" i="55"/>
  <c r="BG227" i="55" s="1"/>
  <c r="AS280" i="55"/>
  <c r="AS282" i="55" s="1" a="1"/>
  <c r="AS282" i="55" s="1"/>
  <c r="AS60" i="55"/>
  <c r="AS227" i="55" s="1"/>
  <c r="AS64" i="55"/>
  <c r="BF280" i="55"/>
  <c r="BF284" i="55" s="1" a="1"/>
  <c r="BF284" i="55" s="1"/>
  <c r="BF64" i="55"/>
  <c r="BF60" i="55"/>
  <c r="BF227" i="55" s="1"/>
  <c r="BE280" i="55"/>
  <c r="BE282" i="55" s="1" a="1"/>
  <c r="BE282" i="55" s="1"/>
  <c r="BE64" i="55"/>
  <c r="BE60" i="55"/>
  <c r="BE227" i="55" s="1"/>
  <c r="AH297" i="55"/>
  <c r="AH294" i="55"/>
  <c r="AI282" i="55" a="1"/>
  <c r="AI282" i="55" s="1"/>
  <c r="AI60" i="55"/>
  <c r="AI227" i="55" s="1"/>
  <c r="AZ280" i="55"/>
  <c r="AZ282" i="55" s="1" a="1"/>
  <c r="AZ282" i="55" s="1"/>
  <c r="AZ64" i="55"/>
  <c r="AZ60" i="55"/>
  <c r="AZ227" i="55" s="1"/>
  <c r="AN280" i="55"/>
  <c r="AN284" i="55" s="1" a="1"/>
  <c r="AN284" i="55" s="1"/>
  <c r="AN64" i="55"/>
  <c r="AN60" i="55"/>
  <c r="AN227" i="55" s="1"/>
  <c r="AB294" i="55"/>
  <c r="AB297" i="55"/>
  <c r="AA282" i="55" a="1"/>
  <c r="AA282" i="55" s="1"/>
  <c r="AA60" i="55"/>
  <c r="V282" i="55" a="1"/>
  <c r="V282" i="55" s="1"/>
  <c r="V60" i="55"/>
  <c r="V227" i="55" s="1"/>
  <c r="AM55" i="55" a="1"/>
  <c r="AM55" i="55" s="1"/>
  <c r="AM53" i="55" s="1"/>
  <c r="AM60" i="55" s="1"/>
  <c r="AM227" i="55" s="1"/>
  <c r="AY55" i="55" a="1"/>
  <c r="AY55" i="55" s="1"/>
  <c r="AY53" i="55" s="1"/>
  <c r="AY60" i="55" s="1"/>
  <c r="AY227" i="55" s="1"/>
  <c r="AY3" i="55"/>
  <c r="AY4" i="55"/>
  <c r="AA3" i="55"/>
  <c r="AA4" i="55"/>
  <c r="AM4" i="55"/>
  <c r="AM3" i="55"/>
  <c r="P294" i="55"/>
  <c r="P296" i="55" s="1" a="1"/>
  <c r="P296" i="55" s="1"/>
  <c r="P297" i="55"/>
  <c r="AY66" i="55"/>
  <c r="P271" i="55"/>
  <c r="AI215" i="55"/>
  <c r="AI216" i="55" s="1"/>
  <c r="AZ286" i="55" a="1"/>
  <c r="AZ286" i="55" s="1"/>
  <c r="BF286" i="55" a="1"/>
  <c r="BF286" i="55" s="1"/>
  <c r="BE286" i="55" a="1"/>
  <c r="BE286" i="55" s="1"/>
  <c r="BA286" i="55" a="1"/>
  <c r="BA286" i="55" s="1"/>
  <c r="BB286" i="55" a="1"/>
  <c r="BB286" i="55" s="1"/>
  <c r="BC50" i="55"/>
  <c r="BC280" i="55"/>
  <c r="BG286" i="55" a="1"/>
  <c r="BG286" i="55" s="1"/>
  <c r="W284" i="55" a="1"/>
  <c r="W284" i="55" s="1"/>
  <c r="W282" i="55" a="1"/>
  <c r="W282" i="55" s="1"/>
  <c r="P286" i="55" a="1"/>
  <c r="P286" i="55" s="1"/>
  <c r="P282" i="55" a="1"/>
  <c r="P282" i="55" s="1"/>
  <c r="P283" i="55" a="1"/>
  <c r="P283" i="55" s="1"/>
  <c r="BA61" i="55"/>
  <c r="BA229" i="55" s="1"/>
  <c r="BC61" i="55"/>
  <c r="BC229" i="55" s="1"/>
  <c r="BB61" i="55"/>
  <c r="BB229" i="55" s="1"/>
  <c r="AZ61" i="55"/>
  <c r="AZ229" i="55" s="1"/>
  <c r="BG61" i="55"/>
  <c r="BG229" i="55" s="1"/>
  <c r="AY61" i="55"/>
  <c r="AY229" i="55" s="1"/>
  <c r="BF61" i="55"/>
  <c r="BF229" i="55" s="1"/>
  <c r="BE61" i="55"/>
  <c r="BE229" i="55" s="1"/>
  <c r="W283" i="55" a="1"/>
  <c r="W283" i="55" s="1"/>
  <c r="P284" i="55" a="1"/>
  <c r="P284" i="55" s="1"/>
  <c r="AM280" i="55"/>
  <c r="AI286" i="55" a="1"/>
  <c r="AI286" i="55" s="1"/>
  <c r="AS286" i="55" a="1"/>
  <c r="AS286" i="55" s="1"/>
  <c r="AA286" i="55" a="1"/>
  <c r="AA286" i="55" s="1"/>
  <c r="AP286" i="55" a="1"/>
  <c r="AP286" i="55" s="1"/>
  <c r="V286" i="55" a="1"/>
  <c r="V286" i="55" s="1"/>
  <c r="AT286" i="55" a="1"/>
  <c r="AT286" i="55" s="1"/>
  <c r="O280" i="55"/>
  <c r="AU286" i="55" a="1"/>
  <c r="AU286" i="55" s="1"/>
  <c r="W286" i="55" a="1"/>
  <c r="W286" i="55" s="1"/>
  <c r="AY280" i="55"/>
  <c r="AO286" i="55" a="1"/>
  <c r="AO286" i="55" s="1"/>
  <c r="AI61" i="55"/>
  <c r="AI229" i="55" s="1"/>
  <c r="AA61" i="55"/>
  <c r="AA229" i="55" s="1"/>
  <c r="V61" i="55"/>
  <c r="V271" i="55" s="1"/>
  <c r="AS61" i="55"/>
  <c r="AQ61" i="55"/>
  <c r="AP61" i="55"/>
  <c r="AT61" i="55"/>
  <c r="AU61" i="55"/>
  <c r="AU229" i="55" s="1"/>
  <c r="AN61" i="55"/>
  <c r="AN229" i="55" s="1"/>
  <c r="AO61" i="55"/>
  <c r="W61" i="55"/>
  <c r="AM61" i="55"/>
  <c r="AM229" i="55" s="1"/>
  <c r="W227" i="55"/>
  <c r="W297" i="55" s="1"/>
  <c r="BE66" i="55"/>
  <c r="BE62" i="55"/>
  <c r="BA66" i="55"/>
  <c r="BA62" i="55"/>
  <c r="AZ66" i="55"/>
  <c r="AZ62" i="55"/>
  <c r="BB66" i="55"/>
  <c r="BB62" i="55"/>
  <c r="BG66" i="55"/>
  <c r="BG62" i="55"/>
  <c r="BC66" i="55"/>
  <c r="BC62" i="55"/>
  <c r="BF66" i="55"/>
  <c r="BF62" i="55"/>
  <c r="AP66" i="55"/>
  <c r="AP62" i="55"/>
  <c r="AN66" i="55"/>
  <c r="AN62" i="55"/>
  <c r="AU66" i="55"/>
  <c r="AU62" i="55"/>
  <c r="AQ66" i="55"/>
  <c r="AQ62" i="55"/>
  <c r="AO66" i="55"/>
  <c r="AO62" i="55"/>
  <c r="AS66" i="55"/>
  <c r="AS62" i="55"/>
  <c r="AT66" i="55"/>
  <c r="AT62" i="55"/>
  <c r="AZ50" i="55"/>
  <c r="AQ50" i="55"/>
  <c r="AO50" i="55"/>
  <c r="BF50" i="55"/>
  <c r="AM62" i="55"/>
  <c r="AY62" i="55"/>
  <c r="AM66" i="55"/>
  <c r="AP50" i="55"/>
  <c r="BA50" i="55"/>
  <c r="AU50" i="55"/>
  <c r="AN50" i="55"/>
  <c r="BB50" i="55"/>
  <c r="M31" i="55"/>
  <c r="O62" i="55"/>
  <c r="AT50" i="55"/>
  <c r="BG50" i="55"/>
  <c r="AS50" i="55"/>
  <c r="BE50" i="55"/>
  <c r="AY63" i="55"/>
  <c r="AY271" i="55" s="1"/>
  <c r="AY50" i="55"/>
  <c r="AM63" i="55"/>
  <c r="AM50" i="55"/>
  <c r="AO63" i="55"/>
  <c r="AN63" i="55"/>
  <c r="BG63" i="55"/>
  <c r="O63" i="55"/>
  <c r="BA63" i="55"/>
  <c r="BF63" i="55"/>
  <c r="AZ63" i="55"/>
  <c r="BE63" i="55"/>
  <c r="BB63" i="55"/>
  <c r="AS63" i="55"/>
  <c r="AQ63" i="55"/>
  <c r="AT63" i="55"/>
  <c r="AP63" i="55"/>
  <c r="AU63" i="55"/>
  <c r="BC63" i="55"/>
  <c r="AA90" i="55"/>
  <c r="AC90" i="55"/>
  <c r="AS26" i="55"/>
  <c r="AS27" i="55"/>
  <c r="AP27" i="55"/>
  <c r="AP26" i="55"/>
  <c r="AN27" i="55"/>
  <c r="AN26" i="55"/>
  <c r="AY27" i="55"/>
  <c r="AY26" i="55"/>
  <c r="AU27" i="55"/>
  <c r="AU26" i="55"/>
  <c r="BG26" i="55"/>
  <c r="BG27" i="55"/>
  <c r="AT26" i="55"/>
  <c r="AT27" i="55"/>
  <c r="AO27" i="55"/>
  <c r="AO26" i="55"/>
  <c r="BF27" i="55"/>
  <c r="BF26" i="55"/>
  <c r="J26" i="43"/>
  <c r="BA27" i="55"/>
  <c r="BA26" i="55"/>
  <c r="AQ27" i="55"/>
  <c r="AQ26" i="55"/>
  <c r="BE27" i="55"/>
  <c r="BE26" i="55"/>
  <c r="AM27" i="55"/>
  <c r="AM26" i="55"/>
  <c r="O27" i="55"/>
  <c r="O26" i="55"/>
  <c r="M26" i="55" s="1"/>
  <c r="AZ27" i="55"/>
  <c r="AZ26" i="55"/>
  <c r="BC26" i="55"/>
  <c r="BC27" i="55"/>
  <c r="BB27" i="55"/>
  <c r="BB26" i="55"/>
  <c r="BF162" i="55"/>
  <c r="BF13" i="55" s="1"/>
  <c r="BF171" i="55"/>
  <c r="AH162" i="55"/>
  <c r="AH13" i="55" s="1"/>
  <c r="AH171" i="55"/>
  <c r="AT162" i="55"/>
  <c r="AT13" i="55" s="1"/>
  <c r="AT171" i="55"/>
  <c r="V162" i="55"/>
  <c r="V13" i="55" s="1"/>
  <c r="V171" i="55"/>
  <c r="BE33" i="55"/>
  <c r="W29" i="55"/>
  <c r="V29" i="55"/>
  <c r="U29" i="55"/>
  <c r="T29" i="55"/>
  <c r="S29" i="55"/>
  <c r="R29" i="55"/>
  <c r="Q29" i="55"/>
  <c r="P29" i="55"/>
  <c r="O29" i="55"/>
  <c r="BF33" i="55"/>
  <c r="AT33" i="55"/>
  <c r="AZ29" i="55"/>
  <c r="AY29" i="55"/>
  <c r="BB29" i="55"/>
  <c r="BG29" i="55"/>
  <c r="BF29" i="55"/>
  <c r="BE29" i="55"/>
  <c r="BD29" i="55"/>
  <c r="BC29" i="55"/>
  <c r="BA29" i="55"/>
  <c r="AD29" i="55"/>
  <c r="AC29" i="55"/>
  <c r="AB29" i="55"/>
  <c r="AA29" i="55"/>
  <c r="AF29" i="55"/>
  <c r="AI29" i="55"/>
  <c r="AI187" i="55" s="1"/>
  <c r="AH29" i="55"/>
  <c r="AG29" i="55"/>
  <c r="AE29" i="55"/>
  <c r="BG33" i="55"/>
  <c r="AM33" i="55"/>
  <c r="AU33" i="55"/>
  <c r="AN33" i="55"/>
  <c r="AO33" i="55"/>
  <c r="AU29" i="55"/>
  <c r="AT29" i="55"/>
  <c r="AS29" i="55"/>
  <c r="AR29" i="55"/>
  <c r="AQ29" i="55"/>
  <c r="AP29" i="55"/>
  <c r="AO29" i="55"/>
  <c r="AN29" i="55"/>
  <c r="AM29" i="55"/>
  <c r="AP33" i="55"/>
  <c r="W33" i="55"/>
  <c r="S33" i="55"/>
  <c r="V33" i="55"/>
  <c r="U33" i="55"/>
  <c r="R33" i="55"/>
  <c r="T33" i="55"/>
  <c r="Q33" i="55"/>
  <c r="P33" i="55"/>
  <c r="O33" i="55"/>
  <c r="AY33" i="55"/>
  <c r="AQ33" i="55"/>
  <c r="AZ33" i="55"/>
  <c r="AR33" i="55"/>
  <c r="BA33" i="55"/>
  <c r="AS33" i="55"/>
  <c r="BB33" i="55"/>
  <c r="BC33" i="55"/>
  <c r="BD33" i="55"/>
  <c r="I18" i="23"/>
  <c r="O232" i="55"/>
  <c r="O58" i="55"/>
  <c r="O239" i="55"/>
  <c r="AY232" i="55"/>
  <c r="AY300" i="55"/>
  <c r="AY38" i="55"/>
  <c r="AY260" i="55"/>
  <c r="O278" i="55"/>
  <c r="O225" i="55"/>
  <c r="O38" i="55"/>
  <c r="AY278" i="55"/>
  <c r="AY58" i="55"/>
  <c r="AY239" i="55"/>
  <c r="O260" i="55"/>
  <c r="BG260" i="55"/>
  <c r="BC239" i="55"/>
  <c r="AZ38" i="55"/>
  <c r="AN239" i="55"/>
  <c r="AN278" i="55"/>
  <c r="BG58" i="55"/>
  <c r="BF278" i="55"/>
  <c r="BA300" i="55"/>
  <c r="AS300" i="55"/>
  <c r="AT232" i="55"/>
  <c r="BG225" i="55"/>
  <c r="AZ225" i="55"/>
  <c r="BG232" i="55"/>
  <c r="BG38" i="55"/>
  <c r="AN58" i="55"/>
  <c r="BG300" i="55"/>
  <c r="BG239" i="55"/>
  <c r="BC38" i="55"/>
  <c r="Y271" i="55"/>
  <c r="AO239" i="55"/>
  <c r="AO232" i="55"/>
  <c r="AN38" i="55"/>
  <c r="AN225" i="55"/>
  <c r="AN260" i="55"/>
  <c r="BB225" i="55"/>
  <c r="AQ38" i="55"/>
  <c r="BE232" i="55"/>
  <c r="BE260" i="55"/>
  <c r="BE58" i="55"/>
  <c r="BC225" i="55"/>
  <c r="BB232" i="55"/>
  <c r="BC58" i="55"/>
  <c r="AP260" i="55"/>
  <c r="AO38" i="55"/>
  <c r="BB278" i="55"/>
  <c r="AO278" i="55"/>
  <c r="BB38" i="55"/>
  <c r="AO225" i="55"/>
  <c r="BC232" i="55"/>
  <c r="AP278" i="55"/>
  <c r="AN232" i="55"/>
  <c r="AZ239" i="55"/>
  <c r="BB58" i="55"/>
  <c r="AP232" i="55"/>
  <c r="AZ232" i="55"/>
  <c r="BA278" i="55"/>
  <c r="AP58" i="55"/>
  <c r="AU239" i="55"/>
  <c r="AZ58" i="55"/>
  <c r="AP300" i="55"/>
  <c r="AS260" i="55"/>
  <c r="AO260" i="55"/>
  <c r="AQ260" i="55"/>
  <c r="AM260" i="55"/>
  <c r="AU232" i="55"/>
  <c r="AS38" i="55"/>
  <c r="AZ260" i="55"/>
  <c r="AO58" i="55"/>
  <c r="AQ239" i="55"/>
  <c r="AZ278" i="55"/>
  <c r="BB260" i="55"/>
  <c r="AS232" i="55"/>
  <c r="AQ225" i="55"/>
  <c r="AQ300" i="55"/>
  <c r="AP225" i="55"/>
  <c r="BE225" i="55"/>
  <c r="BB239" i="55"/>
  <c r="BF225" i="55"/>
  <c r="AM38" i="55"/>
  <c r="BF300" i="55"/>
  <c r="AM300" i="55"/>
  <c r="AM232" i="55"/>
  <c r="AM239" i="55"/>
  <c r="AT260" i="55"/>
  <c r="AU300" i="55"/>
  <c r="BE300" i="55"/>
  <c r="AU38" i="55"/>
  <c r="BE38" i="55"/>
  <c r="AP38" i="55"/>
  <c r="AS239" i="55"/>
  <c r="BE278" i="55"/>
  <c r="BB300" i="55"/>
  <c r="BF260" i="55"/>
  <c r="AS278" i="55"/>
  <c r="BE239" i="55"/>
  <c r="AM278" i="55"/>
  <c r="AS225" i="55"/>
  <c r="AM225" i="55"/>
  <c r="AS58" i="55"/>
  <c r="AO300" i="55"/>
  <c r="AM58" i="55"/>
  <c r="AT58" i="55"/>
  <c r="AT38" i="55"/>
  <c r="AT300" i="55"/>
  <c r="AZ32" i="55"/>
  <c r="AM32" i="55"/>
  <c r="AT278" i="55"/>
  <c r="O32" i="55"/>
  <c r="I31" i="23" s="1"/>
  <c r="AT225" i="55"/>
  <c r="AY32" i="55"/>
  <c r="AU260" i="55"/>
  <c r="AQ232" i="55"/>
  <c r="AU58" i="55"/>
  <c r="AQ278" i="55"/>
  <c r="AU278" i="55"/>
  <c r="BA260" i="55"/>
  <c r="AP239" i="55"/>
  <c r="AU225" i="55"/>
  <c r="AQ58" i="55"/>
  <c r="BA232" i="55"/>
  <c r="BC278" i="55"/>
  <c r="BF232" i="55"/>
  <c r="BF58" i="55"/>
  <c r="BA225" i="55"/>
  <c r="BF38" i="55"/>
  <c r="BA38" i="55"/>
  <c r="BA58" i="55"/>
  <c r="AT239" i="55"/>
  <c r="BC300" i="55"/>
  <c r="BF239" i="55"/>
  <c r="BA239" i="55"/>
  <c r="AM8" i="55"/>
  <c r="I20" i="23"/>
  <c r="I19" i="23"/>
  <c r="I45" i="23"/>
  <c r="AY8" i="55"/>
  <c r="I21" i="23"/>
  <c r="BG32" i="55"/>
  <c r="BF32" i="55"/>
  <c r="BC32" i="55"/>
  <c r="BE32" i="55"/>
  <c r="BB32" i="55"/>
  <c r="BA32" i="55"/>
  <c r="AO32" i="55"/>
  <c r="AP32" i="55"/>
  <c r="AT32" i="55"/>
  <c r="AS32" i="55"/>
  <c r="AN32" i="55"/>
  <c r="AU32" i="55"/>
  <c r="AQ32" i="55"/>
  <c r="O8" i="55"/>
  <c r="AA8" i="55"/>
  <c r="AK31" i="55"/>
  <c r="I27" i="23" s="1"/>
  <c r="AW31" i="55"/>
  <c r="BB309" i="55"/>
  <c r="BC248" i="55"/>
  <c r="AZ309" i="55"/>
  <c r="BE309" i="55"/>
  <c r="BF309" i="55"/>
  <c r="BC309" i="55"/>
  <c r="J24" i="55"/>
  <c r="AY309" i="55"/>
  <c r="J68" i="55"/>
  <c r="Y168" i="55"/>
  <c r="Q121" i="23"/>
  <c r="Q107" i="23"/>
  <c r="P107" i="23"/>
  <c r="P14" i="23" a="1"/>
  <c r="R14" i="23" a="1"/>
  <c r="R107" i="23"/>
  <c r="R121" i="23"/>
  <c r="M21" i="23"/>
  <c r="M20" i="23"/>
  <c r="O14" i="23" a="1"/>
  <c r="Q14" i="23" a="1"/>
  <c r="N14" i="23" a="1"/>
  <c r="M19" i="23"/>
  <c r="M235" i="107" l="1"/>
  <c r="AF253" i="104"/>
  <c r="AF255" i="104" s="1"/>
  <c r="AF257" i="104" s="1"/>
  <c r="AE314" i="104"/>
  <c r="AE316" i="104" s="1"/>
  <c r="AE318" i="104" s="1"/>
  <c r="AG314" i="104"/>
  <c r="AG316" i="104" s="1"/>
  <c r="AG318" i="104" s="1"/>
  <c r="AD314" i="104"/>
  <c r="AD316" i="104" s="1"/>
  <c r="AD318" i="104" s="1"/>
  <c r="AM211" i="103"/>
  <c r="AK211" i="103" s="1"/>
  <c r="AM209" i="103"/>
  <c r="AM113" i="103"/>
  <c r="AM212" i="103"/>
  <c r="AK212" i="103" s="1"/>
  <c r="AK107" i="103"/>
  <c r="AM138" i="103"/>
  <c r="AM144" i="103"/>
  <c r="AM140" i="103"/>
  <c r="AK135" i="103"/>
  <c r="AK112" i="103"/>
  <c r="AM123" i="103"/>
  <c r="AO123" i="103"/>
  <c r="AO153" i="103" s="1"/>
  <c r="AN123" i="103"/>
  <c r="AN153" i="103" s="1"/>
  <c r="AY153" i="107"/>
  <c r="AW153" i="107" s="1"/>
  <c r="AW123" i="107"/>
  <c r="AK153" i="107"/>
  <c r="AM159" i="107"/>
  <c r="AK159" i="107" s="1"/>
  <c r="AM162" i="107"/>
  <c r="AK162" i="107" s="1"/>
  <c r="AZ159" i="107"/>
  <c r="AZ162" i="107"/>
  <c r="AZ13" i="107" s="1"/>
  <c r="AZ171" i="107"/>
  <c r="AK142" i="107"/>
  <c r="AM200" i="107"/>
  <c r="AK200" i="107" s="1"/>
  <c r="BA162" i="107"/>
  <c r="BA13" i="107" s="1"/>
  <c r="BA159" i="107"/>
  <c r="M214" i="107"/>
  <c r="J214" i="107" s="1"/>
  <c r="M269" i="107"/>
  <c r="J269" i="107" s="1"/>
  <c r="AW154" i="107"/>
  <c r="AY138" i="107"/>
  <c r="AW135" i="107"/>
  <c r="AY140" i="107"/>
  <c r="AY144" i="107"/>
  <c r="AY212" i="107"/>
  <c r="AW212" i="107" s="1"/>
  <c r="AY113" i="107"/>
  <c r="AY209" i="107"/>
  <c r="AY211" i="107"/>
  <c r="AW211" i="107" s="1"/>
  <c r="AW107" i="107"/>
  <c r="P135" i="107"/>
  <c r="P96" i="107"/>
  <c r="P107" i="107"/>
  <c r="P155" i="107"/>
  <c r="P95" i="107"/>
  <c r="Q94" i="107"/>
  <c r="Q112" i="107" s="1"/>
  <c r="O94" i="107"/>
  <c r="O112" i="107" s="1"/>
  <c r="AH253" i="106"/>
  <c r="AI253" i="106"/>
  <c r="AI255" i="106" s="1"/>
  <c r="AI257" i="106" s="1"/>
  <c r="AE314" i="106"/>
  <c r="AE316" i="106" s="1"/>
  <c r="AE318" i="106" s="1"/>
  <c r="AG253" i="106"/>
  <c r="AG255" i="106" s="1"/>
  <c r="AG257" i="106" s="1"/>
  <c r="AD314" i="106"/>
  <c r="AD316" i="106" s="1"/>
  <c r="AD318" i="106" s="1"/>
  <c r="AY153" i="106"/>
  <c r="AW123" i="106"/>
  <c r="AK142" i="106"/>
  <c r="AM200" i="106"/>
  <c r="AK200" i="106" s="1"/>
  <c r="BA162" i="106"/>
  <c r="BA13" i="106" s="1"/>
  <c r="BA159" i="106"/>
  <c r="AZ162" i="106"/>
  <c r="AZ13" i="106" s="1"/>
  <c r="AZ159" i="106"/>
  <c r="AZ171" i="106"/>
  <c r="Y313" i="106"/>
  <c r="AC314" i="106"/>
  <c r="AC316" i="106" s="1"/>
  <c r="AC318" i="106" s="1"/>
  <c r="AH255" i="106"/>
  <c r="AH257" i="106" s="1"/>
  <c r="AH314" i="106"/>
  <c r="AH316" i="106" s="1"/>
  <c r="AH318" i="106" s="1"/>
  <c r="AI181" i="106"/>
  <c r="AI13" i="106" s="1"/>
  <c r="Y13" i="106" s="1"/>
  <c r="AB181" i="106"/>
  <c r="AA177" i="106"/>
  <c r="AC177" i="106"/>
  <c r="AC181" i="106"/>
  <c r="AA181" i="106"/>
  <c r="AI177" i="106"/>
  <c r="AB177" i="106"/>
  <c r="AD253" i="106"/>
  <c r="AD255" i="106" s="1"/>
  <c r="AD257" i="106" s="1"/>
  <c r="AF314" i="106"/>
  <c r="AF316" i="106" s="1"/>
  <c r="AF318" i="106" s="1"/>
  <c r="Y312" i="106"/>
  <c r="AA314" i="106"/>
  <c r="AA316" i="106" s="1"/>
  <c r="AA318" i="106" s="1"/>
  <c r="AF253" i="106"/>
  <c r="AF255" i="106" s="1"/>
  <c r="AF257" i="106" s="1"/>
  <c r="AB253" i="106"/>
  <c r="AB255" i="106" s="1"/>
  <c r="AB257" i="106" s="1"/>
  <c r="Y252" i="106"/>
  <c r="AG314" i="106"/>
  <c r="AG316" i="106" s="1"/>
  <c r="AG318" i="106" s="1"/>
  <c r="AC253" i="106"/>
  <c r="AC255" i="106" s="1"/>
  <c r="AC257" i="106" s="1"/>
  <c r="AA253" i="106"/>
  <c r="Y251" i="106"/>
  <c r="Y253" i="106" s="1"/>
  <c r="AM13" i="106"/>
  <c r="AK121" i="106"/>
  <c r="Q88" i="106"/>
  <c r="Q214" i="106" s="1"/>
  <c r="AM198" i="106"/>
  <c r="AK198" i="106" s="1"/>
  <c r="AK117" i="106"/>
  <c r="AK167" i="106"/>
  <c r="AM169" i="106"/>
  <c r="O88" i="106"/>
  <c r="O214" i="106" s="1"/>
  <c r="M303" i="105"/>
  <c r="J303" i="105" s="1"/>
  <c r="AO159" i="105"/>
  <c r="AO162" i="105"/>
  <c r="AO13" i="105" s="1"/>
  <c r="BA159" i="105"/>
  <c r="BA162" i="105"/>
  <c r="BA13" i="105" s="1"/>
  <c r="O135" i="105"/>
  <c r="O140" i="105" s="1"/>
  <c r="O112" i="105"/>
  <c r="AM153" i="105"/>
  <c r="AK153" i="105" s="1"/>
  <c r="AK123" i="105"/>
  <c r="AW123" i="105"/>
  <c r="AY153" i="105"/>
  <c r="AN162" i="105"/>
  <c r="AN13" i="105" s="1"/>
  <c r="AN159" i="105"/>
  <c r="AN171" i="105"/>
  <c r="AZ162" i="105"/>
  <c r="AZ13" i="105" s="1"/>
  <c r="AZ159" i="105"/>
  <c r="AZ171" i="105"/>
  <c r="P94" i="105"/>
  <c r="P135" i="105" s="1"/>
  <c r="M242" i="105"/>
  <c r="J242" i="105" s="1"/>
  <c r="P96" i="105"/>
  <c r="O95" i="105"/>
  <c r="AM212" i="105"/>
  <c r="AK212" i="105" s="1"/>
  <c r="AM113" i="105"/>
  <c r="AK107" i="105"/>
  <c r="AM211" i="105"/>
  <c r="AK211" i="105" s="1"/>
  <c r="AM209" i="105"/>
  <c r="Y255" i="105"/>
  <c r="O96" i="105"/>
  <c r="AK155" i="105"/>
  <c r="AM144" i="105"/>
  <c r="AK135" i="105"/>
  <c r="AM140" i="105"/>
  <c r="AM138" i="105"/>
  <c r="Q94" i="105"/>
  <c r="Q112" i="105" s="1"/>
  <c r="O107" i="105"/>
  <c r="O113" i="105" s="1"/>
  <c r="Y313" i="104"/>
  <c r="AI253" i="104"/>
  <c r="AI255" i="104" s="1"/>
  <c r="AI257" i="104" s="1"/>
  <c r="AF314" i="104"/>
  <c r="AF316" i="104" s="1"/>
  <c r="AF318" i="104" s="1"/>
  <c r="AI314" i="104"/>
  <c r="AI316" i="104" s="1"/>
  <c r="AI318" i="104" s="1"/>
  <c r="AC314" i="104"/>
  <c r="AC316" i="104" s="1"/>
  <c r="AC318" i="104" s="1"/>
  <c r="AH314" i="104"/>
  <c r="AH316" i="104" s="1"/>
  <c r="AH318" i="104" s="1"/>
  <c r="AB314" i="104"/>
  <c r="AB316" i="104" s="1"/>
  <c r="AB318" i="104" s="1"/>
  <c r="Y312" i="104"/>
  <c r="AA314" i="104"/>
  <c r="AA316" i="104" s="1"/>
  <c r="AA318" i="104" s="1"/>
  <c r="AN159" i="104"/>
  <c r="AN162" i="104"/>
  <c r="AN13" i="104" s="1"/>
  <c r="AN171" i="104"/>
  <c r="BA159" i="104"/>
  <c r="BA162" i="104"/>
  <c r="BA13" i="104" s="1"/>
  <c r="AM153" i="104"/>
  <c r="AK153" i="104" s="1"/>
  <c r="AK123" i="104"/>
  <c r="AB181" i="104"/>
  <c r="AI181" i="104"/>
  <c r="AI13" i="104" s="1"/>
  <c r="Y13" i="104" s="1"/>
  <c r="AI177" i="104"/>
  <c r="AC177" i="104"/>
  <c r="AA177" i="104"/>
  <c r="AC181" i="104"/>
  <c r="AA181" i="104"/>
  <c r="AB177" i="104"/>
  <c r="AA253" i="104"/>
  <c r="Y251" i="104"/>
  <c r="AD253" i="104"/>
  <c r="AD255" i="104" s="1"/>
  <c r="AD257" i="104" s="1"/>
  <c r="AE253" i="104"/>
  <c r="AE255" i="104" s="1"/>
  <c r="AE257" i="104" s="1"/>
  <c r="AY153" i="104"/>
  <c r="AW153" i="104" s="1"/>
  <c r="AW123" i="104"/>
  <c r="Y252" i="104"/>
  <c r="AG253" i="104"/>
  <c r="AG255" i="104" s="1"/>
  <c r="AG257" i="104" s="1"/>
  <c r="AZ162" i="104"/>
  <c r="AZ13" i="104" s="1"/>
  <c r="AZ159" i="104"/>
  <c r="AZ171" i="104"/>
  <c r="AO162" i="104"/>
  <c r="AO13" i="104" s="1"/>
  <c r="AO159" i="104"/>
  <c r="M214" i="104"/>
  <c r="J214" i="104" s="1"/>
  <c r="O94" i="104"/>
  <c r="O112" i="104" s="1"/>
  <c r="AY211" i="104"/>
  <c r="AW211" i="104" s="1"/>
  <c r="AY113" i="104"/>
  <c r="AY212" i="104"/>
  <c r="AW212" i="104" s="1"/>
  <c r="AW107" i="104"/>
  <c r="AY209" i="104"/>
  <c r="AW135" i="104"/>
  <c r="AY140" i="104"/>
  <c r="AY144" i="104"/>
  <c r="AY138" i="104"/>
  <c r="AM209" i="104"/>
  <c r="AM211" i="104"/>
  <c r="AK211" i="104" s="1"/>
  <c r="AM113" i="104"/>
  <c r="AK107" i="104"/>
  <c r="AM212" i="104"/>
  <c r="AK212" i="104" s="1"/>
  <c r="AM140" i="104"/>
  <c r="AK135" i="104"/>
  <c r="AM138" i="104"/>
  <c r="AM144" i="104"/>
  <c r="AW155" i="104"/>
  <c r="Q94" i="104"/>
  <c r="Q112" i="104" s="1"/>
  <c r="AK155" i="104"/>
  <c r="AM159" i="104"/>
  <c r="M214" i="103"/>
  <c r="J214" i="103" s="1"/>
  <c r="R236" i="103"/>
  <c r="O236" i="103"/>
  <c r="Q236" i="103"/>
  <c r="S236" i="103"/>
  <c r="W236" i="103"/>
  <c r="V236" i="103"/>
  <c r="J62" i="103"/>
  <c r="P236" i="103"/>
  <c r="U236" i="103"/>
  <c r="T236" i="103"/>
  <c r="AH314" i="103"/>
  <c r="AH316" i="103" s="1"/>
  <c r="AH318" i="103" s="1"/>
  <c r="AI314" i="103"/>
  <c r="AI316" i="103" s="1"/>
  <c r="AI318" i="103" s="1"/>
  <c r="AD314" i="103"/>
  <c r="AD316" i="103" s="1"/>
  <c r="AD318" i="103" s="1"/>
  <c r="AF253" i="103"/>
  <c r="AF255" i="103" s="1"/>
  <c r="AF257" i="103" s="1"/>
  <c r="AG314" i="103"/>
  <c r="AG316" i="103" s="1"/>
  <c r="AG318" i="103" s="1"/>
  <c r="Y312" i="103"/>
  <c r="AA314" i="103"/>
  <c r="AA316" i="103" s="1"/>
  <c r="AA318" i="103" s="1"/>
  <c r="AC253" i="103"/>
  <c r="AC255" i="103" s="1"/>
  <c r="AC257" i="103" s="1"/>
  <c r="AB253" i="103"/>
  <c r="AB255" i="103" s="1"/>
  <c r="AB257" i="103" s="1"/>
  <c r="AG253" i="103"/>
  <c r="AG255" i="103" s="1"/>
  <c r="AG257" i="103" s="1"/>
  <c r="AI253" i="103"/>
  <c r="AI255" i="103" s="1"/>
  <c r="AI257" i="103" s="1"/>
  <c r="AC314" i="103"/>
  <c r="AC316" i="103" s="1"/>
  <c r="AC318" i="103" s="1"/>
  <c r="AI181" i="103"/>
  <c r="AI13" i="103" s="1"/>
  <c r="Y13" i="103" s="1"/>
  <c r="AI177" i="103"/>
  <c r="AC181" i="103"/>
  <c r="AC177" i="103"/>
  <c r="AB181" i="103"/>
  <c r="AB177" i="103"/>
  <c r="AA181" i="103"/>
  <c r="AA177" i="103"/>
  <c r="P94" i="103"/>
  <c r="Y251" i="103"/>
  <c r="AA253" i="103"/>
  <c r="AA255" i="103" s="1"/>
  <c r="AA257" i="103" s="1"/>
  <c r="AF314" i="103"/>
  <c r="AF316" i="103" s="1"/>
  <c r="AF318" i="103" s="1"/>
  <c r="Y252" i="103"/>
  <c r="AD253" i="103"/>
  <c r="AD255" i="103" s="1"/>
  <c r="AD257" i="103" s="1"/>
  <c r="AE314" i="103"/>
  <c r="AE316" i="103" s="1"/>
  <c r="AE318" i="103" s="1"/>
  <c r="O94" i="103"/>
  <c r="O112" i="103" s="1"/>
  <c r="M242" i="103"/>
  <c r="J242" i="103" s="1"/>
  <c r="AB314" i="103"/>
  <c r="AB316" i="103" s="1"/>
  <c r="AB318" i="103" s="1"/>
  <c r="AH253" i="103"/>
  <c r="AH255" i="103" s="1"/>
  <c r="AH257" i="103" s="1"/>
  <c r="Y313" i="103"/>
  <c r="AE253" i="103"/>
  <c r="AE255" i="103" s="1"/>
  <c r="AE257" i="103" s="1"/>
  <c r="Q94" i="103"/>
  <c r="Q112" i="103" s="1"/>
  <c r="M242" i="107"/>
  <c r="J242" i="107" s="1"/>
  <c r="R12" i="107"/>
  <c r="P244" i="107"/>
  <c r="O244" i="107"/>
  <c r="R202" i="107"/>
  <c r="R204" i="107" s="1"/>
  <c r="Y202" i="107"/>
  <c r="AA204" i="107"/>
  <c r="AM14" i="107"/>
  <c r="AM190" i="107"/>
  <c r="AM169" i="107"/>
  <c r="AK167" i="107"/>
  <c r="AA257" i="107"/>
  <c r="Y257" i="107" s="1"/>
  <c r="AA262" i="107"/>
  <c r="AA287" i="107"/>
  <c r="AA290" i="107" s="1"/>
  <c r="AK267" i="107"/>
  <c r="AN273" i="107"/>
  <c r="AM187" i="107"/>
  <c r="AK117" i="107"/>
  <c r="AM241" i="107"/>
  <c r="AN241" i="107"/>
  <c r="AN249" i="107" s="1"/>
  <c r="AM198" i="107"/>
  <c r="S13" i="107"/>
  <c r="P306" i="107"/>
  <c r="V306" i="107"/>
  <c r="W306" i="107"/>
  <c r="R306" i="107"/>
  <c r="S306" i="107"/>
  <c r="U306" i="107"/>
  <c r="T306" i="107"/>
  <c r="O306" i="107"/>
  <c r="Q306" i="107"/>
  <c r="AY14" i="107"/>
  <c r="AY190" i="107"/>
  <c r="AK264" i="107"/>
  <c r="AM273" i="107"/>
  <c r="AY162" i="106"/>
  <c r="U13" i="107"/>
  <c r="Q308" i="107"/>
  <c r="V308" i="107"/>
  <c r="W308" i="107"/>
  <c r="T308" i="107"/>
  <c r="S308" i="107"/>
  <c r="R308" i="107"/>
  <c r="U308" i="107"/>
  <c r="O308" i="107"/>
  <c r="P308" i="107"/>
  <c r="AK266" i="107"/>
  <c r="AK121" i="107"/>
  <c r="AM13" i="107"/>
  <c r="AQ302" i="107"/>
  <c r="AQ310" i="107" s="1"/>
  <c r="AR302" i="107"/>
  <c r="AR310" i="107" s="1"/>
  <c r="AM302" i="107"/>
  <c r="AP302" i="107"/>
  <c r="AP310" i="107" s="1"/>
  <c r="AS302" i="107"/>
  <c r="AS310" i="107" s="1"/>
  <c r="AN302" i="107"/>
  <c r="AN310" i="107" s="1"/>
  <c r="AU302" i="107"/>
  <c r="AU310" i="107" s="1"/>
  <c r="AO302" i="107"/>
  <c r="AO310" i="107" s="1"/>
  <c r="AT302" i="107"/>
  <c r="AT310" i="107" s="1"/>
  <c r="S12" i="107"/>
  <c r="S202" i="107"/>
  <c r="S204" i="107" s="1"/>
  <c r="O245" i="107"/>
  <c r="P245" i="107"/>
  <c r="M303" i="107"/>
  <c r="J303" i="107" s="1"/>
  <c r="AW264" i="107"/>
  <c r="AY273" i="107"/>
  <c r="AW273" i="107" s="1"/>
  <c r="AY187" i="107"/>
  <c r="AY241" i="107"/>
  <c r="AK216" i="107"/>
  <c r="M268" i="107"/>
  <c r="J268" i="107" s="1"/>
  <c r="O154" i="107"/>
  <c r="M236" i="106"/>
  <c r="R13" i="107"/>
  <c r="Q305" i="107"/>
  <c r="R305" i="107"/>
  <c r="W305" i="107"/>
  <c r="P305" i="107"/>
  <c r="S305" i="107"/>
  <c r="V305" i="107"/>
  <c r="U305" i="107"/>
  <c r="O305" i="107"/>
  <c r="T305" i="107"/>
  <c r="Y12" i="107"/>
  <c r="Y131" i="107" s="1"/>
  <c r="U12" i="107"/>
  <c r="U202" i="107"/>
  <c r="U204" i="107" s="1"/>
  <c r="O247" i="107"/>
  <c r="P247" i="107"/>
  <c r="BA302" i="107"/>
  <c r="BA310" i="107" s="1"/>
  <c r="BB302" i="107"/>
  <c r="BB310" i="107" s="1"/>
  <c r="BG302" i="107"/>
  <c r="BG310" i="107" s="1"/>
  <c r="AZ302" i="107"/>
  <c r="AZ310" i="107" s="1"/>
  <c r="BC302" i="107"/>
  <c r="BC310" i="107" s="1"/>
  <c r="BF302" i="107"/>
  <c r="BF310" i="107" s="1"/>
  <c r="BE302" i="107"/>
  <c r="BE310" i="107" s="1"/>
  <c r="AY302" i="107"/>
  <c r="BD302" i="107"/>
  <c r="BD310" i="107" s="1"/>
  <c r="M265" i="107"/>
  <c r="J265" i="107" s="1"/>
  <c r="M303" i="103"/>
  <c r="J303" i="103" s="1"/>
  <c r="O188" i="106"/>
  <c r="O154" i="103"/>
  <c r="M154" i="103" s="1"/>
  <c r="J154" i="103" s="1"/>
  <c r="AK267" i="105"/>
  <c r="R171" i="106"/>
  <c r="R187" i="106" s="1"/>
  <c r="R191" i="106" s="1"/>
  <c r="R162" i="106"/>
  <c r="R159" i="106"/>
  <c r="AW212" i="106"/>
  <c r="AY267" i="106"/>
  <c r="AW267" i="106" s="1"/>
  <c r="P269" i="106"/>
  <c r="AK247" i="106"/>
  <c r="AK249" i="106" s="1"/>
  <c r="U171" i="106"/>
  <c r="U187" i="106" s="1"/>
  <c r="U191" i="106" s="1"/>
  <c r="U159" i="106"/>
  <c r="U162" i="106"/>
  <c r="M156" i="106"/>
  <c r="J156" i="106" s="1"/>
  <c r="T159" i="106"/>
  <c r="T12" i="106" s="1"/>
  <c r="T162" i="106"/>
  <c r="T13" i="106" s="1"/>
  <c r="M307" i="106"/>
  <c r="J307" i="106" s="1"/>
  <c r="AK266" i="104"/>
  <c r="AY121" i="106"/>
  <c r="AY117" i="106"/>
  <c r="AY167" i="106"/>
  <c r="AW113" i="106"/>
  <c r="AY171" i="106"/>
  <c r="AY186" i="106"/>
  <c r="W303" i="106"/>
  <c r="S303" i="106"/>
  <c r="O303" i="106"/>
  <c r="V303" i="106"/>
  <c r="R303" i="106"/>
  <c r="U303" i="106"/>
  <c r="Q303" i="106"/>
  <c r="T303" i="106"/>
  <c r="P303" i="106"/>
  <c r="P85" i="106"/>
  <c r="P188" i="106" s="1"/>
  <c r="T242" i="106"/>
  <c r="T249" i="106" s="1"/>
  <c r="V242" i="106"/>
  <c r="V249" i="106" s="1"/>
  <c r="R242" i="106"/>
  <c r="R249" i="106" s="1"/>
  <c r="O242" i="106"/>
  <c r="S242" i="106"/>
  <c r="S249" i="106" s="1"/>
  <c r="W242" i="106"/>
  <c r="W249" i="106" s="1"/>
  <c r="P242" i="106"/>
  <c r="U242" i="106"/>
  <c r="U249" i="106" s="1"/>
  <c r="Q242" i="106"/>
  <c r="Q249" i="106" s="1"/>
  <c r="P296" i="106" a="1"/>
  <c r="P296" i="106" s="1"/>
  <c r="P293" i="106"/>
  <c r="AY216" i="106"/>
  <c r="AW209" i="106"/>
  <c r="AY264" i="106"/>
  <c r="M234" i="106"/>
  <c r="O269" i="106"/>
  <c r="AY142" i="106"/>
  <c r="AW138" i="106"/>
  <c r="AY146" i="106"/>
  <c r="AW146" i="106" s="1"/>
  <c r="Y247" i="106"/>
  <c r="Y249" i="106" s="1"/>
  <c r="Y255" i="106" s="1"/>
  <c r="AA249" i="106"/>
  <c r="AA255" i="106" s="1"/>
  <c r="AW247" i="106"/>
  <c r="M246" i="106"/>
  <c r="J246" i="106" s="1"/>
  <c r="M75" i="106"/>
  <c r="J75" i="106" s="1"/>
  <c r="O192" i="106"/>
  <c r="AW216" i="105"/>
  <c r="S171" i="106"/>
  <c r="S187" i="106" s="1"/>
  <c r="S191" i="106" s="1"/>
  <c r="S159" i="106"/>
  <c r="S162" i="106"/>
  <c r="AW211" i="106"/>
  <c r="AY266" i="106"/>
  <c r="AW266" i="106" s="1"/>
  <c r="AM249" i="106"/>
  <c r="J61" i="106"/>
  <c r="P235" i="106"/>
  <c r="T235" i="106"/>
  <c r="Q235" i="106"/>
  <c r="V235" i="106"/>
  <c r="R235" i="106"/>
  <c r="U235" i="106"/>
  <c r="S235" i="106"/>
  <c r="O235" i="106"/>
  <c r="W235" i="106"/>
  <c r="M269" i="105"/>
  <c r="J269" i="105" s="1"/>
  <c r="O188" i="104"/>
  <c r="AN273" i="105"/>
  <c r="AW264" i="105"/>
  <c r="AY273" i="105"/>
  <c r="AW273" i="105" s="1"/>
  <c r="AM302" i="105"/>
  <c r="AT302" i="105"/>
  <c r="AT310" i="105" s="1"/>
  <c r="AS302" i="105"/>
  <c r="AS310" i="105" s="1"/>
  <c r="AQ302" i="105"/>
  <c r="AQ310" i="105" s="1"/>
  <c r="AN302" i="105"/>
  <c r="AN310" i="105" s="1"/>
  <c r="AO302" i="105"/>
  <c r="AO310" i="105" s="1"/>
  <c r="AU302" i="105"/>
  <c r="AU310" i="105" s="1"/>
  <c r="AR302" i="105"/>
  <c r="AR310" i="105" s="1"/>
  <c r="AP302" i="105"/>
  <c r="AP310" i="105" s="1"/>
  <c r="Y12" i="105"/>
  <c r="Y131" i="105" s="1"/>
  <c r="AW121" i="105"/>
  <c r="BE302" i="105"/>
  <c r="BE310" i="105" s="1"/>
  <c r="BF302" i="105"/>
  <c r="BF310" i="105" s="1"/>
  <c r="BG302" i="105"/>
  <c r="BG310" i="105" s="1"/>
  <c r="AZ302" i="105"/>
  <c r="AZ310" i="105" s="1"/>
  <c r="BA302" i="105"/>
  <c r="BA310" i="105" s="1"/>
  <c r="BC302" i="105"/>
  <c r="BC310" i="105" s="1"/>
  <c r="BD302" i="105"/>
  <c r="BD310" i="105" s="1"/>
  <c r="AY302" i="105"/>
  <c r="BB302" i="105"/>
  <c r="BB310" i="105" s="1"/>
  <c r="S202" i="105"/>
  <c r="S204" i="105" s="1"/>
  <c r="S12" i="105"/>
  <c r="P245" i="105"/>
  <c r="O245" i="105"/>
  <c r="AK247" i="104"/>
  <c r="AK264" i="105"/>
  <c r="AM273" i="105"/>
  <c r="P265" i="105"/>
  <c r="P268" i="105"/>
  <c r="AM14" i="105"/>
  <c r="AM190" i="105"/>
  <c r="Y202" i="105"/>
  <c r="AA204" i="105"/>
  <c r="AY14" i="105"/>
  <c r="AY190" i="105"/>
  <c r="R202" i="105"/>
  <c r="R204" i="105" s="1"/>
  <c r="R12" i="105"/>
  <c r="P244" i="105"/>
  <c r="O244" i="105"/>
  <c r="S13" i="105"/>
  <c r="V306" i="105"/>
  <c r="S306" i="105"/>
  <c r="P306" i="105"/>
  <c r="W306" i="105"/>
  <c r="U306" i="105"/>
  <c r="T306" i="105"/>
  <c r="R306" i="105"/>
  <c r="Q306" i="105"/>
  <c r="O306" i="105"/>
  <c r="O154" i="105"/>
  <c r="M235" i="105"/>
  <c r="O265" i="105"/>
  <c r="M265" i="105" s="1"/>
  <c r="J265" i="105" s="1"/>
  <c r="O268" i="105"/>
  <c r="M268" i="105" s="1"/>
  <c r="J268" i="105" s="1"/>
  <c r="AM187" i="105"/>
  <c r="AY187" i="105"/>
  <c r="AY169" i="105"/>
  <c r="AW167" i="105"/>
  <c r="R13" i="105"/>
  <c r="W305" i="105"/>
  <c r="P305" i="105"/>
  <c r="Q305" i="105"/>
  <c r="S305" i="105"/>
  <c r="T305" i="105"/>
  <c r="O305" i="105"/>
  <c r="R305" i="105"/>
  <c r="U305" i="105"/>
  <c r="V305" i="105"/>
  <c r="O192" i="105"/>
  <c r="AW142" i="105"/>
  <c r="AY200" i="105"/>
  <c r="AW200" i="105" s="1"/>
  <c r="U13" i="105"/>
  <c r="W308" i="105"/>
  <c r="R308" i="105"/>
  <c r="S308" i="105"/>
  <c r="P308" i="105"/>
  <c r="U308" i="105"/>
  <c r="O308" i="105"/>
  <c r="T308" i="105"/>
  <c r="Q308" i="105"/>
  <c r="V308" i="105"/>
  <c r="AA257" i="105"/>
  <c r="Y257" i="105" s="1"/>
  <c r="AA287" i="105"/>
  <c r="AA290" i="105" s="1"/>
  <c r="AA262" i="105"/>
  <c r="AK266" i="105"/>
  <c r="AN241" i="105"/>
  <c r="AN249" i="105" s="1"/>
  <c r="AM241" i="105"/>
  <c r="AW117" i="105"/>
  <c r="AY198" i="105"/>
  <c r="AY241" i="105"/>
  <c r="U12" i="105"/>
  <c r="U202" i="105"/>
  <c r="U204" i="105" s="1"/>
  <c r="P247" i="105"/>
  <c r="O247" i="105"/>
  <c r="O209" i="105"/>
  <c r="U303" i="104"/>
  <c r="Q303" i="104"/>
  <c r="S303" i="104"/>
  <c r="W303" i="104"/>
  <c r="R303" i="104"/>
  <c r="V303" i="104"/>
  <c r="P303" i="104"/>
  <c r="T303" i="104"/>
  <c r="O303" i="104"/>
  <c r="P85" i="104"/>
  <c r="P94" i="104" s="1"/>
  <c r="V242" i="104"/>
  <c r="V249" i="104" s="1"/>
  <c r="R242" i="104"/>
  <c r="R249" i="104" s="1"/>
  <c r="Q242" i="104"/>
  <c r="Q249" i="104" s="1"/>
  <c r="U242" i="104"/>
  <c r="O242" i="104"/>
  <c r="S242" i="104"/>
  <c r="S249" i="104" s="1"/>
  <c r="W242" i="104"/>
  <c r="W249" i="104" s="1"/>
  <c r="P242" i="104"/>
  <c r="T242" i="104"/>
  <c r="P188" i="104"/>
  <c r="P192" i="104" s="1"/>
  <c r="P269" i="104"/>
  <c r="AY14" i="104"/>
  <c r="AY190" i="104"/>
  <c r="P296" i="104" a="1"/>
  <c r="P296" i="104" s="1"/>
  <c r="P293" i="104"/>
  <c r="T307" i="103"/>
  <c r="O307" i="103"/>
  <c r="T246" i="103"/>
  <c r="T249" i="103" s="1"/>
  <c r="V246" i="103"/>
  <c r="V249" i="103" s="1"/>
  <c r="O246" i="103"/>
  <c r="M75" i="103"/>
  <c r="J75" i="103" s="1"/>
  <c r="P307" i="103"/>
  <c r="V307" i="103"/>
  <c r="U246" i="103"/>
  <c r="U249" i="103" s="1"/>
  <c r="P246" i="103"/>
  <c r="W246" i="103"/>
  <c r="W249" i="103" s="1"/>
  <c r="U307" i="103"/>
  <c r="W307" i="103"/>
  <c r="R307" i="103"/>
  <c r="R246" i="103"/>
  <c r="R249" i="103" s="1"/>
  <c r="Q246" i="103"/>
  <c r="Q249" i="103" s="1"/>
  <c r="T186" i="103"/>
  <c r="Q307" i="103"/>
  <c r="S307" i="103"/>
  <c r="T156" i="103"/>
  <c r="S246" i="103"/>
  <c r="S249" i="103" s="1"/>
  <c r="T202" i="103"/>
  <c r="T204" i="103" s="1"/>
  <c r="Q155" i="104"/>
  <c r="Q107" i="104"/>
  <c r="Q135" i="104"/>
  <c r="AM14" i="104"/>
  <c r="AM190" i="104"/>
  <c r="AY187" i="104"/>
  <c r="AY241" i="104"/>
  <c r="O135" i="104"/>
  <c r="O96" i="104"/>
  <c r="O95" i="104"/>
  <c r="O155" i="104"/>
  <c r="O107" i="104"/>
  <c r="J61" i="104"/>
  <c r="P235" i="104"/>
  <c r="O235" i="104"/>
  <c r="W235" i="104"/>
  <c r="T235" i="104"/>
  <c r="U235" i="104"/>
  <c r="R235" i="104"/>
  <c r="V235" i="104"/>
  <c r="S235" i="104"/>
  <c r="Q235" i="104"/>
  <c r="R171" i="104"/>
  <c r="R187" i="104" s="1"/>
  <c r="R191" i="104" s="1"/>
  <c r="R162" i="104"/>
  <c r="R159" i="104"/>
  <c r="AW247" i="104"/>
  <c r="AM187" i="104"/>
  <c r="AN241" i="104"/>
  <c r="AN249" i="104" s="1"/>
  <c r="AM241" i="104"/>
  <c r="BA302" i="104"/>
  <c r="BA310" i="104" s="1"/>
  <c r="BG302" i="104"/>
  <c r="BG310" i="104" s="1"/>
  <c r="BD302" i="104"/>
  <c r="BD310" i="104" s="1"/>
  <c r="BB302" i="104"/>
  <c r="BB310" i="104" s="1"/>
  <c r="AY302" i="104"/>
  <c r="BF302" i="104"/>
  <c r="BF310" i="104" s="1"/>
  <c r="BE302" i="104"/>
  <c r="BE310" i="104" s="1"/>
  <c r="BC302" i="104"/>
  <c r="BC310" i="104" s="1"/>
  <c r="AZ302" i="104"/>
  <c r="AZ310" i="104" s="1"/>
  <c r="M156" i="104"/>
  <c r="J156" i="104" s="1"/>
  <c r="T159" i="104"/>
  <c r="T12" i="104" s="1"/>
  <c r="T162" i="104"/>
  <c r="T13" i="104" s="1"/>
  <c r="AW264" i="104"/>
  <c r="AY273" i="104"/>
  <c r="AW273" i="104" s="1"/>
  <c r="AK267" i="104"/>
  <c r="AK264" i="104"/>
  <c r="AM273" i="104"/>
  <c r="AK273" i="104" s="1"/>
  <c r="Y247" i="104"/>
  <c r="Y249" i="104" s="1"/>
  <c r="AA249" i="104"/>
  <c r="U171" i="104"/>
  <c r="U187" i="104" s="1"/>
  <c r="U191" i="104" s="1"/>
  <c r="U162" i="104"/>
  <c r="U159" i="104"/>
  <c r="M234" i="104"/>
  <c r="O269" i="104"/>
  <c r="AR302" i="104"/>
  <c r="AR310" i="104" s="1"/>
  <c r="AS302" i="104"/>
  <c r="AS310" i="104" s="1"/>
  <c r="AU302" i="104"/>
  <c r="AU310" i="104" s="1"/>
  <c r="AP302" i="104"/>
  <c r="AP310" i="104" s="1"/>
  <c r="AN302" i="104"/>
  <c r="AN310" i="104" s="1"/>
  <c r="AQ302" i="104"/>
  <c r="AQ310" i="104" s="1"/>
  <c r="AT302" i="104"/>
  <c r="AT310" i="104" s="1"/>
  <c r="AM302" i="104"/>
  <c r="AO302" i="104"/>
  <c r="AO310" i="104" s="1"/>
  <c r="M236" i="104"/>
  <c r="S171" i="104"/>
  <c r="S187" i="104" s="1"/>
  <c r="S191" i="104" s="1"/>
  <c r="S162" i="104"/>
  <c r="S159" i="104"/>
  <c r="O192" i="104"/>
  <c r="U249" i="104"/>
  <c r="T249" i="104"/>
  <c r="M75" i="104"/>
  <c r="J75" i="104" s="1"/>
  <c r="M246" i="104"/>
  <c r="J246" i="104" s="1"/>
  <c r="M307" i="104"/>
  <c r="J307" i="104" s="1"/>
  <c r="AK266" i="103"/>
  <c r="AN273" i="103"/>
  <c r="AM187" i="103"/>
  <c r="M269" i="103"/>
  <c r="J269" i="103" s="1"/>
  <c r="AY146" i="103"/>
  <c r="AW146" i="103" s="1"/>
  <c r="AY142" i="103"/>
  <c r="AW138" i="103"/>
  <c r="P268" i="103"/>
  <c r="P265" i="103"/>
  <c r="AW209" i="103"/>
  <c r="AY216" i="103"/>
  <c r="AY264" i="103"/>
  <c r="AW212" i="103"/>
  <c r="AY267" i="103"/>
  <c r="AW267" i="103" s="1"/>
  <c r="AN241" i="103"/>
  <c r="AN249" i="103" s="1"/>
  <c r="AM241" i="103"/>
  <c r="U13" i="103"/>
  <c r="W308" i="103"/>
  <c r="R308" i="103"/>
  <c r="S308" i="103"/>
  <c r="P308" i="103"/>
  <c r="U308" i="103"/>
  <c r="O308" i="103"/>
  <c r="V308" i="103"/>
  <c r="Q308" i="103"/>
  <c r="T308" i="103"/>
  <c r="S13" i="103"/>
  <c r="O306" i="103"/>
  <c r="Q306" i="103"/>
  <c r="V306" i="103"/>
  <c r="T306" i="103"/>
  <c r="W306" i="103"/>
  <c r="R306" i="103"/>
  <c r="P306" i="103"/>
  <c r="S306" i="103"/>
  <c r="U306" i="103"/>
  <c r="AY167" i="103"/>
  <c r="AW113" i="103"/>
  <c r="AY121" i="103"/>
  <c r="AY117" i="103"/>
  <c r="AY171" i="103"/>
  <c r="AY186" i="103"/>
  <c r="R13" i="103"/>
  <c r="P305" i="103"/>
  <c r="V305" i="103"/>
  <c r="U305" i="103"/>
  <c r="W305" i="103"/>
  <c r="R305" i="103"/>
  <c r="Q305" i="103"/>
  <c r="S305" i="103"/>
  <c r="T305" i="103"/>
  <c r="O305" i="103"/>
  <c r="AU302" i="103"/>
  <c r="AU310" i="103" s="1"/>
  <c r="AO302" i="103"/>
  <c r="AO310" i="103" s="1"/>
  <c r="AR302" i="103"/>
  <c r="AR310" i="103" s="1"/>
  <c r="AQ302" i="103"/>
  <c r="AQ310" i="103" s="1"/>
  <c r="AP302" i="103"/>
  <c r="AP310" i="103" s="1"/>
  <c r="AM302" i="103"/>
  <c r="AN302" i="103"/>
  <c r="AN310" i="103" s="1"/>
  <c r="AS302" i="103"/>
  <c r="AS310" i="103" s="1"/>
  <c r="AT302" i="103"/>
  <c r="AT310" i="103" s="1"/>
  <c r="U12" i="103"/>
  <c r="U202" i="103"/>
  <c r="U204" i="103" s="1"/>
  <c r="P247" i="103"/>
  <c r="O247" i="103"/>
  <c r="S202" i="103"/>
  <c r="S204" i="103" s="1"/>
  <c r="S12" i="103"/>
  <c r="P245" i="103"/>
  <c r="O245" i="103"/>
  <c r="AW211" i="103"/>
  <c r="AY266" i="103"/>
  <c r="AW266" i="103" s="1"/>
  <c r="AK264" i="103"/>
  <c r="AM273" i="103"/>
  <c r="AW159" i="103"/>
  <c r="AK267" i="103"/>
  <c r="AA287" i="103"/>
  <c r="AA290" i="103" s="1"/>
  <c r="AA262" i="103"/>
  <c r="M235" i="103"/>
  <c r="O265" i="103"/>
  <c r="O268" i="103"/>
  <c r="R12" i="103"/>
  <c r="P244" i="103"/>
  <c r="O244" i="103"/>
  <c r="R202" i="103"/>
  <c r="R204" i="103" s="1"/>
  <c r="AM14" i="103"/>
  <c r="AM190" i="103"/>
  <c r="AN286" i="55" a="1"/>
  <c r="AN286" i="55" s="1"/>
  <c r="AQ286" i="55" a="1"/>
  <c r="AQ286" i="55" s="1"/>
  <c r="AT284" i="55" a="1"/>
  <c r="AT284" i="55" s="1"/>
  <c r="AT283" i="55" a="1"/>
  <c r="AT283" i="55" s="1"/>
  <c r="AU283" i="55" a="1"/>
  <c r="AU283" i="55" s="1"/>
  <c r="AQ284" i="55" a="1"/>
  <c r="AQ284" i="55" s="1"/>
  <c r="AP297" i="55"/>
  <c r="AU284" i="55" a="1"/>
  <c r="AU284" i="55" s="1"/>
  <c r="AN282" i="55" a="1"/>
  <c r="AN282" i="55" s="1"/>
  <c r="AQ282" i="55" a="1"/>
  <c r="AQ282" i="55" s="1"/>
  <c r="AN283" i="55" a="1"/>
  <c r="AN283" i="55" s="1"/>
  <c r="AU294" i="55"/>
  <c r="AU296" i="55" s="1" a="1"/>
  <c r="AU296" i="55" s="1"/>
  <c r="BF294" i="55"/>
  <c r="BF296" i="55" s="1" a="1"/>
  <c r="BF296" i="55" s="1"/>
  <c r="AO284" i="55" a="1"/>
  <c r="AO284" i="55" s="1"/>
  <c r="BF282" i="55" a="1"/>
  <c r="BF282" i="55" s="1"/>
  <c r="BF283" i="55" a="1"/>
  <c r="BF283" i="55" s="1"/>
  <c r="AO297" i="55"/>
  <c r="AP282" i="55" a="1"/>
  <c r="AP282" i="55" s="1"/>
  <c r="AP284" i="55" a="1"/>
  <c r="AP284" i="55" s="1"/>
  <c r="AO283" i="55" a="1"/>
  <c r="AO283" i="55" s="1"/>
  <c r="BA283" i="55" a="1"/>
  <c r="BA283" i="55" s="1"/>
  <c r="BB294" i="55"/>
  <c r="BB296" i="55" s="1" a="1"/>
  <c r="BB296" i="55" s="1"/>
  <c r="BA284" i="55" a="1"/>
  <c r="BA284" i="55" s="1"/>
  <c r="BG283" i="55" a="1"/>
  <c r="BG283" i="55" s="1"/>
  <c r="AZ283" i="55" a="1"/>
  <c r="AZ283" i="55" s="1"/>
  <c r="BG284" i="55" a="1"/>
  <c r="BG284" i="55" s="1"/>
  <c r="BB284" i="55" a="1"/>
  <c r="BB284" i="55" s="1"/>
  <c r="BE284" i="55" a="1"/>
  <c r="BE284" i="55" s="1"/>
  <c r="AZ284" i="55" a="1"/>
  <c r="AZ284" i="55" s="1"/>
  <c r="BB283" i="55" a="1"/>
  <c r="BB283" i="55" s="1"/>
  <c r="BE283" i="55" a="1"/>
  <c r="BE283" i="55" s="1"/>
  <c r="BE294" i="55"/>
  <c r="BE296" i="55" s="1" a="1"/>
  <c r="BE296" i="55" s="1"/>
  <c r="BA294" i="55"/>
  <c r="BA296" i="55" s="1" a="1"/>
  <c r="BA296" i="55" s="1"/>
  <c r="AQ294" i="55"/>
  <c r="AQ293" i="55" s="1"/>
  <c r="BG297" i="55"/>
  <c r="Y53" i="55"/>
  <c r="AS284" i="55" a="1"/>
  <c r="AS284" i="55" s="1"/>
  <c r="AS283" i="55" a="1"/>
  <c r="AS283" i="55" s="1"/>
  <c r="AS297" i="55"/>
  <c r="AT297" i="55"/>
  <c r="BF297" i="55"/>
  <c r="S296" i="55" a="1"/>
  <c r="S296" i="55" s="1"/>
  <c r="S293" i="55"/>
  <c r="AG293" i="55"/>
  <c r="AG296" i="55" a="1"/>
  <c r="AG296" i="55" s="1"/>
  <c r="AR293" i="55"/>
  <c r="AR296" i="55" a="1"/>
  <c r="AR296" i="55" s="1"/>
  <c r="AE296" i="55" a="1"/>
  <c r="AE296" i="55" s="1"/>
  <c r="AE293" i="55"/>
  <c r="AD296" i="55" a="1"/>
  <c r="AD296" i="55" s="1"/>
  <c r="AD293" i="55"/>
  <c r="BD296" i="55" a="1"/>
  <c r="BD296" i="55" s="1"/>
  <c r="BD293" i="55"/>
  <c r="U293" i="55"/>
  <c r="U296" i="55" a="1"/>
  <c r="U296" i="55" s="1"/>
  <c r="AF296" i="55" a="1"/>
  <c r="AF296" i="55" s="1"/>
  <c r="AF293" i="55"/>
  <c r="AC296" i="55" a="1"/>
  <c r="AC296" i="55" s="1"/>
  <c r="AC293" i="55"/>
  <c r="R293" i="55"/>
  <c r="R296" i="55" a="1"/>
  <c r="R296" i="55" s="1"/>
  <c r="Q293" i="55"/>
  <c r="Q296" i="55" a="1"/>
  <c r="Q296" i="55" s="1"/>
  <c r="T293" i="55"/>
  <c r="T296" i="55" a="1"/>
  <c r="T296" i="55" s="1"/>
  <c r="AO294" i="55"/>
  <c r="AO296" i="55" s="1" a="1"/>
  <c r="AO296" i="55" s="1"/>
  <c r="BE297" i="55"/>
  <c r="AP294" i="55"/>
  <c r="AP296" i="55" s="1" a="1"/>
  <c r="AP296" i="55" s="1"/>
  <c r="AU297" i="55"/>
  <c r="BA297" i="55"/>
  <c r="V297" i="55"/>
  <c r="V294" i="55"/>
  <c r="BG294" i="55"/>
  <c r="BG293" i="55" s="1"/>
  <c r="AS294" i="55"/>
  <c r="AS293" i="55" s="1"/>
  <c r="AQ297" i="55"/>
  <c r="BB297" i="55"/>
  <c r="AT294" i="55"/>
  <c r="AT296" i="55" s="1" a="1"/>
  <c r="AT296" i="55" s="1"/>
  <c r="W294" i="55"/>
  <c r="W293" i="55" s="1"/>
  <c r="AH296" i="55" a="1"/>
  <c r="AH296" i="55" s="1"/>
  <c r="AH293" i="55"/>
  <c r="AI297" i="55"/>
  <c r="AI294" i="55"/>
  <c r="AN297" i="55"/>
  <c r="AN294" i="55"/>
  <c r="AN296" i="55" s="1" a="1"/>
  <c r="AN296" i="55" s="1"/>
  <c r="AB296" i="55" a="1"/>
  <c r="AB296" i="55" s="1"/>
  <c r="AB293" i="55"/>
  <c r="AW53" i="55"/>
  <c r="AK53" i="55"/>
  <c r="BC297" i="55"/>
  <c r="BC294" i="55"/>
  <c r="AM294" i="55"/>
  <c r="AM297" i="55"/>
  <c r="AZ297" i="55"/>
  <c r="AZ294" i="55"/>
  <c r="AY297" i="55"/>
  <c r="AY294" i="55"/>
  <c r="AY282" i="55" a="1"/>
  <c r="AY282" i="55" s="1"/>
  <c r="P293" i="55"/>
  <c r="AN271" i="55"/>
  <c r="AM271" i="55"/>
  <c r="O271" i="55"/>
  <c r="W229" i="55"/>
  <c r="W271" i="55"/>
  <c r="M70" i="55"/>
  <c r="W75" i="55"/>
  <c r="W168" i="55" s="1"/>
  <c r="W187" i="55" s="1"/>
  <c r="Y215" i="55"/>
  <c r="BC282" i="55" a="1"/>
  <c r="BC282" i="55" s="1"/>
  <c r="BC286" i="55" a="1"/>
  <c r="BC286" i="55" s="1"/>
  <c r="BC283" i="55" a="1"/>
  <c r="BC283" i="55" s="1"/>
  <c r="BC284" i="55" a="1"/>
  <c r="BC284" i="55" s="1"/>
  <c r="AM284" i="55" a="1"/>
  <c r="AM284" i="55" s="1"/>
  <c r="AM282" i="55" a="1"/>
  <c r="AM282" i="55" s="1"/>
  <c r="O284" i="55" a="1"/>
  <c r="O284" i="55" s="1"/>
  <c r="AM286" i="55" a="1"/>
  <c r="AM286" i="55" s="1"/>
  <c r="O283" i="55" a="1"/>
  <c r="O283" i="55" s="1"/>
  <c r="AM283" i="55" a="1"/>
  <c r="AM283" i="55" s="1"/>
  <c r="AY286" i="55" a="1"/>
  <c r="AY286" i="55" s="1"/>
  <c r="AY284" i="55" a="1"/>
  <c r="AY284" i="55" s="1"/>
  <c r="AY283" i="55" a="1"/>
  <c r="AY283" i="55" s="1"/>
  <c r="AS229" i="55"/>
  <c r="V229" i="55"/>
  <c r="AO229" i="55"/>
  <c r="AP229" i="55"/>
  <c r="AT229" i="55"/>
  <c r="AQ229" i="55"/>
  <c r="N14" i="23"/>
  <c r="Q14" i="23"/>
  <c r="R14" i="23"/>
  <c r="P14" i="23"/>
  <c r="N121" i="23"/>
  <c r="N107" i="23"/>
  <c r="M65" i="23"/>
  <c r="M40" i="23"/>
  <c r="M34" i="23" a="1"/>
  <c r="M51" i="23"/>
  <c r="M63" i="23"/>
  <c r="M57" i="23"/>
  <c r="M28" i="23"/>
  <c r="M58" i="23"/>
  <c r="M59" i="23"/>
  <c r="M27" i="23"/>
  <c r="M35" i="23" a="1"/>
  <c r="M53" i="23"/>
  <c r="M52" i="23"/>
  <c r="M45" i="23"/>
  <c r="M41" i="23"/>
  <c r="M39" i="23"/>
  <c r="M64" i="23"/>
  <c r="M33" i="23" a="1"/>
  <c r="M26" i="23"/>
  <c r="AW162" i="106" l="1"/>
  <c r="O138" i="105"/>
  <c r="P107" i="105"/>
  <c r="O144" i="105"/>
  <c r="AA255" i="104"/>
  <c r="AM153" i="103"/>
  <c r="AM171" i="103" s="1"/>
  <c r="AK123" i="103"/>
  <c r="AK113" i="103"/>
  <c r="AM121" i="103"/>
  <c r="AM167" i="103"/>
  <c r="AM117" i="103"/>
  <c r="AO159" i="103"/>
  <c r="AO162" i="103"/>
  <c r="AO13" i="103" s="1"/>
  <c r="AM146" i="103"/>
  <c r="AK146" i="103" s="1"/>
  <c r="AK138" i="103"/>
  <c r="AM142" i="103"/>
  <c r="AK209" i="103"/>
  <c r="AK216" i="103" s="1"/>
  <c r="AM216" i="103"/>
  <c r="AN159" i="103"/>
  <c r="AN171" i="103"/>
  <c r="AN162" i="103"/>
  <c r="AN13" i="103" s="1"/>
  <c r="AM162" i="104"/>
  <c r="AK162" i="104" s="1"/>
  <c r="Y314" i="106"/>
  <c r="Y316" i="106" s="1"/>
  <c r="AY159" i="107"/>
  <c r="AW159" i="107" s="1"/>
  <c r="AY162" i="107"/>
  <c r="AW162" i="107" s="1"/>
  <c r="Q123" i="107"/>
  <c r="Q153" i="107" s="1"/>
  <c r="M112" i="107"/>
  <c r="J112" i="107" s="1"/>
  <c r="P123" i="107"/>
  <c r="P153" i="107" s="1"/>
  <c r="P159" i="107" s="1"/>
  <c r="O123" i="107"/>
  <c r="AY216" i="107"/>
  <c r="AW209" i="107"/>
  <c r="AW216" i="107" s="1"/>
  <c r="AY167" i="107"/>
  <c r="AY117" i="107"/>
  <c r="AW113" i="107"/>
  <c r="AY171" i="107"/>
  <c r="AY121" i="107"/>
  <c r="AY146" i="107"/>
  <c r="AW146" i="107" s="1"/>
  <c r="AY142" i="107"/>
  <c r="AW138" i="107"/>
  <c r="O95" i="107"/>
  <c r="O155" i="107"/>
  <c r="O135" i="107"/>
  <c r="O107" i="107"/>
  <c r="O96" i="107"/>
  <c r="Q107" i="107"/>
  <c r="Q135" i="107"/>
  <c r="Q155" i="107"/>
  <c r="P209" i="107"/>
  <c r="P113" i="107"/>
  <c r="P210" i="107"/>
  <c r="M210" i="107" s="1"/>
  <c r="J210" i="107" s="1"/>
  <c r="P212" i="107"/>
  <c r="P213" i="107"/>
  <c r="M213" i="107" s="1"/>
  <c r="J213" i="107" s="1"/>
  <c r="M305" i="107"/>
  <c r="J305" i="107" s="1"/>
  <c r="P140" i="107"/>
  <c r="P142" i="107" s="1"/>
  <c r="P144" i="107"/>
  <c r="P146" i="107" s="1"/>
  <c r="AW153" i="106"/>
  <c r="AY159" i="106"/>
  <c r="AW159" i="106" s="1"/>
  <c r="M214" i="106"/>
  <c r="J214" i="106" s="1"/>
  <c r="AC202" i="106"/>
  <c r="AC204" i="106" s="1"/>
  <c r="AC12" i="106"/>
  <c r="AI202" i="106"/>
  <c r="AI204" i="106" s="1"/>
  <c r="AI12" i="106"/>
  <c r="AA202" i="106"/>
  <c r="AA12" i="106"/>
  <c r="AB202" i="106"/>
  <c r="AB204" i="106" s="1"/>
  <c r="AB222" i="106" s="1"/>
  <c r="AB12" i="106"/>
  <c r="Y318" i="106"/>
  <c r="O94" i="106"/>
  <c r="O112" i="106" s="1"/>
  <c r="Q94" i="106"/>
  <c r="Q112" i="106" s="1"/>
  <c r="AT251" i="106"/>
  <c r="AQ252" i="106"/>
  <c r="AP312" i="106"/>
  <c r="AO312" i="106"/>
  <c r="AR251" i="106"/>
  <c r="AR313" i="106"/>
  <c r="AR252" i="106"/>
  <c r="AN313" i="106"/>
  <c r="AM251" i="106"/>
  <c r="AP252" i="106"/>
  <c r="AQ251" i="106"/>
  <c r="AQ312" i="106"/>
  <c r="AO251" i="106"/>
  <c r="AO252" i="106"/>
  <c r="AU313" i="106"/>
  <c r="AU312" i="106"/>
  <c r="AM252" i="106"/>
  <c r="AM313" i="106"/>
  <c r="AK169" i="106"/>
  <c r="AP251" i="106"/>
  <c r="AP313" i="106"/>
  <c r="AS313" i="106"/>
  <c r="AS312" i="106"/>
  <c r="AU251" i="106"/>
  <c r="AU252" i="106"/>
  <c r="AQ313" i="106"/>
  <c r="AN251" i="106"/>
  <c r="AN312" i="106"/>
  <c r="AN314" i="106" s="1"/>
  <c r="AN316" i="106" s="1"/>
  <c r="AN318" i="106" s="1"/>
  <c r="AT252" i="106"/>
  <c r="AT313" i="106"/>
  <c r="AT312" i="106"/>
  <c r="AS252" i="106"/>
  <c r="AS251" i="106"/>
  <c r="AO313" i="106"/>
  <c r="AR312" i="106"/>
  <c r="AM312" i="106"/>
  <c r="AN252" i="106"/>
  <c r="P94" i="106"/>
  <c r="P155" i="105"/>
  <c r="P95" i="105"/>
  <c r="AM159" i="105"/>
  <c r="AK159" i="105" s="1"/>
  <c r="AW153" i="105"/>
  <c r="AY162" i="105"/>
  <c r="AY159" i="105"/>
  <c r="AW159" i="105" s="1"/>
  <c r="AY171" i="105"/>
  <c r="P123" i="105"/>
  <c r="P153" i="105" s="1"/>
  <c r="Q123" i="105"/>
  <c r="Q153" i="105" s="1"/>
  <c r="M112" i="105"/>
  <c r="J112" i="105" s="1"/>
  <c r="O123" i="105"/>
  <c r="AM162" i="105"/>
  <c r="AK162" i="105" s="1"/>
  <c r="O211" i="105"/>
  <c r="O212" i="105"/>
  <c r="P144" i="105"/>
  <c r="P146" i="105" s="1"/>
  <c r="P140" i="105"/>
  <c r="P142" i="105" s="1"/>
  <c r="AM216" i="105"/>
  <c r="AK209" i="105"/>
  <c r="AK216" i="105" s="1"/>
  <c r="P113" i="105"/>
  <c r="P209" i="105"/>
  <c r="P210" i="105"/>
  <c r="M210" i="105" s="1"/>
  <c r="J210" i="105" s="1"/>
  <c r="P212" i="105"/>
  <c r="P213" i="105"/>
  <c r="M213" i="105" s="1"/>
  <c r="J213" i="105" s="1"/>
  <c r="AK138" i="105"/>
  <c r="AM142" i="105"/>
  <c r="AM146" i="105"/>
  <c r="AK146" i="105" s="1"/>
  <c r="AM167" i="105"/>
  <c r="AM171" i="105"/>
  <c r="AK113" i="105"/>
  <c r="AM117" i="105"/>
  <c r="AM121" i="105"/>
  <c r="Q135" i="105"/>
  <c r="Q155" i="105"/>
  <c r="Q107" i="105"/>
  <c r="AK159" i="104"/>
  <c r="AY159" i="104"/>
  <c r="AW159" i="104" s="1"/>
  <c r="AY162" i="104"/>
  <c r="AW162" i="104" s="1"/>
  <c r="Y314" i="104"/>
  <c r="Y316" i="104" s="1"/>
  <c r="Y318" i="104"/>
  <c r="Y253" i="104"/>
  <c r="Y255" i="104" s="1"/>
  <c r="AA12" i="104"/>
  <c r="AA202" i="104"/>
  <c r="AB202" i="104"/>
  <c r="AB204" i="104" s="1"/>
  <c r="AB222" i="104" s="1"/>
  <c r="AB12" i="104"/>
  <c r="AC202" i="104"/>
  <c r="AC204" i="104" s="1"/>
  <c r="AC12" i="104"/>
  <c r="O123" i="104"/>
  <c r="P123" i="104"/>
  <c r="P153" i="104" s="1"/>
  <c r="Q123" i="104"/>
  <c r="Q153" i="104" s="1"/>
  <c r="M112" i="104"/>
  <c r="J112" i="104" s="1"/>
  <c r="AI202" i="104"/>
  <c r="AI204" i="104" s="1"/>
  <c r="AI12" i="104"/>
  <c r="M269" i="104"/>
  <c r="J269" i="104" s="1"/>
  <c r="P135" i="104"/>
  <c r="P96" i="104"/>
  <c r="P155" i="104"/>
  <c r="M155" i="104" s="1"/>
  <c r="J155" i="104" s="1"/>
  <c r="P95" i="104"/>
  <c r="P107" i="104"/>
  <c r="AY121" i="104"/>
  <c r="AY117" i="104"/>
  <c r="AY171" i="104"/>
  <c r="AW113" i="104"/>
  <c r="AY167" i="104"/>
  <c r="AY146" i="104"/>
  <c r="AW146" i="104" s="1"/>
  <c r="AW138" i="104"/>
  <c r="AY142" i="104"/>
  <c r="AY216" i="104"/>
  <c r="AW209" i="104"/>
  <c r="AW216" i="104" s="1"/>
  <c r="AM146" i="104"/>
  <c r="AK146" i="104" s="1"/>
  <c r="AM142" i="104"/>
  <c r="AK138" i="104"/>
  <c r="AK113" i="104"/>
  <c r="AM167" i="104"/>
  <c r="AM121" i="104"/>
  <c r="AM117" i="104"/>
  <c r="AM171" i="104"/>
  <c r="AM216" i="104"/>
  <c r="AK209" i="104"/>
  <c r="AK216" i="104" s="1"/>
  <c r="P123" i="103"/>
  <c r="P153" i="103" s="1"/>
  <c r="Q123" i="103"/>
  <c r="Q153" i="103" s="1"/>
  <c r="M112" i="103"/>
  <c r="J112" i="103" s="1"/>
  <c r="O123" i="103"/>
  <c r="Y257" i="103"/>
  <c r="M236" i="103"/>
  <c r="O155" i="103"/>
  <c r="O107" i="103"/>
  <c r="O96" i="103"/>
  <c r="O135" i="103"/>
  <c r="O95" i="103"/>
  <c r="P96" i="103"/>
  <c r="P155" i="103"/>
  <c r="P135" i="103"/>
  <c r="P95" i="103"/>
  <c r="P107" i="103"/>
  <c r="AA202" i="103"/>
  <c r="AA12" i="103"/>
  <c r="AC12" i="103"/>
  <c r="AC202" i="103"/>
  <c r="AC204" i="103" s="1"/>
  <c r="Q107" i="103"/>
  <c r="Q135" i="103"/>
  <c r="Q155" i="103"/>
  <c r="Y318" i="103"/>
  <c r="Y253" i="103"/>
  <c r="Y255" i="103" s="1"/>
  <c r="AB12" i="103"/>
  <c r="AB202" i="103"/>
  <c r="AB204" i="103" s="1"/>
  <c r="AB222" i="103" s="1"/>
  <c r="AI12" i="103"/>
  <c r="AI202" i="103"/>
  <c r="AI204" i="103" s="1"/>
  <c r="Y314" i="103"/>
  <c r="Y316" i="103" s="1"/>
  <c r="M245" i="107"/>
  <c r="J245" i="107" s="1"/>
  <c r="AY310" i="107"/>
  <c r="AW302" i="107"/>
  <c r="AW310" i="107" s="1"/>
  <c r="M154" i="107"/>
  <c r="J154" i="107" s="1"/>
  <c r="AY249" i="107"/>
  <c r="AW241" i="107"/>
  <c r="AW249" i="107" s="1"/>
  <c r="AK273" i="107"/>
  <c r="AM249" i="107"/>
  <c r="AK241" i="107"/>
  <c r="AK249" i="107" s="1"/>
  <c r="P266" i="107"/>
  <c r="O266" i="107"/>
  <c r="M244" i="105"/>
  <c r="J244" i="105" s="1"/>
  <c r="M247" i="107"/>
  <c r="J247" i="107" s="1"/>
  <c r="M308" i="107"/>
  <c r="J308" i="107" s="1"/>
  <c r="M306" i="107"/>
  <c r="J306" i="107" s="1"/>
  <c r="P264" i="107"/>
  <c r="O264" i="107"/>
  <c r="O267" i="107"/>
  <c r="P267" i="107"/>
  <c r="AK169" i="107"/>
  <c r="AO312" i="107"/>
  <c r="AR251" i="107"/>
  <c r="AO313" i="107"/>
  <c r="AS312" i="107"/>
  <c r="AQ252" i="107"/>
  <c r="AQ251" i="107"/>
  <c r="AQ312" i="107"/>
  <c r="AS313" i="107"/>
  <c r="AP313" i="107"/>
  <c r="AR252" i="107"/>
  <c r="AU313" i="107"/>
  <c r="AU252" i="107"/>
  <c r="AT252" i="107"/>
  <c r="AR312" i="107"/>
  <c r="AP251" i="107"/>
  <c r="AS252" i="107"/>
  <c r="AQ313" i="107"/>
  <c r="AR313" i="107"/>
  <c r="AU251" i="107"/>
  <c r="AT251" i="107"/>
  <c r="AP312" i="107"/>
  <c r="AP314" i="107" s="1"/>
  <c r="AP316" i="107" s="1"/>
  <c r="AP318" i="107" s="1"/>
  <c r="AT313" i="107"/>
  <c r="AU312" i="107"/>
  <c r="AU314" i="107" s="1"/>
  <c r="AU316" i="107" s="1"/>
  <c r="AU318" i="107" s="1"/>
  <c r="AP252" i="107"/>
  <c r="AS251" i="107"/>
  <c r="AO251" i="107"/>
  <c r="AT312" i="107"/>
  <c r="AO252" i="107"/>
  <c r="AN313" i="107"/>
  <c r="AM312" i="107"/>
  <c r="AM252" i="107"/>
  <c r="AN312" i="107"/>
  <c r="AN252" i="107"/>
  <c r="AM251" i="107"/>
  <c r="AM313" i="107"/>
  <c r="AN251" i="107"/>
  <c r="M244" i="107"/>
  <c r="J244" i="107" s="1"/>
  <c r="AM310" i="107"/>
  <c r="AK302" i="107"/>
  <c r="AK310" i="107" s="1"/>
  <c r="AK198" i="107"/>
  <c r="O186" i="107"/>
  <c r="AA222" i="107"/>
  <c r="Y204" i="107"/>
  <c r="AY191" i="107"/>
  <c r="AM191" i="107"/>
  <c r="Y262" i="107"/>
  <c r="Y275" i="107" s="1"/>
  <c r="AA275" i="107"/>
  <c r="AA288" i="107" s="1"/>
  <c r="M269" i="106"/>
  <c r="J269" i="106" s="1"/>
  <c r="AK273" i="105"/>
  <c r="P192" i="106"/>
  <c r="AN262" i="106"/>
  <c r="AN275" i="106" s="1"/>
  <c r="AN288" i="106" s="1"/>
  <c r="AN287" i="106"/>
  <c r="AN290" i="106" s="1"/>
  <c r="M247" i="105"/>
  <c r="J247" i="105" s="1"/>
  <c r="AM287" i="106"/>
  <c r="AM290" i="106" s="1"/>
  <c r="AM262" i="106"/>
  <c r="AA257" i="106"/>
  <c r="Y257" i="106" s="1"/>
  <c r="AA287" i="106"/>
  <c r="AA290" i="106" s="1"/>
  <c r="AA262" i="106"/>
  <c r="AW142" i="106"/>
  <c r="AY200" i="106"/>
  <c r="AW200" i="106" s="1"/>
  <c r="R13" i="106"/>
  <c r="O305" i="106"/>
  <c r="Q305" i="106"/>
  <c r="V305" i="106"/>
  <c r="P305" i="106"/>
  <c r="W305" i="106"/>
  <c r="R305" i="106"/>
  <c r="T305" i="106"/>
  <c r="S305" i="106"/>
  <c r="U305" i="106"/>
  <c r="P268" i="106"/>
  <c r="P265" i="106"/>
  <c r="S13" i="106"/>
  <c r="Q306" i="106"/>
  <c r="S306" i="106"/>
  <c r="T306" i="106"/>
  <c r="O306" i="106"/>
  <c r="P306" i="106"/>
  <c r="V306" i="106"/>
  <c r="U306" i="106"/>
  <c r="W306" i="106"/>
  <c r="R306" i="106"/>
  <c r="M303" i="106"/>
  <c r="J303" i="106" s="1"/>
  <c r="AW167" i="106"/>
  <c r="AY169" i="106"/>
  <c r="U13" i="106"/>
  <c r="W308" i="106"/>
  <c r="V308" i="106"/>
  <c r="S308" i="106"/>
  <c r="T308" i="106"/>
  <c r="U308" i="106"/>
  <c r="O308" i="106"/>
  <c r="R308" i="106"/>
  <c r="Q308" i="106"/>
  <c r="P308" i="106"/>
  <c r="M235" i="106"/>
  <c r="O268" i="106"/>
  <c r="O265" i="106"/>
  <c r="S202" i="106"/>
  <c r="S204" i="106" s="1"/>
  <c r="S12" i="106"/>
  <c r="O245" i="106"/>
  <c r="P245" i="106"/>
  <c r="AW264" i="106"/>
  <c r="AY273" i="106"/>
  <c r="AW273" i="106" s="1"/>
  <c r="M242" i="106"/>
  <c r="J242" i="106" s="1"/>
  <c r="AY14" i="106"/>
  <c r="AY190" i="106"/>
  <c r="AW117" i="106"/>
  <c r="AY241" i="106"/>
  <c r="AY198" i="106"/>
  <c r="U12" i="106"/>
  <c r="U202" i="106"/>
  <c r="U204" i="106" s="1"/>
  <c r="P247" i="106"/>
  <c r="O247" i="106"/>
  <c r="M268" i="103"/>
  <c r="J268" i="103" s="1"/>
  <c r="M308" i="105"/>
  <c r="J308" i="105" s="1"/>
  <c r="AW216" i="106"/>
  <c r="AY187" i="106"/>
  <c r="AW121" i="106"/>
  <c r="AY13" i="106"/>
  <c r="BG302" i="106"/>
  <c r="BG310" i="106" s="1"/>
  <c r="BB302" i="106"/>
  <c r="BB310" i="106" s="1"/>
  <c r="BD302" i="106"/>
  <c r="BD310" i="106" s="1"/>
  <c r="BC302" i="106"/>
  <c r="BC310" i="106" s="1"/>
  <c r="BE302" i="106"/>
  <c r="BE310" i="106" s="1"/>
  <c r="AY302" i="106"/>
  <c r="BA302" i="106"/>
  <c r="BA310" i="106" s="1"/>
  <c r="BF302" i="106"/>
  <c r="BF310" i="106" s="1"/>
  <c r="AZ302" i="106"/>
  <c r="AZ310" i="106" s="1"/>
  <c r="R12" i="106"/>
  <c r="O244" i="106"/>
  <c r="P244" i="106"/>
  <c r="R202" i="106"/>
  <c r="R204" i="106" s="1"/>
  <c r="O154" i="104"/>
  <c r="M154" i="104" s="1"/>
  <c r="J154" i="104" s="1"/>
  <c r="O266" i="105"/>
  <c r="P266" i="105"/>
  <c r="AY249" i="105"/>
  <c r="AW241" i="105"/>
  <c r="AW249" i="105" s="1"/>
  <c r="Y262" i="105"/>
  <c r="Y275" i="105" s="1"/>
  <c r="AA275" i="105"/>
  <c r="AA288" i="105" s="1"/>
  <c r="M305" i="105"/>
  <c r="J305" i="105" s="1"/>
  <c r="AM191" i="105"/>
  <c r="AM310" i="105"/>
  <c r="AK302" i="105"/>
  <c r="AK310" i="105" s="1"/>
  <c r="O146" i="105"/>
  <c r="O142" i="105"/>
  <c r="O200" i="105" s="1"/>
  <c r="O167" i="105"/>
  <c r="O121" i="105"/>
  <c r="O117" i="105"/>
  <c r="O186" i="105"/>
  <c r="O267" i="105"/>
  <c r="P267" i="105"/>
  <c r="AW198" i="105"/>
  <c r="AY191" i="105"/>
  <c r="AA222" i="105"/>
  <c r="Y204" i="105"/>
  <c r="M245" i="105"/>
  <c r="J245" i="105" s="1"/>
  <c r="P264" i="105"/>
  <c r="O264" i="105"/>
  <c r="AM249" i="105"/>
  <c r="AK241" i="105"/>
  <c r="AK249" i="105" s="1"/>
  <c r="M154" i="105"/>
  <c r="J154" i="105" s="1"/>
  <c r="AW169" i="105"/>
  <c r="BD312" i="105"/>
  <c r="BE313" i="105"/>
  <c r="BE251" i="105"/>
  <c r="BB251" i="105"/>
  <c r="BG252" i="105"/>
  <c r="BD252" i="105"/>
  <c r="BB312" i="105"/>
  <c r="BB252" i="105"/>
  <c r="BG313" i="105"/>
  <c r="BC252" i="105"/>
  <c r="BC312" i="105"/>
  <c r="AZ251" i="105"/>
  <c r="BG312" i="105"/>
  <c r="AZ252" i="105"/>
  <c r="BA312" i="105"/>
  <c r="BF252" i="105"/>
  <c r="BD313" i="105"/>
  <c r="BC251" i="105"/>
  <c r="BC253" i="105" s="1"/>
  <c r="BC255" i="105" s="1"/>
  <c r="BC257" i="105" s="1"/>
  <c r="AZ313" i="105"/>
  <c r="BF312" i="105"/>
  <c r="BE252" i="105"/>
  <c r="BF313" i="105"/>
  <c r="BA252" i="105"/>
  <c r="BF251" i="105"/>
  <c r="BF253" i="105" s="1"/>
  <c r="BF255" i="105" s="1"/>
  <c r="BF257" i="105" s="1"/>
  <c r="BE312" i="105"/>
  <c r="BA251" i="105"/>
  <c r="BC313" i="105"/>
  <c r="AZ312" i="105"/>
  <c r="BG251" i="105"/>
  <c r="BG253" i="105" s="1"/>
  <c r="BG255" i="105" s="1"/>
  <c r="BG257" i="105" s="1"/>
  <c r="BB313" i="105"/>
  <c r="BA313" i="105"/>
  <c r="BD251" i="105"/>
  <c r="AY312" i="105"/>
  <c r="AY313" i="105"/>
  <c r="AY252" i="105"/>
  <c r="AY251" i="105"/>
  <c r="M306" i="105"/>
  <c r="J306" i="105" s="1"/>
  <c r="AY310" i="105"/>
  <c r="AW302" i="105"/>
  <c r="AW310" i="105" s="1"/>
  <c r="AA257" i="104"/>
  <c r="Y257" i="104" s="1"/>
  <c r="AA287" i="104"/>
  <c r="AA290" i="104" s="1"/>
  <c r="AA262" i="104"/>
  <c r="AY310" i="104"/>
  <c r="AW302" i="104"/>
  <c r="AW310" i="104" s="1"/>
  <c r="AM249" i="104"/>
  <c r="AK241" i="104"/>
  <c r="AK249" i="104" s="1"/>
  <c r="AM191" i="104"/>
  <c r="M235" i="104"/>
  <c r="O265" i="104"/>
  <c r="O268" i="104"/>
  <c r="Q211" i="104"/>
  <c r="Q212" i="104"/>
  <c r="Q209" i="104"/>
  <c r="Q113" i="104"/>
  <c r="T162" i="103"/>
  <c r="T13" i="103" s="1"/>
  <c r="M156" i="103"/>
  <c r="J156" i="103" s="1"/>
  <c r="T159" i="103"/>
  <c r="T12" i="103" s="1"/>
  <c r="S12" i="104"/>
  <c r="S202" i="104"/>
  <c r="S204" i="104" s="1"/>
  <c r="P245" i="104"/>
  <c r="O245" i="104"/>
  <c r="P265" i="104"/>
  <c r="P268" i="104"/>
  <c r="Q162" i="104"/>
  <c r="Q159" i="104"/>
  <c r="M242" i="104"/>
  <c r="J242" i="104" s="1"/>
  <c r="M244" i="103"/>
  <c r="J244" i="103" s="1"/>
  <c r="S13" i="104"/>
  <c r="Q306" i="104"/>
  <c r="T306" i="104"/>
  <c r="W306" i="104"/>
  <c r="R306" i="104"/>
  <c r="S306" i="104"/>
  <c r="P306" i="104"/>
  <c r="U306" i="104"/>
  <c r="O306" i="104"/>
  <c r="V306" i="104"/>
  <c r="U202" i="104"/>
  <c r="U204" i="104" s="1"/>
  <c r="U12" i="104"/>
  <c r="P247" i="104"/>
  <c r="O247" i="104"/>
  <c r="R12" i="104"/>
  <c r="R202" i="104"/>
  <c r="R204" i="104" s="1"/>
  <c r="O244" i="104"/>
  <c r="P244" i="104"/>
  <c r="AY191" i="104"/>
  <c r="M307" i="103"/>
  <c r="J307" i="103" s="1"/>
  <c r="M308" i="103"/>
  <c r="J308" i="103" s="1"/>
  <c r="AM310" i="104"/>
  <c r="AK302" i="104"/>
  <c r="AK310" i="104" s="1"/>
  <c r="U13" i="104"/>
  <c r="Q308" i="104"/>
  <c r="R308" i="104"/>
  <c r="W308" i="104"/>
  <c r="P308" i="104"/>
  <c r="S308" i="104"/>
  <c r="V308" i="104"/>
  <c r="U308" i="104"/>
  <c r="O308" i="104"/>
  <c r="T308" i="104"/>
  <c r="R13" i="104"/>
  <c r="W305" i="104"/>
  <c r="Q305" i="104"/>
  <c r="P305" i="104"/>
  <c r="S305" i="104"/>
  <c r="V305" i="104"/>
  <c r="O305" i="104"/>
  <c r="T305" i="104"/>
  <c r="U305" i="104"/>
  <c r="R305" i="104"/>
  <c r="O211" i="104"/>
  <c r="M107" i="104"/>
  <c r="J107" i="104" s="1"/>
  <c r="O212" i="104"/>
  <c r="O113" i="104"/>
  <c r="O209" i="104"/>
  <c r="O144" i="104"/>
  <c r="O140" i="104"/>
  <c r="M135" i="104"/>
  <c r="J135" i="104" s="1"/>
  <c r="O138" i="104"/>
  <c r="AY249" i="104"/>
  <c r="AW241" i="104"/>
  <c r="AW249" i="104" s="1"/>
  <c r="Q144" i="104"/>
  <c r="Q140" i="104"/>
  <c r="Q138" i="104"/>
  <c r="T14" i="103"/>
  <c r="T190" i="103"/>
  <c r="M246" i="103"/>
  <c r="J246" i="103" s="1"/>
  <c r="M303" i="104"/>
  <c r="J303" i="104" s="1"/>
  <c r="AK273" i="103"/>
  <c r="M265" i="103"/>
  <c r="J265" i="103" s="1"/>
  <c r="AM310" i="103"/>
  <c r="AK302" i="103"/>
  <c r="AK310" i="103" s="1"/>
  <c r="AW121" i="103"/>
  <c r="AY13" i="103"/>
  <c r="BC302" i="103"/>
  <c r="BC310" i="103" s="1"/>
  <c r="BD302" i="103"/>
  <c r="BD310" i="103" s="1"/>
  <c r="BE302" i="103"/>
  <c r="BE310" i="103" s="1"/>
  <c r="AY302" i="103"/>
  <c r="BB302" i="103"/>
  <c r="BB310" i="103" s="1"/>
  <c r="BA302" i="103"/>
  <c r="BA310" i="103" s="1"/>
  <c r="AZ302" i="103"/>
  <c r="AZ310" i="103" s="1"/>
  <c r="BG302" i="103"/>
  <c r="BG310" i="103" s="1"/>
  <c r="BF302" i="103"/>
  <c r="BF310" i="103" s="1"/>
  <c r="O186" i="103"/>
  <c r="AW264" i="103"/>
  <c r="AY273" i="103"/>
  <c r="AW273" i="103" s="1"/>
  <c r="M245" i="103"/>
  <c r="J245" i="103" s="1"/>
  <c r="M247" i="103"/>
  <c r="J247" i="103" s="1"/>
  <c r="AY14" i="103"/>
  <c r="AY190" i="103"/>
  <c r="AW142" i="103"/>
  <c r="AY200" i="103"/>
  <c r="AW200" i="103" s="1"/>
  <c r="AY187" i="103"/>
  <c r="AW167" i="103"/>
  <c r="AY169" i="103"/>
  <c r="P266" i="103"/>
  <c r="O266" i="103"/>
  <c r="AW216" i="103"/>
  <c r="AM191" i="103"/>
  <c r="Y262" i="103"/>
  <c r="Y275" i="103" s="1"/>
  <c r="AA275" i="103"/>
  <c r="AA288" i="103" s="1"/>
  <c r="M305" i="103"/>
  <c r="J305" i="103" s="1"/>
  <c r="AW117" i="103"/>
  <c r="AY241" i="103"/>
  <c r="AY198" i="103"/>
  <c r="O264" i="103"/>
  <c r="P264" i="103"/>
  <c r="O267" i="103"/>
  <c r="P267" i="103"/>
  <c r="M306" i="103"/>
  <c r="J306" i="103" s="1"/>
  <c r="AM249" i="103"/>
  <c r="AK241" i="103"/>
  <c r="AK249" i="103" s="1"/>
  <c r="AU293" i="55"/>
  <c r="BF293" i="55"/>
  <c r="BE293" i="55"/>
  <c r="BA293" i="55"/>
  <c r="BB293" i="55"/>
  <c r="AO293" i="55"/>
  <c r="AQ296" i="55" a="1"/>
  <c r="AQ296" i="55" s="1"/>
  <c r="W296" i="55" a="1"/>
  <c r="W296" i="55" s="1"/>
  <c r="AT293" i="55"/>
  <c r="AS296" i="55" a="1"/>
  <c r="AS296" i="55" s="1"/>
  <c r="AP293" i="55"/>
  <c r="BG296" i="55" a="1"/>
  <c r="BG296" i="55" s="1"/>
  <c r="AN293" i="55"/>
  <c r="V296" i="55" a="1"/>
  <c r="V296" i="55" s="1"/>
  <c r="V293" i="55"/>
  <c r="AI293" i="55"/>
  <c r="AI296" i="55" a="1"/>
  <c r="AI296" i="55" s="1"/>
  <c r="AM293" i="55"/>
  <c r="AM296" i="55" a="1"/>
  <c r="AM296" i="55" s="1"/>
  <c r="BC293" i="55"/>
  <c r="BC296" i="55" a="1"/>
  <c r="BC296" i="55" s="1"/>
  <c r="AY293" i="55"/>
  <c r="AY296" i="55" a="1"/>
  <c r="AY296" i="55" s="1"/>
  <c r="AZ296" i="55" a="1"/>
  <c r="AZ296" i="55" s="1"/>
  <c r="AZ293" i="55"/>
  <c r="BG75" i="55"/>
  <c r="BG168" i="55" s="1"/>
  <c r="BG187" i="55" s="1"/>
  <c r="AW70" i="55"/>
  <c r="I47" i="23" s="1"/>
  <c r="AU75" i="55"/>
  <c r="AU168" i="55" s="1"/>
  <c r="AU187" i="55" s="1"/>
  <c r="AK70" i="55"/>
  <c r="W169" i="55"/>
  <c r="M168" i="55"/>
  <c r="W215" i="55"/>
  <c r="I44" i="23"/>
  <c r="O14" i="23"/>
  <c r="AA75" i="55"/>
  <c r="J80" i="55"/>
  <c r="T309" i="55"/>
  <c r="BA309" i="55"/>
  <c r="BD309" i="55"/>
  <c r="AF309" i="55"/>
  <c r="BG309" i="55"/>
  <c r="AR309" i="55"/>
  <c r="BA28" i="55"/>
  <c r="BE28" i="55"/>
  <c r="I25" i="23"/>
  <c r="AS28" i="55"/>
  <c r="BG28" i="55"/>
  <c r="AM28" i="55"/>
  <c r="AW26" i="55"/>
  <c r="AK26" i="55"/>
  <c r="BB28" i="55"/>
  <c r="BC28" i="55"/>
  <c r="AA227" i="55"/>
  <c r="AZ28" i="55"/>
  <c r="BF28" i="55"/>
  <c r="AQ28" i="55"/>
  <c r="O28" i="55"/>
  <c r="AO28" i="55"/>
  <c r="AN28" i="55"/>
  <c r="AT28" i="55"/>
  <c r="AU28" i="55"/>
  <c r="AP28" i="55"/>
  <c r="AY28" i="55"/>
  <c r="V187" i="55"/>
  <c r="BF187" i="55"/>
  <c r="AT187" i="55"/>
  <c r="AH187" i="55"/>
  <c r="M271" i="55"/>
  <c r="M34" i="23"/>
  <c r="AK271" i="55"/>
  <c r="AW271" i="55"/>
  <c r="I22" i="23"/>
  <c r="M33" i="23"/>
  <c r="M35" i="23"/>
  <c r="I28" i="23"/>
  <c r="AW27" i="55"/>
  <c r="M27" i="55"/>
  <c r="AK27" i="55"/>
  <c r="J31" i="55"/>
  <c r="S14" i="55"/>
  <c r="U14" i="55"/>
  <c r="V14" i="55"/>
  <c r="AH14" i="55"/>
  <c r="AI14" i="55"/>
  <c r="W14" i="55"/>
  <c r="BF14" i="55"/>
  <c r="BG14" i="55"/>
  <c r="AP14" i="55"/>
  <c r="BE14" i="55"/>
  <c r="AQ14" i="55"/>
  <c r="AS14" i="55"/>
  <c r="BB14" i="55"/>
  <c r="AD14" i="55"/>
  <c r="AT14" i="55"/>
  <c r="AE14" i="55"/>
  <c r="AU14" i="55"/>
  <c r="BC14" i="55"/>
  <c r="R14" i="55"/>
  <c r="AG14" i="55"/>
  <c r="M47" i="23"/>
  <c r="M46" i="23"/>
  <c r="P159" i="105" l="1"/>
  <c r="AM198" i="103"/>
  <c r="AK198" i="103" s="1"/>
  <c r="AK117" i="103"/>
  <c r="AK142" i="103"/>
  <c r="AM200" i="103"/>
  <c r="AK200" i="103" s="1"/>
  <c r="AK167" i="103"/>
  <c r="AM169" i="103"/>
  <c r="AK121" i="103"/>
  <c r="AM159" i="103"/>
  <c r="AK159" i="103" s="1"/>
  <c r="AM162" i="103"/>
  <c r="AK162" i="103" s="1"/>
  <c r="AK153" i="103"/>
  <c r="P216" i="107"/>
  <c r="O216" i="105"/>
  <c r="P162" i="107"/>
  <c r="AW142" i="107"/>
  <c r="AY200" i="107"/>
  <c r="AW200" i="107" s="1"/>
  <c r="O153" i="107"/>
  <c r="M153" i="107" s="1"/>
  <c r="J153" i="107" s="1"/>
  <c r="M123" i="107"/>
  <c r="J123" i="107" s="1"/>
  <c r="AW117" i="107"/>
  <c r="AY198" i="107"/>
  <c r="AW198" i="107" s="1"/>
  <c r="AN253" i="107"/>
  <c r="AN255" i="107" s="1"/>
  <c r="AN257" i="107" s="1"/>
  <c r="AT253" i="107"/>
  <c r="AT255" i="107" s="1"/>
  <c r="AT257" i="107" s="1"/>
  <c r="AW121" i="107"/>
  <c r="AY13" i="107"/>
  <c r="AY169" i="107"/>
  <c r="AW167" i="107"/>
  <c r="AQ253" i="107"/>
  <c r="AQ255" i="107" s="1"/>
  <c r="AQ257" i="107" s="1"/>
  <c r="AO253" i="107"/>
  <c r="AO255" i="107" s="1"/>
  <c r="AO257" i="107" s="1"/>
  <c r="P121" i="107"/>
  <c r="P13" i="107" s="1"/>
  <c r="P117" i="107"/>
  <c r="P198" i="107" s="1"/>
  <c r="P167" i="107"/>
  <c r="P169" i="107" s="1"/>
  <c r="P171" i="107"/>
  <c r="Q212" i="107"/>
  <c r="Q211" i="107"/>
  <c r="Q113" i="107"/>
  <c r="Q209" i="107"/>
  <c r="M107" i="107"/>
  <c r="J107" i="107" s="1"/>
  <c r="O113" i="107"/>
  <c r="O212" i="107"/>
  <c r="O209" i="107"/>
  <c r="O211" i="107"/>
  <c r="O140" i="107"/>
  <c r="M135" i="107"/>
  <c r="J135" i="107" s="1"/>
  <c r="O138" i="107"/>
  <c r="O144" i="107"/>
  <c r="Q162" i="107"/>
  <c r="Q159" i="107"/>
  <c r="M155" i="107"/>
  <c r="J155" i="107" s="1"/>
  <c r="Q144" i="107"/>
  <c r="Q140" i="107"/>
  <c r="Q138" i="107"/>
  <c r="Y12" i="106"/>
  <c r="Y131" i="106" s="1"/>
  <c r="P123" i="106"/>
  <c r="P153" i="106" s="1"/>
  <c r="Q123" i="106"/>
  <c r="Q153" i="106" s="1"/>
  <c r="M112" i="106"/>
  <c r="J112" i="106" s="1"/>
  <c r="O123" i="106"/>
  <c r="AU314" i="106"/>
  <c r="AU316" i="106" s="1"/>
  <c r="AU318" i="106" s="1"/>
  <c r="AU253" i="106"/>
  <c r="AU255" i="106" s="1"/>
  <c r="AU257" i="106" s="1"/>
  <c r="AN253" i="106"/>
  <c r="AN255" i="106" s="1"/>
  <c r="AN257" i="106" s="1"/>
  <c r="AP314" i="106"/>
  <c r="AP316" i="106" s="1"/>
  <c r="AP318" i="106" s="1"/>
  <c r="AA204" i="106"/>
  <c r="Y202" i="106"/>
  <c r="AO253" i="106"/>
  <c r="AO255" i="106" s="1"/>
  <c r="AO257" i="106" s="1"/>
  <c r="AP253" i="106"/>
  <c r="AP255" i="106" s="1"/>
  <c r="AP257" i="106" s="1"/>
  <c r="AQ314" i="106"/>
  <c r="AQ316" i="106" s="1"/>
  <c r="AQ318" i="106" s="1"/>
  <c r="AO314" i="106"/>
  <c r="AO316" i="106" s="1"/>
  <c r="AO318" i="106" s="1"/>
  <c r="AR314" i="106"/>
  <c r="AR316" i="106" s="1"/>
  <c r="AR318" i="106" s="1"/>
  <c r="AT314" i="106"/>
  <c r="AT316" i="106" s="1"/>
  <c r="AT318" i="106" s="1"/>
  <c r="AS314" i="106"/>
  <c r="AS316" i="106" s="1"/>
  <c r="AS318" i="106" s="1"/>
  <c r="AQ253" i="106"/>
  <c r="AQ255" i="106" s="1"/>
  <c r="AQ257" i="106" s="1"/>
  <c r="P96" i="106"/>
  <c r="P155" i="106"/>
  <c r="P107" i="106"/>
  <c r="P95" i="106"/>
  <c r="P135" i="106"/>
  <c r="AK313" i="106"/>
  <c r="AS253" i="106"/>
  <c r="AS255" i="106" s="1"/>
  <c r="AS257" i="106" s="1"/>
  <c r="AK252" i="106"/>
  <c r="AK251" i="106"/>
  <c r="AM253" i="106"/>
  <c r="AM255" i="106" s="1"/>
  <c r="AM257" i="106" s="1"/>
  <c r="AR253" i="106"/>
  <c r="AR255" i="106" s="1"/>
  <c r="AR257" i="106" s="1"/>
  <c r="AT253" i="106"/>
  <c r="AT255" i="106" s="1"/>
  <c r="AT257" i="106" s="1"/>
  <c r="AK312" i="106"/>
  <c r="AM314" i="106"/>
  <c r="AM316" i="106" s="1"/>
  <c r="AM318" i="106" s="1"/>
  <c r="Q135" i="106"/>
  <c r="Q155" i="106"/>
  <c r="Q107" i="106"/>
  <c r="AO177" i="106"/>
  <c r="AM177" i="106"/>
  <c r="AO181" i="106"/>
  <c r="AM181" i="106"/>
  <c r="AU177" i="106"/>
  <c r="AN177" i="106"/>
  <c r="AN181" i="106"/>
  <c r="AU181" i="106"/>
  <c r="AU13" i="106" s="1"/>
  <c r="AK13" i="106" s="1"/>
  <c r="O155" i="106"/>
  <c r="O95" i="106"/>
  <c r="O154" i="106" s="1"/>
  <c r="O107" i="106"/>
  <c r="O135" i="106"/>
  <c r="O96" i="106"/>
  <c r="P162" i="105"/>
  <c r="AK142" i="105"/>
  <c r="AM200" i="105"/>
  <c r="AK200" i="105" s="1"/>
  <c r="AW162" i="105"/>
  <c r="AY13" i="105"/>
  <c r="O153" i="105"/>
  <c r="M123" i="105"/>
  <c r="J123" i="105" s="1"/>
  <c r="BG314" i="105"/>
  <c r="BG316" i="105" s="1"/>
  <c r="BG318" i="105" s="1"/>
  <c r="P216" i="105"/>
  <c r="Q140" i="105"/>
  <c r="Q144" i="105"/>
  <c r="Q138" i="105"/>
  <c r="Q162" i="105"/>
  <c r="Q159" i="105"/>
  <c r="M155" i="105"/>
  <c r="J155" i="105" s="1"/>
  <c r="AK121" i="105"/>
  <c r="AM13" i="105"/>
  <c r="AM169" i="105"/>
  <c r="AK167" i="105"/>
  <c r="M135" i="105"/>
  <c r="J135" i="105" s="1"/>
  <c r="Q211" i="105"/>
  <c r="M211" i="105" s="1"/>
  <c r="J211" i="105" s="1"/>
  <c r="Q113" i="105"/>
  <c r="M107" i="105"/>
  <c r="J107" i="105" s="1"/>
  <c r="Q209" i="105"/>
  <c r="Q212" i="105"/>
  <c r="M212" i="105" s="1"/>
  <c r="J212" i="105" s="1"/>
  <c r="AK117" i="105"/>
  <c r="AM198" i="105"/>
  <c r="AK198" i="105" s="1"/>
  <c r="P167" i="105"/>
  <c r="P169" i="105" s="1"/>
  <c r="P171" i="105"/>
  <c r="P121" i="105"/>
  <c r="P117" i="105"/>
  <c r="P198" i="105" s="1"/>
  <c r="AK142" i="104"/>
  <c r="AM200" i="104"/>
  <c r="AK200" i="104" s="1"/>
  <c r="AW142" i="104"/>
  <c r="AY200" i="104"/>
  <c r="AW200" i="104" s="1"/>
  <c r="AA204" i="104"/>
  <c r="Y202" i="104"/>
  <c r="Y12" i="104"/>
  <c r="Y131" i="104" s="1"/>
  <c r="O153" i="104"/>
  <c r="M123" i="104"/>
  <c r="J123" i="104" s="1"/>
  <c r="AM169" i="104"/>
  <c r="AK167" i="104"/>
  <c r="AY198" i="104"/>
  <c r="AW198" i="104" s="1"/>
  <c r="AW117" i="104"/>
  <c r="P162" i="104"/>
  <c r="P159" i="104"/>
  <c r="AM198" i="104"/>
  <c r="AK198" i="104" s="1"/>
  <c r="AK117" i="104"/>
  <c r="AY169" i="104"/>
  <c r="AW167" i="104"/>
  <c r="AW121" i="104"/>
  <c r="AY13" i="104"/>
  <c r="AK121" i="104"/>
  <c r="AM13" i="104"/>
  <c r="P209" i="104"/>
  <c r="P113" i="104"/>
  <c r="P210" i="104"/>
  <c r="M210" i="104" s="1"/>
  <c r="J210" i="104" s="1"/>
  <c r="P213" i="104"/>
  <c r="M213" i="104" s="1"/>
  <c r="J213" i="104" s="1"/>
  <c r="P212" i="104"/>
  <c r="P140" i="104"/>
  <c r="P142" i="104" s="1"/>
  <c r="P144" i="104"/>
  <c r="P146" i="104" s="1"/>
  <c r="O153" i="103"/>
  <c r="M153" i="103" s="1"/>
  <c r="J153" i="103" s="1"/>
  <c r="M123" i="103"/>
  <c r="J123" i="103" s="1"/>
  <c r="Y12" i="103"/>
  <c r="Y131" i="103" s="1"/>
  <c r="Q144" i="103"/>
  <c r="Q140" i="103"/>
  <c r="Q138" i="103"/>
  <c r="P144" i="103"/>
  <c r="P146" i="103" s="1"/>
  <c r="P140" i="103"/>
  <c r="P142" i="103" s="1"/>
  <c r="O144" i="103"/>
  <c r="O140" i="103"/>
  <c r="M135" i="103"/>
  <c r="J135" i="103" s="1"/>
  <c r="O138" i="103"/>
  <c r="Q212" i="103"/>
  <c r="Q113" i="103"/>
  <c r="Q209" i="103"/>
  <c r="Q211" i="103"/>
  <c r="AA204" i="103"/>
  <c r="Y202" i="103"/>
  <c r="P162" i="103"/>
  <c r="P159" i="103"/>
  <c r="P113" i="103"/>
  <c r="P209" i="103"/>
  <c r="P210" i="103"/>
  <c r="M210" i="103" s="1"/>
  <c r="J210" i="103" s="1"/>
  <c r="P213" i="103"/>
  <c r="M213" i="103" s="1"/>
  <c r="J213" i="103" s="1"/>
  <c r="P212" i="103"/>
  <c r="O212" i="103"/>
  <c r="O209" i="103"/>
  <c r="O211" i="103"/>
  <c r="M107" i="103"/>
  <c r="J107" i="103" s="1"/>
  <c r="O113" i="103"/>
  <c r="Q159" i="103"/>
  <c r="Q162" i="103"/>
  <c r="O162" i="103"/>
  <c r="M155" i="103"/>
  <c r="J155" i="103" s="1"/>
  <c r="O159" i="103"/>
  <c r="M247" i="106"/>
  <c r="J247" i="106" s="1"/>
  <c r="AU253" i="107"/>
  <c r="AU255" i="107" s="1"/>
  <c r="AU257" i="107" s="1"/>
  <c r="AP253" i="107"/>
  <c r="AP255" i="107" s="1"/>
  <c r="AP257" i="107" s="1"/>
  <c r="AQ314" i="107"/>
  <c r="AQ316" i="107" s="1"/>
  <c r="AQ318" i="107" s="1"/>
  <c r="AS253" i="107"/>
  <c r="AS255" i="107" s="1"/>
  <c r="AS257" i="107" s="1"/>
  <c r="AK313" i="107"/>
  <c r="AK252" i="107"/>
  <c r="AT314" i="107"/>
  <c r="AT316" i="107" s="1"/>
  <c r="AT318" i="107" s="1"/>
  <c r="M266" i="107"/>
  <c r="J266" i="107" s="1"/>
  <c r="O187" i="107"/>
  <c r="P241" i="107"/>
  <c r="O241" i="107"/>
  <c r="M264" i="107"/>
  <c r="J264" i="107" s="1"/>
  <c r="O273" i="107"/>
  <c r="O304" i="107"/>
  <c r="R304" i="107"/>
  <c r="U304" i="107"/>
  <c r="P304" i="107"/>
  <c r="W304" i="107"/>
  <c r="Q304" i="107"/>
  <c r="V304" i="107"/>
  <c r="S304" i="107"/>
  <c r="T304" i="107"/>
  <c r="U302" i="107"/>
  <c r="O302" i="107"/>
  <c r="Q302" i="107"/>
  <c r="T302" i="107"/>
  <c r="W302" i="107"/>
  <c r="P302" i="107"/>
  <c r="R302" i="107"/>
  <c r="S302" i="107"/>
  <c r="V302" i="107"/>
  <c r="AK251" i="107"/>
  <c r="AM253" i="107"/>
  <c r="AM255" i="107" s="1"/>
  <c r="AM314" i="107"/>
  <c r="AM316" i="107" s="1"/>
  <c r="AM318" i="107" s="1"/>
  <c r="AK312" i="107"/>
  <c r="AR314" i="107"/>
  <c r="AR316" i="107" s="1"/>
  <c r="AR318" i="107" s="1"/>
  <c r="AR253" i="107"/>
  <c r="AR255" i="107" s="1"/>
  <c r="AR257" i="107" s="1"/>
  <c r="P273" i="107"/>
  <c r="M247" i="104"/>
  <c r="J247" i="104" s="1"/>
  <c r="AN287" i="107"/>
  <c r="AN290" i="107" s="1"/>
  <c r="AN262" i="107"/>
  <c r="AN275" i="107" s="1"/>
  <c r="AN288" i="107" s="1"/>
  <c r="AO314" i="107"/>
  <c r="AO316" i="107" s="1"/>
  <c r="AO318" i="107" s="1"/>
  <c r="M267" i="107"/>
  <c r="J267" i="107" s="1"/>
  <c r="O14" i="107"/>
  <c r="O190" i="107"/>
  <c r="AN314" i="107"/>
  <c r="AN316" i="107" s="1"/>
  <c r="AN318" i="107" s="1"/>
  <c r="AS314" i="107"/>
  <c r="AS316" i="107" s="1"/>
  <c r="AS318" i="107" s="1"/>
  <c r="AN181" i="107"/>
  <c r="AO177" i="107"/>
  <c r="AM181" i="107"/>
  <c r="AN177" i="107"/>
  <c r="AU181" i="107"/>
  <c r="AU13" i="107" s="1"/>
  <c r="AK13" i="107" s="1"/>
  <c r="AM177" i="107"/>
  <c r="AO181" i="107"/>
  <c r="AU177" i="107"/>
  <c r="P243" i="107"/>
  <c r="O243" i="107"/>
  <c r="M265" i="106"/>
  <c r="J265" i="106" s="1"/>
  <c r="O159" i="104"/>
  <c r="M268" i="106"/>
  <c r="J268" i="106" s="1"/>
  <c r="M305" i="104"/>
  <c r="J305" i="104" s="1"/>
  <c r="M245" i="106"/>
  <c r="J245" i="106" s="1"/>
  <c r="P267" i="106"/>
  <c r="O267" i="106"/>
  <c r="M306" i="106"/>
  <c r="J306" i="106" s="1"/>
  <c r="M244" i="106"/>
  <c r="J244" i="106" s="1"/>
  <c r="AW198" i="106"/>
  <c r="M308" i="106"/>
  <c r="J308" i="106" s="1"/>
  <c r="AW169" i="106"/>
  <c r="BB313" i="106"/>
  <c r="BF312" i="106"/>
  <c r="BF252" i="106"/>
  <c r="AZ313" i="106"/>
  <c r="AZ252" i="106"/>
  <c r="BA251" i="106"/>
  <c r="BE251" i="106"/>
  <c r="BB312" i="106"/>
  <c r="BB252" i="106"/>
  <c r="AZ312" i="106"/>
  <c r="BD251" i="106"/>
  <c r="BA252" i="106"/>
  <c r="BE252" i="106"/>
  <c r="BF251" i="106"/>
  <c r="BD313" i="106"/>
  <c r="BD252" i="106"/>
  <c r="BA313" i="106"/>
  <c r="BE313" i="106"/>
  <c r="BC252" i="106"/>
  <c r="BG252" i="106"/>
  <c r="BB251" i="106"/>
  <c r="BB253" i="106" s="1"/>
  <c r="BB255" i="106" s="1"/>
  <c r="BB257" i="106" s="1"/>
  <c r="BF313" i="106"/>
  <c r="AZ251" i="106"/>
  <c r="BD312" i="106"/>
  <c r="BA312" i="106"/>
  <c r="BE312" i="106"/>
  <c r="BE314" i="106" s="1"/>
  <c r="BE316" i="106" s="1"/>
  <c r="BE318" i="106" s="1"/>
  <c r="BC312" i="106"/>
  <c r="BC251" i="106"/>
  <c r="BG312" i="106"/>
  <c r="BG251" i="106"/>
  <c r="BC313" i="106"/>
  <c r="BG313" i="106"/>
  <c r="AY252" i="106"/>
  <c r="AY312" i="106"/>
  <c r="AY251" i="106"/>
  <c r="AY313" i="106"/>
  <c r="M305" i="106"/>
  <c r="J305" i="106" s="1"/>
  <c r="AY310" i="106"/>
  <c r="AW302" i="106"/>
  <c r="AW310" i="106" s="1"/>
  <c r="AY191" i="106"/>
  <c r="AY249" i="106"/>
  <c r="AW241" i="106"/>
  <c r="AW249" i="106" s="1"/>
  <c r="O186" i="106"/>
  <c r="P266" i="106"/>
  <c r="O266" i="106"/>
  <c r="AK262" i="106"/>
  <c r="AK275" i="106" s="1"/>
  <c r="AM275" i="106"/>
  <c r="AM288" i="106" s="1"/>
  <c r="P264" i="106"/>
  <c r="P273" i="106" s="1"/>
  <c r="O264" i="106"/>
  <c r="Y262" i="106"/>
  <c r="Y275" i="106" s="1"/>
  <c r="AA275" i="106"/>
  <c r="AA288" i="106" s="1"/>
  <c r="BD253" i="105"/>
  <c r="BD255" i="105" s="1"/>
  <c r="BD257" i="105" s="1"/>
  <c r="BF314" i="105"/>
  <c r="BF316" i="105" s="1"/>
  <c r="BF318" i="105" s="1"/>
  <c r="AZ253" i="105"/>
  <c r="AZ255" i="105" s="1"/>
  <c r="AZ257" i="105" s="1"/>
  <c r="BB314" i="105"/>
  <c r="BB316" i="105" s="1"/>
  <c r="BB318" i="105" s="1"/>
  <c r="BE253" i="105"/>
  <c r="BE255" i="105" s="1"/>
  <c r="BE257" i="105" s="1"/>
  <c r="BE314" i="105"/>
  <c r="BE316" i="105" s="1"/>
  <c r="BE318" i="105" s="1"/>
  <c r="P273" i="105"/>
  <c r="M266" i="105"/>
  <c r="J266" i="105" s="1"/>
  <c r="AZ314" i="105"/>
  <c r="AZ316" i="105" s="1"/>
  <c r="AZ318" i="105" s="1"/>
  <c r="AW313" i="105"/>
  <c r="BA253" i="105"/>
  <c r="BA255" i="105" s="1"/>
  <c r="BA257" i="105" s="1"/>
  <c r="U304" i="105"/>
  <c r="S304" i="105"/>
  <c r="P304" i="105"/>
  <c r="Q304" i="105"/>
  <c r="W304" i="105"/>
  <c r="T304" i="105"/>
  <c r="R304" i="105"/>
  <c r="O304" i="105"/>
  <c r="V304" i="105"/>
  <c r="M267" i="105"/>
  <c r="J267" i="105" s="1"/>
  <c r="O198" i="105"/>
  <c r="O241" i="105"/>
  <c r="P241" i="105"/>
  <c r="M245" i="104"/>
  <c r="J245" i="104" s="1"/>
  <c r="AW312" i="105"/>
  <c r="AY314" i="105"/>
  <c r="AY316" i="105" s="1"/>
  <c r="AY318" i="105" s="1"/>
  <c r="BD314" i="105"/>
  <c r="BD316" i="105" s="1"/>
  <c r="BD318" i="105" s="1"/>
  <c r="M264" i="105"/>
  <c r="J264" i="105" s="1"/>
  <c r="O273" i="105"/>
  <c r="S302" i="105"/>
  <c r="S310" i="105" s="1"/>
  <c r="U302" i="105"/>
  <c r="T302" i="105"/>
  <c r="T310" i="105" s="1"/>
  <c r="O302" i="105"/>
  <c r="Q302" i="105"/>
  <c r="P302" i="105"/>
  <c r="V302" i="105"/>
  <c r="W302" i="105"/>
  <c r="R302" i="105"/>
  <c r="AW251" i="105"/>
  <c r="AY253" i="105"/>
  <c r="AY255" i="105" s="1"/>
  <c r="BB253" i="105"/>
  <c r="BB255" i="105" s="1"/>
  <c r="BB257" i="105" s="1"/>
  <c r="O14" i="105"/>
  <c r="O190" i="105"/>
  <c r="AW252" i="105"/>
  <c r="BA314" i="105"/>
  <c r="BA316" i="105" s="1"/>
  <c r="BA318" i="105" s="1"/>
  <c r="BC314" i="105"/>
  <c r="BC316" i="105" s="1"/>
  <c r="BC318" i="105" s="1"/>
  <c r="AY181" i="105"/>
  <c r="AZ177" i="105"/>
  <c r="BG181" i="105"/>
  <c r="BG13" i="105" s="1"/>
  <c r="AW13" i="105" s="1"/>
  <c r="AY177" i="105"/>
  <c r="BA181" i="105"/>
  <c r="BG177" i="105"/>
  <c r="AZ181" i="105"/>
  <c r="BA177" i="105"/>
  <c r="O243" i="105"/>
  <c r="P243" i="105"/>
  <c r="O187" i="105"/>
  <c r="O169" i="105"/>
  <c r="Q216" i="104"/>
  <c r="M265" i="104"/>
  <c r="J265" i="104" s="1"/>
  <c r="M138" i="104"/>
  <c r="J138" i="104" s="1"/>
  <c r="O146" i="104"/>
  <c r="O142" i="104"/>
  <c r="O200" i="104" s="1"/>
  <c r="O216" i="104"/>
  <c r="M209" i="104"/>
  <c r="P264" i="104"/>
  <c r="O264" i="104"/>
  <c r="M211" i="104"/>
  <c r="J211" i="104" s="1"/>
  <c r="P266" i="104"/>
  <c r="O266" i="104"/>
  <c r="O117" i="104"/>
  <c r="O167" i="104"/>
  <c r="O121" i="104"/>
  <c r="O171" i="104"/>
  <c r="O186" i="104"/>
  <c r="M308" i="104"/>
  <c r="J308" i="104" s="1"/>
  <c r="M244" i="104"/>
  <c r="J244" i="104" s="1"/>
  <c r="Y262" i="104"/>
  <c r="Y275" i="104" s="1"/>
  <c r="AA275" i="104"/>
  <c r="AA288" i="104" s="1"/>
  <c r="Q146" i="104"/>
  <c r="Q142" i="104"/>
  <c r="Q200" i="104" s="1"/>
  <c r="M212" i="104"/>
  <c r="J212" i="104" s="1"/>
  <c r="P267" i="104"/>
  <c r="O267" i="104"/>
  <c r="M306" i="104"/>
  <c r="J306" i="104" s="1"/>
  <c r="Q167" i="104"/>
  <c r="Q169" i="104" s="1"/>
  <c r="Q121" i="104"/>
  <c r="Q117" i="104"/>
  <c r="M268" i="104"/>
  <c r="J268" i="104" s="1"/>
  <c r="M267" i="103"/>
  <c r="J267" i="103" s="1"/>
  <c r="AY191" i="103"/>
  <c r="O187" i="103"/>
  <c r="P273" i="103"/>
  <c r="AW198" i="103"/>
  <c r="P243" i="103"/>
  <c r="O243" i="103"/>
  <c r="O241" i="103"/>
  <c r="P241" i="103"/>
  <c r="M264" i="103"/>
  <c r="J264" i="103" s="1"/>
  <c r="O273" i="103"/>
  <c r="AY249" i="103"/>
  <c r="AW241" i="103"/>
  <c r="AW249" i="103" s="1"/>
  <c r="O302" i="103"/>
  <c r="T302" i="103"/>
  <c r="U302" i="103"/>
  <c r="R302" i="103"/>
  <c r="W302" i="103"/>
  <c r="Q302" i="103"/>
  <c r="P302" i="103"/>
  <c r="S302" i="103"/>
  <c r="V302" i="103"/>
  <c r="AY310" i="103"/>
  <c r="AW302" i="103"/>
  <c r="AW310" i="103" s="1"/>
  <c r="M266" i="103"/>
  <c r="J266" i="103" s="1"/>
  <c r="AW169" i="103"/>
  <c r="BF252" i="103"/>
  <c r="BC312" i="103"/>
  <c r="BC251" i="103"/>
  <c r="BC313" i="103"/>
  <c r="AZ251" i="103"/>
  <c r="BA252" i="103"/>
  <c r="BA313" i="103"/>
  <c r="BA251" i="103"/>
  <c r="BE252" i="103"/>
  <c r="BA312" i="103"/>
  <c r="BF313" i="103"/>
  <c r="AZ312" i="103"/>
  <c r="BF251" i="103"/>
  <c r="BF253" i="103" s="1"/>
  <c r="BF255" i="103" s="1"/>
  <c r="BF257" i="103" s="1"/>
  <c r="BD252" i="103"/>
  <c r="BB251" i="103"/>
  <c r="AZ313" i="103"/>
  <c r="BE251" i="103"/>
  <c r="BG251" i="103"/>
  <c r="BB312" i="103"/>
  <c r="BD313" i="103"/>
  <c r="AZ252" i="103"/>
  <c r="BC252" i="103"/>
  <c r="BE312" i="103"/>
  <c r="BG313" i="103"/>
  <c r="BG312" i="103"/>
  <c r="BE313" i="103"/>
  <c r="BB252" i="103"/>
  <c r="BD312" i="103"/>
  <c r="BF312" i="103"/>
  <c r="BG252" i="103"/>
  <c r="BB313" i="103"/>
  <c r="BD251" i="103"/>
  <c r="AY252" i="103"/>
  <c r="AY312" i="103"/>
  <c r="AY251" i="103"/>
  <c r="AY313" i="103"/>
  <c r="V304" i="103"/>
  <c r="T304" i="103"/>
  <c r="W304" i="103"/>
  <c r="R304" i="103"/>
  <c r="P304" i="103"/>
  <c r="S304" i="103"/>
  <c r="U304" i="103"/>
  <c r="O304" i="103"/>
  <c r="Q304" i="103"/>
  <c r="O14" i="103"/>
  <c r="O190" i="103"/>
  <c r="AQ291" i="55"/>
  <c r="AM291" i="55"/>
  <c r="BF291" i="55"/>
  <c r="BG291" i="55"/>
  <c r="AP291" i="55"/>
  <c r="AZ291" i="55"/>
  <c r="AS291" i="55"/>
  <c r="O291" i="55"/>
  <c r="AY291" i="55"/>
  <c r="AU291" i="55"/>
  <c r="AT291" i="55"/>
  <c r="BC291" i="55"/>
  <c r="BE291" i="55"/>
  <c r="AN291" i="55"/>
  <c r="BB291" i="55"/>
  <c r="BA291" i="55"/>
  <c r="AO291" i="55"/>
  <c r="AA297" i="55"/>
  <c r="AA294" i="55"/>
  <c r="J70" i="55"/>
  <c r="BG169" i="55"/>
  <c r="AW168" i="55"/>
  <c r="AU169" i="55"/>
  <c r="BG215" i="55"/>
  <c r="AW215" i="55" s="1"/>
  <c r="AK168" i="55"/>
  <c r="AU215" i="55"/>
  <c r="I46" i="23"/>
  <c r="W216" i="55"/>
  <c r="M215" i="55"/>
  <c r="M28" i="55"/>
  <c r="O90" i="55" s="1"/>
  <c r="O92" i="55" s="1"/>
  <c r="AW309" i="55"/>
  <c r="I209" i="23" s="1"/>
  <c r="J26" i="55"/>
  <c r="AK28" i="55"/>
  <c r="AM90" i="55" s="1"/>
  <c r="AW28" i="55"/>
  <c r="BA90" i="55" s="1"/>
  <c r="J271" i="55"/>
  <c r="J27" i="55"/>
  <c r="BG191" i="55"/>
  <c r="BF191" i="55"/>
  <c r="Q106" i="23"/>
  <c r="P106" i="23"/>
  <c r="O107" i="23"/>
  <c r="N106" i="23"/>
  <c r="R106" i="23"/>
  <c r="P13" i="105" l="1"/>
  <c r="AM13" i="103"/>
  <c r="AS252" i="103"/>
  <c r="AP312" i="103"/>
  <c r="AO312" i="103"/>
  <c r="AQ313" i="103"/>
  <c r="AT313" i="103"/>
  <c r="AU313" i="103"/>
  <c r="AT312" i="103"/>
  <c r="AN251" i="103"/>
  <c r="AN253" i="103" s="1"/>
  <c r="AN255" i="103" s="1"/>
  <c r="AN257" i="103" s="1"/>
  <c r="AN312" i="103"/>
  <c r="AR251" i="103"/>
  <c r="AQ312" i="103"/>
  <c r="AO251" i="103"/>
  <c r="AK169" i="103"/>
  <c r="AP251" i="103"/>
  <c r="AU252" i="103"/>
  <c r="AR252" i="103"/>
  <c r="AT252" i="103"/>
  <c r="AT251" i="103"/>
  <c r="AT253" i="103" s="1"/>
  <c r="AT255" i="103" s="1"/>
  <c r="AT257" i="103" s="1"/>
  <c r="AQ252" i="103"/>
  <c r="AO252" i="103"/>
  <c r="AM251" i="103"/>
  <c r="AN252" i="103"/>
  <c r="AP252" i="103"/>
  <c r="AU312" i="103"/>
  <c r="AU314" i="103" s="1"/>
  <c r="AU316" i="103" s="1"/>
  <c r="AU318" i="103" s="1"/>
  <c r="AM252" i="103"/>
  <c r="AR313" i="103"/>
  <c r="AP313" i="103"/>
  <c r="AU251" i="103"/>
  <c r="AU253" i="103" s="1"/>
  <c r="AU255" i="103" s="1"/>
  <c r="AU257" i="103" s="1"/>
  <c r="AQ251" i="103"/>
  <c r="AQ253" i="103" s="1"/>
  <c r="AQ255" i="103" s="1"/>
  <c r="AQ257" i="103" s="1"/>
  <c r="AS312" i="103"/>
  <c r="AR312" i="103"/>
  <c r="AO313" i="103"/>
  <c r="AN313" i="103"/>
  <c r="AM313" i="103"/>
  <c r="AS251" i="103"/>
  <c r="AS253" i="103" s="1"/>
  <c r="AS255" i="103" s="1"/>
  <c r="AS257" i="103" s="1"/>
  <c r="AS313" i="103"/>
  <c r="AM312" i="103"/>
  <c r="Q216" i="107"/>
  <c r="O162" i="107"/>
  <c r="M162" i="107" s="1"/>
  <c r="J162" i="107" s="1"/>
  <c r="O159" i="107"/>
  <c r="M159" i="107" s="1"/>
  <c r="J159" i="107" s="1"/>
  <c r="R310" i="107"/>
  <c r="Q310" i="107"/>
  <c r="M211" i="107"/>
  <c r="J211" i="107" s="1"/>
  <c r="S310" i="107"/>
  <c r="BF313" i="107"/>
  <c r="BG313" i="107"/>
  <c r="BA252" i="107"/>
  <c r="BA251" i="107"/>
  <c r="BB313" i="107"/>
  <c r="BF251" i="107"/>
  <c r="BD313" i="107"/>
  <c r="AZ312" i="107"/>
  <c r="AY252" i="107"/>
  <c r="BG252" i="107"/>
  <c r="AZ313" i="107"/>
  <c r="BC313" i="107"/>
  <c r="BC252" i="107"/>
  <c r="BF252" i="107"/>
  <c r="BE252" i="107"/>
  <c r="BF312" i="107"/>
  <c r="BB252" i="107"/>
  <c r="BG251" i="107"/>
  <c r="BG253" i="107" s="1"/>
  <c r="BG255" i="107" s="1"/>
  <c r="BG257" i="107" s="1"/>
  <c r="BE312" i="107"/>
  <c r="BC312" i="107"/>
  <c r="BE251" i="107"/>
  <c r="AY251" i="107"/>
  <c r="BD252" i="107"/>
  <c r="AW169" i="107"/>
  <c r="BG312" i="107"/>
  <c r="BA312" i="107"/>
  <c r="AZ252" i="107"/>
  <c r="BA313" i="107"/>
  <c r="BB251" i="107"/>
  <c r="BB253" i="107" s="1"/>
  <c r="BB255" i="107" s="1"/>
  <c r="BB257" i="107" s="1"/>
  <c r="BB312" i="107"/>
  <c r="BE313" i="107"/>
  <c r="BD312" i="107"/>
  <c r="AY312" i="107"/>
  <c r="AZ251" i="107"/>
  <c r="BD251" i="107"/>
  <c r="BD253" i="107" s="1"/>
  <c r="BD255" i="107" s="1"/>
  <c r="BD257" i="107" s="1"/>
  <c r="BC251" i="107"/>
  <c r="AY313" i="107"/>
  <c r="V310" i="107"/>
  <c r="W310" i="107"/>
  <c r="Q146" i="107"/>
  <c r="Q142" i="107"/>
  <c r="Q200" i="107" s="1"/>
  <c r="M212" i="107"/>
  <c r="J212" i="107" s="1"/>
  <c r="Q167" i="107"/>
  <c r="Q169" i="107" s="1"/>
  <c r="Q121" i="107"/>
  <c r="Q117" i="107"/>
  <c r="Q198" i="107" s="1"/>
  <c r="O167" i="107"/>
  <c r="M113" i="107"/>
  <c r="J113" i="107" s="1"/>
  <c r="O121" i="107"/>
  <c r="O117" i="107"/>
  <c r="O171" i="107"/>
  <c r="U310" i="107"/>
  <c r="O146" i="107"/>
  <c r="O142" i="107"/>
  <c r="M138" i="107"/>
  <c r="J138" i="107" s="1"/>
  <c r="O216" i="107"/>
  <c r="M209" i="107"/>
  <c r="M267" i="106"/>
  <c r="J267" i="106" s="1"/>
  <c r="M123" i="106"/>
  <c r="J123" i="106" s="1"/>
  <c r="O153" i="106"/>
  <c r="M153" i="106" s="1"/>
  <c r="J153" i="106" s="1"/>
  <c r="BA314" i="106"/>
  <c r="BA316" i="106" s="1"/>
  <c r="BA318" i="106" s="1"/>
  <c r="M155" i="106"/>
  <c r="J155" i="106" s="1"/>
  <c r="Y204" i="106"/>
  <c r="AA222" i="106"/>
  <c r="AK257" i="106"/>
  <c r="AK318" i="106"/>
  <c r="AK253" i="106"/>
  <c r="AK255" i="106" s="1"/>
  <c r="O209" i="106"/>
  <c r="O211" i="106"/>
  <c r="O113" i="106"/>
  <c r="M107" i="106"/>
  <c r="J107" i="106" s="1"/>
  <c r="O212" i="106"/>
  <c r="Q159" i="106"/>
  <c r="Q162" i="106"/>
  <c r="M154" i="106"/>
  <c r="J154" i="106" s="1"/>
  <c r="O159" i="106"/>
  <c r="AN202" i="106"/>
  <c r="AN204" i="106" s="1"/>
  <c r="AN222" i="106" s="1"/>
  <c r="AN12" i="106"/>
  <c r="AM12" i="106"/>
  <c r="AM202" i="106"/>
  <c r="Q138" i="106"/>
  <c r="Q140" i="106"/>
  <c r="Q144" i="106"/>
  <c r="P209" i="106"/>
  <c r="P113" i="106"/>
  <c r="P210" i="106"/>
  <c r="M210" i="106" s="1"/>
  <c r="J210" i="106" s="1"/>
  <c r="P213" i="106"/>
  <c r="M213" i="106" s="1"/>
  <c r="J213" i="106" s="1"/>
  <c r="P212" i="106"/>
  <c r="AU202" i="106"/>
  <c r="AU204" i="106" s="1"/>
  <c r="AU12" i="106"/>
  <c r="AO202" i="106"/>
  <c r="AO204" i="106" s="1"/>
  <c r="AO12" i="106"/>
  <c r="P162" i="106"/>
  <c r="P159" i="106"/>
  <c r="O138" i="106"/>
  <c r="O144" i="106"/>
  <c r="O140" i="106"/>
  <c r="M135" i="106"/>
  <c r="J135" i="106" s="1"/>
  <c r="Q211" i="106"/>
  <c r="Q209" i="106"/>
  <c r="Q113" i="106"/>
  <c r="Q212" i="106"/>
  <c r="AK314" i="106"/>
  <c r="AK316" i="106" s="1"/>
  <c r="P144" i="106"/>
  <c r="P146" i="106" s="1"/>
  <c r="P140" i="106"/>
  <c r="P142" i="106" s="1"/>
  <c r="R310" i="105"/>
  <c r="U310" i="105"/>
  <c r="M153" i="105"/>
  <c r="J153" i="105" s="1"/>
  <c r="O159" i="105"/>
  <c r="M159" i="105" s="1"/>
  <c r="J159" i="105" s="1"/>
  <c r="O171" i="105"/>
  <c r="O162" i="105"/>
  <c r="O13" i="105" s="1"/>
  <c r="M209" i="105"/>
  <c r="Q216" i="105"/>
  <c r="Q142" i="105"/>
  <c r="Q146" i="105"/>
  <c r="M146" i="105" s="1"/>
  <c r="J146" i="105" s="1"/>
  <c r="M138" i="105"/>
  <c r="J138" i="105" s="1"/>
  <c r="AT313" i="105"/>
  <c r="AU313" i="105"/>
  <c r="AS312" i="105"/>
  <c r="AU312" i="105"/>
  <c r="AP312" i="105"/>
  <c r="AP252" i="105"/>
  <c r="AQ312" i="105"/>
  <c r="AM312" i="105"/>
  <c r="AM313" i="105"/>
  <c r="AT312" i="105"/>
  <c r="AO251" i="105"/>
  <c r="AP313" i="105"/>
  <c r="AK169" i="105"/>
  <c r="AT251" i="105"/>
  <c r="AU251" i="105"/>
  <c r="AR252" i="105"/>
  <c r="AO313" i="105"/>
  <c r="AO312" i="105"/>
  <c r="AS252" i="105"/>
  <c r="AS251" i="105"/>
  <c r="AM252" i="105"/>
  <c r="AN252" i="105"/>
  <c r="AS313" i="105"/>
  <c r="AO252" i="105"/>
  <c r="AN312" i="105"/>
  <c r="AT252" i="105"/>
  <c r="AU252" i="105"/>
  <c r="AR312" i="105"/>
  <c r="AQ251" i="105"/>
  <c r="AR313" i="105"/>
  <c r="AP251" i="105"/>
  <c r="AQ252" i="105"/>
  <c r="AM251" i="105"/>
  <c r="AN313" i="105"/>
  <c r="AR251" i="105"/>
  <c r="AQ313" i="105"/>
  <c r="AN251" i="105"/>
  <c r="Q117" i="105"/>
  <c r="Q121" i="105"/>
  <c r="Q167" i="105"/>
  <c r="M113" i="105"/>
  <c r="J113" i="105" s="1"/>
  <c r="M200" i="104"/>
  <c r="J200" i="104" s="1"/>
  <c r="M153" i="104"/>
  <c r="J153" i="104" s="1"/>
  <c r="O162" i="104"/>
  <c r="M162" i="104" s="1"/>
  <c r="J162" i="104" s="1"/>
  <c r="Y204" i="104"/>
  <c r="AA222" i="104"/>
  <c r="M159" i="104"/>
  <c r="J159" i="104" s="1"/>
  <c r="P117" i="104"/>
  <c r="P198" i="104" s="1"/>
  <c r="P167" i="104"/>
  <c r="P169" i="104" s="1"/>
  <c r="P121" i="104"/>
  <c r="P13" i="104" s="1"/>
  <c r="P171" i="104"/>
  <c r="P216" i="104"/>
  <c r="M113" i="104"/>
  <c r="J113" i="104" s="1"/>
  <c r="AW169" i="104"/>
  <c r="AZ252" i="104"/>
  <c r="BD312" i="104"/>
  <c r="BE313" i="104"/>
  <c r="BB313" i="104"/>
  <c r="BA252" i="104"/>
  <c r="BC313" i="104"/>
  <c r="BA313" i="104"/>
  <c r="BE252" i="104"/>
  <c r="AY312" i="104"/>
  <c r="AZ313" i="104"/>
  <c r="BC251" i="104"/>
  <c r="BC312" i="104"/>
  <c r="BG251" i="104"/>
  <c r="AY313" i="104"/>
  <c r="AZ251" i="104"/>
  <c r="BD313" i="104"/>
  <c r="BF252" i="104"/>
  <c r="BC252" i="104"/>
  <c r="BG313" i="104"/>
  <c r="BB312" i="104"/>
  <c r="BB314" i="104" s="1"/>
  <c r="BB316" i="104" s="1"/>
  <c r="BB318" i="104" s="1"/>
  <c r="BB252" i="104"/>
  <c r="BB251" i="104"/>
  <c r="AY251" i="104"/>
  <c r="BD251" i="104"/>
  <c r="BD252" i="104"/>
  <c r="BA251" i="104"/>
  <c r="BF312" i="104"/>
  <c r="BA312" i="104"/>
  <c r="BF313" i="104"/>
  <c r="BE251" i="104"/>
  <c r="BG312" i="104"/>
  <c r="BG314" i="104" s="1"/>
  <c r="BG316" i="104" s="1"/>
  <c r="BG318" i="104" s="1"/>
  <c r="AY252" i="104"/>
  <c r="AZ312" i="104"/>
  <c r="BF251" i="104"/>
  <c r="BG252" i="104"/>
  <c r="BE312" i="104"/>
  <c r="AK169" i="104"/>
  <c r="AS312" i="104"/>
  <c r="AS313" i="104"/>
  <c r="AU313" i="104"/>
  <c r="AT313" i="104"/>
  <c r="AO313" i="104"/>
  <c r="AU312" i="104"/>
  <c r="AQ312" i="104"/>
  <c r="AM252" i="104"/>
  <c r="AM251" i="104"/>
  <c r="AU252" i="104"/>
  <c r="AR252" i="104"/>
  <c r="AN312" i="104"/>
  <c r="AS252" i="104"/>
  <c r="AS251" i="104"/>
  <c r="AP313" i="104"/>
  <c r="AU251" i="104"/>
  <c r="AO252" i="104"/>
  <c r="AP251" i="104"/>
  <c r="AP312" i="104"/>
  <c r="AP314" i="104" s="1"/>
  <c r="AP316" i="104" s="1"/>
  <c r="AP318" i="104" s="1"/>
  <c r="AN251" i="104"/>
  <c r="AN313" i="104"/>
  <c r="AR251" i="104"/>
  <c r="AT252" i="104"/>
  <c r="AT312" i="104"/>
  <c r="AT314" i="104" s="1"/>
  <c r="AT316" i="104" s="1"/>
  <c r="AT318" i="104" s="1"/>
  <c r="AQ251" i="104"/>
  <c r="AR312" i="104"/>
  <c r="AQ252" i="104"/>
  <c r="AP252" i="104"/>
  <c r="AR313" i="104"/>
  <c r="AT251" i="104"/>
  <c r="AO251" i="104"/>
  <c r="AO312" i="104"/>
  <c r="AN252" i="104"/>
  <c r="AM313" i="104"/>
  <c r="AQ313" i="104"/>
  <c r="AM312" i="104"/>
  <c r="M159" i="103"/>
  <c r="J159" i="103" s="1"/>
  <c r="Q216" i="103"/>
  <c r="M211" i="103"/>
  <c r="J211" i="103" s="1"/>
  <c r="M212" i="103"/>
  <c r="J212" i="103" s="1"/>
  <c r="P216" i="103"/>
  <c r="BD314" i="103"/>
  <c r="BD316" i="103" s="1"/>
  <c r="BD318" i="103" s="1"/>
  <c r="M162" i="103"/>
  <c r="J162" i="103" s="1"/>
  <c r="O216" i="103"/>
  <c r="M209" i="103"/>
  <c r="O167" i="103"/>
  <c r="O171" i="103"/>
  <c r="M113" i="103"/>
  <c r="J113" i="103" s="1"/>
  <c r="O121" i="103"/>
  <c r="O117" i="103"/>
  <c r="Q117" i="103"/>
  <c r="Q198" i="103" s="1"/>
  <c r="Q167" i="103"/>
  <c r="Q169" i="103" s="1"/>
  <c r="Q121" i="103"/>
  <c r="Q146" i="103"/>
  <c r="Q142" i="103"/>
  <c r="Q200" i="103" s="1"/>
  <c r="P167" i="103"/>
  <c r="P169" i="103" s="1"/>
  <c r="P171" i="103"/>
  <c r="P121" i="103"/>
  <c r="P13" i="103" s="1"/>
  <c r="P117" i="103"/>
  <c r="P198" i="103" s="1"/>
  <c r="AA222" i="103"/>
  <c r="Y204" i="103"/>
  <c r="BE253" i="103"/>
  <c r="BE255" i="103" s="1"/>
  <c r="BE257" i="103" s="1"/>
  <c r="O142" i="103"/>
  <c r="M138" i="103"/>
  <c r="J138" i="103" s="1"/>
  <c r="O146" i="103"/>
  <c r="V310" i="105"/>
  <c r="M243" i="107"/>
  <c r="J243" i="107" s="1"/>
  <c r="P310" i="107"/>
  <c r="M304" i="105"/>
  <c r="J304" i="105" s="1"/>
  <c r="T310" i="107"/>
  <c r="P249" i="103"/>
  <c r="W310" i="105"/>
  <c r="AK314" i="107"/>
  <c r="AK316" i="107" s="1"/>
  <c r="AK253" i="107"/>
  <c r="AK255" i="107" s="1"/>
  <c r="AM257" i="107"/>
  <c r="AK257" i="107" s="1"/>
  <c r="AM287" i="107"/>
  <c r="AM290" i="107" s="1"/>
  <c r="AM262" i="107"/>
  <c r="AM202" i="107"/>
  <c r="AM12" i="107"/>
  <c r="AO202" i="107"/>
  <c r="AO204" i="107" s="1"/>
  <c r="AO12" i="107"/>
  <c r="P310" i="105"/>
  <c r="AY287" i="107"/>
  <c r="AY290" i="107" s="1"/>
  <c r="AY262" i="107"/>
  <c r="O310" i="107"/>
  <c r="M302" i="107"/>
  <c r="M273" i="107"/>
  <c r="J273" i="107" s="1"/>
  <c r="O249" i="107"/>
  <c r="M241" i="107"/>
  <c r="AU12" i="107"/>
  <c r="AU202" i="107"/>
  <c r="AU204" i="107" s="1"/>
  <c r="AN12" i="107"/>
  <c r="AN202" i="107"/>
  <c r="AN204" i="107" s="1"/>
  <c r="AN222" i="107" s="1"/>
  <c r="AK318" i="107"/>
  <c r="P249" i="107"/>
  <c r="O191" i="107"/>
  <c r="M304" i="107"/>
  <c r="J304" i="107" s="1"/>
  <c r="AN287" i="105"/>
  <c r="AN290" i="105" s="1"/>
  <c r="AN262" i="105"/>
  <c r="AN275" i="105" s="1"/>
  <c r="AN288" i="105" s="1"/>
  <c r="AZ253" i="106"/>
  <c r="AZ255" i="106" s="1"/>
  <c r="AZ257" i="106" s="1"/>
  <c r="BE253" i="106"/>
  <c r="BE255" i="106" s="1"/>
  <c r="BE257" i="106" s="1"/>
  <c r="M273" i="105"/>
  <c r="J273" i="105" s="1"/>
  <c r="AW314" i="105"/>
  <c r="AW316" i="105" s="1"/>
  <c r="AW313" i="106"/>
  <c r="BC253" i="106"/>
  <c r="BC255" i="106" s="1"/>
  <c r="BC257" i="106" s="1"/>
  <c r="BD314" i="106"/>
  <c r="BD316" i="106" s="1"/>
  <c r="BD318" i="106" s="1"/>
  <c r="BB314" i="106"/>
  <c r="BB316" i="106" s="1"/>
  <c r="BB318" i="106" s="1"/>
  <c r="M264" i="106"/>
  <c r="J264" i="106" s="1"/>
  <c r="O273" i="106"/>
  <c r="M273" i="106" s="1"/>
  <c r="J273" i="106" s="1"/>
  <c r="P304" i="106"/>
  <c r="V304" i="106"/>
  <c r="U304" i="106"/>
  <c r="W304" i="106"/>
  <c r="R304" i="106"/>
  <c r="Q304" i="106"/>
  <c r="S304" i="106"/>
  <c r="T304" i="106"/>
  <c r="O304" i="106"/>
  <c r="M266" i="106"/>
  <c r="J266" i="106" s="1"/>
  <c r="O14" i="106"/>
  <c r="O190" i="106"/>
  <c r="W302" i="106"/>
  <c r="T302" i="106"/>
  <c r="S302" i="106"/>
  <c r="R302" i="106"/>
  <c r="U302" i="106"/>
  <c r="O302" i="106"/>
  <c r="P302" i="106"/>
  <c r="Q302" i="106"/>
  <c r="V302" i="106"/>
  <c r="AW252" i="106"/>
  <c r="BG314" i="106"/>
  <c r="BG316" i="106" s="1"/>
  <c r="BG318" i="106" s="1"/>
  <c r="AZ181" i="106"/>
  <c r="BA177" i="106"/>
  <c r="AY181" i="106"/>
  <c r="AZ177" i="106"/>
  <c r="BG181" i="106"/>
  <c r="BG13" i="106" s="1"/>
  <c r="AW13" i="106" s="1"/>
  <c r="AY177" i="106"/>
  <c r="BA181" i="106"/>
  <c r="BG177" i="106"/>
  <c r="M243" i="105"/>
  <c r="J243" i="105" s="1"/>
  <c r="AW251" i="106"/>
  <c r="AY253" i="106"/>
  <c r="AY255" i="106" s="1"/>
  <c r="BC314" i="106"/>
  <c r="BC316" i="106" s="1"/>
  <c r="BC318" i="106" s="1"/>
  <c r="BD253" i="106"/>
  <c r="BD255" i="106" s="1"/>
  <c r="BD257" i="106" s="1"/>
  <c r="P243" i="106"/>
  <c r="O243" i="106"/>
  <c r="O187" i="106"/>
  <c r="P241" i="106"/>
  <c r="O241" i="106"/>
  <c r="AW312" i="106"/>
  <c r="AY314" i="106"/>
  <c r="AY316" i="106" s="1"/>
  <c r="AY318" i="106" s="1"/>
  <c r="BG253" i="106"/>
  <c r="BG255" i="106" s="1"/>
  <c r="BG257" i="106" s="1"/>
  <c r="BF253" i="106"/>
  <c r="BF255" i="106" s="1"/>
  <c r="BF257" i="106" s="1"/>
  <c r="AZ314" i="106"/>
  <c r="AZ316" i="106" s="1"/>
  <c r="AZ318" i="106" s="1"/>
  <c r="BA253" i="106"/>
  <c r="BA255" i="106" s="1"/>
  <c r="BA257" i="106" s="1"/>
  <c r="BF314" i="106"/>
  <c r="BF316" i="106" s="1"/>
  <c r="BF318" i="106" s="1"/>
  <c r="AW318" i="105"/>
  <c r="O310" i="105"/>
  <c r="M302" i="105"/>
  <c r="O249" i="105"/>
  <c r="M241" i="105"/>
  <c r="M267" i="104"/>
  <c r="J267" i="104" s="1"/>
  <c r="BG202" i="105"/>
  <c r="BG204" i="105" s="1"/>
  <c r="BG12" i="105"/>
  <c r="AZ202" i="105"/>
  <c r="AZ204" i="105" s="1"/>
  <c r="AZ222" i="105" s="1"/>
  <c r="AZ12" i="105"/>
  <c r="AW253" i="105"/>
  <c r="AW255" i="105" s="1"/>
  <c r="AM262" i="105"/>
  <c r="AM287" i="105"/>
  <c r="AM290" i="105" s="1"/>
  <c r="AY257" i="105"/>
  <c r="AW257" i="105" s="1"/>
  <c r="AY262" i="105"/>
  <c r="AY287" i="105"/>
  <c r="AY290" i="105" s="1"/>
  <c r="O191" i="105"/>
  <c r="BA202" i="105"/>
  <c r="BA204" i="105" s="1"/>
  <c r="BA12" i="105"/>
  <c r="AY202" i="105"/>
  <c r="AY12" i="105"/>
  <c r="Q310" i="105"/>
  <c r="P249" i="105"/>
  <c r="AY287" i="104"/>
  <c r="AY290" i="104" s="1"/>
  <c r="AY262" i="104"/>
  <c r="BG314" i="103"/>
  <c r="BG316" i="103" s="1"/>
  <c r="BG318" i="103" s="1"/>
  <c r="O187" i="104"/>
  <c r="M117" i="104"/>
  <c r="J117" i="104" s="1"/>
  <c r="O198" i="104"/>
  <c r="P241" i="104"/>
  <c r="O241" i="104"/>
  <c r="M266" i="104"/>
  <c r="J266" i="104" s="1"/>
  <c r="P273" i="104"/>
  <c r="M146" i="104"/>
  <c r="J146" i="104" s="1"/>
  <c r="S310" i="103"/>
  <c r="O243" i="104"/>
  <c r="P243" i="104"/>
  <c r="Q198" i="104"/>
  <c r="M121" i="104"/>
  <c r="J121" i="104" s="1"/>
  <c r="O13" i="104"/>
  <c r="P302" i="104"/>
  <c r="V302" i="104"/>
  <c r="U302" i="104"/>
  <c r="W302" i="104"/>
  <c r="R302" i="104"/>
  <c r="Q302" i="104"/>
  <c r="S302" i="104"/>
  <c r="T302" i="104"/>
  <c r="O302" i="104"/>
  <c r="AM262" i="104"/>
  <c r="AM287" i="104"/>
  <c r="AM290" i="104" s="1"/>
  <c r="M216" i="104"/>
  <c r="J209" i="104"/>
  <c r="J216" i="104" s="1"/>
  <c r="M304" i="103"/>
  <c r="J304" i="103" s="1"/>
  <c r="Q13" i="104"/>
  <c r="S304" i="104"/>
  <c r="T304" i="104"/>
  <c r="U304" i="104"/>
  <c r="O304" i="104"/>
  <c r="R304" i="104"/>
  <c r="Q304" i="104"/>
  <c r="P304" i="104"/>
  <c r="W304" i="104"/>
  <c r="V304" i="104"/>
  <c r="BC314" i="103"/>
  <c r="BC316" i="103" s="1"/>
  <c r="BC318" i="103" s="1"/>
  <c r="AN287" i="104"/>
  <c r="AN290" i="104" s="1"/>
  <c r="AN262" i="104"/>
  <c r="AN275" i="104" s="1"/>
  <c r="AN288" i="104" s="1"/>
  <c r="O14" i="104"/>
  <c r="O190" i="104"/>
  <c r="O169" i="104"/>
  <c r="M264" i="104"/>
  <c r="J264" i="104" s="1"/>
  <c r="O273" i="104"/>
  <c r="M142" i="104"/>
  <c r="J142" i="104" s="1"/>
  <c r="BE314" i="103"/>
  <c r="BE316" i="103" s="1"/>
  <c r="BE318" i="103" s="1"/>
  <c r="BC253" i="103"/>
  <c r="BC255" i="103" s="1"/>
  <c r="BC257" i="103" s="1"/>
  <c r="AW251" i="103"/>
  <c r="AY253" i="103"/>
  <c r="AY255" i="103" s="1"/>
  <c r="BB314" i="103"/>
  <c r="BB316" i="103" s="1"/>
  <c r="BB318" i="103" s="1"/>
  <c r="R310" i="103"/>
  <c r="AN287" i="103"/>
  <c r="AN290" i="103" s="1"/>
  <c r="AN262" i="103"/>
  <c r="AN275" i="103" s="1"/>
  <c r="AN288" i="103" s="1"/>
  <c r="O191" i="103"/>
  <c r="AW312" i="103"/>
  <c r="AY314" i="103"/>
  <c r="AY316" i="103" s="1"/>
  <c r="AY318" i="103" s="1"/>
  <c r="BG253" i="103"/>
  <c r="BG255" i="103" s="1"/>
  <c r="BG257" i="103" s="1"/>
  <c r="BA314" i="103"/>
  <c r="BA316" i="103" s="1"/>
  <c r="BA318" i="103" s="1"/>
  <c r="AM262" i="103"/>
  <c r="AM287" i="103"/>
  <c r="AM290" i="103" s="1"/>
  <c r="P310" i="103"/>
  <c r="U310" i="103"/>
  <c r="M273" i="103"/>
  <c r="J273" i="103" s="1"/>
  <c r="O249" i="103"/>
  <c r="M241" i="103"/>
  <c r="BB253" i="103"/>
  <c r="BB255" i="103" s="1"/>
  <c r="BB257" i="103" s="1"/>
  <c r="BG181" i="103"/>
  <c r="BG13" i="103" s="1"/>
  <c r="AW13" i="103" s="1"/>
  <c r="AY177" i="103"/>
  <c r="BA181" i="103"/>
  <c r="BG177" i="103"/>
  <c r="AZ181" i="103"/>
  <c r="BA177" i="103"/>
  <c r="AY181" i="103"/>
  <c r="AZ177" i="103"/>
  <c r="AW252" i="103"/>
  <c r="BF314" i="103"/>
  <c r="BF316" i="103" s="1"/>
  <c r="BF318" i="103" s="1"/>
  <c r="AZ253" i="103"/>
  <c r="AZ255" i="103" s="1"/>
  <c r="AZ257" i="103" s="1"/>
  <c r="Q310" i="103"/>
  <c r="T310" i="103"/>
  <c r="M243" i="103"/>
  <c r="J243" i="103" s="1"/>
  <c r="AW313" i="103"/>
  <c r="BD253" i="103"/>
  <c r="BD255" i="103" s="1"/>
  <c r="BD257" i="103" s="1"/>
  <c r="AZ314" i="103"/>
  <c r="AZ316" i="103" s="1"/>
  <c r="AZ318" i="103" s="1"/>
  <c r="BA253" i="103"/>
  <c r="BA255" i="103" s="1"/>
  <c r="BA257" i="103" s="1"/>
  <c r="V310" i="103"/>
  <c r="W310" i="103"/>
  <c r="O310" i="103"/>
  <c r="M302" i="103"/>
  <c r="AA293" i="55"/>
  <c r="AA296" i="55" a="1"/>
  <c r="AA296" i="55" s="1"/>
  <c r="BG216" i="55"/>
  <c r="J168" i="55"/>
  <c r="AU216" i="55"/>
  <c r="AK215" i="55"/>
  <c r="J215" i="55" s="1"/>
  <c r="I242" i="23" s="1"/>
  <c r="AK29" i="55"/>
  <c r="M29" i="55"/>
  <c r="AY90" i="55"/>
  <c r="AO90" i="55"/>
  <c r="J28" i="55"/>
  <c r="I265" i="24"/>
  <c r="O106" i="23"/>
  <c r="AR314" i="103" l="1"/>
  <c r="AR316" i="103" s="1"/>
  <c r="AR318" i="103" s="1"/>
  <c r="AT314" i="103"/>
  <c r="AT316" i="103" s="1"/>
  <c r="AT318" i="103" s="1"/>
  <c r="M146" i="107"/>
  <c r="J146" i="107" s="1"/>
  <c r="BC314" i="107"/>
  <c r="BC316" i="107" s="1"/>
  <c r="BC318" i="107" s="1"/>
  <c r="Q13" i="107"/>
  <c r="M167" i="104"/>
  <c r="AO253" i="103"/>
  <c r="AO255" i="103" s="1"/>
  <c r="AO257" i="103" s="1"/>
  <c r="AQ314" i="103"/>
  <c r="AQ316" i="103" s="1"/>
  <c r="AQ318" i="103" s="1"/>
  <c r="AO314" i="103"/>
  <c r="AO316" i="103" s="1"/>
  <c r="AO318" i="103" s="1"/>
  <c r="AK313" i="103"/>
  <c r="AS314" i="103"/>
  <c r="AS316" i="103" s="1"/>
  <c r="AS318" i="103" s="1"/>
  <c r="AP253" i="103"/>
  <c r="AP255" i="103" s="1"/>
  <c r="AP257" i="103" s="1"/>
  <c r="AR253" i="103"/>
  <c r="AR255" i="103" s="1"/>
  <c r="AR257" i="103" s="1"/>
  <c r="AP314" i="103"/>
  <c r="AP316" i="103" s="1"/>
  <c r="AP318" i="103" s="1"/>
  <c r="AK312" i="103"/>
  <c r="AM314" i="103"/>
  <c r="AM316" i="103" s="1"/>
  <c r="AM318" i="103" s="1"/>
  <c r="AK252" i="103"/>
  <c r="AM253" i="103"/>
  <c r="AM255" i="103" s="1"/>
  <c r="AM257" i="103" s="1"/>
  <c r="AK257" i="103" s="1"/>
  <c r="AK251" i="103"/>
  <c r="AO181" i="103"/>
  <c r="AO177" i="103"/>
  <c r="AU181" i="103"/>
  <c r="AU13" i="103" s="1"/>
  <c r="AK13" i="103" s="1"/>
  <c r="AN181" i="103"/>
  <c r="AN177" i="103"/>
  <c r="AU177" i="103"/>
  <c r="AM181" i="103"/>
  <c r="AM177" i="103"/>
  <c r="AN314" i="103"/>
  <c r="AN316" i="103" s="1"/>
  <c r="AN318" i="103" s="1"/>
  <c r="O162" i="106"/>
  <c r="M162" i="106" s="1"/>
  <c r="J162" i="106" s="1"/>
  <c r="Q216" i="106"/>
  <c r="Q310" i="106"/>
  <c r="BC253" i="107"/>
  <c r="BC255" i="107" s="1"/>
  <c r="BC257" i="107" s="1"/>
  <c r="BF314" i="107"/>
  <c r="BF316" i="107" s="1"/>
  <c r="BF318" i="107" s="1"/>
  <c r="BB314" i="107"/>
  <c r="BB316" i="107" s="1"/>
  <c r="BB318" i="107" s="1"/>
  <c r="BG314" i="107"/>
  <c r="BG316" i="107" s="1"/>
  <c r="BG318" i="107" s="1"/>
  <c r="M142" i="107"/>
  <c r="J142" i="107" s="1"/>
  <c r="O200" i="107"/>
  <c r="M200" i="107" s="1"/>
  <c r="J200" i="107" s="1"/>
  <c r="AZ253" i="107"/>
  <c r="AZ255" i="107" s="1"/>
  <c r="AZ257" i="107" s="1"/>
  <c r="BE253" i="107"/>
  <c r="BE255" i="107" s="1"/>
  <c r="BE257" i="107" s="1"/>
  <c r="BD314" i="107"/>
  <c r="BD316" i="107" s="1"/>
  <c r="BD318" i="107" s="1"/>
  <c r="AZ314" i="107"/>
  <c r="AZ316" i="107" s="1"/>
  <c r="AZ318" i="107" s="1"/>
  <c r="BA253" i="107"/>
  <c r="BA255" i="107" s="1"/>
  <c r="BA257" i="107" s="1"/>
  <c r="AZ177" i="107"/>
  <c r="BG177" i="107"/>
  <c r="BA181" i="107"/>
  <c r="BG181" i="107"/>
  <c r="BG13" i="107" s="1"/>
  <c r="AW13" i="107" s="1"/>
  <c r="AZ181" i="107"/>
  <c r="AY177" i="107"/>
  <c r="BA177" i="107"/>
  <c r="AY181" i="107"/>
  <c r="BE314" i="107"/>
  <c r="BE316" i="107" s="1"/>
  <c r="BE318" i="107" s="1"/>
  <c r="BA314" i="107"/>
  <c r="BA316" i="107" s="1"/>
  <c r="BA318" i="107" s="1"/>
  <c r="AW251" i="107"/>
  <c r="AY253" i="107"/>
  <c r="AY255" i="107" s="1"/>
  <c r="AY257" i="107" s="1"/>
  <c r="BF253" i="107"/>
  <c r="BF255" i="107" s="1"/>
  <c r="BF257" i="107" s="1"/>
  <c r="AW313" i="107"/>
  <c r="AY314" i="107"/>
  <c r="AY316" i="107" s="1"/>
  <c r="AY318" i="107" s="1"/>
  <c r="AW312" i="107"/>
  <c r="AW252" i="107"/>
  <c r="O169" i="107"/>
  <c r="M167" i="107"/>
  <c r="M117" i="107"/>
  <c r="J117" i="107" s="1"/>
  <c r="O198" i="107"/>
  <c r="M198" i="107" s="1"/>
  <c r="J198" i="107" s="1"/>
  <c r="M216" i="107"/>
  <c r="J209" i="107"/>
  <c r="J216" i="107" s="1"/>
  <c r="O13" i="107"/>
  <c r="M121" i="107"/>
  <c r="J121" i="107" s="1"/>
  <c r="AK12" i="106"/>
  <c r="AK131" i="106" s="1"/>
  <c r="P216" i="106"/>
  <c r="P310" i="106"/>
  <c r="M159" i="106"/>
  <c r="J159" i="106" s="1"/>
  <c r="T310" i="106"/>
  <c r="AW314" i="106"/>
  <c r="AW316" i="106" s="1"/>
  <c r="Q167" i="106"/>
  <c r="Q169" i="106" s="1"/>
  <c r="Q121" i="106"/>
  <c r="Q117" i="106"/>
  <c r="Q198" i="106" s="1"/>
  <c r="P171" i="106"/>
  <c r="P117" i="106"/>
  <c r="P198" i="106" s="1"/>
  <c r="P121" i="106"/>
  <c r="P13" i="106" s="1"/>
  <c r="P167" i="106"/>
  <c r="P169" i="106" s="1"/>
  <c r="Q146" i="106"/>
  <c r="Q142" i="106"/>
  <c r="Q200" i="106" s="1"/>
  <c r="M113" i="106"/>
  <c r="J113" i="106" s="1"/>
  <c r="O121" i="106"/>
  <c r="O117" i="106"/>
  <c r="O171" i="106"/>
  <c r="O167" i="106"/>
  <c r="AK202" i="106"/>
  <c r="AM204" i="106"/>
  <c r="M211" i="106"/>
  <c r="J211" i="106" s="1"/>
  <c r="O146" i="106"/>
  <c r="O142" i="106"/>
  <c r="O200" i="106" s="1"/>
  <c r="M138" i="106"/>
  <c r="J138" i="106" s="1"/>
  <c r="M212" i="106"/>
  <c r="J212" i="106" s="1"/>
  <c r="O216" i="106"/>
  <c r="M209" i="106"/>
  <c r="Q13" i="105"/>
  <c r="M121" i="105"/>
  <c r="J121" i="105" s="1"/>
  <c r="Q198" i="105"/>
  <c r="M198" i="105" s="1"/>
  <c r="J198" i="105" s="1"/>
  <c r="M117" i="105"/>
  <c r="J117" i="105" s="1"/>
  <c r="M142" i="105"/>
  <c r="J142" i="105" s="1"/>
  <c r="Q200" i="105"/>
  <c r="M200" i="105" s="1"/>
  <c r="J200" i="105" s="1"/>
  <c r="M162" i="105"/>
  <c r="J162" i="105" s="1"/>
  <c r="AR253" i="105"/>
  <c r="AR255" i="105" s="1"/>
  <c r="AR257" i="105" s="1"/>
  <c r="AO314" i="105"/>
  <c r="AO316" i="105" s="1"/>
  <c r="AO318" i="105" s="1"/>
  <c r="AT314" i="105"/>
  <c r="AT316" i="105" s="1"/>
  <c r="AT318" i="105" s="1"/>
  <c r="AO253" i="105"/>
  <c r="AO255" i="105" s="1"/>
  <c r="AO257" i="105" s="1"/>
  <c r="AN253" i="105"/>
  <c r="AN255" i="105" s="1"/>
  <c r="AN257" i="105" s="1"/>
  <c r="AQ253" i="105"/>
  <c r="AQ255" i="105" s="1"/>
  <c r="AQ257" i="105" s="1"/>
  <c r="AP253" i="105"/>
  <c r="AP255" i="105" s="1"/>
  <c r="AP257" i="105" s="1"/>
  <c r="AQ314" i="105"/>
  <c r="AQ316" i="105" s="1"/>
  <c r="AQ318" i="105" s="1"/>
  <c r="AU253" i="105"/>
  <c r="AU255" i="105" s="1"/>
  <c r="AU257" i="105" s="1"/>
  <c r="AT253" i="105"/>
  <c r="AT255" i="105" s="1"/>
  <c r="AT257" i="105" s="1"/>
  <c r="AS314" i="105"/>
  <c r="AS316" i="105" s="1"/>
  <c r="AS318" i="105" s="1"/>
  <c r="AM253" i="105"/>
  <c r="AM255" i="105" s="1"/>
  <c r="AM257" i="105" s="1"/>
  <c r="AK251" i="105"/>
  <c r="AN314" i="105"/>
  <c r="AN316" i="105" s="1"/>
  <c r="AN318" i="105" s="1"/>
  <c r="AK252" i="105"/>
  <c r="AM181" i="105"/>
  <c r="AO181" i="105"/>
  <c r="AO177" i="105"/>
  <c r="AN177" i="105"/>
  <c r="AU177" i="105"/>
  <c r="AM177" i="105"/>
  <c r="AN181" i="105"/>
  <c r="AU181" i="105"/>
  <c r="AU13" i="105" s="1"/>
  <c r="AK13" i="105" s="1"/>
  <c r="AK313" i="105"/>
  <c r="AP314" i="105"/>
  <c r="AP316" i="105" s="1"/>
  <c r="AP318" i="105" s="1"/>
  <c r="Q169" i="105"/>
  <c r="M167" i="105"/>
  <c r="AR314" i="105"/>
  <c r="AR316" i="105" s="1"/>
  <c r="AR318" i="105" s="1"/>
  <c r="AS253" i="105"/>
  <c r="AS255" i="105" s="1"/>
  <c r="AS257" i="105" s="1"/>
  <c r="AK312" i="105"/>
  <c r="AM314" i="105"/>
  <c r="AM316" i="105" s="1"/>
  <c r="AM318" i="105" s="1"/>
  <c r="AU314" i="105"/>
  <c r="AU316" i="105" s="1"/>
  <c r="AU318" i="105" s="1"/>
  <c r="M216" i="105"/>
  <c r="J209" i="105"/>
  <c r="J216" i="105" s="1"/>
  <c r="AO253" i="104"/>
  <c r="AO255" i="104" s="1"/>
  <c r="AO257" i="104" s="1"/>
  <c r="BC314" i="104"/>
  <c r="BC316" i="104" s="1"/>
  <c r="BC318" i="104" s="1"/>
  <c r="AR314" i="104"/>
  <c r="AR316" i="104" s="1"/>
  <c r="AR318" i="104" s="1"/>
  <c r="AO314" i="104"/>
  <c r="AO316" i="104" s="1"/>
  <c r="AO318" i="104" s="1"/>
  <c r="AZ314" i="104"/>
  <c r="AZ316" i="104" s="1"/>
  <c r="AZ318" i="104" s="1"/>
  <c r="AN253" i="104"/>
  <c r="AN255" i="104" s="1"/>
  <c r="AN257" i="104" s="1"/>
  <c r="AN314" i="104"/>
  <c r="AN316" i="104" s="1"/>
  <c r="AN318" i="104" s="1"/>
  <c r="AU253" i="104"/>
  <c r="AU255" i="104" s="1"/>
  <c r="AU257" i="104" s="1"/>
  <c r="BG253" i="104"/>
  <c r="BG255" i="104" s="1"/>
  <c r="BG257" i="104" s="1"/>
  <c r="AT253" i="104"/>
  <c r="AT255" i="104" s="1"/>
  <c r="AT257" i="104" s="1"/>
  <c r="AR253" i="104"/>
  <c r="AR255" i="104" s="1"/>
  <c r="AR257" i="104" s="1"/>
  <c r="AS253" i="104"/>
  <c r="AS255" i="104" s="1"/>
  <c r="AS257" i="104" s="1"/>
  <c r="AU314" i="104"/>
  <c r="AU316" i="104" s="1"/>
  <c r="AU318" i="104" s="1"/>
  <c r="BC253" i="104"/>
  <c r="BC255" i="104" s="1"/>
  <c r="BC257" i="104" s="1"/>
  <c r="BE253" i="104"/>
  <c r="BE255" i="104" s="1"/>
  <c r="BE257" i="104" s="1"/>
  <c r="AW312" i="104"/>
  <c r="AY314" i="104"/>
  <c r="AY316" i="104" s="1"/>
  <c r="AY318" i="104" s="1"/>
  <c r="AQ314" i="104"/>
  <c r="AQ316" i="104" s="1"/>
  <c r="AQ318" i="104" s="1"/>
  <c r="BE314" i="104"/>
  <c r="BE316" i="104" s="1"/>
  <c r="BE318" i="104" s="1"/>
  <c r="AW252" i="104"/>
  <c r="BA314" i="104"/>
  <c r="BA316" i="104" s="1"/>
  <c r="BA318" i="104" s="1"/>
  <c r="BD253" i="104"/>
  <c r="BD255" i="104" s="1"/>
  <c r="BD257" i="104" s="1"/>
  <c r="AY177" i="104"/>
  <c r="BA177" i="104"/>
  <c r="AY181" i="104"/>
  <c r="BA181" i="104"/>
  <c r="AZ181" i="104"/>
  <c r="AZ177" i="104"/>
  <c r="BG177" i="104"/>
  <c r="BG181" i="104"/>
  <c r="BG13" i="104" s="1"/>
  <c r="AW13" i="104" s="1"/>
  <c r="AK312" i="104"/>
  <c r="AM314" i="104"/>
  <c r="AM316" i="104" s="1"/>
  <c r="AM318" i="104" s="1"/>
  <c r="AK313" i="104"/>
  <c r="AP253" i="104"/>
  <c r="AP255" i="104" s="1"/>
  <c r="AP257" i="104" s="1"/>
  <c r="BF314" i="104"/>
  <c r="BF316" i="104" s="1"/>
  <c r="BF318" i="104" s="1"/>
  <c r="AW251" i="104"/>
  <c r="AW253" i="104" s="1"/>
  <c r="AW255" i="104" s="1"/>
  <c r="AY253" i="104"/>
  <c r="AY255" i="104" s="1"/>
  <c r="AY257" i="104" s="1"/>
  <c r="AZ253" i="104"/>
  <c r="AZ255" i="104" s="1"/>
  <c r="AZ257" i="104" s="1"/>
  <c r="AK252" i="104"/>
  <c r="AO177" i="104"/>
  <c r="AM177" i="104"/>
  <c r="AM181" i="104"/>
  <c r="AO181" i="104"/>
  <c r="AN181" i="104"/>
  <c r="AU181" i="104"/>
  <c r="AU13" i="104" s="1"/>
  <c r="AK13" i="104" s="1"/>
  <c r="AN177" i="104"/>
  <c r="AU177" i="104"/>
  <c r="AQ253" i="104"/>
  <c r="AQ255" i="104" s="1"/>
  <c r="AQ257" i="104" s="1"/>
  <c r="AK251" i="104"/>
  <c r="AM253" i="104"/>
  <c r="AM255" i="104" s="1"/>
  <c r="AM257" i="104" s="1"/>
  <c r="AS314" i="104"/>
  <c r="AS316" i="104" s="1"/>
  <c r="AS318" i="104" s="1"/>
  <c r="BF253" i="104"/>
  <c r="BF255" i="104" s="1"/>
  <c r="BF257" i="104" s="1"/>
  <c r="BA253" i="104"/>
  <c r="BA255" i="104" s="1"/>
  <c r="BA257" i="104" s="1"/>
  <c r="BB253" i="104"/>
  <c r="BB255" i="104" s="1"/>
  <c r="BB257" i="104" s="1"/>
  <c r="AW313" i="104"/>
  <c r="BD314" i="104"/>
  <c r="BD316" i="104" s="1"/>
  <c r="BD318" i="104" s="1"/>
  <c r="M142" i="103"/>
  <c r="J142" i="103" s="1"/>
  <c r="O200" i="103"/>
  <c r="M200" i="103" s="1"/>
  <c r="J200" i="103" s="1"/>
  <c r="M117" i="103"/>
  <c r="J117" i="103" s="1"/>
  <c r="O198" i="103"/>
  <c r="M198" i="103" s="1"/>
  <c r="J198" i="103" s="1"/>
  <c r="M167" i="103"/>
  <c r="O169" i="103"/>
  <c r="M146" i="103"/>
  <c r="J146" i="103" s="1"/>
  <c r="Q13" i="103"/>
  <c r="M121" i="103"/>
  <c r="J121" i="103" s="1"/>
  <c r="O13" i="103"/>
  <c r="J209" i="103"/>
  <c r="J216" i="103" s="1"/>
  <c r="M216" i="103"/>
  <c r="P249" i="106"/>
  <c r="W310" i="106"/>
  <c r="M249" i="107"/>
  <c r="J241" i="107"/>
  <c r="AK202" i="107"/>
  <c r="AM204" i="107"/>
  <c r="M243" i="106"/>
  <c r="J243" i="106" s="1"/>
  <c r="R310" i="106"/>
  <c r="AK262" i="107"/>
  <c r="AK275" i="107" s="1"/>
  <c r="AM275" i="107"/>
  <c r="AM288" i="107" s="1"/>
  <c r="AW253" i="106"/>
  <c r="AW255" i="106" s="1"/>
  <c r="AW262" i="107"/>
  <c r="AW275" i="107" s="1"/>
  <c r="AY275" i="107"/>
  <c r="AY288" i="107" s="1"/>
  <c r="M310" i="107"/>
  <c r="J302" i="107"/>
  <c r="AK12" i="107"/>
  <c r="AK131" i="107" s="1"/>
  <c r="AW318" i="106"/>
  <c r="AY257" i="106"/>
  <c r="AW257" i="106" s="1"/>
  <c r="AY262" i="106"/>
  <c r="AY287" i="106"/>
  <c r="AY290" i="106" s="1"/>
  <c r="O191" i="106"/>
  <c r="AY202" i="106"/>
  <c r="AY12" i="106"/>
  <c r="BA202" i="106"/>
  <c r="BA204" i="106" s="1"/>
  <c r="BA12" i="106"/>
  <c r="O310" i="106"/>
  <c r="M302" i="106"/>
  <c r="M304" i="106"/>
  <c r="J304" i="106" s="1"/>
  <c r="V310" i="106"/>
  <c r="U310" i="106"/>
  <c r="BG12" i="106"/>
  <c r="BG202" i="106"/>
  <c r="BG204" i="106" s="1"/>
  <c r="AZ12" i="106"/>
  <c r="AZ202" i="106"/>
  <c r="AZ204" i="106" s="1"/>
  <c r="AZ222" i="106" s="1"/>
  <c r="O249" i="106"/>
  <c r="M241" i="106"/>
  <c r="S310" i="106"/>
  <c r="M273" i="104"/>
  <c r="J273" i="104" s="1"/>
  <c r="AW262" i="105"/>
  <c r="AW275" i="105" s="1"/>
  <c r="AY275" i="105"/>
  <c r="AY288" i="105" s="1"/>
  <c r="M249" i="105"/>
  <c r="J241" i="105"/>
  <c r="AW12" i="105"/>
  <c r="AW131" i="105" s="1"/>
  <c r="AW202" i="105"/>
  <c r="AY204" i="105"/>
  <c r="AK262" i="105"/>
  <c r="AK275" i="105" s="1"/>
  <c r="AM275" i="105"/>
  <c r="AM288" i="105" s="1"/>
  <c r="M310" i="105"/>
  <c r="J302" i="105"/>
  <c r="AK262" i="104"/>
  <c r="AK275" i="104" s="1"/>
  <c r="AM275" i="104"/>
  <c r="AM288" i="104" s="1"/>
  <c r="S310" i="104"/>
  <c r="U310" i="104"/>
  <c r="J167" i="104"/>
  <c r="J169" i="104" s="1"/>
  <c r="M169" i="104"/>
  <c r="W252" i="104"/>
  <c r="U251" i="104"/>
  <c r="S251" i="104"/>
  <c r="Q252" i="104"/>
  <c r="T312" i="104"/>
  <c r="R252" i="104"/>
  <c r="V251" i="104"/>
  <c r="V313" i="104"/>
  <c r="W312" i="104"/>
  <c r="U312" i="104"/>
  <c r="S313" i="104"/>
  <c r="R313" i="104"/>
  <c r="T251" i="104"/>
  <c r="U313" i="104"/>
  <c r="Q312" i="104"/>
  <c r="R312" i="104"/>
  <c r="R314" i="104" s="1"/>
  <c r="S312" i="104"/>
  <c r="Q251" i="104"/>
  <c r="W251" i="104"/>
  <c r="V312" i="104"/>
  <c r="V314" i="104" s="1"/>
  <c r="S252" i="104"/>
  <c r="V252" i="104"/>
  <c r="T313" i="104"/>
  <c r="Q313" i="104"/>
  <c r="W313" i="104"/>
  <c r="U252" i="104"/>
  <c r="R251" i="104"/>
  <c r="T252" i="104"/>
  <c r="O313" i="104"/>
  <c r="O251" i="104"/>
  <c r="O312" i="104"/>
  <c r="O252" i="104"/>
  <c r="P251" i="104"/>
  <c r="P313" i="104"/>
  <c r="P312" i="104"/>
  <c r="P252" i="104"/>
  <c r="Q310" i="104"/>
  <c r="V310" i="104"/>
  <c r="O249" i="104"/>
  <c r="M241" i="104"/>
  <c r="AW262" i="104"/>
  <c r="AW275" i="104" s="1"/>
  <c r="AY275" i="104"/>
  <c r="AY288" i="104" s="1"/>
  <c r="O310" i="104"/>
  <c r="M302" i="104"/>
  <c r="R310" i="104"/>
  <c r="P310" i="104"/>
  <c r="P249" i="104"/>
  <c r="O191" i="104"/>
  <c r="M304" i="104"/>
  <c r="J304" i="104" s="1"/>
  <c r="T310" i="104"/>
  <c r="W310" i="104"/>
  <c r="M243" i="104"/>
  <c r="J243" i="104" s="1"/>
  <c r="M198" i="104"/>
  <c r="J198" i="104" s="1"/>
  <c r="P287" i="103"/>
  <c r="P290" i="103" s="1"/>
  <c r="AW314" i="103"/>
  <c r="AW316" i="103" s="1"/>
  <c r="M310" i="103"/>
  <c r="J302" i="103"/>
  <c r="AZ202" i="103"/>
  <c r="AZ204" i="103" s="1"/>
  <c r="AZ222" i="103" s="1"/>
  <c r="AZ12" i="103"/>
  <c r="BG12" i="103"/>
  <c r="BG202" i="103"/>
  <c r="BG204" i="103" s="1"/>
  <c r="AW318" i="103"/>
  <c r="J241" i="103"/>
  <c r="M249" i="103"/>
  <c r="AY257" i="103"/>
  <c r="AW257" i="103" s="1"/>
  <c r="AY287" i="103"/>
  <c r="AY290" i="103" s="1"/>
  <c r="AY262" i="103"/>
  <c r="BA202" i="103"/>
  <c r="BA204" i="103" s="1"/>
  <c r="BA12" i="103"/>
  <c r="AY202" i="103"/>
  <c r="AY12" i="103"/>
  <c r="AK262" i="103"/>
  <c r="AK275" i="103" s="1"/>
  <c r="AM275" i="103"/>
  <c r="AM288" i="103" s="1"/>
  <c r="AW253" i="103"/>
  <c r="AW255" i="103" s="1"/>
  <c r="AW180" i="55"/>
  <c r="AK180" i="55"/>
  <c r="Y180" i="55"/>
  <c r="M180" i="55"/>
  <c r="R316" i="104" l="1"/>
  <c r="R318" i="104" s="1"/>
  <c r="AU202" i="103"/>
  <c r="AU204" i="103" s="1"/>
  <c r="AU12" i="103"/>
  <c r="AO202" i="103"/>
  <c r="AO204" i="103" s="1"/>
  <c r="AO12" i="103"/>
  <c r="AN202" i="103"/>
  <c r="AN204" i="103" s="1"/>
  <c r="AN222" i="103" s="1"/>
  <c r="AN12" i="103"/>
  <c r="AK318" i="103"/>
  <c r="AM202" i="103"/>
  <c r="AM12" i="103"/>
  <c r="AK253" i="103"/>
  <c r="AK255" i="103" s="1"/>
  <c r="AK314" i="103"/>
  <c r="AK316" i="103" s="1"/>
  <c r="M200" i="106"/>
  <c r="J200" i="106" s="1"/>
  <c r="AW257" i="107"/>
  <c r="AW318" i="107"/>
  <c r="AW253" i="107"/>
  <c r="AW255" i="107" s="1"/>
  <c r="AW314" i="107"/>
  <c r="AW316" i="107" s="1"/>
  <c r="BA202" i="107"/>
  <c r="BA204" i="107" s="1"/>
  <c r="BA12" i="107"/>
  <c r="AY12" i="107"/>
  <c r="AY202" i="107"/>
  <c r="BG202" i="107"/>
  <c r="BG204" i="107" s="1"/>
  <c r="BG12" i="107"/>
  <c r="AZ202" i="107"/>
  <c r="AZ204" i="107" s="1"/>
  <c r="AZ222" i="107" s="1"/>
  <c r="AZ12" i="107"/>
  <c r="R312" i="107"/>
  <c r="W251" i="107"/>
  <c r="V313" i="107"/>
  <c r="W312" i="107"/>
  <c r="V251" i="107"/>
  <c r="U312" i="107"/>
  <c r="R252" i="107"/>
  <c r="O313" i="107"/>
  <c r="P313" i="107"/>
  <c r="J167" i="107"/>
  <c r="J169" i="107" s="1"/>
  <c r="V312" i="107"/>
  <c r="V314" i="107" s="1"/>
  <c r="V316" i="107" s="1"/>
  <c r="V318" i="107" s="1"/>
  <c r="W252" i="107"/>
  <c r="V252" i="107"/>
  <c r="R313" i="107"/>
  <c r="Q312" i="107"/>
  <c r="S252" i="107"/>
  <c r="Q251" i="107"/>
  <c r="O251" i="107"/>
  <c r="P312" i="107"/>
  <c r="M169" i="107"/>
  <c r="W313" i="107"/>
  <c r="Q252" i="107"/>
  <c r="T252" i="107"/>
  <c r="Q313" i="107"/>
  <c r="T313" i="107"/>
  <c r="U252" i="107"/>
  <c r="R251" i="107"/>
  <c r="R253" i="107" s="1"/>
  <c r="R255" i="107" s="1"/>
  <c r="R257" i="107" s="1"/>
  <c r="O312" i="107"/>
  <c r="P251" i="107"/>
  <c r="T251" i="107"/>
  <c r="S251" i="107"/>
  <c r="S312" i="107"/>
  <c r="U251" i="107"/>
  <c r="T312" i="107"/>
  <c r="S313" i="107"/>
  <c r="U313" i="107"/>
  <c r="O252" i="107"/>
  <c r="P252" i="107"/>
  <c r="J209" i="106"/>
  <c r="J216" i="106" s="1"/>
  <c r="M216" i="106"/>
  <c r="M142" i="106"/>
  <c r="J142" i="106" s="1"/>
  <c r="O13" i="106"/>
  <c r="M121" i="106"/>
  <c r="J121" i="106" s="1"/>
  <c r="M146" i="106"/>
  <c r="J146" i="106" s="1"/>
  <c r="O169" i="106"/>
  <c r="M167" i="106"/>
  <c r="Q13" i="106"/>
  <c r="AK204" i="106"/>
  <c r="AM222" i="106"/>
  <c r="O198" i="106"/>
  <c r="M198" i="106" s="1"/>
  <c r="J198" i="106" s="1"/>
  <c r="M117" i="106"/>
  <c r="J117" i="106" s="1"/>
  <c r="AK257" i="105"/>
  <c r="AK318" i="105"/>
  <c r="R252" i="105"/>
  <c r="U252" i="105"/>
  <c r="T313" i="105"/>
  <c r="W312" i="105"/>
  <c r="V312" i="105"/>
  <c r="Q313" i="105"/>
  <c r="U313" i="105"/>
  <c r="O312" i="105"/>
  <c r="P252" i="105"/>
  <c r="V252" i="105"/>
  <c r="T251" i="105"/>
  <c r="W252" i="105"/>
  <c r="V313" i="105"/>
  <c r="U251" i="105"/>
  <c r="U253" i="105" s="1"/>
  <c r="U255" i="105" s="1"/>
  <c r="U257" i="105" s="1"/>
  <c r="R312" i="105"/>
  <c r="Q251" i="105"/>
  <c r="S312" i="105"/>
  <c r="T252" i="105"/>
  <c r="O252" i="105"/>
  <c r="P312" i="105"/>
  <c r="W251" i="105"/>
  <c r="U312" i="105"/>
  <c r="S313" i="105"/>
  <c r="P313" i="105"/>
  <c r="M169" i="105"/>
  <c r="W313" i="105"/>
  <c r="T312" i="105"/>
  <c r="T314" i="105" s="1"/>
  <c r="T316" i="105" s="1"/>
  <c r="T318" i="105" s="1"/>
  <c r="Q252" i="105"/>
  <c r="R251" i="105"/>
  <c r="R253" i="105" s="1"/>
  <c r="R255" i="105" s="1"/>
  <c r="R257" i="105" s="1"/>
  <c r="R313" i="105"/>
  <c r="V251" i="105"/>
  <c r="S252" i="105"/>
  <c r="O313" i="105"/>
  <c r="P251" i="105"/>
  <c r="J167" i="105"/>
  <c r="J169" i="105" s="1"/>
  <c r="Q312" i="105"/>
  <c r="S251" i="105"/>
  <c r="O251" i="105"/>
  <c r="AN202" i="105"/>
  <c r="AN204" i="105" s="1"/>
  <c r="AN222" i="105" s="1"/>
  <c r="AN12" i="105"/>
  <c r="AU202" i="105"/>
  <c r="AU204" i="105" s="1"/>
  <c r="AU12" i="105"/>
  <c r="AK314" i="105"/>
  <c r="AK316" i="105" s="1"/>
  <c r="AO12" i="105"/>
  <c r="AO202" i="105"/>
  <c r="AO204" i="105" s="1"/>
  <c r="AM202" i="105"/>
  <c r="AM12" i="105"/>
  <c r="AK253" i="105"/>
  <c r="AK255" i="105" s="1"/>
  <c r="AK257" i="104"/>
  <c r="AK314" i="104"/>
  <c r="AK316" i="104" s="1"/>
  <c r="AU12" i="104"/>
  <c r="AU202" i="104"/>
  <c r="AU204" i="104" s="1"/>
  <c r="AN202" i="104"/>
  <c r="AN204" i="104" s="1"/>
  <c r="AN222" i="104" s="1"/>
  <c r="AN12" i="104"/>
  <c r="AY12" i="104"/>
  <c r="AY202" i="104"/>
  <c r="AK253" i="104"/>
  <c r="AK255" i="104" s="1"/>
  <c r="AM202" i="104"/>
  <c r="AM12" i="104"/>
  <c r="AW257" i="104"/>
  <c r="BG12" i="104"/>
  <c r="BG202" i="104"/>
  <c r="BG204" i="104" s="1"/>
  <c r="AW318" i="104"/>
  <c r="AO12" i="104"/>
  <c r="AO202" i="104"/>
  <c r="AO204" i="104" s="1"/>
  <c r="AK318" i="104"/>
  <c r="AZ202" i="104"/>
  <c r="AZ204" i="104" s="1"/>
  <c r="AZ222" i="104" s="1"/>
  <c r="AZ12" i="104"/>
  <c r="BA202" i="104"/>
  <c r="BA204" i="104" s="1"/>
  <c r="BA12" i="104"/>
  <c r="AW314" i="104"/>
  <c r="AW316" i="104" s="1"/>
  <c r="M169" i="103"/>
  <c r="S251" i="103"/>
  <c r="R251" i="103"/>
  <c r="W312" i="103"/>
  <c r="V313" i="103"/>
  <c r="T252" i="103"/>
  <c r="Q251" i="103"/>
  <c r="U251" i="103"/>
  <c r="O313" i="103"/>
  <c r="P251" i="103"/>
  <c r="W252" i="103"/>
  <c r="T251" i="103"/>
  <c r="U312" i="103"/>
  <c r="P252" i="103"/>
  <c r="S313" i="103"/>
  <c r="Q313" i="103"/>
  <c r="Q252" i="103"/>
  <c r="V251" i="103"/>
  <c r="T312" i="103"/>
  <c r="U313" i="103"/>
  <c r="P312" i="103"/>
  <c r="T313" i="103"/>
  <c r="J167" i="103"/>
  <c r="J169" i="103" s="1"/>
  <c r="S312" i="103"/>
  <c r="Q312" i="103"/>
  <c r="W251" i="103"/>
  <c r="V252" i="103"/>
  <c r="U252" i="103"/>
  <c r="R313" i="103"/>
  <c r="R312" i="103"/>
  <c r="O252" i="103"/>
  <c r="P313" i="103"/>
  <c r="V312" i="103"/>
  <c r="V314" i="103" s="1"/>
  <c r="V316" i="103" s="1"/>
  <c r="V318" i="103" s="1"/>
  <c r="S252" i="103"/>
  <c r="O251" i="103"/>
  <c r="W313" i="103"/>
  <c r="R252" i="103"/>
  <c r="O312" i="103"/>
  <c r="O287" i="107"/>
  <c r="O290" i="107" s="1"/>
  <c r="O262" i="107"/>
  <c r="AK204" i="107"/>
  <c r="AM222" i="107"/>
  <c r="J249" i="107"/>
  <c r="J310" i="107"/>
  <c r="P287" i="107"/>
  <c r="P290" i="107" s="1"/>
  <c r="P262" i="107"/>
  <c r="P275" i="107" s="1"/>
  <c r="P288" i="107" s="1"/>
  <c r="J241" i="106"/>
  <c r="M249" i="106"/>
  <c r="M310" i="106"/>
  <c r="J302" i="106"/>
  <c r="AW12" i="106"/>
  <c r="AW131" i="106" s="1"/>
  <c r="AW202" i="106"/>
  <c r="AY204" i="106"/>
  <c r="AW262" i="106"/>
  <c r="AW275" i="106" s="1"/>
  <c r="AY275" i="106"/>
  <c r="AY288" i="106" s="1"/>
  <c r="P287" i="105"/>
  <c r="P290" i="105" s="1"/>
  <c r="P262" i="105"/>
  <c r="P275" i="105" s="1"/>
  <c r="P288" i="105" s="1"/>
  <c r="O262" i="105"/>
  <c r="O287" i="105"/>
  <c r="O290" i="105" s="1"/>
  <c r="J310" i="105"/>
  <c r="J249" i="105"/>
  <c r="AY222" i="105"/>
  <c r="AW204" i="105"/>
  <c r="P314" i="104"/>
  <c r="P316" i="104" s="1"/>
  <c r="P318" i="104" s="1"/>
  <c r="R253" i="104"/>
  <c r="R255" i="104" s="1"/>
  <c r="R257" i="104" s="1"/>
  <c r="W253" i="104"/>
  <c r="W255" i="104" s="1"/>
  <c r="W257" i="104" s="1"/>
  <c r="V316" i="104"/>
  <c r="V318" i="104" s="1"/>
  <c r="Q314" i="104"/>
  <c r="Q316" i="104" s="1"/>
  <c r="Q318" i="104" s="1"/>
  <c r="S253" i="104"/>
  <c r="S255" i="104" s="1"/>
  <c r="S257" i="104" s="1"/>
  <c r="Q253" i="104"/>
  <c r="Q255" i="104" s="1"/>
  <c r="Q257" i="104" s="1"/>
  <c r="M310" i="104"/>
  <c r="J302" i="104"/>
  <c r="M252" i="104"/>
  <c r="J252" i="104" s="1"/>
  <c r="W181" i="104"/>
  <c r="W13" i="104" s="1"/>
  <c r="M13" i="104" s="1"/>
  <c r="J13" i="104" s="1"/>
  <c r="O177" i="104"/>
  <c r="Q181" i="104"/>
  <c r="W177" i="104"/>
  <c r="P181" i="104"/>
  <c r="Q177" i="104"/>
  <c r="O181" i="104"/>
  <c r="P177" i="104"/>
  <c r="O314" i="104"/>
  <c r="O316" i="104" s="1"/>
  <c r="O318" i="104" s="1"/>
  <c r="M312" i="104"/>
  <c r="V253" i="104"/>
  <c r="V255" i="104" s="1"/>
  <c r="V257" i="104" s="1"/>
  <c r="M251" i="104"/>
  <c r="O253" i="104"/>
  <c r="O255" i="104" s="1"/>
  <c r="U314" i="104"/>
  <c r="U316" i="104" s="1"/>
  <c r="U318" i="104" s="1"/>
  <c r="U253" i="104"/>
  <c r="U255" i="104" s="1"/>
  <c r="U257" i="104" s="1"/>
  <c r="M249" i="104"/>
  <c r="J241" i="104"/>
  <c r="P253" i="104"/>
  <c r="P255" i="104" s="1"/>
  <c r="M313" i="104"/>
  <c r="J313" i="104" s="1"/>
  <c r="S314" i="104"/>
  <c r="S316" i="104" s="1"/>
  <c r="S318" i="104" s="1"/>
  <c r="T253" i="104"/>
  <c r="T255" i="104" s="1"/>
  <c r="T257" i="104" s="1"/>
  <c r="W314" i="104"/>
  <c r="W316" i="104" s="1"/>
  <c r="W318" i="104" s="1"/>
  <c r="T314" i="104"/>
  <c r="T316" i="104" s="1"/>
  <c r="T318" i="104" s="1"/>
  <c r="P262" i="103"/>
  <c r="P275" i="103" s="1"/>
  <c r="P288" i="103" s="1"/>
  <c r="AW12" i="103"/>
  <c r="AW131" i="103" s="1"/>
  <c r="AW262" i="103"/>
  <c r="AW275" i="103" s="1"/>
  <c r="AY275" i="103"/>
  <c r="AY288" i="103" s="1"/>
  <c r="J249" i="103"/>
  <c r="J310" i="103"/>
  <c r="O287" i="103"/>
  <c r="O290" i="103" s="1"/>
  <c r="O262" i="103"/>
  <c r="AW202" i="103"/>
  <c r="AY204" i="103"/>
  <c r="I530" i="24"/>
  <c r="Q135" i="23"/>
  <c r="Q134" i="23"/>
  <c r="Q104" i="23"/>
  <c r="Q105" i="23"/>
  <c r="P134" i="23"/>
  <c r="P105" i="23"/>
  <c r="P135" i="23"/>
  <c r="P104" i="23"/>
  <c r="O135" i="23"/>
  <c r="O105" i="23"/>
  <c r="O134" i="23"/>
  <c r="O104" i="23"/>
  <c r="N105" i="23"/>
  <c r="N135" i="23"/>
  <c r="N104" i="23"/>
  <c r="N134" i="23"/>
  <c r="R135" i="23"/>
  <c r="R104" i="23"/>
  <c r="R134" i="23"/>
  <c r="R105" i="23"/>
  <c r="AK202" i="103" l="1"/>
  <c r="AM204" i="103"/>
  <c r="AK12" i="103"/>
  <c r="AK131" i="103" s="1"/>
  <c r="T253" i="103"/>
  <c r="T255" i="103" s="1"/>
  <c r="T257" i="103" s="1"/>
  <c r="U253" i="107"/>
  <c r="U255" i="107" s="1"/>
  <c r="U257" i="107" s="1"/>
  <c r="AW12" i="107"/>
  <c r="AW131" i="107" s="1"/>
  <c r="AY204" i="107"/>
  <c r="AW202" i="107"/>
  <c r="S253" i="107"/>
  <c r="S255" i="107" s="1"/>
  <c r="S257" i="107" s="1"/>
  <c r="M252" i="107"/>
  <c r="J252" i="107" s="1"/>
  <c r="P253" i="107"/>
  <c r="P255" i="107" s="1"/>
  <c r="P257" i="107" s="1"/>
  <c r="Q253" i="107"/>
  <c r="Q255" i="107" s="1"/>
  <c r="Q257" i="107" s="1"/>
  <c r="R314" i="107"/>
  <c r="R316" i="107" s="1"/>
  <c r="R318" i="107" s="1"/>
  <c r="S314" i="107"/>
  <c r="S316" i="107" s="1"/>
  <c r="S318" i="107" s="1"/>
  <c r="O314" i="107"/>
  <c r="O316" i="107" s="1"/>
  <c r="O318" i="107" s="1"/>
  <c r="M312" i="107"/>
  <c r="Q181" i="107"/>
  <c r="O181" i="107"/>
  <c r="W177" i="107"/>
  <c r="P177" i="107"/>
  <c r="W181" i="107"/>
  <c r="W13" i="107" s="1"/>
  <c r="M13" i="107" s="1"/>
  <c r="J13" i="107" s="1"/>
  <c r="P181" i="107"/>
  <c r="O177" i="107"/>
  <c r="Q177" i="107"/>
  <c r="M313" i="107"/>
  <c r="J313" i="107" s="1"/>
  <c r="W314" i="107"/>
  <c r="W316" i="107" s="1"/>
  <c r="W318" i="107" s="1"/>
  <c r="P314" i="107"/>
  <c r="P316" i="107" s="1"/>
  <c r="P318" i="107" s="1"/>
  <c r="Q314" i="107"/>
  <c r="Q316" i="107" s="1"/>
  <c r="Q318" i="107" s="1"/>
  <c r="T314" i="107"/>
  <c r="T316" i="107" s="1"/>
  <c r="T318" i="107" s="1"/>
  <c r="T253" i="107"/>
  <c r="T255" i="107" s="1"/>
  <c r="T257" i="107" s="1"/>
  <c r="O253" i="107"/>
  <c r="O255" i="107" s="1"/>
  <c r="O257" i="107" s="1"/>
  <c r="M251" i="107"/>
  <c r="U314" i="107"/>
  <c r="U316" i="107" s="1"/>
  <c r="U318" i="107" s="1"/>
  <c r="W253" i="107"/>
  <c r="W255" i="107" s="1"/>
  <c r="W257" i="107" s="1"/>
  <c r="V253" i="107"/>
  <c r="V255" i="107" s="1"/>
  <c r="V257" i="107" s="1"/>
  <c r="M169" i="106"/>
  <c r="Q313" i="106"/>
  <c r="P312" i="106"/>
  <c r="T251" i="106"/>
  <c r="T313" i="106"/>
  <c r="R252" i="106"/>
  <c r="U252" i="106"/>
  <c r="W251" i="106"/>
  <c r="Q251" i="106"/>
  <c r="Q252" i="106"/>
  <c r="O313" i="106"/>
  <c r="P251" i="106"/>
  <c r="U313" i="106"/>
  <c r="W313" i="106"/>
  <c r="R313" i="106"/>
  <c r="T252" i="106"/>
  <c r="R251" i="106"/>
  <c r="U251" i="106"/>
  <c r="Q312" i="106"/>
  <c r="S251" i="106"/>
  <c r="S252" i="106"/>
  <c r="O312" i="106"/>
  <c r="P313" i="106"/>
  <c r="T312" i="106"/>
  <c r="W312" i="106"/>
  <c r="O252" i="106"/>
  <c r="J167" i="106"/>
  <c r="J169" i="106" s="1"/>
  <c r="V312" i="106"/>
  <c r="R312" i="106"/>
  <c r="V313" i="106"/>
  <c r="U312" i="106"/>
  <c r="W252" i="106"/>
  <c r="V251" i="106"/>
  <c r="V252" i="106"/>
  <c r="O251" i="106"/>
  <c r="P252" i="106"/>
  <c r="S313" i="106"/>
  <c r="S312" i="106"/>
  <c r="AK12" i="105"/>
  <c r="AK131" i="105" s="1"/>
  <c r="S253" i="105"/>
  <c r="S255" i="105" s="1"/>
  <c r="S257" i="105" s="1"/>
  <c r="P253" i="105"/>
  <c r="P255" i="105" s="1"/>
  <c r="P257" i="105" s="1"/>
  <c r="Q314" i="105"/>
  <c r="Q316" i="105" s="1"/>
  <c r="Q318" i="105" s="1"/>
  <c r="V253" i="105"/>
  <c r="V255" i="105" s="1"/>
  <c r="V257" i="105" s="1"/>
  <c r="M252" i="105"/>
  <c r="J252" i="105" s="1"/>
  <c r="R314" i="105"/>
  <c r="R316" i="105" s="1"/>
  <c r="R318" i="105" s="1"/>
  <c r="T253" i="105"/>
  <c r="T255" i="105" s="1"/>
  <c r="T257" i="105" s="1"/>
  <c r="AK202" i="105"/>
  <c r="AM204" i="105"/>
  <c r="M251" i="105"/>
  <c r="O253" i="105"/>
  <c r="O255" i="105" s="1"/>
  <c r="O257" i="105" s="1"/>
  <c r="U314" i="105"/>
  <c r="U316" i="105" s="1"/>
  <c r="U318" i="105" s="1"/>
  <c r="M313" i="105"/>
  <c r="J313" i="105" s="1"/>
  <c r="W181" i="105"/>
  <c r="W13" i="105" s="1"/>
  <c r="M13" i="105" s="1"/>
  <c r="J13" i="105" s="1"/>
  <c r="P181" i="105"/>
  <c r="O177" i="105"/>
  <c r="Q177" i="105"/>
  <c r="Q181" i="105"/>
  <c r="O181" i="105"/>
  <c r="W177" i="105"/>
  <c r="P177" i="105"/>
  <c r="W253" i="105"/>
  <c r="W255" i="105" s="1"/>
  <c r="W257" i="105" s="1"/>
  <c r="S314" i="105"/>
  <c r="S316" i="105" s="1"/>
  <c r="S318" i="105" s="1"/>
  <c r="V314" i="105"/>
  <c r="V316" i="105" s="1"/>
  <c r="V318" i="105" s="1"/>
  <c r="P314" i="105"/>
  <c r="P316" i="105" s="1"/>
  <c r="P318" i="105" s="1"/>
  <c r="Q253" i="105"/>
  <c r="Q255" i="105" s="1"/>
  <c r="Q257" i="105" s="1"/>
  <c r="M312" i="105"/>
  <c r="O314" i="105"/>
  <c r="O316" i="105" s="1"/>
  <c r="O318" i="105" s="1"/>
  <c r="W314" i="105"/>
  <c r="W316" i="105" s="1"/>
  <c r="W318" i="105" s="1"/>
  <c r="AK12" i="104"/>
  <c r="AK131" i="104" s="1"/>
  <c r="AW12" i="104"/>
  <c r="AW131" i="104" s="1"/>
  <c r="AM204" i="104"/>
  <c r="AK202" i="104"/>
  <c r="AY204" i="104"/>
  <c r="AW202" i="104"/>
  <c r="R314" i="103"/>
  <c r="R316" i="103" s="1"/>
  <c r="R318" i="103" s="1"/>
  <c r="S314" i="103"/>
  <c r="S316" i="103" s="1"/>
  <c r="S318" i="103" s="1"/>
  <c r="W253" i="103"/>
  <c r="W255" i="103" s="1"/>
  <c r="W257" i="103" s="1"/>
  <c r="M252" i="103"/>
  <c r="J252" i="103" s="1"/>
  <c r="T314" i="103"/>
  <c r="T316" i="103" s="1"/>
  <c r="T318" i="103" s="1"/>
  <c r="U253" i="103"/>
  <c r="U255" i="103" s="1"/>
  <c r="U257" i="103" s="1"/>
  <c r="W314" i="103"/>
  <c r="W316" i="103" s="1"/>
  <c r="W318" i="103" s="1"/>
  <c r="M251" i="103"/>
  <c r="O253" i="103"/>
  <c r="O255" i="103" s="1"/>
  <c r="O257" i="103" s="1"/>
  <c r="Q253" i="103"/>
  <c r="Q255" i="103" s="1"/>
  <c r="Q257" i="103" s="1"/>
  <c r="R253" i="103"/>
  <c r="R255" i="103" s="1"/>
  <c r="R257" i="103" s="1"/>
  <c r="M312" i="103"/>
  <c r="O314" i="103"/>
  <c r="O316" i="103" s="1"/>
  <c r="O318" i="103" s="1"/>
  <c r="V253" i="103"/>
  <c r="V255" i="103" s="1"/>
  <c r="V257" i="103" s="1"/>
  <c r="P253" i="103"/>
  <c r="P255" i="103" s="1"/>
  <c r="P257" i="103" s="1"/>
  <c r="S253" i="103"/>
  <c r="S255" i="103" s="1"/>
  <c r="S257" i="103" s="1"/>
  <c r="Q314" i="103"/>
  <c r="Q316" i="103" s="1"/>
  <c r="Q318" i="103" s="1"/>
  <c r="P314" i="103"/>
  <c r="P316" i="103" s="1"/>
  <c r="P318" i="103" s="1"/>
  <c r="U314" i="103"/>
  <c r="U316" i="103" s="1"/>
  <c r="U318" i="103" s="1"/>
  <c r="M313" i="103"/>
  <c r="J313" i="103" s="1"/>
  <c r="P181" i="103"/>
  <c r="P177" i="103"/>
  <c r="O181" i="103"/>
  <c r="O177" i="103"/>
  <c r="W177" i="103"/>
  <c r="Q181" i="103"/>
  <c r="Q177" i="103"/>
  <c r="W181" i="103"/>
  <c r="W13" i="103" s="1"/>
  <c r="M13" i="103" s="1"/>
  <c r="J13" i="103" s="1"/>
  <c r="M262" i="107"/>
  <c r="O275" i="107"/>
  <c r="O288" i="107" s="1"/>
  <c r="P262" i="106"/>
  <c r="P275" i="106" s="1"/>
  <c r="P288" i="106" s="1"/>
  <c r="AY222" i="106"/>
  <c r="AW204" i="106"/>
  <c r="J310" i="106"/>
  <c r="O262" i="106"/>
  <c r="O287" i="106"/>
  <c r="O290" i="106" s="1"/>
  <c r="J249" i="106"/>
  <c r="M262" i="105"/>
  <c r="O275" i="105"/>
  <c r="O288" i="105" s="1"/>
  <c r="O257" i="104"/>
  <c r="O287" i="104"/>
  <c r="O290" i="104" s="1"/>
  <c r="O262" i="104"/>
  <c r="P257" i="104"/>
  <c r="P287" i="104"/>
  <c r="P290" i="104" s="1"/>
  <c r="P262" i="104"/>
  <c r="P275" i="104" s="1"/>
  <c r="P288" i="104" s="1"/>
  <c r="P202" i="104"/>
  <c r="P204" i="104" s="1"/>
  <c r="P222" i="104" s="1"/>
  <c r="P12" i="104"/>
  <c r="J310" i="104"/>
  <c r="J312" i="104"/>
  <c r="M314" i="104"/>
  <c r="J314" i="104" s="1"/>
  <c r="M318" i="104"/>
  <c r="J318" i="104" s="1"/>
  <c r="W12" i="104"/>
  <c r="W202" i="104"/>
  <c r="W204" i="104" s="1"/>
  <c r="J249" i="104"/>
  <c r="J251" i="104"/>
  <c r="M253" i="104"/>
  <c r="J253" i="104" s="1"/>
  <c r="Q202" i="104"/>
  <c r="Q204" i="104" s="1"/>
  <c r="Q12" i="104"/>
  <c r="O202" i="104"/>
  <c r="O12" i="104"/>
  <c r="AY222" i="103"/>
  <c r="AW204" i="103"/>
  <c r="M262" i="103"/>
  <c r="O275" i="103"/>
  <c r="O288" i="103" s="1"/>
  <c r="I307" i="24"/>
  <c r="AH147" i="24"/>
  <c r="AH146" i="24"/>
  <c r="AH145" i="24"/>
  <c r="Q120" i="23"/>
  <c r="Q103" i="23"/>
  <c r="Q133" i="23"/>
  <c r="P119" i="23"/>
  <c r="P103" i="23"/>
  <c r="P133" i="23"/>
  <c r="P120" i="23"/>
  <c r="O120" i="23"/>
  <c r="O103" i="23"/>
  <c r="O119" i="23"/>
  <c r="O133" i="23"/>
  <c r="N133" i="23"/>
  <c r="N119" i="23"/>
  <c r="N103" i="23"/>
  <c r="N120" i="23"/>
  <c r="R133" i="23"/>
  <c r="R120" i="23"/>
  <c r="R103" i="23"/>
  <c r="AK204" i="103" l="1"/>
  <c r="AM222" i="103"/>
  <c r="AW204" i="107"/>
  <c r="AY222" i="107"/>
  <c r="M257" i="107"/>
  <c r="J257" i="107" s="1"/>
  <c r="J251" i="107"/>
  <c r="M253" i="107"/>
  <c r="Q202" i="107"/>
  <c r="Q204" i="107" s="1"/>
  <c r="Q12" i="107"/>
  <c r="P202" i="107"/>
  <c r="P204" i="107" s="1"/>
  <c r="P222" i="107" s="1"/>
  <c r="P12" i="107"/>
  <c r="J312" i="107"/>
  <c r="M314" i="107"/>
  <c r="O202" i="107"/>
  <c r="O12" i="107"/>
  <c r="W12" i="107"/>
  <c r="W202" i="107"/>
  <c r="W204" i="107" s="1"/>
  <c r="M318" i="107"/>
  <c r="J318" i="107" s="1"/>
  <c r="U253" i="106"/>
  <c r="U255" i="106" s="1"/>
  <c r="U257" i="106" s="1"/>
  <c r="R314" i="106"/>
  <c r="R316" i="106" s="1"/>
  <c r="R318" i="106" s="1"/>
  <c r="S314" i="106"/>
  <c r="S316" i="106" s="1"/>
  <c r="S318" i="106" s="1"/>
  <c r="V314" i="106"/>
  <c r="V316" i="106" s="1"/>
  <c r="V318" i="106" s="1"/>
  <c r="T314" i="106"/>
  <c r="T316" i="106" s="1"/>
  <c r="T318" i="106" s="1"/>
  <c r="S253" i="106"/>
  <c r="S255" i="106" s="1"/>
  <c r="S257" i="106" s="1"/>
  <c r="P253" i="106"/>
  <c r="P255" i="106" s="1"/>
  <c r="W253" i="106"/>
  <c r="W255" i="106" s="1"/>
  <c r="W257" i="106" s="1"/>
  <c r="T253" i="106"/>
  <c r="T255" i="106" s="1"/>
  <c r="T257" i="106" s="1"/>
  <c r="M251" i="106"/>
  <c r="O253" i="106"/>
  <c r="O255" i="106" s="1"/>
  <c r="O257" i="106" s="1"/>
  <c r="U314" i="106"/>
  <c r="U316" i="106" s="1"/>
  <c r="U318" i="106" s="1"/>
  <c r="Q314" i="106"/>
  <c r="Q316" i="106" s="1"/>
  <c r="Q318" i="106" s="1"/>
  <c r="M313" i="106"/>
  <c r="J313" i="106" s="1"/>
  <c r="P314" i="106"/>
  <c r="P316" i="106" s="1"/>
  <c r="P318" i="106" s="1"/>
  <c r="M252" i="106"/>
  <c r="J252" i="106" s="1"/>
  <c r="O314" i="106"/>
  <c r="O316" i="106" s="1"/>
  <c r="O318" i="106" s="1"/>
  <c r="M312" i="106"/>
  <c r="V253" i="106"/>
  <c r="V255" i="106" s="1"/>
  <c r="V257" i="106" s="1"/>
  <c r="W314" i="106"/>
  <c r="W316" i="106" s="1"/>
  <c r="W318" i="106" s="1"/>
  <c r="R253" i="106"/>
  <c r="R255" i="106" s="1"/>
  <c r="R257" i="106" s="1"/>
  <c r="Q253" i="106"/>
  <c r="Q255" i="106" s="1"/>
  <c r="Q257" i="106" s="1"/>
  <c r="O177" i="106"/>
  <c r="Q177" i="106"/>
  <c r="O181" i="106"/>
  <c r="Q181" i="106"/>
  <c r="P177" i="106"/>
  <c r="W177" i="106"/>
  <c r="W181" i="106"/>
  <c r="W13" i="106" s="1"/>
  <c r="M13" i="106" s="1"/>
  <c r="J13" i="106" s="1"/>
  <c r="P181" i="106"/>
  <c r="M257" i="105"/>
  <c r="J257" i="105" s="1"/>
  <c r="M253" i="105"/>
  <c r="J251" i="105"/>
  <c r="P12" i="105"/>
  <c r="P202" i="105"/>
  <c r="P204" i="105" s="1"/>
  <c r="P222" i="105" s="1"/>
  <c r="Q12" i="105"/>
  <c r="Q202" i="105"/>
  <c r="Q204" i="105" s="1"/>
  <c r="AM222" i="105"/>
  <c r="AK204" i="105"/>
  <c r="J312" i="105"/>
  <c r="M314" i="105"/>
  <c r="M318" i="105"/>
  <c r="J318" i="105" s="1"/>
  <c r="W12" i="105"/>
  <c r="W202" i="105"/>
  <c r="W204" i="105" s="1"/>
  <c r="O12" i="105"/>
  <c r="O202" i="105"/>
  <c r="AW204" i="104"/>
  <c r="AY222" i="104"/>
  <c r="AM222" i="104"/>
  <c r="AK204" i="104"/>
  <c r="W202" i="103"/>
  <c r="W204" i="103" s="1"/>
  <c r="W12" i="103"/>
  <c r="M318" i="103"/>
  <c r="J318" i="103" s="1"/>
  <c r="M257" i="103"/>
  <c r="J257" i="103" s="1"/>
  <c r="O202" i="103"/>
  <c r="O12" i="103"/>
  <c r="J312" i="103"/>
  <c r="M314" i="103"/>
  <c r="J251" i="103"/>
  <c r="M253" i="103"/>
  <c r="Q202" i="103"/>
  <c r="Q204" i="103" s="1"/>
  <c r="Q12" i="103"/>
  <c r="P202" i="103"/>
  <c r="P204" i="103" s="1"/>
  <c r="P222" i="103" s="1"/>
  <c r="P12" i="103"/>
  <c r="J262" i="107"/>
  <c r="J275" i="107" s="1"/>
  <c r="M275" i="107"/>
  <c r="M262" i="106"/>
  <c r="O275" i="106"/>
  <c r="O288" i="106" s="1"/>
  <c r="J262" i="105"/>
  <c r="J275" i="105" s="1"/>
  <c r="M275" i="105"/>
  <c r="M255" i="104"/>
  <c r="J255" i="104" s="1"/>
  <c r="M316" i="104"/>
  <c r="J316" i="104" s="1"/>
  <c r="M12" i="104"/>
  <c r="M202" i="104"/>
  <c r="J202" i="104" s="1"/>
  <c r="O204" i="104"/>
  <c r="M262" i="104"/>
  <c r="O275" i="104"/>
  <c r="O288" i="104" s="1"/>
  <c r="M257" i="104"/>
  <c r="J257" i="104" s="1"/>
  <c r="J262" i="103"/>
  <c r="J275" i="103" s="1"/>
  <c r="M275" i="103"/>
  <c r="AF65" i="55"/>
  <c r="AR65" i="55"/>
  <c r="BD65" i="55"/>
  <c r="T65" i="55"/>
  <c r="AI65" i="55"/>
  <c r="S65" i="55"/>
  <c r="AD65" i="55"/>
  <c r="U65" i="55"/>
  <c r="AB65" i="55"/>
  <c r="AH65" i="55"/>
  <c r="AC65" i="55"/>
  <c r="V65" i="55"/>
  <c r="AE65" i="55"/>
  <c r="AG65" i="55"/>
  <c r="W65" i="55"/>
  <c r="BE65" i="55"/>
  <c r="AP65" i="55"/>
  <c r="BB65" i="55"/>
  <c r="AZ65" i="55"/>
  <c r="BA65" i="55"/>
  <c r="AU65" i="55"/>
  <c r="AQ65" i="55"/>
  <c r="AN65" i="55"/>
  <c r="AO65" i="55"/>
  <c r="BF65" i="55"/>
  <c r="BG65" i="55"/>
  <c r="AS65" i="55"/>
  <c r="BC65" i="55"/>
  <c r="AY65" i="55"/>
  <c r="AT65" i="55"/>
  <c r="AM65" i="55"/>
  <c r="I308" i="24"/>
  <c r="AA65" i="55"/>
  <c r="Q65" i="55"/>
  <c r="R65" i="55"/>
  <c r="P65" i="55"/>
  <c r="O65" i="55"/>
  <c r="Q90" i="55"/>
  <c r="Q92" i="55" s="1"/>
  <c r="O108" i="55"/>
  <c r="O136" i="55"/>
  <c r="G5" i="55"/>
  <c r="Q119" i="23"/>
  <c r="O118" i="23"/>
  <c r="R119" i="23"/>
  <c r="M12" i="107" l="1"/>
  <c r="J12" i="107" s="1"/>
  <c r="J314" i="107"/>
  <c r="M316" i="107"/>
  <c r="J316" i="107" s="1"/>
  <c r="J253" i="107"/>
  <c r="M255" i="107"/>
  <c r="J255" i="107" s="1"/>
  <c r="M202" i="107"/>
  <c r="J202" i="107" s="1"/>
  <c r="O204" i="107"/>
  <c r="M318" i="106"/>
  <c r="J318" i="106" s="1"/>
  <c r="P12" i="106"/>
  <c r="P202" i="106"/>
  <c r="P204" i="106" s="1"/>
  <c r="P222" i="106" s="1"/>
  <c r="O202" i="106"/>
  <c r="O12" i="106"/>
  <c r="P287" i="106"/>
  <c r="P290" i="106" s="1"/>
  <c r="P257" i="106"/>
  <c r="M257" i="106" s="1"/>
  <c r="J257" i="106" s="1"/>
  <c r="W12" i="106"/>
  <c r="W202" i="106"/>
  <c r="W204" i="106" s="1"/>
  <c r="Q202" i="106"/>
  <c r="Q204" i="106" s="1"/>
  <c r="Q12" i="106"/>
  <c r="J312" i="106"/>
  <c r="M314" i="106"/>
  <c r="M253" i="106"/>
  <c r="J251" i="106"/>
  <c r="M12" i="105"/>
  <c r="M131" i="105" s="1"/>
  <c r="J12" i="105"/>
  <c r="O204" i="105"/>
  <c r="M202" i="105"/>
  <c r="J202" i="105" s="1"/>
  <c r="J314" i="105"/>
  <c r="M316" i="105"/>
  <c r="J316" i="105" s="1"/>
  <c r="J253" i="105"/>
  <c r="M255" i="105"/>
  <c r="J255" i="105" s="1"/>
  <c r="M12" i="103"/>
  <c r="J314" i="103"/>
  <c r="M316" i="103"/>
  <c r="J316" i="103" s="1"/>
  <c r="J253" i="103"/>
  <c r="M255" i="103"/>
  <c r="J255" i="103" s="1"/>
  <c r="M202" i="103"/>
  <c r="J202" i="103" s="1"/>
  <c r="O204" i="103"/>
  <c r="J262" i="106"/>
  <c r="J275" i="106" s="1"/>
  <c r="M275" i="106"/>
  <c r="O222" i="104"/>
  <c r="M204" i="104"/>
  <c r="J204" i="104" s="1"/>
  <c r="J262" i="104"/>
  <c r="J275" i="104" s="1"/>
  <c r="M275" i="104"/>
  <c r="M131" i="104"/>
  <c r="J12" i="104"/>
  <c r="AO115" i="55"/>
  <c r="AO119" i="55"/>
  <c r="AZ115" i="55"/>
  <c r="AB115" i="55"/>
  <c r="AN115" i="55"/>
  <c r="P115" i="55"/>
  <c r="T75" i="55"/>
  <c r="T186" i="55" s="1"/>
  <c r="AF75" i="55"/>
  <c r="Y65" i="55"/>
  <c r="BF158" i="55"/>
  <c r="AT158" i="55"/>
  <c r="AH158" i="55"/>
  <c r="BE158" i="55"/>
  <c r="AS158" i="55"/>
  <c r="AG158" i="55"/>
  <c r="BC158" i="55"/>
  <c r="AQ158" i="55"/>
  <c r="AE158" i="55"/>
  <c r="BB158" i="55"/>
  <c r="AP158" i="55"/>
  <c r="AD158" i="55"/>
  <c r="BA158" i="55"/>
  <c r="AO158" i="55"/>
  <c r="AC158" i="55"/>
  <c r="AZ158" i="55"/>
  <c r="AN158" i="55"/>
  <c r="AB158" i="55"/>
  <c r="AY158" i="55"/>
  <c r="AM158" i="55"/>
  <c r="AA158" i="55"/>
  <c r="AK65" i="55"/>
  <c r="AR75" i="55"/>
  <c r="AW65" i="55"/>
  <c r="BD75" i="55"/>
  <c r="M175" i="55"/>
  <c r="O158" i="55"/>
  <c r="AK175" i="55"/>
  <c r="U158" i="55"/>
  <c r="Y175" i="55"/>
  <c r="S158" i="55"/>
  <c r="V158" i="55"/>
  <c r="P158" i="55"/>
  <c r="Q158" i="55"/>
  <c r="AW175" i="55"/>
  <c r="R158" i="55"/>
  <c r="Q118" i="23"/>
  <c r="P118" i="23"/>
  <c r="N118" i="23"/>
  <c r="R118" i="23"/>
  <c r="M131" i="107" l="1"/>
  <c r="M204" i="107"/>
  <c r="J204" i="107" s="1"/>
  <c r="O222" i="107"/>
  <c r="M12" i="106"/>
  <c r="J253" i="106"/>
  <c r="M255" i="106"/>
  <c r="J255" i="106" s="1"/>
  <c r="J314" i="106"/>
  <c r="M316" i="106"/>
  <c r="J316" i="106" s="1"/>
  <c r="M202" i="106"/>
  <c r="J202" i="106" s="1"/>
  <c r="O204" i="106"/>
  <c r="O222" i="105"/>
  <c r="M204" i="105"/>
  <c r="J204" i="105" s="1"/>
  <c r="M131" i="103"/>
  <c r="J12" i="103"/>
  <c r="O222" i="103"/>
  <c r="M204" i="103"/>
  <c r="J204" i="103" s="1"/>
  <c r="AH159" i="55"/>
  <c r="AH12" i="55" s="1"/>
  <c r="AT159" i="55"/>
  <c r="AT12" i="55" s="1"/>
  <c r="BF159" i="55"/>
  <c r="BF202" i="55" s="1"/>
  <c r="BF204" i="55" s="1"/>
  <c r="T202" i="55"/>
  <c r="T156" i="55"/>
  <c r="AF248" i="55"/>
  <c r="BE248" i="55"/>
  <c r="BF248" i="55"/>
  <c r="BD248" i="55"/>
  <c r="BA248" i="55"/>
  <c r="BB248" i="55"/>
  <c r="AR248" i="55"/>
  <c r="T14" i="55"/>
  <c r="T190" i="55"/>
  <c r="V159" i="55"/>
  <c r="V12" i="55" s="1"/>
  <c r="AR202" i="55"/>
  <c r="AR186" i="55"/>
  <c r="AR156" i="55"/>
  <c r="AK156" i="55" s="1"/>
  <c r="BD202" i="55"/>
  <c r="BD186" i="55"/>
  <c r="BD156" i="55"/>
  <c r="AW156" i="55" s="1"/>
  <c r="AF202" i="55"/>
  <c r="AF186" i="55"/>
  <c r="AF156" i="55"/>
  <c r="Y156" i="55" s="1"/>
  <c r="AZ248" i="55"/>
  <c r="BG248" i="55"/>
  <c r="AY248" i="55"/>
  <c r="M131" i="106" l="1"/>
  <c r="J12" i="106"/>
  <c r="O222" i="106"/>
  <c r="M204" i="106"/>
  <c r="J204" i="106" s="1"/>
  <c r="AT202" i="55"/>
  <c r="AT204" i="55" s="1"/>
  <c r="BF12" i="55"/>
  <c r="AH202" i="55"/>
  <c r="AH204" i="55" s="1"/>
  <c r="T204" i="55"/>
  <c r="AR204" i="55"/>
  <c r="AT246" i="55" s="1"/>
  <c r="AF204" i="55"/>
  <c r="AA246" i="55" s="1"/>
  <c r="BD204" i="55"/>
  <c r="BA246" i="55" s="1"/>
  <c r="T162" i="55"/>
  <c r="M156" i="55"/>
  <c r="J156" i="55" s="1"/>
  <c r="T159" i="55"/>
  <c r="T12" i="55" s="1"/>
  <c r="T248" i="55"/>
  <c r="AR162" i="55"/>
  <c r="AR13" i="55" s="1"/>
  <c r="AR159" i="55"/>
  <c r="AR12" i="55" s="1"/>
  <c r="V202" i="55"/>
  <c r="V204" i="55" s="1"/>
  <c r="AF159" i="55"/>
  <c r="AF12" i="55" s="1"/>
  <c r="AF162" i="55"/>
  <c r="AF13" i="55" s="1"/>
  <c r="BD190" i="55"/>
  <c r="BD14" i="55"/>
  <c r="AR190" i="55"/>
  <c r="AR14" i="55"/>
  <c r="BD162" i="55"/>
  <c r="BD13" i="55" s="1"/>
  <c r="BD159" i="55"/>
  <c r="BD12" i="55" s="1"/>
  <c r="AF190" i="55"/>
  <c r="AF14" i="55"/>
  <c r="AW248" i="55"/>
  <c r="N109" i="23"/>
  <c r="M139" i="23"/>
  <c r="Q246" i="55" l="1"/>
  <c r="AR246" i="55"/>
  <c r="O246" i="55"/>
  <c r="U246" i="55"/>
  <c r="T246" i="55"/>
  <c r="P246" i="55"/>
  <c r="W246" i="55"/>
  <c r="AQ246" i="55"/>
  <c r="V246" i="55"/>
  <c r="R246" i="55"/>
  <c r="AM246" i="55"/>
  <c r="BC246" i="55"/>
  <c r="AG246" i="55"/>
  <c r="AF246" i="55"/>
  <c r="AD246" i="55"/>
  <c r="AP246" i="55"/>
  <c r="AO246" i="55"/>
  <c r="AZ246" i="55"/>
  <c r="AI246" i="55"/>
  <c r="AS246" i="55"/>
  <c r="AY246" i="55"/>
  <c r="AE246" i="55"/>
  <c r="S246" i="55"/>
  <c r="AB246" i="55"/>
  <c r="BG246" i="55"/>
  <c r="BB246" i="55"/>
  <c r="BF246" i="55"/>
  <c r="AC246" i="55"/>
  <c r="BD246" i="55"/>
  <c r="AN246" i="55"/>
  <c r="AH246" i="55"/>
  <c r="BE246" i="55"/>
  <c r="AU246" i="55"/>
  <c r="S307" i="55"/>
  <c r="T13" i="55"/>
  <c r="T307" i="55"/>
  <c r="V307" i="55"/>
  <c r="W307" i="55"/>
  <c r="P307" i="55"/>
  <c r="U307" i="55"/>
  <c r="R307" i="55"/>
  <c r="O307" i="55"/>
  <c r="Q307" i="55"/>
  <c r="AY307" i="55"/>
  <c r="BD307" i="55"/>
  <c r="BG307" i="55"/>
  <c r="BF307" i="55"/>
  <c r="BA307" i="55"/>
  <c r="BC307" i="55"/>
  <c r="BE307" i="55"/>
  <c r="BB307" i="55"/>
  <c r="AZ307" i="55"/>
  <c r="AF307" i="55"/>
  <c r="AB307" i="55"/>
  <c r="AE307" i="55"/>
  <c r="AA307" i="55"/>
  <c r="AH307" i="55"/>
  <c r="AC307" i="55"/>
  <c r="AD307" i="55"/>
  <c r="AG307" i="55"/>
  <c r="AI307" i="55"/>
  <c r="AM307" i="55"/>
  <c r="AR307" i="55"/>
  <c r="AS307" i="55"/>
  <c r="AT307" i="55"/>
  <c r="AO307" i="55"/>
  <c r="AU307" i="55"/>
  <c r="AP307" i="55"/>
  <c r="AN307" i="55"/>
  <c r="AQ307" i="55"/>
  <c r="I139" i="23"/>
  <c r="N124" i="23"/>
  <c r="Q138" i="24" l="1"/>
  <c r="Q150" i="24" l="1"/>
  <c r="O102" i="55"/>
  <c r="O119" i="55" l="1"/>
  <c r="O115" i="55"/>
  <c r="O103" i="55"/>
  <c r="O197" i="55"/>
  <c r="AM102" i="55" l="1"/>
  <c r="AM119" i="55" s="1"/>
  <c r="AM115" i="55" l="1"/>
  <c r="AM197" i="55"/>
  <c r="AM103" i="55"/>
  <c r="O248" i="55"/>
  <c r="O309" i="55"/>
  <c r="U248" i="55"/>
  <c r="U309" i="55"/>
  <c r="S248" i="55"/>
  <c r="S309" i="55"/>
  <c r="AO309" i="55"/>
  <c r="AO248" i="55"/>
  <c r="Q248" i="55"/>
  <c r="Q309" i="55"/>
  <c r="AN248" i="55"/>
  <c r="AN309" i="55"/>
  <c r="AU248" i="55"/>
  <c r="AU309" i="55"/>
  <c r="AH248" i="55"/>
  <c r="AH309" i="55"/>
  <c r="R248" i="55"/>
  <c r="R309" i="55"/>
  <c r="AC309" i="55"/>
  <c r="AC248" i="55"/>
  <c r="W248" i="55"/>
  <c r="W309" i="55"/>
  <c r="AQ309" i="55"/>
  <c r="AQ248" i="55"/>
  <c r="AT248" i="55"/>
  <c r="AT309" i="55"/>
  <c r="AD248" i="55"/>
  <c r="AD309" i="55"/>
  <c r="AM248" i="55"/>
  <c r="AM309" i="55"/>
  <c r="AP248" i="55"/>
  <c r="AP309" i="55"/>
  <c r="AE309" i="55"/>
  <c r="AE248" i="55"/>
  <c r="V248" i="55"/>
  <c r="V309" i="55"/>
  <c r="AS309" i="55"/>
  <c r="AS248" i="55"/>
  <c r="P309" i="55"/>
  <c r="P248" i="55"/>
  <c r="AB248" i="55"/>
  <c r="AB309" i="55"/>
  <c r="AG309" i="55"/>
  <c r="AG248" i="55"/>
  <c r="AK309" i="55" l="1"/>
  <c r="I194" i="23" s="1"/>
  <c r="M309" i="55"/>
  <c r="I164" i="23" s="1"/>
  <c r="AK248" i="55"/>
  <c r="M248" i="55"/>
  <c r="I94" i="23" s="1"/>
  <c r="M124" i="23"/>
  <c r="I124" i="23" l="1"/>
  <c r="AT191" i="55"/>
  <c r="AU191" i="55"/>
  <c r="V191" i="55" l="1"/>
  <c r="W191" i="55"/>
  <c r="K81" i="23"/>
  <c r="K79" i="23"/>
  <c r="K80" i="23"/>
  <c r="J79" i="23"/>
  <c r="J80" i="23"/>
  <c r="J78" i="23"/>
  <c r="K78" i="23"/>
  <c r="J81" i="23"/>
  <c r="J138" i="24" l="1"/>
  <c r="J150" i="24" l="1"/>
  <c r="I276" i="24"/>
  <c r="J276" i="24" s="1"/>
  <c r="K276" i="24" s="1"/>
  <c r="L276" i="24" s="1"/>
  <c r="M276" i="24" s="1"/>
  <c r="N276" i="24" s="1"/>
  <c r="O276" i="24" s="1"/>
  <c r="P276" i="24" s="1"/>
  <c r="Q276" i="24" s="1"/>
  <c r="R276" i="24" s="1"/>
  <c r="S276" i="24" s="1"/>
  <c r="T276" i="24" s="1"/>
  <c r="O18" i="23"/>
  <c r="Q18" i="23"/>
  <c r="R12" i="23"/>
  <c r="P12" i="23"/>
  <c r="N18" i="23"/>
  <c r="R18" i="23"/>
  <c r="M12" i="23"/>
  <c r="P18" i="23"/>
  <c r="O12" i="23"/>
  <c r="R22" i="23" l="1"/>
  <c r="N22" i="23"/>
  <c r="Q22" i="23"/>
  <c r="O22" i="23"/>
  <c r="P22" i="23"/>
  <c r="Q25" i="23"/>
  <c r="R62" i="23"/>
  <c r="O90" i="23"/>
  <c r="O25" i="23"/>
  <c r="O38" i="23"/>
  <c r="O89" i="23"/>
  <c r="N90" i="23"/>
  <c r="Q91" i="23"/>
  <c r="N88" i="23"/>
  <c r="P90" i="23"/>
  <c r="P50" i="23"/>
  <c r="Q44" i="23"/>
  <c r="O56" i="23"/>
  <c r="O92" i="23"/>
  <c r="O44" i="23"/>
  <c r="P38" i="23"/>
  <c r="R88" i="23"/>
  <c r="N38" i="23"/>
  <c r="R32" i="23" a="1"/>
  <c r="Q50" i="23"/>
  <c r="Q92" i="23"/>
  <c r="Q88" i="23"/>
  <c r="Q32" i="23" a="1"/>
  <c r="P44" i="23"/>
  <c r="Q90" i="23"/>
  <c r="P25" i="23"/>
  <c r="O32" i="23" a="1"/>
  <c r="P56" i="23"/>
  <c r="Q56" i="23"/>
  <c r="O50" i="23"/>
  <c r="N50" i="23"/>
  <c r="N62" i="23"/>
  <c r="Q62" i="23"/>
  <c r="N25" i="23"/>
  <c r="R25" i="23"/>
  <c r="R38" i="23"/>
  <c r="P32" i="23" a="1"/>
  <c r="N44" i="23"/>
  <c r="Q89" i="23"/>
  <c r="N92" i="23"/>
  <c r="N91" i="23"/>
  <c r="P62" i="23"/>
  <c r="R44" i="23"/>
  <c r="O88" i="23"/>
  <c r="R91" i="23"/>
  <c r="Q38" i="23"/>
  <c r="N56" i="23"/>
  <c r="P92" i="23"/>
  <c r="N32" i="23" a="1"/>
  <c r="O91" i="23"/>
  <c r="R90" i="23"/>
  <c r="R56" i="23"/>
  <c r="N89" i="23"/>
  <c r="O62" i="23"/>
  <c r="R50" i="23"/>
  <c r="R32" i="23" l="1"/>
  <c r="Q32" i="23"/>
  <c r="P32" i="23"/>
  <c r="O32" i="23"/>
  <c r="N32" i="23"/>
  <c r="N29" i="23"/>
  <c r="O29" i="23"/>
  <c r="Q29" i="23"/>
  <c r="P29" i="23"/>
  <c r="R29" i="23"/>
  <c r="O160" i="23"/>
  <c r="R193" i="23"/>
  <c r="N178" i="23"/>
  <c r="P194" i="23"/>
  <c r="R174" i="23"/>
  <c r="O173" i="23"/>
  <c r="P209" i="23"/>
  <c r="N161" i="23"/>
  <c r="O175" i="23"/>
  <c r="Q188" i="23"/>
  <c r="O158" i="23"/>
  <c r="N194" i="23"/>
  <c r="O176" i="23"/>
  <c r="P207" i="23"/>
  <c r="O238" i="23"/>
  <c r="Q238" i="23"/>
  <c r="Q191" i="23"/>
  <c r="O204" i="23"/>
  <c r="O193" i="23"/>
  <c r="N160" i="23"/>
  <c r="O240" i="23"/>
  <c r="R190" i="23"/>
  <c r="O206" i="23"/>
  <c r="O209" i="23"/>
  <c r="N205" i="23"/>
  <c r="P205" i="23"/>
  <c r="R189" i="23"/>
  <c r="Q194" i="23"/>
  <c r="R173" i="23"/>
  <c r="N241" i="23"/>
  <c r="Q208" i="23"/>
  <c r="N176" i="23"/>
  <c r="P188" i="23"/>
  <c r="O190" i="23"/>
  <c r="Q237" i="23"/>
  <c r="O208" i="23"/>
  <c r="N12" i="23"/>
  <c r="O161" i="23"/>
  <c r="N240" i="23"/>
  <c r="P175" i="23"/>
  <c r="P189" i="23"/>
  <c r="Q174" i="23"/>
  <c r="N206" i="23"/>
  <c r="R159" i="23"/>
  <c r="Q204" i="23"/>
  <c r="N175" i="23"/>
  <c r="N179" i="23"/>
  <c r="R89" i="23"/>
  <c r="Q173" i="23"/>
  <c r="R203" i="23"/>
  <c r="O162" i="23"/>
  <c r="R206" i="23"/>
  <c r="N177" i="23"/>
  <c r="R188" i="23"/>
  <c r="N190" i="23"/>
  <c r="M18" i="23"/>
  <c r="R194" i="23"/>
  <c r="Q240" i="23"/>
  <c r="N191" i="23"/>
  <c r="R192" i="23"/>
  <c r="Q161" i="23"/>
  <c r="N188" i="23"/>
  <c r="R240" i="23"/>
  <c r="P204" i="23"/>
  <c r="P174" i="23"/>
  <c r="O174" i="23"/>
  <c r="O179" i="23"/>
  <c r="O191" i="23"/>
  <c r="P176" i="23"/>
  <c r="R209" i="23"/>
  <c r="R205" i="23"/>
  <c r="R177" i="23"/>
  <c r="R207" i="23"/>
  <c r="N237" i="23"/>
  <c r="O159" i="23"/>
  <c r="Q178" i="23"/>
  <c r="P178" i="23"/>
  <c r="P203" i="23"/>
  <c r="Q179" i="23"/>
  <c r="O189" i="23"/>
  <c r="R208" i="23"/>
  <c r="N158" i="23"/>
  <c r="R92" i="23"/>
  <c r="Q207" i="23"/>
  <c r="O207" i="23"/>
  <c r="R179" i="23"/>
  <c r="R162" i="23"/>
  <c r="P160" i="23"/>
  <c r="P241" i="23"/>
  <c r="R160" i="23"/>
  <c r="P177" i="23"/>
  <c r="O178" i="23"/>
  <c r="O194" i="23"/>
  <c r="O188" i="23"/>
  <c r="Q241" i="23"/>
  <c r="R161" i="23"/>
  <c r="R191" i="23"/>
  <c r="R237" i="23"/>
  <c r="R238" i="23"/>
  <c r="O205" i="23"/>
  <c r="N174" i="23"/>
  <c r="R241" i="23"/>
  <c r="O203" i="23"/>
  <c r="P191" i="23"/>
  <c r="Q158" i="23"/>
  <c r="N192" i="23"/>
  <c r="N238" i="23"/>
  <c r="N207" i="23"/>
  <c r="O241" i="23"/>
  <c r="R176" i="23"/>
  <c r="Q12" i="23"/>
  <c r="P208" i="23"/>
  <c r="R178" i="23"/>
  <c r="Q192" i="23"/>
  <c r="P190" i="23"/>
  <c r="Q176" i="23"/>
  <c r="P193" i="23"/>
  <c r="P162" i="23"/>
  <c r="R204" i="23"/>
  <c r="Q175" i="23"/>
  <c r="R175" i="23"/>
  <c r="N203" i="23"/>
  <c r="O177" i="23"/>
  <c r="N173" i="23"/>
  <c r="Q162" i="23"/>
  <c r="P192" i="23"/>
  <c r="Q209" i="23"/>
  <c r="Q177" i="23"/>
  <c r="Q159" i="23"/>
  <c r="N208" i="23"/>
  <c r="Q205" i="23"/>
  <c r="Q190" i="23"/>
  <c r="O192" i="23"/>
  <c r="Q189" i="23"/>
  <c r="Q160" i="23"/>
  <c r="N193" i="23"/>
  <c r="Q206" i="23"/>
  <c r="P179" i="23"/>
  <c r="N159" i="23"/>
  <c r="N204" i="23"/>
  <c r="O237" i="23"/>
  <c r="P173" i="23"/>
  <c r="N209" i="23"/>
  <c r="Q193" i="23"/>
  <c r="P206" i="23"/>
  <c r="R158" i="23"/>
  <c r="Q203" i="23"/>
  <c r="N162" i="23"/>
  <c r="N189" i="23"/>
  <c r="M22" i="23" l="1"/>
  <c r="M25" i="23"/>
  <c r="M62" i="23"/>
  <c r="M29" i="23" l="1"/>
  <c r="M194" i="23"/>
  <c r="M44" i="23"/>
  <c r="M242" i="23"/>
  <c r="M50" i="23"/>
  <c r="M38" i="23"/>
  <c r="M56" i="23"/>
  <c r="M209" i="23"/>
  <c r="M94" i="23"/>
  <c r="I314" i="24" l="1"/>
  <c r="J314" i="24" l="1"/>
  <c r="AI248" i="55" l="1"/>
  <c r="AI309" i="55"/>
  <c r="AA248" i="55"/>
  <c r="AA309" i="55"/>
  <c r="Y248" i="55" l="1"/>
  <c r="J248" i="55" s="1"/>
  <c r="Y309" i="55"/>
  <c r="AH191" i="55"/>
  <c r="AI191" i="55"/>
  <c r="M109" i="23"/>
  <c r="M179" i="23"/>
  <c r="I109" i="23" l="1"/>
  <c r="J309" i="55"/>
  <c r="I179" i="23"/>
  <c r="AY102" i="55"/>
  <c r="AY119" i="55" s="1"/>
  <c r="AA102" i="55"/>
  <c r="AA119" i="55" l="1"/>
  <c r="AA197" i="55"/>
  <c r="AA115" i="55"/>
  <c r="AY115" i="55"/>
  <c r="AY197" i="55"/>
  <c r="AY103" i="55"/>
  <c r="AA103" i="55"/>
  <c r="AK61" i="55"/>
  <c r="AR235" i="55" s="1"/>
  <c r="AK62" i="55"/>
  <c r="AR236" i="55" s="1"/>
  <c r="AO75" i="55"/>
  <c r="AN75" i="55"/>
  <c r="AK64" i="55"/>
  <c r="AQ75" i="55"/>
  <c r="AP75" i="55"/>
  <c r="AK63" i="55"/>
  <c r="AG75" i="55"/>
  <c r="Y66" i="55"/>
  <c r="Y64" i="55"/>
  <c r="AE75" i="55"/>
  <c r="Y61" i="55"/>
  <c r="AF235" i="55" s="1"/>
  <c r="AB75" i="55"/>
  <c r="Y63" i="55"/>
  <c r="AD75" i="55"/>
  <c r="Y62" i="55"/>
  <c r="AF236" i="55" s="1"/>
  <c r="AC75" i="55"/>
  <c r="AP154" i="55" l="1"/>
  <c r="AP171" i="55" s="1"/>
  <c r="AO236" i="55"/>
  <c r="AU236" i="55"/>
  <c r="AN236" i="55"/>
  <c r="AQ236" i="55"/>
  <c r="AT236" i="55"/>
  <c r="AP236" i="55"/>
  <c r="AM236" i="55"/>
  <c r="AS236" i="55"/>
  <c r="AA236" i="55"/>
  <c r="AI236" i="55"/>
  <c r="AG236" i="55"/>
  <c r="AD236" i="55"/>
  <c r="AE236" i="55"/>
  <c r="AH236" i="55"/>
  <c r="AB236" i="55"/>
  <c r="AC236" i="55"/>
  <c r="AS235" i="55"/>
  <c r="AO235" i="55"/>
  <c r="AU235" i="55"/>
  <c r="AQ235" i="55"/>
  <c r="AN235" i="55"/>
  <c r="AT235" i="55"/>
  <c r="AM235" i="55"/>
  <c r="AP235" i="55"/>
  <c r="AI235" i="55"/>
  <c r="AG235" i="55"/>
  <c r="AD235" i="55"/>
  <c r="AE235" i="55"/>
  <c r="AB235" i="55"/>
  <c r="AH235" i="55"/>
  <c r="AC235" i="55"/>
  <c r="AA235" i="55"/>
  <c r="AC85" i="55"/>
  <c r="AC88" i="55" s="1"/>
  <c r="AC214" i="55" s="1"/>
  <c r="AN85" i="55"/>
  <c r="AG154" i="55"/>
  <c r="AG171" i="55" s="1"/>
  <c r="Y60" i="55"/>
  <c r="AF234" i="55" s="1"/>
  <c r="AD154" i="55"/>
  <c r="AD171" i="55" s="1"/>
  <c r="AK60" i="55"/>
  <c r="AR234" i="55" s="1"/>
  <c r="AM75" i="55"/>
  <c r="AB85" i="55"/>
  <c r="AQ154" i="55"/>
  <c r="AQ171" i="55" s="1"/>
  <c r="AO85" i="55"/>
  <c r="AO88" i="55" s="1"/>
  <c r="AO214" i="55" s="1"/>
  <c r="AE154" i="55"/>
  <c r="AE171" i="55" s="1"/>
  <c r="K296" i="24"/>
  <c r="R296" i="24"/>
  <c r="M296" i="24"/>
  <c r="N296" i="24"/>
  <c r="I296" i="24"/>
  <c r="Q296" i="24"/>
  <c r="L296" i="24"/>
  <c r="P296" i="24"/>
  <c r="O296" i="24"/>
  <c r="J296" i="24"/>
  <c r="O66" i="55" l="1"/>
  <c r="U75" i="55" s="1"/>
  <c r="AB94" i="55"/>
  <c r="AB112" i="55" s="1"/>
  <c r="AN94" i="55"/>
  <c r="AN96" i="55" s="1"/>
  <c r="AS75" i="55"/>
  <c r="AS154" i="55" s="1"/>
  <c r="AS171" i="55" s="1"/>
  <c r="AK66" i="55"/>
  <c r="AB188" i="55"/>
  <c r="AN188" i="55"/>
  <c r="AN192" i="55" s="1"/>
  <c r="AQ159" i="55"/>
  <c r="AQ162" i="55"/>
  <c r="AG159" i="55"/>
  <c r="AG162" i="55"/>
  <c r="AG13" i="55" s="1"/>
  <c r="AP159" i="55"/>
  <c r="AP162" i="55"/>
  <c r="AD159" i="55"/>
  <c r="AD162" i="55"/>
  <c r="AE159" i="55"/>
  <c r="AE12" i="55" s="1"/>
  <c r="AE162" i="55"/>
  <c r="M65" i="55"/>
  <c r="J65" i="55" s="1"/>
  <c r="AS234" i="55"/>
  <c r="AQ234" i="55"/>
  <c r="AP234" i="55"/>
  <c r="AN234" i="55"/>
  <c r="AO234" i="55"/>
  <c r="AU234" i="55"/>
  <c r="AT234" i="55"/>
  <c r="AM234" i="55"/>
  <c r="AA234" i="55"/>
  <c r="AG234" i="55"/>
  <c r="AD234" i="55"/>
  <c r="AC234" i="55"/>
  <c r="AE234" i="55"/>
  <c r="AB234" i="55"/>
  <c r="AI234" i="55"/>
  <c r="AH234" i="55"/>
  <c r="Y75" i="55"/>
  <c r="Y236" i="55"/>
  <c r="Y235" i="55"/>
  <c r="AK236" i="55"/>
  <c r="AM85" i="55"/>
  <c r="AK235" i="55"/>
  <c r="AA85" i="55"/>
  <c r="AN107" i="55" l="1"/>
  <c r="AN210" i="55" s="1"/>
  <c r="AR265" i="55" s="1"/>
  <c r="AB96" i="55"/>
  <c r="AN155" i="55"/>
  <c r="AN112" i="55"/>
  <c r="AA247" i="55"/>
  <c r="AD247" i="55"/>
  <c r="AI247" i="55"/>
  <c r="AE247" i="55"/>
  <c r="AG247" i="55"/>
  <c r="AF247" i="55"/>
  <c r="AH247" i="55"/>
  <c r="AC247" i="55"/>
  <c r="AB247" i="55"/>
  <c r="AN135" i="55"/>
  <c r="AN144" i="55" s="1"/>
  <c r="AN146" i="55" s="1"/>
  <c r="AB95" i="55"/>
  <c r="AB155" i="55"/>
  <c r="AN95" i="55"/>
  <c r="AS265" i="55"/>
  <c r="AO265" i="55"/>
  <c r="AU265" i="55"/>
  <c r="AP265" i="55"/>
  <c r="AT265" i="55"/>
  <c r="AQ265" i="55"/>
  <c r="AM88" i="55"/>
  <c r="AM214" i="55" s="1"/>
  <c r="AM269" i="55" s="1"/>
  <c r="AQ244" i="55"/>
  <c r="AP12" i="55"/>
  <c r="AE244" i="55"/>
  <c r="AD12" i="55"/>
  <c r="AG12" i="55"/>
  <c r="AQ202" i="55"/>
  <c r="AQ204" i="55" s="1"/>
  <c r="AQ12" i="55"/>
  <c r="AR305" i="55"/>
  <c r="AP13" i="55"/>
  <c r="AF306" i="55"/>
  <c r="AE13" i="55"/>
  <c r="AF305" i="55"/>
  <c r="AD13" i="55"/>
  <c r="AR306" i="55"/>
  <c r="AQ13" i="55"/>
  <c r="AS162" i="55"/>
  <c r="AK75" i="55"/>
  <c r="AS159" i="55"/>
  <c r="AA88" i="55"/>
  <c r="AP245" i="55"/>
  <c r="AQ245" i="55"/>
  <c r="AN245" i="55"/>
  <c r="AU245" i="55"/>
  <c r="AO245" i="55"/>
  <c r="AE245" i="55"/>
  <c r="AD245" i="55"/>
  <c r="AC245" i="55"/>
  <c r="AO244" i="55"/>
  <c r="AP244" i="55"/>
  <c r="AP202" i="55"/>
  <c r="AP204" i="55" s="1"/>
  <c r="AC244" i="55"/>
  <c r="AD244" i="55"/>
  <c r="AF244" i="55"/>
  <c r="AD202" i="55"/>
  <c r="AD204" i="55" s="1"/>
  <c r="AG202" i="55"/>
  <c r="AG204" i="55" s="1"/>
  <c r="AF245" i="55"/>
  <c r="AE202" i="55"/>
  <c r="AE204" i="55" s="1"/>
  <c r="AS245" i="55"/>
  <c r="AR245" i="55"/>
  <c r="AT245" i="55"/>
  <c r="AS244" i="55"/>
  <c r="AR244" i="55"/>
  <c r="AK246" i="55"/>
  <c r="AF308" i="55"/>
  <c r="Y307" i="55"/>
  <c r="AH245" i="55"/>
  <c r="AG245" i="55"/>
  <c r="AH244" i="55"/>
  <c r="AG244" i="55"/>
  <c r="AT244" i="55"/>
  <c r="AS187" i="55"/>
  <c r="AS191" i="55" s="1"/>
  <c r="AP187" i="55"/>
  <c r="AP191" i="55" s="1"/>
  <c r="AE187" i="55"/>
  <c r="AE191" i="55" s="1"/>
  <c r="AD187" i="55"/>
  <c r="AD191" i="55" s="1"/>
  <c r="AQ187" i="55"/>
  <c r="AQ191" i="55" s="1"/>
  <c r="AG187" i="55"/>
  <c r="AG191" i="55" s="1"/>
  <c r="AM245" i="55"/>
  <c r="AB107" i="55"/>
  <c r="AB135" i="55"/>
  <c r="AB144" i="55" s="1"/>
  <c r="AB245" i="55"/>
  <c r="AA245" i="55"/>
  <c r="AI245" i="55"/>
  <c r="AB244" i="55"/>
  <c r="AK234" i="55"/>
  <c r="AA244" i="55"/>
  <c r="AI244" i="55"/>
  <c r="AD305" i="55"/>
  <c r="AB305" i="55"/>
  <c r="AA305" i="55"/>
  <c r="AI305" i="55"/>
  <c r="AH305" i="55"/>
  <c r="AG305" i="55"/>
  <c r="AE305" i="55"/>
  <c r="AC305" i="55"/>
  <c r="AT305" i="55"/>
  <c r="AS305" i="55"/>
  <c r="AQ305" i="55"/>
  <c r="AP305" i="55"/>
  <c r="AO305" i="55"/>
  <c r="AN305" i="55"/>
  <c r="AM305" i="55"/>
  <c r="AU305" i="55"/>
  <c r="AI306" i="55"/>
  <c r="AH306" i="55"/>
  <c r="AG306" i="55"/>
  <c r="AE306" i="55"/>
  <c r="AD306" i="55"/>
  <c r="AC306" i="55"/>
  <c r="AA306" i="55"/>
  <c r="AB306" i="55"/>
  <c r="AH308" i="55"/>
  <c r="AG308" i="55"/>
  <c r="AI308" i="55"/>
  <c r="AE308" i="55"/>
  <c r="AD308" i="55"/>
  <c r="AC308" i="55"/>
  <c r="AB308" i="55"/>
  <c r="AA308" i="55"/>
  <c r="AU244" i="55"/>
  <c r="AN244" i="55"/>
  <c r="AM244" i="55"/>
  <c r="AS306" i="55"/>
  <c r="AT306" i="55"/>
  <c r="AP306" i="55"/>
  <c r="AO306" i="55"/>
  <c r="AN306" i="55"/>
  <c r="AM306" i="55"/>
  <c r="AQ306" i="55"/>
  <c r="AU306" i="55"/>
  <c r="AN265" i="55" l="1"/>
  <c r="AN209" i="55"/>
  <c r="AN113" i="55"/>
  <c r="AN117" i="55" s="1"/>
  <c r="AN198" i="55" s="1"/>
  <c r="AN213" i="55"/>
  <c r="AM268" i="55" s="1"/>
  <c r="AN212" i="55"/>
  <c r="AB210" i="55"/>
  <c r="AC265" i="55" s="1"/>
  <c r="AB209" i="55"/>
  <c r="AO247" i="55"/>
  <c r="AP247" i="55"/>
  <c r="AU247" i="55"/>
  <c r="AS247" i="55"/>
  <c r="AR247" i="55"/>
  <c r="AQ247" i="55"/>
  <c r="AT247" i="55"/>
  <c r="AN140" i="55"/>
  <c r="AM188" i="55"/>
  <c r="AN247" i="55"/>
  <c r="AM247" i="55"/>
  <c r="AU269" i="55"/>
  <c r="AQ269" i="55"/>
  <c r="AN269" i="55"/>
  <c r="AR269" i="55"/>
  <c r="AT269" i="55"/>
  <c r="AP269" i="55"/>
  <c r="AS269" i="55"/>
  <c r="AO269" i="55"/>
  <c r="AR268" i="55"/>
  <c r="AT268" i="55"/>
  <c r="AQ268" i="55"/>
  <c r="AP268" i="55"/>
  <c r="AH265" i="55"/>
  <c r="AA214" i="55"/>
  <c r="AF269" i="55" s="1"/>
  <c r="AK210" i="55"/>
  <c r="AM265" i="55"/>
  <c r="AB113" i="55"/>
  <c r="AB186" i="55" s="1"/>
  <c r="AB213" i="55"/>
  <c r="AB212" i="55"/>
  <c r="AS12" i="55"/>
  <c r="AP308" i="55"/>
  <c r="AS13" i="55"/>
  <c r="AQ308" i="55"/>
  <c r="AN308" i="55"/>
  <c r="AS308" i="55"/>
  <c r="AM308" i="55"/>
  <c r="AT308" i="55"/>
  <c r="AR308" i="55"/>
  <c r="AU308" i="55"/>
  <c r="AO308" i="55"/>
  <c r="AS202" i="55"/>
  <c r="AS204" i="55" s="1"/>
  <c r="AB140" i="55"/>
  <c r="AB146" i="55"/>
  <c r="Y246" i="55"/>
  <c r="AK307" i="55"/>
  <c r="AB192" i="55"/>
  <c r="Y247" i="55"/>
  <c r="AK245" i="55"/>
  <c r="Y245" i="55"/>
  <c r="AK305" i="55"/>
  <c r="AK244" i="55"/>
  <c r="Y306" i="55"/>
  <c r="Y305" i="55"/>
  <c r="Y308" i="55"/>
  <c r="Y244" i="55"/>
  <c r="AK306" i="55"/>
  <c r="M121" i="23"/>
  <c r="M108" i="23"/>
  <c r="M178" i="23"/>
  <c r="M177" i="23"/>
  <c r="M106" i="23"/>
  <c r="M122" i="23"/>
  <c r="M192" i="23"/>
  <c r="M191" i="23"/>
  <c r="M107" i="23"/>
  <c r="M176" i="23"/>
  <c r="AN268" i="55" l="1"/>
  <c r="AN186" i="55"/>
  <c r="AN14" i="55" s="1"/>
  <c r="AN167" i="55"/>
  <c r="AN169" i="55" s="1"/>
  <c r="AB265" i="55"/>
  <c r="AD265" i="55"/>
  <c r="AE265" i="55"/>
  <c r="AG265" i="55"/>
  <c r="AI265" i="55"/>
  <c r="AF265" i="55"/>
  <c r="AS268" i="55"/>
  <c r="AI269" i="55"/>
  <c r="AE269" i="55"/>
  <c r="AB269" i="55"/>
  <c r="AG269" i="55"/>
  <c r="AD269" i="55"/>
  <c r="AO268" i="55"/>
  <c r="AU268" i="55"/>
  <c r="AN121" i="55"/>
  <c r="AN216" i="55"/>
  <c r="AK213" i="55"/>
  <c r="AA269" i="55"/>
  <c r="AB142" i="55"/>
  <c r="AN142" i="55"/>
  <c r="AC269" i="55"/>
  <c r="AH269" i="55"/>
  <c r="AB121" i="55"/>
  <c r="AB167" i="55"/>
  <c r="AB169" i="55" s="1"/>
  <c r="AB117" i="55"/>
  <c r="AB198" i="55" s="1"/>
  <c r="AF268" i="55"/>
  <c r="AG268" i="55"/>
  <c r="AC268" i="55"/>
  <c r="AI268" i="55"/>
  <c r="AD268" i="55"/>
  <c r="AB268" i="55"/>
  <c r="AH268" i="55"/>
  <c r="AE268" i="55"/>
  <c r="Y210" i="55"/>
  <c r="AA265" i="55"/>
  <c r="Y213" i="55"/>
  <c r="AA268" i="55"/>
  <c r="AB216" i="55"/>
  <c r="AK247" i="55"/>
  <c r="I123" i="23" s="1"/>
  <c r="AK308" i="55"/>
  <c r="I193" i="23" s="1"/>
  <c r="I122" i="23"/>
  <c r="I121" i="23"/>
  <c r="I178" i="23"/>
  <c r="I177" i="23"/>
  <c r="I192" i="23"/>
  <c r="I107" i="23"/>
  <c r="I106" i="23"/>
  <c r="I108" i="23"/>
  <c r="I176" i="23"/>
  <c r="I191" i="23"/>
  <c r="AB14" i="55"/>
  <c r="AB190" i="55"/>
  <c r="Q123" i="23"/>
  <c r="Q108" i="23"/>
  <c r="Q138" i="23"/>
  <c r="P123" i="23"/>
  <c r="P108" i="23"/>
  <c r="P138" i="23"/>
  <c r="O138" i="23"/>
  <c r="O123" i="23"/>
  <c r="O108" i="23"/>
  <c r="N138" i="23"/>
  <c r="N123" i="23"/>
  <c r="N108" i="23"/>
  <c r="M123" i="23"/>
  <c r="M193" i="23"/>
  <c r="R138" i="23"/>
  <c r="R108" i="23"/>
  <c r="R123" i="23"/>
  <c r="AN190" i="55" l="1"/>
  <c r="BB75" i="55"/>
  <c r="AW63" i="55"/>
  <c r="AW64" i="55"/>
  <c r="BC75" i="55"/>
  <c r="AW61" i="55"/>
  <c r="BD235" i="55" s="1"/>
  <c r="AZ75" i="55"/>
  <c r="BE75" i="55"/>
  <c r="AW66" i="55"/>
  <c r="AW62" i="55"/>
  <c r="BD236" i="55" s="1"/>
  <c r="BA75" i="55"/>
  <c r="BF236" i="55" l="1"/>
  <c r="BA236" i="55"/>
  <c r="BE236" i="55"/>
  <c r="AY236" i="55"/>
  <c r="AZ236" i="55"/>
  <c r="BB236" i="55"/>
  <c r="BC236" i="55"/>
  <c r="BG236" i="55"/>
  <c r="BE235" i="55"/>
  <c r="BG235" i="55"/>
  <c r="BF235" i="55"/>
  <c r="BA235" i="55"/>
  <c r="BC235" i="55"/>
  <c r="AY235" i="55"/>
  <c r="AZ235" i="55"/>
  <c r="BB235" i="55"/>
  <c r="BA85" i="55"/>
  <c r="BA88" i="55" s="1"/>
  <c r="BA214" i="55" s="1"/>
  <c r="AZ85" i="55"/>
  <c r="BE154" i="55"/>
  <c r="BE171" i="55" s="1"/>
  <c r="BB154" i="55"/>
  <c r="BB171" i="55" s="1"/>
  <c r="AW60" i="55"/>
  <c r="BD234" i="55" s="1"/>
  <c r="AY75" i="55"/>
  <c r="BC154" i="55"/>
  <c r="BC171" i="55" s="1"/>
  <c r="Q163" i="23"/>
  <c r="O93" i="23"/>
  <c r="P93" i="23"/>
  <c r="P163" i="23"/>
  <c r="R93" i="23"/>
  <c r="N163" i="23"/>
  <c r="Q93" i="23"/>
  <c r="O163" i="23"/>
  <c r="R163" i="23"/>
  <c r="N93" i="23"/>
  <c r="AZ94" i="55" l="1"/>
  <c r="AZ96" i="55" s="1"/>
  <c r="AZ188" i="55"/>
  <c r="BE162" i="55"/>
  <c r="BE13" i="55" s="1"/>
  <c r="BE159" i="55"/>
  <c r="BC162" i="55"/>
  <c r="BC159" i="55"/>
  <c r="BC12" i="55" s="1"/>
  <c r="BB159" i="55"/>
  <c r="BB162" i="55"/>
  <c r="AY234" i="55"/>
  <c r="BE234" i="55"/>
  <c r="BC234" i="55"/>
  <c r="BB234" i="55"/>
  <c r="BA234" i="55"/>
  <c r="AZ234" i="55"/>
  <c r="BG234" i="55"/>
  <c r="BF234" i="55"/>
  <c r="AW75" i="55"/>
  <c r="AW236" i="55"/>
  <c r="AW235" i="55"/>
  <c r="AY85" i="55"/>
  <c r="N94" i="23"/>
  <c r="R164" i="23"/>
  <c r="Q94" i="23"/>
  <c r="Q164" i="23"/>
  <c r="N164" i="23"/>
  <c r="O164" i="23"/>
  <c r="P94" i="23"/>
  <c r="O94" i="23"/>
  <c r="P164" i="23"/>
  <c r="R94" i="23"/>
  <c r="AZ155" i="55" l="1"/>
  <c r="AZ112" i="55"/>
  <c r="BB247" i="55"/>
  <c r="BD247" i="55"/>
  <c r="BF247" i="55"/>
  <c r="BE247" i="55"/>
  <c r="AZ247" i="55"/>
  <c r="BG247" i="55"/>
  <c r="BA247" i="55"/>
  <c r="BC247" i="55"/>
  <c r="BE12" i="55"/>
  <c r="AY247" i="55"/>
  <c r="AZ135" i="55"/>
  <c r="AZ144" i="55" s="1"/>
  <c r="AZ146" i="55" s="1"/>
  <c r="AZ107" i="55"/>
  <c r="AZ95" i="55"/>
  <c r="AY88" i="55"/>
  <c r="AY214" i="55" s="1"/>
  <c r="BC244" i="55"/>
  <c r="BB12" i="55"/>
  <c r="BD305" i="55"/>
  <c r="BB13" i="55"/>
  <c r="BD306" i="55"/>
  <c r="BC13" i="55"/>
  <c r="AZ245" i="55"/>
  <c r="BC245" i="55"/>
  <c r="BB245" i="55"/>
  <c r="BA245" i="55"/>
  <c r="BA244" i="55"/>
  <c r="BB244" i="55"/>
  <c r="BB202" i="55"/>
  <c r="BB204" i="55" s="1"/>
  <c r="AZ244" i="55"/>
  <c r="BD245" i="55"/>
  <c r="BC202" i="55"/>
  <c r="BC204" i="55" s="1"/>
  <c r="BE202" i="55"/>
  <c r="BE204" i="55" s="1"/>
  <c r="BE244" i="55"/>
  <c r="BD244" i="55"/>
  <c r="AW246" i="55"/>
  <c r="BD308" i="55"/>
  <c r="BF245" i="55"/>
  <c r="BE245" i="55"/>
  <c r="BF244" i="55"/>
  <c r="BC187" i="55"/>
  <c r="BC191" i="55" s="1"/>
  <c r="BB187" i="55"/>
  <c r="BB191" i="55" s="1"/>
  <c r="BE187" i="55"/>
  <c r="BE191" i="55" s="1"/>
  <c r="AY245" i="55"/>
  <c r="BG245" i="55"/>
  <c r="BG244" i="55"/>
  <c r="AY244" i="55"/>
  <c r="BF308" i="55"/>
  <c r="AZ308" i="55"/>
  <c r="BG308" i="55"/>
  <c r="BE308" i="55"/>
  <c r="BC308" i="55"/>
  <c r="BB308" i="55"/>
  <c r="BA308" i="55"/>
  <c r="AY308" i="55"/>
  <c r="BE305" i="55"/>
  <c r="BC305" i="55"/>
  <c r="BB305" i="55"/>
  <c r="BA305" i="55"/>
  <c r="AY305" i="55"/>
  <c r="AZ305" i="55"/>
  <c r="BF305" i="55"/>
  <c r="BG305" i="55"/>
  <c r="AZ306" i="55"/>
  <c r="AY306" i="55"/>
  <c r="BC306" i="55"/>
  <c r="BE306" i="55"/>
  <c r="BG306" i="55"/>
  <c r="BB306" i="55"/>
  <c r="BF306" i="55"/>
  <c r="BA306" i="55"/>
  <c r="AW234" i="55"/>
  <c r="I259" i="24"/>
  <c r="I219" i="24"/>
  <c r="I168" i="24"/>
  <c r="I134" i="24"/>
  <c r="I77" i="24"/>
  <c r="I534" i="24"/>
  <c r="I528" i="24"/>
  <c r="I270" i="24"/>
  <c r="AZ210" i="55" l="1"/>
  <c r="BF265" i="55" s="1"/>
  <c r="AZ113" i="55"/>
  <c r="AZ117" i="55" s="1"/>
  <c r="AZ209" i="55"/>
  <c r="AZ140" i="55"/>
  <c r="BE265" i="55"/>
  <c r="AZ265" i="55"/>
  <c r="BG265" i="55"/>
  <c r="BB265" i="55"/>
  <c r="BC265" i="55"/>
  <c r="AZ212" i="55"/>
  <c r="BA265" i="55"/>
  <c r="BD265" i="55"/>
  <c r="AZ213" i="55"/>
  <c r="AW213" i="55" s="1"/>
  <c r="J134" i="24"/>
  <c r="K134" i="24" s="1"/>
  <c r="AW307" i="55"/>
  <c r="AZ192" i="55"/>
  <c r="AW244" i="55"/>
  <c r="AW245" i="55"/>
  <c r="AW247" i="55"/>
  <c r="AW308" i="55"/>
  <c r="AW306" i="55"/>
  <c r="AW305" i="55"/>
  <c r="J270" i="24"/>
  <c r="J534" i="24"/>
  <c r="J77" i="24"/>
  <c r="J168" i="24"/>
  <c r="J219" i="24"/>
  <c r="M138" i="23"/>
  <c r="M208" i="23"/>
  <c r="M137" i="23"/>
  <c r="M207" i="23"/>
  <c r="M136" i="23"/>
  <c r="M206" i="23"/>
  <c r="AZ186" i="55" l="1"/>
  <c r="AZ190" i="55" s="1"/>
  <c r="AY265" i="55"/>
  <c r="AZ142" i="55"/>
  <c r="AZ121" i="55"/>
  <c r="AZ167" i="55"/>
  <c r="AZ169" i="55" s="1"/>
  <c r="AW210" i="55"/>
  <c r="AY268" i="55"/>
  <c r="BD268" i="55"/>
  <c r="BF268" i="55"/>
  <c r="AZ268" i="55"/>
  <c r="BB268" i="55"/>
  <c r="BA268" i="55"/>
  <c r="BC268" i="55"/>
  <c r="BE268" i="55"/>
  <c r="BG268" i="55"/>
  <c r="AZ216" i="55"/>
  <c r="J159" i="24"/>
  <c r="AZ198" i="55"/>
  <c r="I207" i="23"/>
  <c r="I206" i="23"/>
  <c r="I136" i="23"/>
  <c r="I137" i="23"/>
  <c r="I138" i="23"/>
  <c r="I208" i="23"/>
  <c r="J259" i="24"/>
  <c r="K219" i="24"/>
  <c r="L134" i="24"/>
  <c r="K77" i="24"/>
  <c r="K534" i="24"/>
  <c r="K270" i="24"/>
  <c r="AZ14" i="55" l="1"/>
  <c r="K259" i="24"/>
  <c r="L259" i="24" s="1"/>
  <c r="L270" i="24"/>
  <c r="L534" i="24"/>
  <c r="L77" i="24"/>
  <c r="M134" i="24"/>
  <c r="K168" i="24"/>
  <c r="L219" i="24"/>
  <c r="M259" i="24" l="1"/>
  <c r="N259" i="24" s="1"/>
  <c r="O259" i="24" s="1"/>
  <c r="P259" i="24" s="1"/>
  <c r="Q259" i="24" s="1"/>
  <c r="R259" i="24" s="1"/>
  <c r="M219" i="24"/>
  <c r="L168" i="24"/>
  <c r="N134" i="24"/>
  <c r="O134" i="24" s="1"/>
  <c r="M77" i="24"/>
  <c r="M270" i="24"/>
  <c r="N270" i="24" l="1"/>
  <c r="P134" i="24"/>
  <c r="M168" i="24"/>
  <c r="N219" i="24"/>
  <c r="O219" i="24" l="1"/>
  <c r="N168" i="24"/>
  <c r="O270" i="24"/>
  <c r="P270" i="24" l="1"/>
  <c r="O168" i="24"/>
  <c r="P219" i="24"/>
  <c r="Q219" i="24" l="1"/>
  <c r="P168" i="24"/>
  <c r="Q270" i="24"/>
  <c r="M64" i="55" l="1"/>
  <c r="S75" i="55"/>
  <c r="M63" i="55"/>
  <c r="R75" i="55"/>
  <c r="M66" i="55"/>
  <c r="Q75" i="55"/>
  <c r="M62" i="55"/>
  <c r="T236" i="55" s="1"/>
  <c r="R270" i="24"/>
  <c r="S270" i="24" s="1"/>
  <c r="Q168" i="24"/>
  <c r="R219" i="24"/>
  <c r="I494" i="24" l="1"/>
  <c r="J494" i="24"/>
  <c r="J66" i="55"/>
  <c r="U236" i="55"/>
  <c r="W236" i="55"/>
  <c r="R236" i="55"/>
  <c r="V236" i="55"/>
  <c r="Q236" i="55"/>
  <c r="S236" i="55"/>
  <c r="P236" i="55"/>
  <c r="O236" i="55"/>
  <c r="Q85" i="55"/>
  <c r="S154" i="55"/>
  <c r="S171" i="55" s="1"/>
  <c r="J64" i="55"/>
  <c r="U154" i="55"/>
  <c r="J62" i="55"/>
  <c r="R154" i="55"/>
  <c r="R171" i="55" s="1"/>
  <c r="J63" i="55"/>
  <c r="S219" i="24"/>
  <c r="R168" i="24"/>
  <c r="T270" i="24"/>
  <c r="K494" i="24" l="1"/>
  <c r="L494" i="24"/>
  <c r="U171" i="55"/>
  <c r="U187" i="55" s="1"/>
  <c r="U159" i="55"/>
  <c r="Q88" i="55"/>
  <c r="U162" i="55"/>
  <c r="U13" i="55" s="1"/>
  <c r="S159" i="55"/>
  <c r="S12" i="55" s="1"/>
  <c r="S162" i="55"/>
  <c r="R159" i="55"/>
  <c r="R162" i="55"/>
  <c r="Y234" i="55"/>
  <c r="AC92" i="55"/>
  <c r="AC94" i="55" s="1"/>
  <c r="AA92" i="55"/>
  <c r="AA94" i="55" s="1"/>
  <c r="AA112" i="55" s="1"/>
  <c r="M236" i="55"/>
  <c r="R187" i="55"/>
  <c r="AM92" i="55"/>
  <c r="AM94" i="55" s="1"/>
  <c r="AO92" i="55"/>
  <c r="AO94" i="55" s="1"/>
  <c r="S187" i="55"/>
  <c r="S168" i="24"/>
  <c r="T219" i="24"/>
  <c r="U219" i="24" s="1"/>
  <c r="Q178" i="24"/>
  <c r="X138" i="24"/>
  <c r="AO155" i="55" l="1"/>
  <c r="AC155" i="55"/>
  <c r="S247" i="55"/>
  <c r="V247" i="55"/>
  <c r="U247" i="55"/>
  <c r="T247" i="55"/>
  <c r="W247" i="55"/>
  <c r="Q247" i="55"/>
  <c r="R247" i="55"/>
  <c r="AM95" i="55"/>
  <c r="AM112" i="55"/>
  <c r="U12" i="55"/>
  <c r="O247" i="55"/>
  <c r="P247" i="55"/>
  <c r="Q94" i="55"/>
  <c r="Q214" i="55"/>
  <c r="AA155" i="55"/>
  <c r="AM155" i="55"/>
  <c r="S244" i="55"/>
  <c r="R12" i="55"/>
  <c r="T305" i="55"/>
  <c r="R13" i="55"/>
  <c r="T306" i="55"/>
  <c r="S13" i="55"/>
  <c r="X150" i="24"/>
  <c r="Q245" i="55"/>
  <c r="R245" i="55"/>
  <c r="S245" i="55"/>
  <c r="Q244" i="55"/>
  <c r="R244" i="55"/>
  <c r="AA96" i="55"/>
  <c r="O308" i="55"/>
  <c r="T245" i="55"/>
  <c r="S202" i="55"/>
  <c r="S204" i="55" s="1"/>
  <c r="T244" i="55"/>
  <c r="R202" i="55"/>
  <c r="R204" i="55" s="1"/>
  <c r="U202" i="55"/>
  <c r="U204" i="55" s="1"/>
  <c r="M246" i="55"/>
  <c r="J246" i="55" s="1"/>
  <c r="T308" i="55"/>
  <c r="M307" i="55"/>
  <c r="J307" i="55" s="1"/>
  <c r="V245" i="55"/>
  <c r="U245" i="55"/>
  <c r="V244" i="55"/>
  <c r="U244" i="55"/>
  <c r="AM96" i="55"/>
  <c r="W245" i="55"/>
  <c r="O245" i="55"/>
  <c r="P245" i="55"/>
  <c r="R191" i="55"/>
  <c r="U191" i="55"/>
  <c r="S191" i="55"/>
  <c r="P244" i="55"/>
  <c r="W244" i="55"/>
  <c r="O244" i="55"/>
  <c r="W305" i="55"/>
  <c r="R305" i="55"/>
  <c r="Q305" i="55"/>
  <c r="P305" i="55"/>
  <c r="O305" i="55"/>
  <c r="U305" i="55"/>
  <c r="V305" i="55"/>
  <c r="S305" i="55"/>
  <c r="O306" i="55"/>
  <c r="R306" i="55"/>
  <c r="V306" i="55"/>
  <c r="W306" i="55"/>
  <c r="Q306" i="55"/>
  <c r="U306" i="55"/>
  <c r="S306" i="55"/>
  <c r="P306" i="55"/>
  <c r="R308" i="55"/>
  <c r="P308" i="55"/>
  <c r="Q308" i="55"/>
  <c r="W308" i="55"/>
  <c r="U308" i="55"/>
  <c r="V308" i="55"/>
  <c r="S308" i="55"/>
  <c r="AM135" i="55"/>
  <c r="AM140" i="55" s="1"/>
  <c r="AM107" i="55"/>
  <c r="AM209" i="55" s="1"/>
  <c r="V219" i="24"/>
  <c r="W219" i="24" s="1"/>
  <c r="X219" i="24" s="1"/>
  <c r="Y219" i="24" s="1"/>
  <c r="Z219" i="24" s="1"/>
  <c r="T168" i="24"/>
  <c r="P178" i="24"/>
  <c r="P138" i="24"/>
  <c r="BA81" i="107" s="1"/>
  <c r="M138" i="24"/>
  <c r="M159" i="24" s="1"/>
  <c r="N138" i="24"/>
  <c r="K138" i="24"/>
  <c r="L138" i="24"/>
  <c r="X178" i="24"/>
  <c r="W178" i="24"/>
  <c r="V178" i="24"/>
  <c r="U178" i="24"/>
  <c r="T178" i="24"/>
  <c r="S178" i="24"/>
  <c r="R178" i="24"/>
  <c r="T138" i="24"/>
  <c r="AC81" i="107" s="1"/>
  <c r="AY81" i="55"/>
  <c r="I138" i="24"/>
  <c r="V138" i="24"/>
  <c r="J178" i="24"/>
  <c r="M178" i="24"/>
  <c r="O178" i="24"/>
  <c r="I178" i="24"/>
  <c r="AD138" i="24"/>
  <c r="AD159" i="24" s="1"/>
  <c r="W138" i="24"/>
  <c r="Y138" i="24"/>
  <c r="Z138" i="24"/>
  <c r="AA138" i="24"/>
  <c r="AB138" i="24"/>
  <c r="AC138" i="24"/>
  <c r="AC159" i="24" s="1"/>
  <c r="AE138" i="24"/>
  <c r="AF138" i="24"/>
  <c r="AG138" i="24"/>
  <c r="K178" i="24"/>
  <c r="L178" i="24"/>
  <c r="N178" i="24"/>
  <c r="AC221" i="107" l="1"/>
  <c r="AC171" i="107"/>
  <c r="AC186" i="107"/>
  <c r="AC188" i="107"/>
  <c r="BA221" i="107"/>
  <c r="BA171" i="107"/>
  <c r="BA188" i="107"/>
  <c r="BA186" i="107"/>
  <c r="AO81" i="107"/>
  <c r="Q81" i="107"/>
  <c r="AC81" i="105"/>
  <c r="AC221" i="105" s="1"/>
  <c r="AC81" i="106"/>
  <c r="BA81" i="105"/>
  <c r="BA221" i="105" s="1"/>
  <c r="BA81" i="106"/>
  <c r="AO81" i="106"/>
  <c r="Q81" i="106"/>
  <c r="AC188" i="105"/>
  <c r="AC186" i="105"/>
  <c r="BA186" i="105"/>
  <c r="BA188" i="105"/>
  <c r="AO81" i="105"/>
  <c r="Q81" i="105"/>
  <c r="AC81" i="103"/>
  <c r="AC221" i="103" s="1"/>
  <c r="AC81" i="104"/>
  <c r="BA81" i="103"/>
  <c r="BA171" i="103" s="1"/>
  <c r="BA81" i="104"/>
  <c r="AO81" i="104"/>
  <c r="Q81" i="104"/>
  <c r="BA188" i="103"/>
  <c r="BA186" i="103"/>
  <c r="Q81" i="103"/>
  <c r="AO81" i="103"/>
  <c r="AA219" i="24"/>
  <c r="AB219" i="24" s="1"/>
  <c r="AC219" i="24" s="1"/>
  <c r="AD219" i="24" s="1"/>
  <c r="AE219" i="24" s="1"/>
  <c r="AF219" i="24" s="1"/>
  <c r="AG219" i="24" s="1"/>
  <c r="AH219" i="24" s="1"/>
  <c r="AI219" i="24" s="1"/>
  <c r="AY188" i="55"/>
  <c r="AY221" i="55"/>
  <c r="AM144" i="55"/>
  <c r="AM211" i="55"/>
  <c r="AM212" i="55"/>
  <c r="K159" i="24"/>
  <c r="BA108" i="55"/>
  <c r="M150" i="24"/>
  <c r="AG150" i="24"/>
  <c r="AF150" i="24"/>
  <c r="T150" i="24"/>
  <c r="AM113" i="55"/>
  <c r="AM138" i="55"/>
  <c r="AK155" i="55"/>
  <c r="AB150" i="24"/>
  <c r="Z150" i="24"/>
  <c r="Y150" i="24"/>
  <c r="W150" i="24"/>
  <c r="AO81" i="55"/>
  <c r="I150" i="24"/>
  <c r="AA150" i="24"/>
  <c r="L150" i="24"/>
  <c r="L159" i="24"/>
  <c r="AD150" i="24"/>
  <c r="K150" i="24"/>
  <c r="AC150" i="24"/>
  <c r="N150" i="24"/>
  <c r="N159" i="24"/>
  <c r="P150" i="24"/>
  <c r="P159" i="24"/>
  <c r="AE150" i="24"/>
  <c r="V150" i="24"/>
  <c r="AA107" i="55"/>
  <c r="AA209" i="55" s="1"/>
  <c r="AA135" i="55"/>
  <c r="AA140" i="55" s="1"/>
  <c r="AM154" i="55"/>
  <c r="AK154" i="55" s="1"/>
  <c r="Y214" i="55"/>
  <c r="AK214" i="55"/>
  <c r="BA102" i="55"/>
  <c r="BA119" i="55" s="1"/>
  <c r="O81" i="55"/>
  <c r="M308" i="55"/>
  <c r="M244" i="55"/>
  <c r="M247" i="55"/>
  <c r="M306" i="55"/>
  <c r="M305" i="55"/>
  <c r="M245" i="55"/>
  <c r="Q102" i="55"/>
  <c r="Q81" i="55"/>
  <c r="AC81" i="55"/>
  <c r="AC102" i="55"/>
  <c r="AC119" i="55" s="1"/>
  <c r="AA81" i="55"/>
  <c r="BA81" i="55"/>
  <c r="U168" i="24"/>
  <c r="M92" i="23"/>
  <c r="M91" i="23"/>
  <c r="M93" i="23"/>
  <c r="AC171" i="105" l="1"/>
  <c r="BA171" i="105"/>
  <c r="BA221" i="103"/>
  <c r="BA14" i="107"/>
  <c r="AW14" i="107" s="1"/>
  <c r="BA190" i="107"/>
  <c r="AW186" i="107"/>
  <c r="AW190" i="107" s="1"/>
  <c r="AC192" i="107"/>
  <c r="Y188" i="107"/>
  <c r="Y192" i="107" s="1"/>
  <c r="BA192" i="107"/>
  <c r="AW188" i="107"/>
  <c r="AW192" i="107" s="1"/>
  <c r="AC14" i="107"/>
  <c r="Y14" i="107" s="1"/>
  <c r="AC190" i="107"/>
  <c r="Y186" i="107"/>
  <c r="Y190" i="107" s="1"/>
  <c r="Q221" i="107"/>
  <c r="Q171" i="107"/>
  <c r="Q186" i="107"/>
  <c r="Q188" i="107"/>
  <c r="BA187" i="107"/>
  <c r="AW171" i="107"/>
  <c r="AW172" i="107" s="1"/>
  <c r="AC187" i="107"/>
  <c r="Y171" i="107"/>
  <c r="Y172" i="107" s="1"/>
  <c r="AC188" i="103"/>
  <c r="Y188" i="103" s="1"/>
  <c r="Y192" i="103" s="1"/>
  <c r="AO221" i="107"/>
  <c r="AO171" i="107"/>
  <c r="AO188" i="107"/>
  <c r="AO186" i="107"/>
  <c r="AW221" i="107"/>
  <c r="BA222" i="107"/>
  <c r="AW222" i="107" s="1"/>
  <c r="Y221" i="107"/>
  <c r="AC222" i="107"/>
  <c r="Y222" i="107" s="1"/>
  <c r="BA221" i="106"/>
  <c r="BA171" i="106"/>
  <c r="BA186" i="106"/>
  <c r="BA188" i="106"/>
  <c r="AC171" i="103"/>
  <c r="Q221" i="106"/>
  <c r="Q171" i="106"/>
  <c r="Q186" i="106"/>
  <c r="Q188" i="106"/>
  <c r="AC221" i="106"/>
  <c r="AC171" i="106"/>
  <c r="AC186" i="106"/>
  <c r="AC188" i="106"/>
  <c r="AO221" i="106"/>
  <c r="AO171" i="106"/>
  <c r="AO188" i="106"/>
  <c r="AO186" i="106"/>
  <c r="AC186" i="103"/>
  <c r="BA192" i="105"/>
  <c r="AW188" i="105"/>
  <c r="AW192" i="105" s="1"/>
  <c r="AC14" i="105"/>
  <c r="Y14" i="105" s="1"/>
  <c r="AC190" i="105"/>
  <c r="Y186" i="105"/>
  <c r="Y190" i="105" s="1"/>
  <c r="BA14" i="105"/>
  <c r="AW14" i="105" s="1"/>
  <c r="BA190" i="105"/>
  <c r="AW186" i="105"/>
  <c r="AW190" i="105" s="1"/>
  <c r="AC192" i="105"/>
  <c r="Y188" i="105"/>
  <c r="Y192" i="105" s="1"/>
  <c r="Q221" i="105"/>
  <c r="Q171" i="105"/>
  <c r="Q186" i="105"/>
  <c r="Q188" i="105"/>
  <c r="BA187" i="105"/>
  <c r="AW171" i="105"/>
  <c r="AW172" i="105" s="1"/>
  <c r="AC187" i="105"/>
  <c r="Y171" i="105"/>
  <c r="Y172" i="105" s="1"/>
  <c r="AO221" i="105"/>
  <c r="AO171" i="105"/>
  <c r="AO188" i="105"/>
  <c r="AO186" i="105"/>
  <c r="AW221" i="105"/>
  <c r="BA222" i="105"/>
  <c r="AW222" i="105" s="1"/>
  <c r="Y221" i="105"/>
  <c r="AC222" i="105"/>
  <c r="Y222" i="105" s="1"/>
  <c r="BA221" i="104"/>
  <c r="BA171" i="104"/>
  <c r="BA186" i="104"/>
  <c r="BA188" i="104"/>
  <c r="Q221" i="104"/>
  <c r="Q171" i="104"/>
  <c r="Q186" i="104"/>
  <c r="Q188" i="104"/>
  <c r="AC221" i="104"/>
  <c r="AC171" i="104"/>
  <c r="AC188" i="104"/>
  <c r="AC186" i="104"/>
  <c r="AO221" i="104"/>
  <c r="AO171" i="104"/>
  <c r="AO188" i="104"/>
  <c r="AO186" i="104"/>
  <c r="BA14" i="103"/>
  <c r="AW14" i="103" s="1"/>
  <c r="BA190" i="103"/>
  <c r="AW186" i="103"/>
  <c r="AW190" i="103" s="1"/>
  <c r="AC14" i="103"/>
  <c r="Y14" i="103" s="1"/>
  <c r="AC190" i="103"/>
  <c r="Y186" i="103"/>
  <c r="Y190" i="103" s="1"/>
  <c r="BA192" i="103"/>
  <c r="AW188" i="103"/>
  <c r="AW192" i="103" s="1"/>
  <c r="AC192" i="103"/>
  <c r="AO221" i="103"/>
  <c r="AO171" i="103"/>
  <c r="AO186" i="103"/>
  <c r="AO188" i="103"/>
  <c r="BA187" i="103"/>
  <c r="AW171" i="103"/>
  <c r="AW172" i="103" s="1"/>
  <c r="AC187" i="103"/>
  <c r="Y171" i="103"/>
  <c r="Y172" i="103" s="1"/>
  <c r="Q221" i="103"/>
  <c r="Q171" i="103"/>
  <c r="Q186" i="103"/>
  <c r="Q188" i="103"/>
  <c r="AW221" i="103"/>
  <c r="BA222" i="103"/>
  <c r="AW222" i="103" s="1"/>
  <c r="Y221" i="103"/>
  <c r="AC222" i="103"/>
  <c r="Y222" i="103" s="1"/>
  <c r="AJ219" i="24"/>
  <c r="AK219" i="24" s="1"/>
  <c r="AL219" i="24" s="1"/>
  <c r="AM219" i="24" s="1"/>
  <c r="BA221" i="55"/>
  <c r="AW221" i="55" s="1"/>
  <c r="AC221" i="55"/>
  <c r="O221" i="55"/>
  <c r="Q188" i="55"/>
  <c r="Q221" i="55"/>
  <c r="AA95" i="55"/>
  <c r="AA154" i="55" s="1"/>
  <c r="Y154" i="55" s="1"/>
  <c r="AA221" i="55"/>
  <c r="AO221" i="55"/>
  <c r="AK221" i="55" s="1"/>
  <c r="AA144" i="55"/>
  <c r="AA211" i="55"/>
  <c r="AA212" i="55"/>
  <c r="Q119" i="55"/>
  <c r="Q115" i="55"/>
  <c r="I159" i="24"/>
  <c r="BA105" i="55"/>
  <c r="AC108" i="55"/>
  <c r="Q108" i="55"/>
  <c r="AO108" i="55"/>
  <c r="AM142" i="55"/>
  <c r="AM200" i="55" s="1"/>
  <c r="BA115" i="55"/>
  <c r="AC115" i="55"/>
  <c r="Q103" i="55"/>
  <c r="AA113" i="55"/>
  <c r="AC197" i="55"/>
  <c r="AC103" i="55"/>
  <c r="BA197" i="55"/>
  <c r="BA103" i="55"/>
  <c r="AA188" i="55"/>
  <c r="AA192" i="55" s="1"/>
  <c r="AM186" i="55"/>
  <c r="Q197" i="55"/>
  <c r="AM146" i="55"/>
  <c r="AA138" i="55"/>
  <c r="AO188" i="55"/>
  <c r="AO192" i="55" s="1"/>
  <c r="Y155" i="55"/>
  <c r="AC188" i="55"/>
  <c r="BA188" i="55"/>
  <c r="AM216" i="55"/>
  <c r="J305" i="55"/>
  <c r="I161" i="23"/>
  <c r="J306" i="55"/>
  <c r="I162" i="23"/>
  <c r="J247" i="55"/>
  <c r="I93" i="23"/>
  <c r="J308" i="55"/>
  <c r="I163" i="23"/>
  <c r="J245" i="55"/>
  <c r="I92" i="23"/>
  <c r="J244" i="55"/>
  <c r="I91" i="23"/>
  <c r="AM167" i="55"/>
  <c r="AM169" i="55" s="1"/>
  <c r="AM117" i="55"/>
  <c r="AM121" i="55"/>
  <c r="V168" i="24"/>
  <c r="AK221" i="107" l="1"/>
  <c r="AO222" i="107"/>
  <c r="AK222" i="107" s="1"/>
  <c r="AW173" i="107"/>
  <c r="AW177" i="107" s="1"/>
  <c r="Q187" i="107"/>
  <c r="M171" i="107"/>
  <c r="AO14" i="107"/>
  <c r="AK14" i="107" s="1"/>
  <c r="AO190" i="107"/>
  <c r="AK186" i="107"/>
  <c r="AK190" i="107" s="1"/>
  <c r="BA191" i="107"/>
  <c r="AW187" i="107"/>
  <c r="AW191" i="107" s="1"/>
  <c r="M221" i="107"/>
  <c r="Q222" i="107"/>
  <c r="M222" i="107" s="1"/>
  <c r="AO192" i="107"/>
  <c r="AK188" i="107"/>
  <c r="AK192" i="107" s="1"/>
  <c r="Y173" i="107"/>
  <c r="Y177" i="107" s="1"/>
  <c r="Q192" i="107"/>
  <c r="M188" i="107"/>
  <c r="M192" i="107" s="1"/>
  <c r="AO187" i="107"/>
  <c r="AK171" i="107"/>
  <c r="AK172" i="107" s="1"/>
  <c r="AC191" i="107"/>
  <c r="Y187" i="107"/>
  <c r="Y191" i="107" s="1"/>
  <c r="Q14" i="107"/>
  <c r="M14" i="107" s="1"/>
  <c r="J14" i="107" s="1"/>
  <c r="Q190" i="107"/>
  <c r="M186" i="107"/>
  <c r="M190" i="107" s="1"/>
  <c r="AO192" i="106"/>
  <c r="AK188" i="106"/>
  <c r="AK192" i="106" s="1"/>
  <c r="AC14" i="106"/>
  <c r="Y14" i="106" s="1"/>
  <c r="AC190" i="106"/>
  <c r="Y186" i="106"/>
  <c r="Y190" i="106" s="1"/>
  <c r="Q14" i="106"/>
  <c r="M14" i="106" s="1"/>
  <c r="Q190" i="106"/>
  <c r="M186" i="106"/>
  <c r="M190" i="106" s="1"/>
  <c r="BA192" i="106"/>
  <c r="AW188" i="106"/>
  <c r="AW192" i="106" s="1"/>
  <c r="AO187" i="106"/>
  <c r="AK171" i="106"/>
  <c r="AK172" i="106" s="1"/>
  <c r="AC187" i="106"/>
  <c r="Y171" i="106"/>
  <c r="Y172" i="106" s="1"/>
  <c r="Q187" i="106"/>
  <c r="M171" i="106"/>
  <c r="BA14" i="106"/>
  <c r="AW14" i="106" s="1"/>
  <c r="BA190" i="106"/>
  <c r="AW186" i="106"/>
  <c r="AW190" i="106" s="1"/>
  <c r="AK221" i="106"/>
  <c r="AO222" i="106"/>
  <c r="AK222" i="106" s="1"/>
  <c r="Y221" i="106"/>
  <c r="AC222" i="106"/>
  <c r="Y222" i="106" s="1"/>
  <c r="M221" i="106"/>
  <c r="Q222" i="106"/>
  <c r="M222" i="106" s="1"/>
  <c r="BA187" i="106"/>
  <c r="AW171" i="106"/>
  <c r="AW172" i="106" s="1"/>
  <c r="AO14" i="106"/>
  <c r="AK14" i="106" s="1"/>
  <c r="AO190" i="106"/>
  <c r="AK186" i="106"/>
  <c r="AK190" i="106" s="1"/>
  <c r="AC192" i="106"/>
  <c r="Y188" i="106"/>
  <c r="Y192" i="106" s="1"/>
  <c r="Q192" i="106"/>
  <c r="M188" i="106"/>
  <c r="M192" i="106" s="1"/>
  <c r="AW221" i="106"/>
  <c r="BA222" i="106"/>
  <c r="AW222" i="106" s="1"/>
  <c r="AK221" i="105"/>
  <c r="AO222" i="105"/>
  <c r="AK222" i="105" s="1"/>
  <c r="BA191" i="105"/>
  <c r="AW187" i="105"/>
  <c r="AW191" i="105" s="1"/>
  <c r="M221" i="105"/>
  <c r="Q222" i="105"/>
  <c r="M222" i="105" s="1"/>
  <c r="AO14" i="105"/>
  <c r="AK14" i="105" s="1"/>
  <c r="AO190" i="105"/>
  <c r="AK186" i="105"/>
  <c r="AK190" i="105" s="1"/>
  <c r="Y173" i="105"/>
  <c r="Y181" i="105" s="1"/>
  <c r="Q192" i="105"/>
  <c r="M188" i="105"/>
  <c r="M192" i="105" s="1"/>
  <c r="AO192" i="105"/>
  <c r="AK188" i="105"/>
  <c r="AK192" i="105" s="1"/>
  <c r="AC191" i="105"/>
  <c r="Y187" i="105"/>
  <c r="Y191" i="105" s="1"/>
  <c r="Q14" i="105"/>
  <c r="M14" i="105" s="1"/>
  <c r="Q190" i="105"/>
  <c r="M186" i="105"/>
  <c r="M190" i="105" s="1"/>
  <c r="AO187" i="105"/>
  <c r="AK171" i="105"/>
  <c r="AK172" i="105" s="1"/>
  <c r="AW173" i="105"/>
  <c r="AW177" i="105" s="1"/>
  <c r="Q187" i="105"/>
  <c r="M171" i="105"/>
  <c r="AO14" i="104"/>
  <c r="AK14" i="104" s="1"/>
  <c r="AO190" i="104"/>
  <c r="AK186" i="104"/>
  <c r="AK190" i="104" s="1"/>
  <c r="AC14" i="104"/>
  <c r="Y14" i="104" s="1"/>
  <c r="AC190" i="104"/>
  <c r="Y186" i="104"/>
  <c r="Y190" i="104" s="1"/>
  <c r="Q192" i="104"/>
  <c r="M188" i="104"/>
  <c r="M192" i="104" s="1"/>
  <c r="BA192" i="104"/>
  <c r="AW188" i="104"/>
  <c r="AW192" i="104" s="1"/>
  <c r="AO192" i="104"/>
  <c r="AK188" i="104"/>
  <c r="AK192" i="104" s="1"/>
  <c r="AC192" i="104"/>
  <c r="Y188" i="104"/>
  <c r="Y192" i="104" s="1"/>
  <c r="Q14" i="104"/>
  <c r="M14" i="104" s="1"/>
  <c r="Q190" i="104"/>
  <c r="M186" i="104"/>
  <c r="M190" i="104" s="1"/>
  <c r="BA14" i="104"/>
  <c r="AW14" i="104" s="1"/>
  <c r="BA190" i="104"/>
  <c r="AW186" i="104"/>
  <c r="AW190" i="104" s="1"/>
  <c r="AO187" i="104"/>
  <c r="AK171" i="104"/>
  <c r="AK172" i="104" s="1"/>
  <c r="AC187" i="104"/>
  <c r="Y171" i="104"/>
  <c r="Y172" i="104" s="1"/>
  <c r="Q187" i="104"/>
  <c r="M171" i="104"/>
  <c r="BA187" i="104"/>
  <c r="AW171" i="104"/>
  <c r="AW172" i="104" s="1"/>
  <c r="AK221" i="104"/>
  <c r="AO222" i="104"/>
  <c r="AK222" i="104" s="1"/>
  <c r="Y221" i="104"/>
  <c r="AC222" i="104"/>
  <c r="Y222" i="104" s="1"/>
  <c r="M221" i="104"/>
  <c r="Q222" i="104"/>
  <c r="M222" i="104" s="1"/>
  <c r="AW221" i="104"/>
  <c r="BA222" i="104"/>
  <c r="AW222" i="104" s="1"/>
  <c r="AO187" i="103"/>
  <c r="AK171" i="103"/>
  <c r="AK172" i="103" s="1"/>
  <c r="M221" i="103"/>
  <c r="Q222" i="103"/>
  <c r="M222" i="103" s="1"/>
  <c r="BA191" i="103"/>
  <c r="AW187" i="103"/>
  <c r="AW191" i="103" s="1"/>
  <c r="AK221" i="103"/>
  <c r="AO222" i="103"/>
  <c r="AK222" i="103" s="1"/>
  <c r="Q187" i="103"/>
  <c r="M171" i="103"/>
  <c r="AW173" i="103"/>
  <c r="AW181" i="103" s="1"/>
  <c r="Q192" i="103"/>
  <c r="M188" i="103"/>
  <c r="M192" i="103" s="1"/>
  <c r="Y173" i="103"/>
  <c r="Y177" i="103" s="1"/>
  <c r="AO192" i="103"/>
  <c r="AK188" i="103"/>
  <c r="AK192" i="103" s="1"/>
  <c r="Q14" i="103"/>
  <c r="M14" i="103" s="1"/>
  <c r="Q190" i="103"/>
  <c r="M186" i="103"/>
  <c r="M190" i="103" s="1"/>
  <c r="AC191" i="103"/>
  <c r="Y187" i="103"/>
  <c r="Y191" i="103" s="1"/>
  <c r="AO14" i="103"/>
  <c r="AK14" i="103" s="1"/>
  <c r="AO190" i="103"/>
  <c r="AK186" i="103"/>
  <c r="AK190" i="103" s="1"/>
  <c r="BA131" i="55"/>
  <c r="AY5" i="55" s="1"/>
  <c r="BA134" i="55"/>
  <c r="AA186" i="55"/>
  <c r="AA14" i="55" s="1"/>
  <c r="AA142" i="55"/>
  <c r="AA146" i="55"/>
  <c r="AA216" i="55"/>
  <c r="AA167" i="55"/>
  <c r="AA117" i="55"/>
  <c r="AA121" i="55"/>
  <c r="AM198" i="55"/>
  <c r="Q192" i="55"/>
  <c r="AK269" i="55"/>
  <c r="Y269" i="55"/>
  <c r="Y188" i="55"/>
  <c r="Y192" i="55" s="1"/>
  <c r="Y221" i="55"/>
  <c r="M221" i="55"/>
  <c r="BA92" i="55"/>
  <c r="BA94" i="55" s="1"/>
  <c r="AY92" i="55"/>
  <c r="AY94" i="55" s="1"/>
  <c r="AM14" i="55"/>
  <c r="AM190" i="55"/>
  <c r="AK188" i="55"/>
  <c r="AK192" i="55" s="1"/>
  <c r="AM192" i="55"/>
  <c r="AC192" i="55"/>
  <c r="W168" i="24"/>
  <c r="Q71" i="23"/>
  <c r="Q70" i="23"/>
  <c r="Q69" i="23"/>
  <c r="P71" i="23"/>
  <c r="P69" i="23"/>
  <c r="P70" i="23"/>
  <c r="O70" i="23"/>
  <c r="O69" i="23"/>
  <c r="O71" i="23"/>
  <c r="N69" i="23"/>
  <c r="N71" i="23"/>
  <c r="N70" i="23"/>
  <c r="R71" i="23"/>
  <c r="R69" i="23"/>
  <c r="Q68" i="23"/>
  <c r="R70" i="23"/>
  <c r="N68" i="23"/>
  <c r="O68" i="23"/>
  <c r="R68" i="23"/>
  <c r="AW181" i="107" l="1"/>
  <c r="AK173" i="107"/>
  <c r="AK181" i="107" s="1"/>
  <c r="J171" i="107"/>
  <c r="M172" i="107"/>
  <c r="AO191" i="107"/>
  <c r="AK187" i="107"/>
  <c r="AK191" i="107" s="1"/>
  <c r="Y181" i="107"/>
  <c r="Q191" i="107"/>
  <c r="M187" i="107"/>
  <c r="M191" i="107" s="1"/>
  <c r="J14" i="105"/>
  <c r="M172" i="106"/>
  <c r="J171" i="106"/>
  <c r="AK173" i="106"/>
  <c r="AK181" i="106" s="1"/>
  <c r="AW173" i="106"/>
  <c r="AW181" i="106" s="1"/>
  <c r="Q191" i="106"/>
  <c r="M187" i="106"/>
  <c r="M191" i="106" s="1"/>
  <c r="AO191" i="106"/>
  <c r="AK187" i="106"/>
  <c r="AK191" i="106" s="1"/>
  <c r="Y177" i="105"/>
  <c r="BA191" i="106"/>
  <c r="AW187" i="106"/>
  <c r="AW191" i="106" s="1"/>
  <c r="Y173" i="106"/>
  <c r="Y177" i="106" s="1"/>
  <c r="J14" i="106"/>
  <c r="AC191" i="106"/>
  <c r="Y187" i="106"/>
  <c r="Y191" i="106" s="1"/>
  <c r="J171" i="105"/>
  <c r="M172" i="105"/>
  <c r="AW181" i="105"/>
  <c r="Q191" i="105"/>
  <c r="M187" i="105"/>
  <c r="M191" i="105" s="1"/>
  <c r="AK173" i="105"/>
  <c r="AK181" i="105" s="1"/>
  <c r="AO191" i="105"/>
  <c r="AK187" i="105"/>
  <c r="AK191" i="105" s="1"/>
  <c r="J14" i="104"/>
  <c r="AW173" i="104"/>
  <c r="AW181" i="104" s="1"/>
  <c r="Y173" i="104"/>
  <c r="Y181" i="104" s="1"/>
  <c r="BA191" i="104"/>
  <c r="AW187" i="104"/>
  <c r="AW191" i="104" s="1"/>
  <c r="AC191" i="104"/>
  <c r="Y187" i="104"/>
  <c r="Y191" i="104" s="1"/>
  <c r="J171" i="104"/>
  <c r="M172" i="104"/>
  <c r="AK173" i="104"/>
  <c r="AK181" i="104" s="1"/>
  <c r="Q191" i="104"/>
  <c r="M187" i="104"/>
  <c r="M191" i="104" s="1"/>
  <c r="AO191" i="104"/>
  <c r="AK187" i="104"/>
  <c r="AK191" i="104" s="1"/>
  <c r="Y181" i="103"/>
  <c r="AW177" i="103"/>
  <c r="M172" i="103"/>
  <c r="J171" i="103"/>
  <c r="AK173" i="103"/>
  <c r="AK181" i="103" s="1"/>
  <c r="J14" i="103"/>
  <c r="Q191" i="103"/>
  <c r="M187" i="103"/>
  <c r="M191" i="103" s="1"/>
  <c r="AO191" i="103"/>
  <c r="AK187" i="103"/>
  <c r="AK191" i="103" s="1"/>
  <c r="BA155" i="55"/>
  <c r="BA112" i="55"/>
  <c r="AY95" i="55"/>
  <c r="AY112" i="55"/>
  <c r="BA132" i="55"/>
  <c r="BA133" i="55" s="1"/>
  <c r="AY155" i="55"/>
  <c r="AA200" i="55"/>
  <c r="AA198" i="55"/>
  <c r="R72" i="23"/>
  <c r="Q72" i="23"/>
  <c r="O72" i="23"/>
  <c r="N72" i="23"/>
  <c r="AA169" i="55"/>
  <c r="AA190" i="55"/>
  <c r="AK268" i="55"/>
  <c r="Y268" i="55"/>
  <c r="AW268" i="55"/>
  <c r="AY96" i="55"/>
  <c r="AY135" i="55"/>
  <c r="AY140" i="55" s="1"/>
  <c r="AY107" i="55"/>
  <c r="AY209" i="55" s="1"/>
  <c r="X168" i="24"/>
  <c r="Y168" i="24" s="1"/>
  <c r="Z168" i="24" s="1"/>
  <c r="AA168" i="24" s="1"/>
  <c r="AB168" i="24" s="1"/>
  <c r="AK177" i="107" l="1"/>
  <c r="J172" i="107"/>
  <c r="M173" i="107"/>
  <c r="J173" i="107" s="1"/>
  <c r="AK177" i="106"/>
  <c r="Y181" i="106"/>
  <c r="AW177" i="106"/>
  <c r="J172" i="106"/>
  <c r="M173" i="106"/>
  <c r="J173" i="106" s="1"/>
  <c r="AK177" i="105"/>
  <c r="J172" i="105"/>
  <c r="M173" i="105"/>
  <c r="J173" i="105" s="1"/>
  <c r="J172" i="104"/>
  <c r="M173" i="104"/>
  <c r="J173" i="104" s="1"/>
  <c r="Y177" i="104"/>
  <c r="AK177" i="104"/>
  <c r="AW177" i="104"/>
  <c r="AK177" i="103"/>
  <c r="J172" i="103"/>
  <c r="M173" i="103"/>
  <c r="J173" i="103" s="1"/>
  <c r="AW112" i="55"/>
  <c r="AZ123" i="55"/>
  <c r="AZ153" i="55" s="1"/>
  <c r="AY123" i="55"/>
  <c r="BA123" i="55"/>
  <c r="BA153" i="55" s="1"/>
  <c r="BA199" i="55"/>
  <c r="AY144" i="55"/>
  <c r="AY212" i="55"/>
  <c r="AY211" i="55"/>
  <c r="AY113" i="55"/>
  <c r="BD269" i="55"/>
  <c r="BC269" i="55"/>
  <c r="AY138" i="55"/>
  <c r="AZ269" i="55"/>
  <c r="BF269" i="55"/>
  <c r="AY269" i="55"/>
  <c r="BE269" i="55"/>
  <c r="BB269" i="55"/>
  <c r="BG269" i="55"/>
  <c r="BA269" i="55"/>
  <c r="AK265" i="55"/>
  <c r="AW265" i="55"/>
  <c r="Y265" i="55"/>
  <c r="AW214" i="55"/>
  <c r="AY154" i="55"/>
  <c r="AW154" i="55" s="1"/>
  <c r="Q141" i="23"/>
  <c r="Q233" i="23"/>
  <c r="O233" i="23"/>
  <c r="N111" i="23"/>
  <c r="M177" i="107" l="1"/>
  <c r="J177" i="107" s="1"/>
  <c r="M181" i="107"/>
  <c r="J181" i="107" s="1"/>
  <c r="M181" i="106"/>
  <c r="J181" i="106" s="1"/>
  <c r="M177" i="106"/>
  <c r="J177" i="106" s="1"/>
  <c r="M177" i="105"/>
  <c r="J177" i="105" s="1"/>
  <c r="M181" i="105"/>
  <c r="J181" i="105" s="1"/>
  <c r="M177" i="104"/>
  <c r="J177" i="104" s="1"/>
  <c r="M181" i="104"/>
  <c r="J181" i="104" s="1"/>
  <c r="M177" i="103"/>
  <c r="J177" i="103" s="1"/>
  <c r="M181" i="103"/>
  <c r="J181" i="103" s="1"/>
  <c r="AY153" i="55"/>
  <c r="AW153" i="55" s="1"/>
  <c r="AW123" i="55"/>
  <c r="AZ171" i="55"/>
  <c r="AZ187" i="55" s="1"/>
  <c r="AZ191" i="55" s="1"/>
  <c r="AZ159" i="55"/>
  <c r="AZ162" i="55"/>
  <c r="AY142" i="55"/>
  <c r="AY186" i="55"/>
  <c r="Q227" i="23"/>
  <c r="Q140" i="23"/>
  <c r="P233" i="23"/>
  <c r="P227" i="23"/>
  <c r="P140" i="23"/>
  <c r="P141" i="23"/>
  <c r="O141" i="23"/>
  <c r="O227" i="23"/>
  <c r="O140" i="23"/>
  <c r="N225" i="23"/>
  <c r="N232" i="23"/>
  <c r="N231" i="23"/>
  <c r="N126" i="23"/>
  <c r="N110" i="23"/>
  <c r="N226" i="23"/>
  <c r="R141" i="23"/>
  <c r="N196" i="23"/>
  <c r="R140" i="23"/>
  <c r="N210" i="23"/>
  <c r="R233" i="23"/>
  <c r="R227" i="23"/>
  <c r="N195" i="23"/>
  <c r="AZ242" i="55" l="1"/>
  <c r="BG242" i="55"/>
  <c r="BD242" i="55"/>
  <c r="AY242" i="55"/>
  <c r="BA242" i="55"/>
  <c r="BE242" i="55"/>
  <c r="BC242" i="55"/>
  <c r="BF242" i="55"/>
  <c r="BB242" i="55"/>
  <c r="BG303" i="55"/>
  <c r="BE303" i="55"/>
  <c r="BA303" i="55"/>
  <c r="BB303" i="55"/>
  <c r="BF303" i="55"/>
  <c r="AZ303" i="55"/>
  <c r="BC303" i="55"/>
  <c r="AY303" i="55"/>
  <c r="BD303" i="55"/>
  <c r="AZ13" i="55"/>
  <c r="O142" i="23"/>
  <c r="Q142" i="23"/>
  <c r="R142" i="23"/>
  <c r="P142" i="23"/>
  <c r="N112" i="23"/>
  <c r="N197" i="23"/>
  <c r="AY146" i="55"/>
  <c r="AY200" i="55"/>
  <c r="AY216" i="55"/>
  <c r="AY171" i="55"/>
  <c r="AY162" i="55"/>
  <c r="AY159" i="55"/>
  <c r="AW269" i="55"/>
  <c r="BA135" i="55"/>
  <c r="BA140" i="55" s="1"/>
  <c r="BA107" i="55"/>
  <c r="BA209" i="55" s="1"/>
  <c r="AW155" i="55"/>
  <c r="AY121" i="55"/>
  <c r="AY167" i="55"/>
  <c r="AY169" i="55" s="1"/>
  <c r="AY117" i="55"/>
  <c r="Q81" i="23"/>
  <c r="N151" i="23"/>
  <c r="N181" i="23"/>
  <c r="Q211" i="23"/>
  <c r="O211" i="23"/>
  <c r="AW303" i="55" l="1"/>
  <c r="I204" i="23" s="1"/>
  <c r="AW107" i="55"/>
  <c r="BA144" i="55"/>
  <c r="AW135" i="55"/>
  <c r="BA113" i="55"/>
  <c r="BA212" i="55"/>
  <c r="BA211" i="55"/>
  <c r="AZ241" i="55"/>
  <c r="BD241" i="55"/>
  <c r="BE241" i="55"/>
  <c r="BG241" i="55"/>
  <c r="BB241" i="55"/>
  <c r="BA241" i="55"/>
  <c r="BF241" i="55"/>
  <c r="BC241" i="55"/>
  <c r="AY241" i="55"/>
  <c r="BG302" i="55"/>
  <c r="AZ302" i="55"/>
  <c r="BF302" i="55"/>
  <c r="BC302" i="55"/>
  <c r="BB302" i="55"/>
  <c r="BA302" i="55"/>
  <c r="BE302" i="55"/>
  <c r="BD302" i="55"/>
  <c r="AY302" i="55"/>
  <c r="AY13" i="55"/>
  <c r="Q232" i="23"/>
  <c r="Q125" i="23"/>
  <c r="Q226" i="23"/>
  <c r="Q126" i="23"/>
  <c r="P110" i="23"/>
  <c r="P111" i="23"/>
  <c r="P81" i="23"/>
  <c r="P231" i="23"/>
  <c r="P225" i="23"/>
  <c r="O231" i="23"/>
  <c r="O225" i="23"/>
  <c r="O111" i="23"/>
  <c r="O110" i="23"/>
  <c r="O81" i="23"/>
  <c r="N233" i="23"/>
  <c r="N79" i="23"/>
  <c r="N141" i="23"/>
  <c r="N140" i="23"/>
  <c r="N125" i="23"/>
  <c r="N227" i="23"/>
  <c r="R226" i="23"/>
  <c r="R231" i="23"/>
  <c r="M204" i="23"/>
  <c r="R211" i="23"/>
  <c r="O196" i="23"/>
  <c r="N166" i="23"/>
  <c r="R110" i="23"/>
  <c r="P195" i="23"/>
  <c r="O210" i="23"/>
  <c r="R81" i="23"/>
  <c r="P210" i="23"/>
  <c r="R210" i="23"/>
  <c r="Q210" i="23"/>
  <c r="P196" i="23"/>
  <c r="N165" i="23"/>
  <c r="R126" i="23"/>
  <c r="R125" i="23"/>
  <c r="R225" i="23"/>
  <c r="R111" i="23"/>
  <c r="P211" i="23"/>
  <c r="Q180" i="23"/>
  <c r="O195" i="23"/>
  <c r="Q181" i="23"/>
  <c r="R232" i="23"/>
  <c r="N180" i="23"/>
  <c r="N211" i="23"/>
  <c r="AZ266" i="55" l="1"/>
  <c r="BF266" i="55"/>
  <c r="BB266" i="55"/>
  <c r="BC266" i="55"/>
  <c r="BE266" i="55"/>
  <c r="BG266" i="55"/>
  <c r="BD266" i="55"/>
  <c r="BA266" i="55"/>
  <c r="BA267" i="55"/>
  <c r="BC267" i="55"/>
  <c r="BB267" i="55"/>
  <c r="AZ267" i="55"/>
  <c r="BD267" i="55"/>
  <c r="BE267" i="55"/>
  <c r="BF267" i="55"/>
  <c r="BG267" i="55"/>
  <c r="AY267" i="55"/>
  <c r="AW212" i="55"/>
  <c r="AY266" i="55"/>
  <c r="AW211" i="55"/>
  <c r="O212" i="23"/>
  <c r="N212" i="23"/>
  <c r="R212" i="23"/>
  <c r="Q212" i="23"/>
  <c r="P212" i="23"/>
  <c r="AY187" i="55"/>
  <c r="R127" i="23"/>
  <c r="O197" i="23"/>
  <c r="P197" i="23"/>
  <c r="Q127" i="23"/>
  <c r="R112" i="23"/>
  <c r="P112" i="23"/>
  <c r="Q182" i="23"/>
  <c r="O112" i="23"/>
  <c r="N167" i="23"/>
  <c r="N127" i="23"/>
  <c r="N182" i="23"/>
  <c r="N142" i="23"/>
  <c r="BA138" i="55"/>
  <c r="AW138" i="55" s="1"/>
  <c r="AY198" i="55"/>
  <c r="BA162" i="55"/>
  <c r="AW162" i="55" s="1"/>
  <c r="BA159" i="55"/>
  <c r="AW113" i="55"/>
  <c r="AY190" i="55"/>
  <c r="AY14" i="55"/>
  <c r="AY192" i="55"/>
  <c r="Q80" i="23"/>
  <c r="Q225" i="23"/>
  <c r="Q111" i="23"/>
  <c r="Q110" i="23"/>
  <c r="Q151" i="23"/>
  <c r="Q221" i="23"/>
  <c r="Q149" i="23"/>
  <c r="Q231" i="23"/>
  <c r="P221" i="23"/>
  <c r="P226" i="23"/>
  <c r="P125" i="23"/>
  <c r="P79" i="23"/>
  <c r="P151" i="23"/>
  <c r="P232" i="23"/>
  <c r="P126" i="23"/>
  <c r="P150" i="23"/>
  <c r="O151" i="23"/>
  <c r="O232" i="23"/>
  <c r="O79" i="23"/>
  <c r="O125" i="23"/>
  <c r="O226" i="23"/>
  <c r="O126" i="23"/>
  <c r="O221" i="23"/>
  <c r="O150" i="23"/>
  <c r="N219" i="23"/>
  <c r="N81" i="23"/>
  <c r="N150" i="23"/>
  <c r="N220" i="23"/>
  <c r="N80" i="23"/>
  <c r="N149" i="23"/>
  <c r="R79" i="23"/>
  <c r="N230" i="23"/>
  <c r="O181" i="23"/>
  <c r="P180" i="23"/>
  <c r="R195" i="23"/>
  <c r="O180" i="23"/>
  <c r="R151" i="23"/>
  <c r="P181" i="23"/>
  <c r="N95" i="23"/>
  <c r="N224" i="23"/>
  <c r="Q196" i="23"/>
  <c r="R181" i="23"/>
  <c r="N148" i="23"/>
  <c r="R80" i="23"/>
  <c r="R180" i="23"/>
  <c r="R221" i="23"/>
  <c r="N96" i="23"/>
  <c r="Q195" i="23"/>
  <c r="R196" i="23"/>
  <c r="AW266" i="55" l="1"/>
  <c r="AW267" i="55"/>
  <c r="BD264" i="55"/>
  <c r="BD273" i="55" s="1"/>
  <c r="BC264" i="55"/>
  <c r="BC273" i="55" s="1"/>
  <c r="Q197" i="23"/>
  <c r="O127" i="23"/>
  <c r="R197" i="23"/>
  <c r="P127" i="23"/>
  <c r="Q112" i="23"/>
  <c r="R182" i="23"/>
  <c r="O182" i="23"/>
  <c r="P182" i="23"/>
  <c r="N97" i="23"/>
  <c r="BA142" i="55"/>
  <c r="Q150" i="23"/>
  <c r="Q220" i="23"/>
  <c r="Q79" i="23"/>
  <c r="P219" i="23"/>
  <c r="P80" i="23"/>
  <c r="P149" i="23"/>
  <c r="O149" i="23"/>
  <c r="O80" i="23"/>
  <c r="O219" i="23"/>
  <c r="R149" i="23"/>
  <c r="Q96" i="23"/>
  <c r="O165" i="23"/>
  <c r="R96" i="23"/>
  <c r="O166" i="23"/>
  <c r="R95" i="23"/>
  <c r="R230" i="23"/>
  <c r="Q230" i="23"/>
  <c r="O95" i="23"/>
  <c r="Q95" i="23"/>
  <c r="O224" i="23"/>
  <c r="Q165" i="23"/>
  <c r="R165" i="23"/>
  <c r="O96" i="23"/>
  <c r="R220" i="23"/>
  <c r="R150" i="23"/>
  <c r="R219" i="23"/>
  <c r="R224" i="23"/>
  <c r="N242" i="23"/>
  <c r="R166" i="23"/>
  <c r="Q166" i="23"/>
  <c r="O230" i="23"/>
  <c r="Q224" i="23"/>
  <c r="R97" i="23" l="1"/>
  <c r="O97" i="23"/>
  <c r="R167" i="23"/>
  <c r="O167" i="23"/>
  <c r="Q97" i="23"/>
  <c r="Q167" i="23"/>
  <c r="N152" i="23"/>
  <c r="BA146" i="55"/>
  <c r="AW146" i="55" s="1"/>
  <c r="BF264" i="55"/>
  <c r="BF273" i="55" s="1"/>
  <c r="AZ264" i="55"/>
  <c r="AZ273" i="55" s="1"/>
  <c r="BG264" i="55"/>
  <c r="BG273" i="55" s="1"/>
  <c r="BE264" i="55"/>
  <c r="BE273" i="55" s="1"/>
  <c r="AY264" i="55"/>
  <c r="AY273" i="55" s="1"/>
  <c r="BA264" i="55"/>
  <c r="BA273" i="55" s="1"/>
  <c r="BB264" i="55"/>
  <c r="BB273" i="55" s="1"/>
  <c r="AW159" i="55"/>
  <c r="BA200" i="55"/>
  <c r="AW200" i="55" s="1"/>
  <c r="AW142" i="55"/>
  <c r="BA117" i="55"/>
  <c r="BA171" i="55"/>
  <c r="AW171" i="55" s="1"/>
  <c r="BA186" i="55"/>
  <c r="AW209" i="55"/>
  <c r="BA216" i="55"/>
  <c r="BA167" i="55"/>
  <c r="BA121" i="55"/>
  <c r="AY191" i="55"/>
  <c r="AW302" i="55"/>
  <c r="Q219" i="23"/>
  <c r="P220" i="23"/>
  <c r="O220" i="23"/>
  <c r="N221" i="23"/>
  <c r="O242" i="23"/>
  <c r="M164" i="23"/>
  <c r="M162" i="23"/>
  <c r="R242" i="23"/>
  <c r="N218" i="23"/>
  <c r="N239" i="23"/>
  <c r="N78" i="23"/>
  <c r="Q242" i="23"/>
  <c r="M161" i="23"/>
  <c r="M163" i="23"/>
  <c r="N236" i="23"/>
  <c r="BG304" i="55" l="1"/>
  <c r="BG310" i="55" s="1"/>
  <c r="BB304" i="55"/>
  <c r="BB310" i="55" s="1"/>
  <c r="BF304" i="55"/>
  <c r="BF310" i="55" s="1"/>
  <c r="AY304" i="55"/>
  <c r="AY310" i="55" s="1"/>
  <c r="BD304" i="55"/>
  <c r="BD310" i="55" s="1"/>
  <c r="BE304" i="55"/>
  <c r="BE310" i="55" s="1"/>
  <c r="BC304" i="55"/>
  <c r="BC310" i="55" s="1"/>
  <c r="AZ304" i="55"/>
  <c r="AZ310" i="55" s="1"/>
  <c r="BA304" i="55"/>
  <c r="BA310" i="55" s="1"/>
  <c r="AZ243" i="55"/>
  <c r="AZ249" i="55" s="1"/>
  <c r="BD243" i="55"/>
  <c r="BD249" i="55" s="1"/>
  <c r="BE243" i="55"/>
  <c r="BE249" i="55" s="1"/>
  <c r="BG243" i="55"/>
  <c r="BB243" i="55"/>
  <c r="BB249" i="55" s="1"/>
  <c r="BA243" i="55"/>
  <c r="BA249" i="55" s="1"/>
  <c r="BC243" i="55"/>
  <c r="BC249" i="55" s="1"/>
  <c r="BF243" i="55"/>
  <c r="BF249" i="55" s="1"/>
  <c r="AY243" i="55"/>
  <c r="N243" i="23"/>
  <c r="AW121" i="55"/>
  <c r="BA13" i="55"/>
  <c r="N82" i="23"/>
  <c r="AW117" i="55"/>
  <c r="BA198" i="55"/>
  <c r="AW198" i="55" s="1"/>
  <c r="AW216" i="55"/>
  <c r="AW264" i="55"/>
  <c r="AW273" i="55"/>
  <c r="BA187" i="55"/>
  <c r="BA191" i="55" s="1"/>
  <c r="BA169" i="55"/>
  <c r="AW167" i="55"/>
  <c r="BA190" i="55"/>
  <c r="AW186" i="55"/>
  <c r="AW190" i="55" s="1"/>
  <c r="BA14" i="55"/>
  <c r="AW188" i="55"/>
  <c r="AW192" i="55" s="1"/>
  <c r="BA192" i="55"/>
  <c r="I203" i="23"/>
  <c r="O239" i="23"/>
  <c r="O78" i="23"/>
  <c r="O236" i="23"/>
  <c r="R236" i="23"/>
  <c r="Q148" i="23"/>
  <c r="O218" i="23"/>
  <c r="Q78" i="23"/>
  <c r="R218" i="23"/>
  <c r="Q218" i="23"/>
  <c r="Q239" i="23"/>
  <c r="M203" i="23"/>
  <c r="R148" i="23"/>
  <c r="O148" i="23"/>
  <c r="R78" i="23"/>
  <c r="Q236" i="23"/>
  <c r="R239" i="23"/>
  <c r="R243" i="23" l="1"/>
  <c r="O243" i="23"/>
  <c r="Q243" i="23"/>
  <c r="R82" i="23"/>
  <c r="Q82" i="23"/>
  <c r="R152" i="23"/>
  <c r="O152" i="23"/>
  <c r="Q152" i="23"/>
  <c r="O82" i="23"/>
  <c r="AW14" i="55"/>
  <c r="AW187" i="55"/>
  <c r="AW191" i="55" s="1"/>
  <c r="AW304" i="55"/>
  <c r="AW169" i="55"/>
  <c r="AW172" i="55" s="1"/>
  <c r="AW173" i="55" s="1"/>
  <c r="M205" i="23"/>
  <c r="I71" i="23" l="1"/>
  <c r="I205" i="23"/>
  <c r="AW310" i="55"/>
  <c r="AW181" i="55"/>
  <c r="AW177" i="55"/>
  <c r="BC252" i="55" l="1"/>
  <c r="BA252" i="55"/>
  <c r="BB251" i="55"/>
  <c r="BB252" i="55"/>
  <c r="AZ252" i="55"/>
  <c r="BC251" i="55"/>
  <c r="BA251" i="55"/>
  <c r="AZ251" i="55"/>
  <c r="AZ312" i="55"/>
  <c r="AZ313" i="55"/>
  <c r="BC312" i="55"/>
  <c r="BA313" i="55"/>
  <c r="BB312" i="55"/>
  <c r="BA312" i="55"/>
  <c r="BC313" i="55"/>
  <c r="BB313" i="55"/>
  <c r="BD312" i="55"/>
  <c r="BD313" i="55"/>
  <c r="BD252" i="55"/>
  <c r="BD251" i="55"/>
  <c r="BE251" i="55"/>
  <c r="BE252" i="55"/>
  <c r="BE313" i="55"/>
  <c r="BE312" i="55"/>
  <c r="BF252" i="55"/>
  <c r="BF251" i="55"/>
  <c r="BF312" i="55"/>
  <c r="BF313" i="55"/>
  <c r="BA177" i="55"/>
  <c r="AZ177" i="55"/>
  <c r="AY177" i="55"/>
  <c r="BG181" i="55"/>
  <c r="BG13" i="55" s="1"/>
  <c r="AW13" i="55" s="1"/>
  <c r="BA181" i="55"/>
  <c r="AZ181" i="55"/>
  <c r="AY181" i="55"/>
  <c r="BG177" i="55"/>
  <c r="AY251" i="55"/>
  <c r="BG252" i="55"/>
  <c r="BG251" i="55"/>
  <c r="AY252" i="55"/>
  <c r="AY313" i="55"/>
  <c r="BG313" i="55"/>
  <c r="AY312" i="55"/>
  <c r="BG312" i="55"/>
  <c r="BA202" i="55" l="1"/>
  <c r="BA204" i="55" s="1"/>
  <c r="BA12" i="55"/>
  <c r="BG202" i="55"/>
  <c r="BG204" i="55" s="1"/>
  <c r="BG12" i="55"/>
  <c r="AY202" i="55"/>
  <c r="AY204" i="55" s="1"/>
  <c r="AY12" i="55"/>
  <c r="AZ202" i="55"/>
  <c r="AZ204" i="55" s="1"/>
  <c r="AZ12" i="55"/>
  <c r="BC253" i="55"/>
  <c r="BC255" i="55" s="1"/>
  <c r="BA253" i="55"/>
  <c r="BA255" i="55" s="1"/>
  <c r="BA314" i="55"/>
  <c r="BA316" i="55" s="1"/>
  <c r="BA318" i="55" s="1"/>
  <c r="AZ253" i="55"/>
  <c r="AZ255" i="55" s="1"/>
  <c r="BB314" i="55"/>
  <c r="BB316" i="55" s="1"/>
  <c r="BB318" i="55" s="1"/>
  <c r="BC314" i="55"/>
  <c r="BC316" i="55" s="1"/>
  <c r="BC318" i="55" s="1"/>
  <c r="AZ314" i="55"/>
  <c r="AZ316" i="55" s="1"/>
  <c r="AZ318" i="55" s="1"/>
  <c r="BB253" i="55"/>
  <c r="BB255" i="55" s="1"/>
  <c r="BD253" i="55"/>
  <c r="BD255" i="55" s="1"/>
  <c r="BD314" i="55"/>
  <c r="BD316" i="55" s="1"/>
  <c r="BD318" i="55" s="1"/>
  <c r="BF253" i="55"/>
  <c r="BF255" i="55" s="1"/>
  <c r="BE314" i="55"/>
  <c r="BE316" i="55" s="1"/>
  <c r="BE318" i="55" s="1"/>
  <c r="BE253" i="55"/>
  <c r="BE255" i="55" s="1"/>
  <c r="BF314" i="55"/>
  <c r="BF316" i="55" s="1"/>
  <c r="BF318" i="55" s="1"/>
  <c r="AW243" i="55"/>
  <c r="AW242" i="55"/>
  <c r="BG314" i="55"/>
  <c r="BG316" i="55" s="1"/>
  <c r="BG318" i="55" s="1"/>
  <c r="AW252" i="55"/>
  <c r="BG253" i="55"/>
  <c r="AW251" i="55"/>
  <c r="AY253" i="55"/>
  <c r="AW312" i="55"/>
  <c r="AY314" i="55"/>
  <c r="AY316" i="55" s="1"/>
  <c r="AY318" i="55" s="1"/>
  <c r="AW313" i="55"/>
  <c r="M141" i="23"/>
  <c r="M140" i="23"/>
  <c r="M134" i="23"/>
  <c r="M135" i="23"/>
  <c r="BC287" i="55" l="1"/>
  <c r="BE287" i="55"/>
  <c r="BB287" i="55"/>
  <c r="BF287" i="55"/>
  <c r="BD287" i="55"/>
  <c r="BA287" i="55"/>
  <c r="AZ287" i="55"/>
  <c r="AZ222" i="55"/>
  <c r="I227" i="23" s="1"/>
  <c r="AY222" i="55"/>
  <c r="BA222" i="55"/>
  <c r="BC257" i="55"/>
  <c r="BC262" i="55"/>
  <c r="BC275" i="55" s="1"/>
  <c r="BC288" i="55" s="1"/>
  <c r="BD257" i="55"/>
  <c r="BD262" i="55"/>
  <c r="BD275" i="55" s="1"/>
  <c r="BD288" i="55" s="1"/>
  <c r="BB262" i="55"/>
  <c r="BB275" i="55" s="1"/>
  <c r="BB288" i="55" s="1"/>
  <c r="BE262" i="55"/>
  <c r="BE275" i="55" s="1"/>
  <c r="BE288" i="55" s="1"/>
  <c r="AZ257" i="55"/>
  <c r="AZ262" i="55"/>
  <c r="AZ275" i="55" s="1"/>
  <c r="AZ288" i="55" s="1"/>
  <c r="BA257" i="55"/>
  <c r="BA262" i="55"/>
  <c r="BF262" i="55"/>
  <c r="BB257" i="55"/>
  <c r="BF257" i="55"/>
  <c r="BE257" i="55"/>
  <c r="AW318" i="55"/>
  <c r="I135" i="23"/>
  <c r="I134" i="23"/>
  <c r="I210" i="23"/>
  <c r="I211" i="23"/>
  <c r="I140" i="23"/>
  <c r="I141" i="23"/>
  <c r="BG249" i="55"/>
  <c r="AW241" i="55"/>
  <c r="AY249" i="55"/>
  <c r="AW12" i="55"/>
  <c r="AW314" i="55"/>
  <c r="AW253" i="55"/>
  <c r="AW202" i="55"/>
  <c r="M133" i="23"/>
  <c r="M233" i="23"/>
  <c r="M210" i="23"/>
  <c r="M227" i="23"/>
  <c r="M211" i="23"/>
  <c r="M221" i="23"/>
  <c r="I221" i="23" l="1"/>
  <c r="AW222" i="55"/>
  <c r="I233" i="23"/>
  <c r="M212" i="23"/>
  <c r="M214" i="23" s="1"/>
  <c r="M215" i="23" s="1"/>
  <c r="M142" i="23"/>
  <c r="BA275" i="55"/>
  <c r="BA288" i="55" s="1"/>
  <c r="BF275" i="55"/>
  <c r="BF288" i="55" s="1"/>
  <c r="I133" i="23"/>
  <c r="BG255" i="55"/>
  <c r="AW249" i="55"/>
  <c r="AY255" i="55"/>
  <c r="AW316" i="55"/>
  <c r="AW204" i="55"/>
  <c r="AW131" i="55"/>
  <c r="M71" i="23"/>
  <c r="BG287" i="55" l="1"/>
  <c r="AY287" i="55"/>
  <c r="R214" i="23"/>
  <c r="R215" i="23" s="1"/>
  <c r="O214" i="23"/>
  <c r="O215" i="23" s="1"/>
  <c r="N214" i="23"/>
  <c r="N215" i="23" s="1"/>
  <c r="P214" i="23"/>
  <c r="P215" i="23" s="1"/>
  <c r="Q214" i="23"/>
  <c r="Q215" i="23" s="1"/>
  <c r="AY262" i="55"/>
  <c r="AY275" i="55" s="1"/>
  <c r="AY288" i="55" s="1"/>
  <c r="BG257" i="55"/>
  <c r="BG262" i="55"/>
  <c r="BG275" i="55" s="1"/>
  <c r="BG288" i="55" s="1"/>
  <c r="AY257" i="55"/>
  <c r="P144" i="23"/>
  <c r="P145" i="23" s="1"/>
  <c r="Q144" i="23"/>
  <c r="Q145" i="23" s="1"/>
  <c r="O144" i="23"/>
  <c r="O145" i="23" s="1"/>
  <c r="R144" i="23"/>
  <c r="R145" i="23" s="1"/>
  <c r="N144" i="23"/>
  <c r="N145" i="23" s="1"/>
  <c r="M144" i="23"/>
  <c r="M145" i="23" s="1"/>
  <c r="I151" i="23"/>
  <c r="AW255" i="55"/>
  <c r="M81" i="23"/>
  <c r="M151" i="23"/>
  <c r="AW257" i="55" l="1"/>
  <c r="AW262" i="55"/>
  <c r="AW275" i="55" s="1"/>
  <c r="I81" i="23"/>
  <c r="Q134" i="24" l="1"/>
  <c r="N77" i="24"/>
  <c r="O77" i="24" l="1"/>
  <c r="P77" i="24" s="1"/>
  <c r="Q77" i="24" s="1"/>
  <c r="R77" i="24" s="1"/>
  <c r="S77" i="24" s="1"/>
  <c r="T77" i="24" s="1"/>
  <c r="U77" i="24" s="1"/>
  <c r="V77" i="24" s="1"/>
  <c r="W77" i="24" s="1"/>
  <c r="X77" i="24" s="1"/>
  <c r="Y77" i="24" s="1"/>
  <c r="Z77" i="24" s="1"/>
  <c r="AA77" i="24" s="1"/>
  <c r="AB77" i="24" s="1"/>
  <c r="AC77" i="24" s="1"/>
  <c r="AD77" i="24" s="1"/>
  <c r="AE77" i="24" s="1"/>
  <c r="AF77" i="24" s="1"/>
  <c r="AG77" i="24" s="1"/>
  <c r="AH77" i="24" s="1"/>
  <c r="AI77" i="24" s="1"/>
  <c r="AJ77" i="24" s="1"/>
  <c r="AK77" i="24" s="1"/>
  <c r="AL77" i="24" s="1"/>
  <c r="AM77" i="24" s="1"/>
  <c r="AN77" i="24" s="1"/>
  <c r="AO77" i="24" s="1"/>
  <c r="AP77" i="24" s="1"/>
  <c r="AQ77" i="24" s="1"/>
  <c r="AR77" i="24" s="1"/>
  <c r="AS77" i="24" s="1"/>
  <c r="R134" i="24"/>
  <c r="S134" i="24" s="1"/>
  <c r="Q159" i="24"/>
  <c r="P34" i="23" a="1"/>
  <c r="T134" i="24" l="1"/>
  <c r="R159" i="24"/>
  <c r="P34" i="23"/>
  <c r="Q33" i="23" a="1"/>
  <c r="Q34" i="23" a="1"/>
  <c r="P33" i="23" a="1"/>
  <c r="O33" i="23" a="1"/>
  <c r="O34" i="23" a="1"/>
  <c r="N33" i="23" a="1"/>
  <c r="N34" i="23" a="1"/>
  <c r="R34" i="23" a="1"/>
  <c r="R33" i="23" a="1"/>
  <c r="U134" i="24" l="1"/>
  <c r="O33" i="23"/>
  <c r="R33" i="23"/>
  <c r="N33" i="23"/>
  <c r="Q34" i="23"/>
  <c r="O34" i="23"/>
  <c r="P33" i="23"/>
  <c r="N34" i="23"/>
  <c r="Q33" i="23"/>
  <c r="R34" i="23"/>
  <c r="T159" i="24" l="1"/>
  <c r="AC105" i="55"/>
  <c r="Q105" i="55"/>
  <c r="AO105" i="55"/>
  <c r="V134" i="24"/>
  <c r="U159" i="24"/>
  <c r="X440" i="24"/>
  <c r="AB441" i="24"/>
  <c r="Y440" i="24"/>
  <c r="AC441" i="24"/>
  <c r="Z440" i="24"/>
  <c r="AD441" i="24"/>
  <c r="W439" i="24"/>
  <c r="AA440" i="24"/>
  <c r="AE441" i="24"/>
  <c r="W440" i="24"/>
  <c r="X439" i="24"/>
  <c r="AB440" i="24"/>
  <c r="AF441" i="24"/>
  <c r="Y439" i="24"/>
  <c r="AG441" i="24"/>
  <c r="AC440" i="24"/>
  <c r="Z439" i="24"/>
  <c r="AD440" i="24"/>
  <c r="AA439" i="24"/>
  <c r="AE440" i="24"/>
  <c r="AB439" i="24"/>
  <c r="AF440" i="24"/>
  <c r="AC439" i="24"/>
  <c r="AG440" i="24"/>
  <c r="AD439" i="24"/>
  <c r="AE439" i="24"/>
  <c r="W441" i="24"/>
  <c r="AF439" i="24"/>
  <c r="X441" i="24"/>
  <c r="AG439" i="24"/>
  <c r="Y441" i="24"/>
  <c r="AH440" i="24"/>
  <c r="AH441" i="24"/>
  <c r="AA441" i="24"/>
  <c r="AH439" i="24"/>
  <c r="Z441" i="24"/>
  <c r="P68" i="23"/>
  <c r="P240" i="23"/>
  <c r="P237" i="23"/>
  <c r="P238" i="23"/>
  <c r="AO112" i="55" l="1"/>
  <c r="AK112" i="55" s="1"/>
  <c r="AC112" i="55"/>
  <c r="Y112" i="55" s="1"/>
  <c r="Q112" i="55"/>
  <c r="Q155" i="55"/>
  <c r="W134" i="24"/>
  <c r="V159" i="24"/>
  <c r="Q131" i="55"/>
  <c r="O5" i="55" s="1"/>
  <c r="Q134" i="55"/>
  <c r="Q135" i="55" s="1"/>
  <c r="Q107" i="55"/>
  <c r="Q209" i="55" s="1"/>
  <c r="AC131" i="55"/>
  <c r="AA5" i="55" s="1"/>
  <c r="AC134" i="55"/>
  <c r="AC135" i="55" s="1"/>
  <c r="AC107" i="55"/>
  <c r="AC209" i="55" s="1"/>
  <c r="AO131" i="55"/>
  <c r="AM5" i="55" s="1"/>
  <c r="AO134" i="55"/>
  <c r="AO135" i="55" s="1"/>
  <c r="AO107" i="55"/>
  <c r="AO209" i="55" s="1"/>
  <c r="P72" i="23"/>
  <c r="P89" i="23"/>
  <c r="P158" i="23"/>
  <c r="P88" i="23"/>
  <c r="P91" i="23"/>
  <c r="P165" i="23"/>
  <c r="P159" i="23"/>
  <c r="P161" i="23"/>
  <c r="P95" i="23"/>
  <c r="AA123" i="55" l="1"/>
  <c r="AA153" i="55" s="1"/>
  <c r="AO123" i="55"/>
  <c r="AO153" i="55" s="1"/>
  <c r="AO159" i="55" s="1"/>
  <c r="AM123" i="55"/>
  <c r="AM153" i="55" s="1"/>
  <c r="AN123" i="55"/>
  <c r="AN153" i="55" s="1"/>
  <c r="AN162" i="55" s="1"/>
  <c r="AB123" i="55"/>
  <c r="AB153" i="55" s="1"/>
  <c r="AB171" i="55" s="1"/>
  <c r="AB187" i="55" s="1"/>
  <c r="AB191" i="55" s="1"/>
  <c r="AC123" i="55"/>
  <c r="AC153" i="55" s="1"/>
  <c r="AC159" i="55" s="1"/>
  <c r="AK107" i="55"/>
  <c r="Y107" i="55"/>
  <c r="AK135" i="55"/>
  <c r="Y135" i="55"/>
  <c r="AO113" i="55"/>
  <c r="AO121" i="55" s="1"/>
  <c r="AC113" i="55"/>
  <c r="AC167" i="55" s="1"/>
  <c r="Q113" i="55"/>
  <c r="Q121" i="55" s="1"/>
  <c r="AO132" i="55"/>
  <c r="AO133" i="55" s="1"/>
  <c r="AO212" i="55" s="1"/>
  <c r="AO138" i="55"/>
  <c r="Q138" i="55"/>
  <c r="AC138" i="55"/>
  <c r="Q132" i="55"/>
  <c r="Q133" i="55" s="1"/>
  <c r="Q212" i="55" s="1"/>
  <c r="AC132" i="55"/>
  <c r="AC133" i="55" s="1"/>
  <c r="AC212" i="55" s="1"/>
  <c r="X134" i="24"/>
  <c r="W159" i="24"/>
  <c r="P166" i="23"/>
  <c r="P96" i="23"/>
  <c r="P230" i="23"/>
  <c r="P224" i="23"/>
  <c r="AN171" i="55" l="1"/>
  <c r="AN187" i="55" s="1"/>
  <c r="AN191" i="55" s="1"/>
  <c r="AN159" i="55"/>
  <c r="AO162" i="55"/>
  <c r="AK123" i="55"/>
  <c r="AB159" i="55"/>
  <c r="AE242" i="55" s="1"/>
  <c r="AB162" i="55"/>
  <c r="AB303" i="55" s="1"/>
  <c r="Y123" i="55"/>
  <c r="AC162" i="55"/>
  <c r="AN13" i="55"/>
  <c r="AN303" i="55"/>
  <c r="AT303" i="55"/>
  <c r="AS303" i="55"/>
  <c r="AP303" i="55"/>
  <c r="AQ303" i="55"/>
  <c r="AU303" i="55"/>
  <c r="AO303" i="55"/>
  <c r="AR303" i="55"/>
  <c r="AM303" i="55"/>
  <c r="AK153" i="55"/>
  <c r="AM171" i="55"/>
  <c r="AM187" i="55" s="1"/>
  <c r="AM191" i="55" s="1"/>
  <c r="AM159" i="55"/>
  <c r="AM162" i="55"/>
  <c r="Y153" i="55"/>
  <c r="AA171" i="55"/>
  <c r="AA187" i="55" s="1"/>
  <c r="AA191" i="55" s="1"/>
  <c r="AA162" i="55"/>
  <c r="AA159" i="55"/>
  <c r="AO140" i="55"/>
  <c r="AC140" i="55"/>
  <c r="Q140" i="55"/>
  <c r="AO167" i="55"/>
  <c r="AO169" i="55" s="1"/>
  <c r="AC144" i="55"/>
  <c r="AC146" i="55" s="1"/>
  <c r="Y146" i="55" s="1"/>
  <c r="AC199" i="55"/>
  <c r="Q199" i="55"/>
  <c r="Q144" i="55"/>
  <c r="Q146" i="55" s="1"/>
  <c r="AO144" i="55"/>
  <c r="AO146" i="55" s="1"/>
  <c r="AK146" i="55" s="1"/>
  <c r="AO199" i="55"/>
  <c r="AK113" i="55"/>
  <c r="AO117" i="55"/>
  <c r="AK117" i="55" s="1"/>
  <c r="AC117" i="55"/>
  <c r="Y117" i="55" s="1"/>
  <c r="Y113" i="55"/>
  <c r="AC121" i="55"/>
  <c r="Y121" i="55" s="1"/>
  <c r="Q167" i="55"/>
  <c r="Q169" i="55" s="1"/>
  <c r="Q117" i="55"/>
  <c r="Q211" i="55"/>
  <c r="AC211" i="55"/>
  <c r="AO211" i="55"/>
  <c r="Q186" i="55"/>
  <c r="Q14" i="55" s="1"/>
  <c r="P167" i="23"/>
  <c r="AC171" i="55"/>
  <c r="AK138" i="55"/>
  <c r="Y138" i="55"/>
  <c r="AC186" i="55"/>
  <c r="Y134" i="24"/>
  <c r="X159" i="24"/>
  <c r="AO171" i="55"/>
  <c r="AC169" i="55"/>
  <c r="Y167" i="55"/>
  <c r="AO186" i="55"/>
  <c r="AK121" i="55"/>
  <c r="P97" i="23"/>
  <c r="P242" i="23"/>
  <c r="P148" i="23"/>
  <c r="P78" i="23"/>
  <c r="AN241" i="55" l="1"/>
  <c r="AQ241" i="55"/>
  <c r="AT241" i="55"/>
  <c r="AP241" i="55"/>
  <c r="AU241" i="55"/>
  <c r="AS241" i="55"/>
  <c r="AR241" i="55"/>
  <c r="AO241" i="55"/>
  <c r="AQ242" i="55"/>
  <c r="AT242" i="55"/>
  <c r="AS242" i="55"/>
  <c r="AR242" i="55"/>
  <c r="AU242" i="55"/>
  <c r="AP242" i="55"/>
  <c r="AO242" i="55"/>
  <c r="AD241" i="55"/>
  <c r="AG241" i="55"/>
  <c r="AI241" i="55"/>
  <c r="AE241" i="55"/>
  <c r="AF241" i="55"/>
  <c r="AH241" i="55"/>
  <c r="AG242" i="55"/>
  <c r="AF242" i="55"/>
  <c r="AI242" i="55"/>
  <c r="AH242" i="55"/>
  <c r="AC242" i="55"/>
  <c r="AD242" i="55"/>
  <c r="AB241" i="55"/>
  <c r="AC241" i="55"/>
  <c r="AM242" i="55"/>
  <c r="AN242" i="55"/>
  <c r="AA242" i="55"/>
  <c r="AB242" i="55"/>
  <c r="AB13" i="55"/>
  <c r="AE303" i="55"/>
  <c r="AF303" i="55"/>
  <c r="AD303" i="55"/>
  <c r="AC303" i="55"/>
  <c r="AI303" i="55"/>
  <c r="AH303" i="55"/>
  <c r="AG303" i="55"/>
  <c r="AA303" i="55"/>
  <c r="AP302" i="55"/>
  <c r="AO302" i="55"/>
  <c r="AR302" i="55"/>
  <c r="AQ302" i="55"/>
  <c r="AM302" i="55"/>
  <c r="AT302" i="55"/>
  <c r="AU302" i="55"/>
  <c r="AS302" i="55"/>
  <c r="AN302" i="55"/>
  <c r="AK159" i="55"/>
  <c r="AM241" i="55"/>
  <c r="AK303" i="55"/>
  <c r="AO142" i="55"/>
  <c r="AK142" i="55" s="1"/>
  <c r="Q142" i="55"/>
  <c r="AC142" i="55"/>
  <c r="AC200" i="55" s="1"/>
  <c r="Y200" i="55" s="1"/>
  <c r="AE302" i="55"/>
  <c r="AB302" i="55"/>
  <c r="AG302" i="55"/>
  <c r="AC302" i="55"/>
  <c r="AF302" i="55"/>
  <c r="AA302" i="55"/>
  <c r="AH302" i="55"/>
  <c r="AD302" i="55"/>
  <c r="AI302" i="55"/>
  <c r="Y159" i="55"/>
  <c r="AA241" i="55"/>
  <c r="AA13" i="55"/>
  <c r="Y162" i="55"/>
  <c r="AK162" i="55"/>
  <c r="AM13" i="55"/>
  <c r="AK167" i="55"/>
  <c r="AK169" i="55" s="1"/>
  <c r="AO198" i="55"/>
  <c r="AK198" i="55" s="1"/>
  <c r="AC198" i="55"/>
  <c r="Y198" i="55" s="1"/>
  <c r="Q198" i="55"/>
  <c r="Q190" i="55"/>
  <c r="AH243" i="55"/>
  <c r="AM304" i="55"/>
  <c r="AS304" i="55"/>
  <c r="AN304" i="55"/>
  <c r="AC304" i="55"/>
  <c r="AP304" i="55"/>
  <c r="AE304" i="55"/>
  <c r="AA304" i="55"/>
  <c r="AQ304" i="55"/>
  <c r="AI304" i="55"/>
  <c r="AT304" i="55"/>
  <c r="AO13" i="55"/>
  <c r="AU243" i="55"/>
  <c r="AG304" i="55"/>
  <c r="AU304" i="55"/>
  <c r="AD304" i="55"/>
  <c r="AB304" i="55"/>
  <c r="AH304" i="55"/>
  <c r="AO304" i="55"/>
  <c r="AR304" i="55"/>
  <c r="AF304" i="55"/>
  <c r="AC13" i="55"/>
  <c r="AG264" i="55"/>
  <c r="AA264" i="55"/>
  <c r="AD264" i="55"/>
  <c r="AB264" i="55"/>
  <c r="Y209" i="55"/>
  <c r="AC264" i="55"/>
  <c r="AC216" i="55"/>
  <c r="AF264" i="55"/>
  <c r="AE264" i="55"/>
  <c r="AH264" i="55"/>
  <c r="AI264" i="55"/>
  <c r="AC187" i="55"/>
  <c r="Y171" i="55"/>
  <c r="AS264" i="55"/>
  <c r="AT264" i="55"/>
  <c r="AQ264" i="55"/>
  <c r="AU264" i="55"/>
  <c r="AN264" i="55"/>
  <c r="AO216" i="55"/>
  <c r="AM264" i="55"/>
  <c r="AK209" i="55"/>
  <c r="AR264" i="55"/>
  <c r="AO264" i="55"/>
  <c r="AP264" i="55"/>
  <c r="AC14" i="55"/>
  <c r="Y14" i="55" s="1"/>
  <c r="AC190" i="55"/>
  <c r="Y186" i="55"/>
  <c r="Y190" i="55" s="1"/>
  <c r="AM267" i="55"/>
  <c r="AK212" i="55"/>
  <c r="AR267" i="55"/>
  <c r="AO267" i="55"/>
  <c r="AN267" i="55"/>
  <c r="AP267" i="55"/>
  <c r="AU267" i="55"/>
  <c r="AQ267" i="55"/>
  <c r="AT267" i="55"/>
  <c r="AS267" i="55"/>
  <c r="Q216" i="55"/>
  <c r="AD266" i="55"/>
  <c r="AH266" i="55"/>
  <c r="AF266" i="55"/>
  <c r="AE266" i="55"/>
  <c r="Y211" i="55"/>
  <c r="AI266" i="55"/>
  <c r="AB266" i="55"/>
  <c r="AC266" i="55"/>
  <c r="AG266" i="55"/>
  <c r="AA266" i="55"/>
  <c r="AO14" i="55"/>
  <c r="AK14" i="55" s="1"/>
  <c r="AK186" i="55"/>
  <c r="AK190" i="55" s="1"/>
  <c r="AO190" i="55"/>
  <c r="AO187" i="55"/>
  <c r="AK171" i="55"/>
  <c r="AM266" i="55"/>
  <c r="AU266" i="55"/>
  <c r="AS266" i="55"/>
  <c r="AT266" i="55"/>
  <c r="AQ266" i="55"/>
  <c r="AK211" i="55"/>
  <c r="AN266" i="55"/>
  <c r="AP266" i="55"/>
  <c r="AO266" i="55"/>
  <c r="AR266" i="55"/>
  <c r="Y169" i="55"/>
  <c r="Z134" i="24"/>
  <c r="Y159" i="24"/>
  <c r="AC267" i="55"/>
  <c r="AF267" i="55"/>
  <c r="AD267" i="55"/>
  <c r="AE267" i="55"/>
  <c r="AI267" i="55"/>
  <c r="AB267" i="55"/>
  <c r="AH267" i="55"/>
  <c r="AG267" i="55"/>
  <c r="Y212" i="55"/>
  <c r="AA267" i="55"/>
  <c r="P82" i="23"/>
  <c r="P152" i="23"/>
  <c r="P218" i="23"/>
  <c r="M69" i="23"/>
  <c r="M189" i="23"/>
  <c r="M70" i="23"/>
  <c r="P239" i="23"/>
  <c r="P236" i="23"/>
  <c r="AI243" i="55" l="1"/>
  <c r="AI249" i="55" s="1"/>
  <c r="AG243" i="55"/>
  <c r="AG249" i="55" s="1"/>
  <c r="AD243" i="55"/>
  <c r="AD249" i="55" s="1"/>
  <c r="AF243" i="55"/>
  <c r="AF249" i="55" s="1"/>
  <c r="AE243" i="55"/>
  <c r="AE249" i="55" s="1"/>
  <c r="AS243" i="55"/>
  <c r="AS249" i="55" s="1"/>
  <c r="AU249" i="55"/>
  <c r="AH249" i="55"/>
  <c r="AQ243" i="55"/>
  <c r="AQ249" i="55" s="1"/>
  <c r="AK241" i="55"/>
  <c r="I118" i="23" s="1"/>
  <c r="AP243" i="55"/>
  <c r="AP249" i="55" s="1"/>
  <c r="AT243" i="55"/>
  <c r="AT249" i="55" s="1"/>
  <c r="AO243" i="55"/>
  <c r="AO249" i="55" s="1"/>
  <c r="AR243" i="55"/>
  <c r="AR249" i="55" s="1"/>
  <c r="AN243" i="55"/>
  <c r="AN249" i="55" s="1"/>
  <c r="Y242" i="55"/>
  <c r="I104" i="23" s="1"/>
  <c r="Y241" i="55"/>
  <c r="I103" i="23" s="1"/>
  <c r="AC243" i="55"/>
  <c r="AC249" i="55" s="1"/>
  <c r="AK242" i="55"/>
  <c r="AB243" i="55"/>
  <c r="AB249" i="55" s="1"/>
  <c r="Y303" i="55"/>
  <c r="AO310" i="55"/>
  <c r="Q200" i="55"/>
  <c r="AN310" i="55"/>
  <c r="AO200" i="55"/>
  <c r="AK200" i="55" s="1"/>
  <c r="AM243" i="55"/>
  <c r="AM249" i="55" s="1"/>
  <c r="AM310" i="55"/>
  <c r="AU310" i="55"/>
  <c r="AP310" i="55"/>
  <c r="AA243" i="55"/>
  <c r="AA249" i="55" s="1"/>
  <c r="AR310" i="55"/>
  <c r="AQ310" i="55"/>
  <c r="AK302" i="55"/>
  <c r="AS310" i="55"/>
  <c r="I189" i="23"/>
  <c r="AT310" i="55"/>
  <c r="Y142" i="55"/>
  <c r="AF310" i="55"/>
  <c r="AC310" i="55"/>
  <c r="AE310" i="55"/>
  <c r="AI310" i="55"/>
  <c r="AD310" i="55"/>
  <c r="AH310" i="55"/>
  <c r="AG310" i="55"/>
  <c r="AB310" i="55"/>
  <c r="AA310" i="55"/>
  <c r="Y302" i="55"/>
  <c r="Y267" i="55"/>
  <c r="Y304" i="55"/>
  <c r="AI273" i="55"/>
  <c r="AU273" i="55"/>
  <c r="Y266" i="55"/>
  <c r="AK304" i="55"/>
  <c r="I190" i="23" s="1"/>
  <c r="AN273" i="55"/>
  <c r="AH273" i="55"/>
  <c r="AO191" i="55"/>
  <c r="AK187" i="55"/>
  <c r="AK191" i="55" s="1"/>
  <c r="AE273" i="55"/>
  <c r="AQ273" i="55"/>
  <c r="AF273" i="55"/>
  <c r="AT273" i="55"/>
  <c r="AS273" i="55"/>
  <c r="AK172" i="55"/>
  <c r="AC273" i="55"/>
  <c r="Y172" i="55"/>
  <c r="Y216" i="55"/>
  <c r="AC191" i="55"/>
  <c r="Y187" i="55"/>
  <c r="Y191" i="55" s="1"/>
  <c r="AB273" i="55"/>
  <c r="AA134" i="24"/>
  <c r="Z159" i="24"/>
  <c r="AD273" i="55"/>
  <c r="AA273" i="55"/>
  <c r="Y264" i="55"/>
  <c r="AK266" i="55"/>
  <c r="AG273" i="55"/>
  <c r="AP273" i="55"/>
  <c r="AK267" i="55"/>
  <c r="AO273" i="55"/>
  <c r="AR273" i="55"/>
  <c r="I70" i="23"/>
  <c r="AK216" i="55"/>
  <c r="I69" i="23"/>
  <c r="AM273" i="55"/>
  <c r="AK264" i="55"/>
  <c r="P243" i="23"/>
  <c r="M103" i="23"/>
  <c r="M188" i="23"/>
  <c r="M190" i="23"/>
  <c r="M175" i="23"/>
  <c r="M104" i="23"/>
  <c r="M119" i="23"/>
  <c r="M118" i="23"/>
  <c r="M174" i="23"/>
  <c r="M173" i="23"/>
  <c r="I119" i="23" l="1"/>
  <c r="I174" i="23"/>
  <c r="AK243" i="55"/>
  <c r="AK249" i="55" s="1"/>
  <c r="Y243" i="55"/>
  <c r="Y249" i="55" s="1"/>
  <c r="I188" i="23"/>
  <c r="Y310" i="55"/>
  <c r="I173" i="23"/>
  <c r="AK310" i="55"/>
  <c r="I175" i="23"/>
  <c r="AK273" i="55"/>
  <c r="AB134" i="24"/>
  <c r="AA159" i="24"/>
  <c r="Y173" i="55"/>
  <c r="Y181" i="55" s="1"/>
  <c r="AK173" i="55"/>
  <c r="AK181" i="55" s="1"/>
  <c r="Y273" i="55"/>
  <c r="M105" i="23"/>
  <c r="M120" i="23"/>
  <c r="I120" i="23" l="1"/>
  <c r="I105" i="23"/>
  <c r="AS312" i="55"/>
  <c r="AN313" i="55"/>
  <c r="AN312" i="55"/>
  <c r="AO313" i="55"/>
  <c r="AU312" i="55"/>
  <c r="AQ312" i="55"/>
  <c r="AU313" i="55"/>
  <c r="AT313" i="55"/>
  <c r="AS313" i="55"/>
  <c r="AT312" i="55"/>
  <c r="AR312" i="55"/>
  <c r="AO312" i="55"/>
  <c r="AQ313" i="55"/>
  <c r="AP313" i="55"/>
  <c r="AM313" i="55"/>
  <c r="AM312" i="55"/>
  <c r="AP312" i="55"/>
  <c r="AR313" i="55"/>
  <c r="AN181" i="55"/>
  <c r="AU181" i="55"/>
  <c r="AU13" i="55" s="1"/>
  <c r="AO181" i="55"/>
  <c r="AM181" i="55"/>
  <c r="AI312" i="55"/>
  <c r="AG312" i="55"/>
  <c r="AF312" i="55"/>
  <c r="AC312" i="55"/>
  <c r="AE313" i="55"/>
  <c r="AH312" i="55"/>
  <c r="AI313" i="55"/>
  <c r="AB313" i="55"/>
  <c r="AA312" i="55"/>
  <c r="AD313" i="55"/>
  <c r="AB312" i="55"/>
  <c r="AC313" i="55"/>
  <c r="AE312" i="55"/>
  <c r="AD312" i="55"/>
  <c r="AF313" i="55"/>
  <c r="AA313" i="55"/>
  <c r="AH313" i="55"/>
  <c r="AG313" i="55"/>
  <c r="AB181" i="55"/>
  <c r="AA181" i="55"/>
  <c r="AI181" i="55"/>
  <c r="AI13" i="55" s="1"/>
  <c r="Y13" i="55" s="1"/>
  <c r="AC181" i="55"/>
  <c r="AK177" i="55"/>
  <c r="Y177" i="55"/>
  <c r="AC134" i="24"/>
  <c r="AB159" i="24"/>
  <c r="AD314" i="55" l="1"/>
  <c r="AD316" i="55" s="1"/>
  <c r="AD318" i="55" s="1"/>
  <c r="AE314" i="55"/>
  <c r="AE316" i="55" s="1"/>
  <c r="AE318" i="55" s="1"/>
  <c r="AO314" i="55"/>
  <c r="AO316" i="55" s="1"/>
  <c r="AO318" i="55" s="1"/>
  <c r="AQ314" i="55"/>
  <c r="AQ316" i="55" s="1"/>
  <c r="AQ318" i="55" s="1"/>
  <c r="AK313" i="55"/>
  <c r="AR314" i="55"/>
  <c r="AR316" i="55" s="1"/>
  <c r="AR318" i="55" s="1"/>
  <c r="AN314" i="55"/>
  <c r="AN316" i="55" s="1"/>
  <c r="AN318" i="55" s="1"/>
  <c r="Y313" i="55"/>
  <c r="AT314" i="55"/>
  <c r="AT316" i="55" s="1"/>
  <c r="AT318" i="55" s="1"/>
  <c r="AM314" i="55"/>
  <c r="AM316" i="55" s="1"/>
  <c r="AM318" i="55" s="1"/>
  <c r="AK312" i="55"/>
  <c r="AQ252" i="55"/>
  <c r="AT251" i="55"/>
  <c r="AR251" i="55"/>
  <c r="AS252" i="55"/>
  <c r="AR252" i="55"/>
  <c r="AU251" i="55"/>
  <c r="AU252" i="55"/>
  <c r="AO251" i="55"/>
  <c r="AN251" i="55"/>
  <c r="AT252" i="55"/>
  <c r="AP251" i="55"/>
  <c r="AM252" i="55"/>
  <c r="AM251" i="55"/>
  <c r="AS251" i="55"/>
  <c r="AO252" i="55"/>
  <c r="AN252" i="55"/>
  <c r="AP252" i="55"/>
  <c r="AQ251" i="55"/>
  <c r="AU177" i="55"/>
  <c r="AK13" i="55" s="1"/>
  <c r="AM177" i="55"/>
  <c r="AO177" i="55"/>
  <c r="AN177" i="55"/>
  <c r="AP314" i="55"/>
  <c r="AP316" i="55" s="1"/>
  <c r="AP318" i="55" s="1"/>
  <c r="AU314" i="55"/>
  <c r="AU316" i="55" s="1"/>
  <c r="AU318" i="55" s="1"/>
  <c r="AS314" i="55"/>
  <c r="AS316" i="55" s="1"/>
  <c r="AS318" i="55" s="1"/>
  <c r="AC314" i="55"/>
  <c r="AC316" i="55" s="1"/>
  <c r="AC318" i="55" s="1"/>
  <c r="AB314" i="55"/>
  <c r="AB316" i="55" s="1"/>
  <c r="AB318" i="55" s="1"/>
  <c r="AF314" i="55"/>
  <c r="AF316" i="55" s="1"/>
  <c r="AF318" i="55" s="1"/>
  <c r="AH314" i="55"/>
  <c r="AH316" i="55" s="1"/>
  <c r="AH318" i="55" s="1"/>
  <c r="AG314" i="55"/>
  <c r="AG316" i="55" s="1"/>
  <c r="AG318" i="55" s="1"/>
  <c r="AB252" i="55"/>
  <c r="AB251" i="55"/>
  <c r="AA251" i="55"/>
  <c r="AI252" i="55"/>
  <c r="AH252" i="55"/>
  <c r="AF252" i="55"/>
  <c r="AH251" i="55"/>
  <c r="AE251" i="55"/>
  <c r="AI251" i="55"/>
  <c r="AF251" i="55"/>
  <c r="AD251" i="55"/>
  <c r="AE252" i="55"/>
  <c r="AA252" i="55"/>
  <c r="AC251" i="55"/>
  <c r="AG252" i="55"/>
  <c r="AG251" i="55"/>
  <c r="AC252" i="55"/>
  <c r="AD252" i="55"/>
  <c r="AB177" i="55"/>
  <c r="AC177" i="55"/>
  <c r="AA177" i="55"/>
  <c r="AI177" i="55"/>
  <c r="AA314" i="55"/>
  <c r="AA316" i="55" s="1"/>
  <c r="AA318" i="55" s="1"/>
  <c r="Y312" i="55"/>
  <c r="AI314" i="55"/>
  <c r="AI316" i="55" s="1"/>
  <c r="AI318" i="55" s="1"/>
  <c r="AD134" i="24"/>
  <c r="M195" i="23"/>
  <c r="M196" i="23"/>
  <c r="M180" i="23"/>
  <c r="M181" i="23"/>
  <c r="AF253" i="55" l="1"/>
  <c r="AF255" i="55" s="1"/>
  <c r="AF262" i="55" s="1"/>
  <c r="AF275" i="55" s="1"/>
  <c r="AF288" i="55" s="1"/>
  <c r="AC253" i="55"/>
  <c r="AC255" i="55" s="1"/>
  <c r="AC262" i="55" s="1"/>
  <c r="AC275" i="55" s="1"/>
  <c r="AC288" i="55" s="1"/>
  <c r="AH253" i="55"/>
  <c r="AH255" i="55" s="1"/>
  <c r="AH262" i="55" s="1"/>
  <c r="AH275" i="55" s="1"/>
  <c r="AH288" i="55" s="1"/>
  <c r="AB253" i="55"/>
  <c r="AB255" i="55" s="1"/>
  <c r="AN253" i="55"/>
  <c r="AN255" i="55" s="1"/>
  <c r="AI253" i="55"/>
  <c r="AI255" i="55" s="1"/>
  <c r="AS253" i="55"/>
  <c r="AS255" i="55" s="1"/>
  <c r="M197" i="23"/>
  <c r="AO12" i="55"/>
  <c r="AO202" i="55"/>
  <c r="AO204" i="55" s="1"/>
  <c r="AO222" i="55" s="1"/>
  <c r="AK251" i="55"/>
  <c r="AM253" i="55"/>
  <c r="AM255" i="55" s="1"/>
  <c r="AM287" i="55" s="1"/>
  <c r="AM202" i="55"/>
  <c r="AM12" i="55"/>
  <c r="AK252" i="55"/>
  <c r="AO253" i="55"/>
  <c r="AO255" i="55" s="1"/>
  <c r="AO287" i="55" s="1"/>
  <c r="I195" i="23"/>
  <c r="AK314" i="55"/>
  <c r="AK316" i="55" s="1"/>
  <c r="AU12" i="55"/>
  <c r="AU202" i="55"/>
  <c r="AU204" i="55" s="1"/>
  <c r="AP253" i="55"/>
  <c r="AP255" i="55" s="1"/>
  <c r="AP287" i="55" s="1"/>
  <c r="AR253" i="55"/>
  <c r="AR255" i="55" s="1"/>
  <c r="AR287" i="55" s="1"/>
  <c r="AK318" i="55"/>
  <c r="I181" i="23"/>
  <c r="AN202" i="55"/>
  <c r="AN204" i="55" s="1"/>
  <c r="AN222" i="55" s="1"/>
  <c r="AN12" i="55"/>
  <c r="AQ253" i="55"/>
  <c r="AQ255" i="55" s="1"/>
  <c r="AQ287" i="55" s="1"/>
  <c r="AU253" i="55"/>
  <c r="AU255" i="55" s="1"/>
  <c r="AU287" i="55" s="1"/>
  <c r="AT253" i="55"/>
  <c r="AT255" i="55" s="1"/>
  <c r="AT287" i="55" s="1"/>
  <c r="I196" i="23"/>
  <c r="M182" i="23"/>
  <c r="AA202" i="55"/>
  <c r="AA12" i="55"/>
  <c r="Y252" i="55"/>
  <c r="AI12" i="55"/>
  <c r="AI202" i="55"/>
  <c r="AI204" i="55" s="1"/>
  <c r="Y314" i="55"/>
  <c r="Y316" i="55" s="1"/>
  <c r="I180" i="23"/>
  <c r="AC202" i="55"/>
  <c r="AC204" i="55" s="1"/>
  <c r="AC222" i="55" s="1"/>
  <c r="AC12" i="55"/>
  <c r="AG253" i="55"/>
  <c r="AG255" i="55" s="1"/>
  <c r="AG287" i="55" s="1"/>
  <c r="AE253" i="55"/>
  <c r="AE255" i="55" s="1"/>
  <c r="AE287" i="55" s="1"/>
  <c r="Y318" i="55"/>
  <c r="AB12" i="55"/>
  <c r="AB202" i="55"/>
  <c r="AB204" i="55" s="1"/>
  <c r="AB222" i="55" s="1"/>
  <c r="AD253" i="55"/>
  <c r="AD255" i="55" s="1"/>
  <c r="AD287" i="55" s="1"/>
  <c r="Y251" i="55"/>
  <c r="AA253" i="55"/>
  <c r="AA255" i="55" s="1"/>
  <c r="AA287" i="55" s="1"/>
  <c r="AE134" i="24"/>
  <c r="M125" i="23"/>
  <c r="M149" i="23"/>
  <c r="M232" i="23"/>
  <c r="M231" i="23"/>
  <c r="M150" i="23"/>
  <c r="M126" i="23"/>
  <c r="M111" i="23"/>
  <c r="M110" i="23"/>
  <c r="M225" i="23"/>
  <c r="M226" i="23"/>
  <c r="AS262" i="55" l="1"/>
  <c r="AS275" i="55" s="1"/>
  <c r="AS288" i="55" s="1"/>
  <c r="AS287" i="55"/>
  <c r="AI287" i="55"/>
  <c r="AH257" i="55"/>
  <c r="AH287" i="55"/>
  <c r="AF257" i="55"/>
  <c r="AF287" i="55"/>
  <c r="AC257" i="55"/>
  <c r="AC287" i="55"/>
  <c r="AN262" i="55"/>
  <c r="AN275" i="55" s="1"/>
  <c r="AN288" i="55" s="1"/>
  <c r="AN287" i="55"/>
  <c r="AB262" i="55"/>
  <c r="AB275" i="55" s="1"/>
  <c r="AB288" i="55" s="1"/>
  <c r="AB287" i="55"/>
  <c r="AB257" i="55"/>
  <c r="AI257" i="55"/>
  <c r="AS257" i="55"/>
  <c r="AI262" i="55"/>
  <c r="AI275" i="55" s="1"/>
  <c r="AI288" i="55" s="1"/>
  <c r="AN257" i="55"/>
  <c r="M127" i="23"/>
  <c r="AK253" i="55"/>
  <c r="AK255" i="55" s="1"/>
  <c r="I125" i="23"/>
  <c r="AR257" i="55"/>
  <c r="AR262" i="55"/>
  <c r="AR275" i="55" s="1"/>
  <c r="AR288" i="55" s="1"/>
  <c r="I150" i="23"/>
  <c r="AK12" i="55"/>
  <c r="AK131" i="55" s="1"/>
  <c r="I232" i="23"/>
  <c r="AU257" i="55"/>
  <c r="AU262" i="55"/>
  <c r="AU275" i="55" s="1"/>
  <c r="AU288" i="55" s="1"/>
  <c r="AQ257" i="55"/>
  <c r="AQ262" i="55"/>
  <c r="AQ275" i="55" s="1"/>
  <c r="AQ288" i="55" s="1"/>
  <c r="I226" i="23"/>
  <c r="AP262" i="55"/>
  <c r="AP275" i="55" s="1"/>
  <c r="AP288" i="55" s="1"/>
  <c r="AP257" i="55"/>
  <c r="AM204" i="55"/>
  <c r="AK202" i="55"/>
  <c r="I126" i="23"/>
  <c r="AT262" i="55"/>
  <c r="AT275" i="55" s="1"/>
  <c r="AT288" i="55" s="1"/>
  <c r="AT257" i="55"/>
  <c r="AO257" i="55"/>
  <c r="AO262" i="55"/>
  <c r="AO275" i="55" s="1"/>
  <c r="AO288" i="55" s="1"/>
  <c r="AM262" i="55"/>
  <c r="AM257" i="55"/>
  <c r="R199" i="23"/>
  <c r="R200" i="23" s="1"/>
  <c r="P199" i="23"/>
  <c r="P200" i="23" s="1"/>
  <c r="O199" i="23"/>
  <c r="O200" i="23" s="1"/>
  <c r="N199" i="23"/>
  <c r="N200" i="23" s="1"/>
  <c r="M199" i="23"/>
  <c r="M200" i="23" s="1"/>
  <c r="Q199" i="23"/>
  <c r="Q200" i="23" s="1"/>
  <c r="M112" i="23"/>
  <c r="I225" i="23"/>
  <c r="AG262" i="55"/>
  <c r="AG275" i="55" s="1"/>
  <c r="AG288" i="55" s="1"/>
  <c r="AG257" i="55"/>
  <c r="I149" i="23"/>
  <c r="AA257" i="55"/>
  <c r="AA262" i="55"/>
  <c r="I231" i="23"/>
  <c r="I111" i="23"/>
  <c r="AA204" i="55"/>
  <c r="Y202" i="55"/>
  <c r="Y253" i="55"/>
  <c r="I110" i="23"/>
  <c r="AD257" i="55"/>
  <c r="AD262" i="55"/>
  <c r="AD275" i="55" s="1"/>
  <c r="AD288" i="55" s="1"/>
  <c r="AE262" i="55"/>
  <c r="AE275" i="55" s="1"/>
  <c r="AE288" i="55" s="1"/>
  <c r="AE257" i="55"/>
  <c r="Y12" i="55"/>
  <c r="R184" i="23"/>
  <c r="R185" i="23" s="1"/>
  <c r="Q184" i="23"/>
  <c r="Q185" i="23" s="1"/>
  <c r="O184" i="23"/>
  <c r="O185" i="23" s="1"/>
  <c r="P184" i="23"/>
  <c r="P185" i="23" s="1"/>
  <c r="N184" i="23"/>
  <c r="N185" i="23" s="1"/>
  <c r="M184" i="23"/>
  <c r="M185" i="23" s="1"/>
  <c r="AF134" i="24"/>
  <c r="AE159" i="24"/>
  <c r="M80" i="23"/>
  <c r="AK257" i="55" l="1"/>
  <c r="AK204" i="55"/>
  <c r="AM222" i="55"/>
  <c r="AK222" i="55" s="1"/>
  <c r="I80" i="23"/>
  <c r="AM275" i="55"/>
  <c r="AM288" i="55" s="1"/>
  <c r="AK262" i="55"/>
  <c r="AK275" i="55" s="1"/>
  <c r="R129" i="23"/>
  <c r="R130" i="23" s="1"/>
  <c r="O129" i="23"/>
  <c r="O130" i="23" s="1"/>
  <c r="P129" i="23"/>
  <c r="P130" i="23" s="1"/>
  <c r="N129" i="23"/>
  <c r="N130" i="23" s="1"/>
  <c r="M129" i="23"/>
  <c r="M130" i="23" s="1"/>
  <c r="Q129" i="23"/>
  <c r="Q130" i="23" s="1"/>
  <c r="Y255" i="55"/>
  <c r="Y257" i="55"/>
  <c r="Y204" i="55"/>
  <c r="AA222" i="55"/>
  <c r="Y222" i="55" s="1"/>
  <c r="Y131" i="55"/>
  <c r="Y262" i="55"/>
  <c r="AA275" i="55"/>
  <c r="AA288" i="55" s="1"/>
  <c r="R114" i="23"/>
  <c r="R115" i="23" s="1"/>
  <c r="P114" i="23"/>
  <c r="P115" i="23" s="1"/>
  <c r="M114" i="23"/>
  <c r="M115" i="23" s="1"/>
  <c r="O114" i="23"/>
  <c r="O115" i="23" s="1"/>
  <c r="Q114" i="23"/>
  <c r="Q115" i="23" s="1"/>
  <c r="N114" i="23"/>
  <c r="N115" i="23" s="1"/>
  <c r="AG134" i="24"/>
  <c r="AF159" i="24"/>
  <c r="M79" i="23"/>
  <c r="M220" i="23"/>
  <c r="M219" i="23"/>
  <c r="I220" i="23" l="1"/>
  <c r="Y275" i="55"/>
  <c r="I219" i="23"/>
  <c r="I79" i="23"/>
  <c r="AH134" i="24"/>
  <c r="AG159" i="24"/>
  <c r="AI134" i="24" l="1"/>
  <c r="AH159" i="24"/>
  <c r="AJ134" i="24" l="1"/>
  <c r="AI159" i="24"/>
  <c r="AJ159" i="24" l="1"/>
  <c r="AK134" i="24"/>
  <c r="AL134" i="24" l="1"/>
  <c r="AM134" i="24" l="1"/>
  <c r="AN134" i="24" l="1"/>
  <c r="AO134" i="24" l="1"/>
  <c r="AP134" i="24" l="1"/>
  <c r="AQ134" i="24" l="1"/>
  <c r="AR134" i="24" l="1"/>
  <c r="AS134" i="24" l="1"/>
  <c r="AT134" i="24" s="1"/>
  <c r="AU134" i="24" s="1"/>
  <c r="AV134" i="24" s="1"/>
  <c r="AW134" i="24" s="1"/>
  <c r="AX134" i="24" s="1"/>
  <c r="AS159" i="24" l="1"/>
  <c r="AG14" i="61" l="1"/>
  <c r="AG13" i="61"/>
  <c r="AG11" i="61"/>
  <c r="AG16" i="61"/>
  <c r="AG15" i="61"/>
  <c r="AH13" i="61"/>
  <c r="Q35" i="23" a="1"/>
  <c r="P35" i="23" a="1"/>
  <c r="O35" i="23" a="1"/>
  <c r="N35" i="23" a="1"/>
  <c r="R35" i="23" a="1"/>
  <c r="N35" i="23" l="1"/>
  <c r="Q35" i="23"/>
  <c r="O35" i="23"/>
  <c r="P35" i="23"/>
  <c r="R35" i="23"/>
  <c r="AH11" i="61"/>
  <c r="AH15" i="61"/>
  <c r="AH12" i="61"/>
  <c r="AH16" i="61"/>
  <c r="AI15" i="61"/>
  <c r="AI11" i="61" l="1"/>
  <c r="AI12" i="61"/>
  <c r="AI13" i="61"/>
  <c r="AJ14" i="61"/>
  <c r="AJ15" i="61"/>
  <c r="AJ13" i="61"/>
  <c r="AG12" i="61"/>
  <c r="AI14" i="61"/>
  <c r="AI16" i="61" l="1"/>
  <c r="AJ16" i="61"/>
  <c r="AK13" i="61"/>
  <c r="AH14" i="61"/>
  <c r="X13" i="61"/>
  <c r="Z12" i="61" l="1"/>
  <c r="X12" i="61"/>
  <c r="AK11" i="61"/>
  <c r="X16" i="61"/>
  <c r="AL13" i="61"/>
  <c r="AD16" i="61"/>
  <c r="AL12" i="61"/>
  <c r="Y12" i="61"/>
  <c r="Y13" i="61"/>
  <c r="W12" i="61"/>
  <c r="X14" i="61"/>
  <c r="W11" i="61"/>
  <c r="AB12" i="61"/>
  <c r="AA11" i="61"/>
  <c r="AA15" i="61"/>
  <c r="AA12" i="61"/>
  <c r="W15" i="61"/>
  <c r="AB14" i="61"/>
  <c r="AC11" i="61"/>
  <c r="AA14" i="61"/>
  <c r="AD12" i="61"/>
  <c r="Y11" i="61"/>
  <c r="AB13" i="61"/>
  <c r="AD14" i="61"/>
  <c r="X15" i="61"/>
  <c r="AC14" i="61"/>
  <c r="AB11" i="61"/>
  <c r="AC12" i="61"/>
  <c r="Z14" i="61"/>
  <c r="AC13" i="61"/>
  <c r="Y16" i="61"/>
  <c r="AA16" i="61"/>
  <c r="Y14" i="61"/>
  <c r="AB15" i="61"/>
  <c r="AL14" i="61"/>
  <c r="Z16" i="61"/>
  <c r="AD11" i="61"/>
  <c r="X11" i="61"/>
  <c r="Z13" i="61"/>
  <c r="AL11" i="61"/>
  <c r="AK14" i="61"/>
  <c r="AL15" i="61"/>
  <c r="W14" i="61"/>
  <c r="AK15" i="61"/>
  <c r="W13" i="61"/>
  <c r="AD15" i="61"/>
  <c r="AK12" i="61"/>
  <c r="Z15" i="61"/>
  <c r="AJ11" i="61"/>
  <c r="AJ12" i="61"/>
  <c r="AB16" i="61"/>
  <c r="AD13" i="61"/>
  <c r="Y15" i="61"/>
  <c r="AA13" i="61"/>
  <c r="AC16" i="61"/>
  <c r="AL16" i="61"/>
  <c r="Z11" i="61"/>
  <c r="W16" i="61"/>
  <c r="AC15" i="61"/>
  <c r="AK16" i="61"/>
  <c r="E15" i="61" l="1"/>
  <c r="J15" i="61"/>
  <c r="D13" i="61"/>
  <c r="D14" i="61"/>
  <c r="J14" i="61"/>
  <c r="K12" i="61"/>
  <c r="E11" i="61"/>
  <c r="D12" i="61"/>
  <c r="K15" i="61"/>
  <c r="J16" i="61"/>
  <c r="J11" i="61"/>
  <c r="F12" i="61"/>
  <c r="I15" i="61" l="1"/>
  <c r="G15" i="61"/>
  <c r="F11" i="61"/>
  <c r="J13" i="61"/>
  <c r="G12" i="61"/>
  <c r="G11" i="61"/>
  <c r="D16" i="61"/>
  <c r="E16" i="61"/>
  <c r="K13" i="61"/>
  <c r="I14" i="61"/>
  <c r="F16" i="61"/>
  <c r="H16" i="61"/>
  <c r="D15" i="61"/>
  <c r="E13" i="61"/>
  <c r="H13" i="61"/>
  <c r="D11" i="61"/>
  <c r="F13" i="61"/>
  <c r="I16" i="61"/>
  <c r="I11" i="61"/>
  <c r="F15" i="61"/>
  <c r="G14" i="61"/>
  <c r="G16" i="61"/>
  <c r="H11" i="61"/>
  <c r="K11" i="61"/>
  <c r="H15" i="61"/>
  <c r="F14" i="61"/>
  <c r="J12" i="61"/>
  <c r="K14" i="61"/>
  <c r="H14" i="61"/>
  <c r="H12" i="61"/>
  <c r="G13" i="61"/>
  <c r="I13" i="61"/>
  <c r="E12" i="61"/>
  <c r="E14" i="61"/>
  <c r="K16" i="61"/>
  <c r="I12" i="61"/>
  <c r="I32" i="23" l="1"/>
  <c r="O282" i="55" a="1"/>
  <c r="O282" i="55" s="1"/>
  <c r="O52" i="55"/>
  <c r="O55" i="55" s="1" a="1"/>
  <c r="O55" i="55" s="1"/>
  <c r="O53" i="55" s="1"/>
  <c r="O286" i="55" l="1" a="1"/>
  <c r="O286" i="55" s="1"/>
  <c r="O50" i="55"/>
  <c r="J50" i="55" s="1"/>
  <c r="F2" i="55" s="1"/>
  <c r="M14" i="23" a="1"/>
  <c r="M14" i="23" l="1"/>
  <c r="I14" i="23"/>
  <c r="O61" i="55"/>
  <c r="P75" i="55" s="1"/>
  <c r="P85" i="55" l="1"/>
  <c r="P188" i="55" s="1"/>
  <c r="P192" i="55" s="1"/>
  <c r="O229" i="55"/>
  <c r="M61" i="55"/>
  <c r="P94" i="55" l="1"/>
  <c r="V235" i="55"/>
  <c r="O235" i="55"/>
  <c r="T235" i="55"/>
  <c r="Q235" i="55"/>
  <c r="S235" i="55"/>
  <c r="W235" i="55"/>
  <c r="J61" i="55"/>
  <c r="P235" i="55"/>
  <c r="U235" i="55"/>
  <c r="R235" i="55"/>
  <c r="P112" i="55" l="1"/>
  <c r="P155" i="55"/>
  <c r="P95" i="55"/>
  <c r="P96" i="55"/>
  <c r="P107" i="55"/>
  <c r="P135" i="55"/>
  <c r="W265" i="55"/>
  <c r="W268" i="55"/>
  <c r="S268" i="55"/>
  <c r="S265" i="55"/>
  <c r="Q265" i="55"/>
  <c r="Q268" i="55"/>
  <c r="T265" i="55"/>
  <c r="T268" i="55"/>
  <c r="R268" i="55"/>
  <c r="R265" i="55"/>
  <c r="U265" i="55"/>
  <c r="U268" i="55"/>
  <c r="V265" i="55"/>
  <c r="V268" i="55"/>
  <c r="M235" i="55"/>
  <c r="O60" i="55"/>
  <c r="O75" i="55" s="1"/>
  <c r="P144" i="55" l="1"/>
  <c r="P146" i="55" s="1"/>
  <c r="P140" i="55"/>
  <c r="P142" i="55" s="1"/>
  <c r="P113" i="55"/>
  <c r="P186" i="55" s="1"/>
  <c r="P212" i="55"/>
  <c r="P210" i="55"/>
  <c r="P209" i="55"/>
  <c r="P213" i="55"/>
  <c r="BA290" i="55"/>
  <c r="BG290" i="55"/>
  <c r="AQ290" i="55"/>
  <c r="AS290" i="55"/>
  <c r="AZ290" i="55"/>
  <c r="AR290" i="55"/>
  <c r="AB290" i="55"/>
  <c r="AC290" i="55"/>
  <c r="BE290" i="55"/>
  <c r="AU290" i="55"/>
  <c r="BD290" i="55"/>
  <c r="AP290" i="55"/>
  <c r="AT290" i="55"/>
  <c r="AF290" i="55"/>
  <c r="BF290" i="55"/>
  <c r="AG290" i="55"/>
  <c r="AM290" i="55"/>
  <c r="M75" i="55"/>
  <c r="J75" i="55" s="1"/>
  <c r="BB290" i="55"/>
  <c r="AE290" i="55"/>
  <c r="AN290" i="55"/>
  <c r="BC290" i="55"/>
  <c r="AD290" i="55"/>
  <c r="AI290" i="55"/>
  <c r="O85" i="55"/>
  <c r="O88" i="55" s="1"/>
  <c r="O214" i="55" s="1"/>
  <c r="M214" i="55" s="1"/>
  <c r="J214" i="55" s="1"/>
  <c r="AY290" i="55"/>
  <c r="AO290" i="55"/>
  <c r="AH290" i="55"/>
  <c r="AA290" i="55"/>
  <c r="O227" i="55"/>
  <c r="M53" i="55"/>
  <c r="M60" i="55"/>
  <c r="M241" i="23"/>
  <c r="M32" i="23" a="1"/>
  <c r="O188" i="55" l="1"/>
  <c r="M188" i="55" s="1"/>
  <c r="M192" i="55" s="1"/>
  <c r="M213" i="55"/>
  <c r="J213" i="55" s="1"/>
  <c r="I240" i="23" s="1"/>
  <c r="O268" i="55"/>
  <c r="P268" i="55"/>
  <c r="M210" i="55"/>
  <c r="J210" i="55" s="1"/>
  <c r="O265" i="55"/>
  <c r="P265" i="55"/>
  <c r="P190" i="55"/>
  <c r="P14" i="55"/>
  <c r="I241" i="23"/>
  <c r="O297" i="55"/>
  <c r="O294" i="55"/>
  <c r="P216" i="55"/>
  <c r="P117" i="55"/>
  <c r="P198" i="55" s="1"/>
  <c r="P121" i="55"/>
  <c r="P167" i="55"/>
  <c r="P169" i="55" s="1"/>
  <c r="O94" i="55"/>
  <c r="O135" i="55" s="1"/>
  <c r="M32" i="23"/>
  <c r="V234" i="55"/>
  <c r="R234" i="55"/>
  <c r="P234" i="55"/>
  <c r="T234" i="55"/>
  <c r="U234" i="55"/>
  <c r="S234" i="55"/>
  <c r="Q234" i="55"/>
  <c r="J60" i="55"/>
  <c r="W234" i="55"/>
  <c r="O234" i="55"/>
  <c r="M237" i="23"/>
  <c r="M240" i="23"/>
  <c r="O192" i="55" l="1"/>
  <c r="M265" i="55"/>
  <c r="J265" i="55" s="1"/>
  <c r="M268" i="55"/>
  <c r="J268" i="55" s="1"/>
  <c r="I237" i="23"/>
  <c r="O293" i="55"/>
  <c r="O296" i="55" a="1"/>
  <c r="O296" i="55" s="1"/>
  <c r="O112" i="55"/>
  <c r="M112" i="55" s="1"/>
  <c r="J112" i="55" s="1"/>
  <c r="T269" i="55"/>
  <c r="V269" i="55"/>
  <c r="W269" i="55"/>
  <c r="Q269" i="55"/>
  <c r="S269" i="55"/>
  <c r="R269" i="55"/>
  <c r="U269" i="55"/>
  <c r="O107" i="55"/>
  <c r="O113" i="55" s="1"/>
  <c r="P269" i="55"/>
  <c r="O95" i="55"/>
  <c r="O96" i="55"/>
  <c r="O155" i="55"/>
  <c r="M155" i="55" s="1"/>
  <c r="J155" i="55" s="1"/>
  <c r="M234" i="55"/>
  <c r="O269" i="55"/>
  <c r="M135" i="55"/>
  <c r="J135" i="55" s="1"/>
  <c r="O140" i="55"/>
  <c r="O144" i="55"/>
  <c r="O138" i="55"/>
  <c r="O123" i="55" l="1"/>
  <c r="O153" i="55" s="1"/>
  <c r="Q123" i="55"/>
  <c r="Q153" i="55" s="1"/>
  <c r="Q162" i="55" s="1"/>
  <c r="P123" i="55"/>
  <c r="P153" i="55" s="1"/>
  <c r="P162" i="55" s="1"/>
  <c r="M269" i="55"/>
  <c r="J269" i="55" s="1"/>
  <c r="O209" i="55"/>
  <c r="O264" i="55" s="1"/>
  <c r="O212" i="55"/>
  <c r="M107" i="55"/>
  <c r="J107" i="55" s="1"/>
  <c r="O211" i="55"/>
  <c r="O154" i="55"/>
  <c r="M154" i="55" s="1"/>
  <c r="J154" i="55" s="1"/>
  <c r="M138" i="55"/>
  <c r="J138" i="55" s="1"/>
  <c r="O146" i="55"/>
  <c r="M146" i="55" s="1"/>
  <c r="J146" i="55" s="1"/>
  <c r="O142" i="55"/>
  <c r="M113" i="55"/>
  <c r="J113" i="55" s="1"/>
  <c r="O186" i="55"/>
  <c r="O121" i="55"/>
  <c r="O167" i="55"/>
  <c r="O117" i="55"/>
  <c r="P171" i="55" l="1"/>
  <c r="P187" i="55" s="1"/>
  <c r="P191" i="55" s="1"/>
  <c r="Q171" i="55"/>
  <c r="Q187" i="55" s="1"/>
  <c r="Q191" i="55" s="1"/>
  <c r="P159" i="55"/>
  <c r="P242" i="55" s="1"/>
  <c r="M123" i="55"/>
  <c r="J123" i="55" s="1"/>
  <c r="Q159" i="55"/>
  <c r="P243" i="55" s="1"/>
  <c r="M209" i="55"/>
  <c r="J209" i="55" s="1"/>
  <c r="M211" i="55"/>
  <c r="J211" i="55" s="1"/>
  <c r="R266" i="55"/>
  <c r="T266" i="55"/>
  <c r="W266" i="55"/>
  <c r="S266" i="55"/>
  <c r="U266" i="55"/>
  <c r="V266" i="55"/>
  <c r="Q266" i="55"/>
  <c r="U242" i="55"/>
  <c r="W242" i="55"/>
  <c r="V242" i="55"/>
  <c r="T242" i="55"/>
  <c r="Q242" i="55"/>
  <c r="S242" i="55"/>
  <c r="R242" i="55"/>
  <c r="M212" i="55"/>
  <c r="J212" i="55" s="1"/>
  <c r="U267" i="55"/>
  <c r="R267" i="55"/>
  <c r="W267" i="55"/>
  <c r="T267" i="55"/>
  <c r="S267" i="55"/>
  <c r="V267" i="55"/>
  <c r="Q267" i="55"/>
  <c r="P264" i="55"/>
  <c r="S264" i="55"/>
  <c r="T264" i="55"/>
  <c r="U264" i="55"/>
  <c r="R264" i="55"/>
  <c r="W264" i="55"/>
  <c r="V264" i="55"/>
  <c r="Q264" i="55"/>
  <c r="U243" i="55"/>
  <c r="V243" i="55"/>
  <c r="Q243" i="55"/>
  <c r="W243" i="55"/>
  <c r="T243" i="55"/>
  <c r="S243" i="55"/>
  <c r="R243" i="55"/>
  <c r="O216" i="55"/>
  <c r="O266" i="55"/>
  <c r="P267" i="55"/>
  <c r="P266" i="55"/>
  <c r="O267" i="55"/>
  <c r="O171" i="55"/>
  <c r="O187" i="55" s="1"/>
  <c r="O242" i="55"/>
  <c r="P13" i="55"/>
  <c r="U303" i="55"/>
  <c r="V303" i="55"/>
  <c r="W303" i="55"/>
  <c r="O303" i="55"/>
  <c r="Q303" i="55"/>
  <c r="S303" i="55"/>
  <c r="R303" i="55"/>
  <c r="T303" i="55"/>
  <c r="P303" i="55"/>
  <c r="M153" i="55"/>
  <c r="J153" i="55" s="1"/>
  <c r="O162" i="55"/>
  <c r="M162" i="55" s="1"/>
  <c r="J162" i="55" s="1"/>
  <c r="O159" i="55"/>
  <c r="O241" i="55" s="1"/>
  <c r="M117" i="55"/>
  <c r="J117" i="55" s="1"/>
  <c r="O198" i="55"/>
  <c r="O200" i="55"/>
  <c r="M200" i="55" s="1"/>
  <c r="J200" i="55" s="1"/>
  <c r="M142" i="55"/>
  <c r="J142" i="55" s="1"/>
  <c r="O169" i="55"/>
  <c r="M167" i="55"/>
  <c r="M186" i="55"/>
  <c r="M190" i="55" s="1"/>
  <c r="O190" i="55"/>
  <c r="O14" i="55"/>
  <c r="M14" i="55" s="1"/>
  <c r="V304" i="55"/>
  <c r="Q304" i="55"/>
  <c r="P304" i="55"/>
  <c r="T304" i="55"/>
  <c r="U304" i="55"/>
  <c r="R304" i="55"/>
  <c r="S304" i="55"/>
  <c r="Q13" i="55"/>
  <c r="W304" i="55"/>
  <c r="O304" i="55"/>
  <c r="M121" i="55"/>
  <c r="J121" i="55" s="1"/>
  <c r="M236" i="23"/>
  <c r="M239" i="23"/>
  <c r="M68" i="23"/>
  <c r="M238" i="23"/>
  <c r="O243" i="55" l="1"/>
  <c r="M243" i="55" s="1"/>
  <c r="I90" i="23" s="1"/>
  <c r="R273" i="55"/>
  <c r="W273" i="55"/>
  <c r="M264" i="55"/>
  <c r="J264" i="55" s="1"/>
  <c r="V273" i="55"/>
  <c r="M216" i="55"/>
  <c r="Q273" i="55"/>
  <c r="S273" i="55"/>
  <c r="I238" i="23"/>
  <c r="I239" i="23"/>
  <c r="S241" i="55"/>
  <c r="S249" i="55" s="1"/>
  <c r="Q241" i="55"/>
  <c r="Q249" i="55" s="1"/>
  <c r="T241" i="55"/>
  <c r="T249" i="55" s="1"/>
  <c r="P273" i="55"/>
  <c r="R241" i="55"/>
  <c r="R249" i="55" s="1"/>
  <c r="V241" i="55"/>
  <c r="V249" i="55" s="1"/>
  <c r="M267" i="55"/>
  <c r="J267" i="55" s="1"/>
  <c r="U273" i="55"/>
  <c r="W241" i="55"/>
  <c r="W249" i="55" s="1"/>
  <c r="T273" i="55"/>
  <c r="U241" i="55"/>
  <c r="U249" i="55" s="1"/>
  <c r="M266" i="55"/>
  <c r="J266" i="55" s="1"/>
  <c r="O273" i="55"/>
  <c r="M171" i="55"/>
  <c r="J171" i="55" s="1"/>
  <c r="P241" i="55"/>
  <c r="P249" i="55" s="1"/>
  <c r="M242" i="55"/>
  <c r="M303" i="55"/>
  <c r="J303" i="55" s="1"/>
  <c r="T302" i="55"/>
  <c r="T310" i="55" s="1"/>
  <c r="R302" i="55"/>
  <c r="R310" i="55" s="1"/>
  <c r="O302" i="55"/>
  <c r="O310" i="55" s="1"/>
  <c r="P302" i="55"/>
  <c r="P310" i="55" s="1"/>
  <c r="S302" i="55"/>
  <c r="S310" i="55" s="1"/>
  <c r="U302" i="55"/>
  <c r="U310" i="55" s="1"/>
  <c r="O13" i="55"/>
  <c r="V302" i="55"/>
  <c r="V310" i="55" s="1"/>
  <c r="O249" i="55"/>
  <c r="M304" i="55"/>
  <c r="J304" i="55" s="1"/>
  <c r="W302" i="55"/>
  <c r="W310" i="55" s="1"/>
  <c r="Q302" i="55"/>
  <c r="Q310" i="55" s="1"/>
  <c r="M72" i="23"/>
  <c r="M243" i="23"/>
  <c r="O191" i="55"/>
  <c r="M187" i="55"/>
  <c r="M191" i="55" s="1"/>
  <c r="M159" i="55"/>
  <c r="J159" i="55" s="1"/>
  <c r="J14" i="55"/>
  <c r="I68" i="23"/>
  <c r="J216" i="55"/>
  <c r="I236" i="23"/>
  <c r="V252" i="55"/>
  <c r="T313" i="55"/>
  <c r="P252" i="55"/>
  <c r="S313" i="55"/>
  <c r="W252" i="55"/>
  <c r="R313" i="55"/>
  <c r="Q313" i="55"/>
  <c r="R252" i="55"/>
  <c r="U252" i="55"/>
  <c r="W313" i="55"/>
  <c r="S252" i="55"/>
  <c r="P313" i="55"/>
  <c r="T252" i="55"/>
  <c r="U313" i="55"/>
  <c r="J167" i="55"/>
  <c r="J169" i="55" s="1"/>
  <c r="V313" i="55"/>
  <c r="Q251" i="55"/>
  <c r="V251" i="55"/>
  <c r="M169" i="55"/>
  <c r="W251" i="55"/>
  <c r="U251" i="55"/>
  <c r="R251" i="55"/>
  <c r="S251" i="55"/>
  <c r="P251" i="55"/>
  <c r="T251" i="55"/>
  <c r="O252" i="55"/>
  <c r="S312" i="55"/>
  <c r="U312" i="55"/>
  <c r="T312" i="55"/>
  <c r="W312" i="55"/>
  <c r="R312" i="55"/>
  <c r="Q312" i="55"/>
  <c r="Q252" i="55"/>
  <c r="P312" i="55"/>
  <c r="V312" i="55"/>
  <c r="O313" i="55"/>
  <c r="O312" i="55"/>
  <c r="O251" i="55"/>
  <c r="M198" i="55"/>
  <c r="J198" i="55" s="1"/>
  <c r="M160" i="23"/>
  <c r="M89" i="23"/>
  <c r="M90" i="23"/>
  <c r="M159" i="23"/>
  <c r="M273" i="55" l="1"/>
  <c r="J273" i="55" s="1"/>
  <c r="J243" i="55"/>
  <c r="M172" i="55"/>
  <c r="J172" i="55" s="1"/>
  <c r="M241" i="55"/>
  <c r="I88" i="23" s="1"/>
  <c r="I89" i="23"/>
  <c r="J242" i="55"/>
  <c r="I159" i="23"/>
  <c r="R314" i="55"/>
  <c r="R316" i="55" s="1"/>
  <c r="R318" i="55" s="1"/>
  <c r="V253" i="55"/>
  <c r="V255" i="55" s="1"/>
  <c r="Q314" i="55"/>
  <c r="Q316" i="55" s="1"/>
  <c r="Q318" i="55" s="1"/>
  <c r="W253" i="55"/>
  <c r="W255" i="55" s="1"/>
  <c r="I160" i="23"/>
  <c r="M302" i="55"/>
  <c r="V314" i="55"/>
  <c r="V316" i="55" s="1"/>
  <c r="V318" i="55" s="1"/>
  <c r="U314" i="55"/>
  <c r="U316" i="55" s="1"/>
  <c r="U318" i="55" s="1"/>
  <c r="M252" i="55"/>
  <c r="M313" i="55"/>
  <c r="I166" i="23" s="1"/>
  <c r="S314" i="55"/>
  <c r="S316" i="55" s="1"/>
  <c r="S318" i="55" s="1"/>
  <c r="T253" i="55"/>
  <c r="T255" i="55" s="1"/>
  <c r="P314" i="55"/>
  <c r="P316" i="55" s="1"/>
  <c r="P318" i="55" s="1"/>
  <c r="Q253" i="55"/>
  <c r="Q255" i="55" s="1"/>
  <c r="P253" i="55"/>
  <c r="P255" i="55" s="1"/>
  <c r="P181" i="55"/>
  <c r="Q181" i="55"/>
  <c r="P177" i="55"/>
  <c r="O181" i="55"/>
  <c r="Q177" i="55"/>
  <c r="W181" i="55"/>
  <c r="W13" i="55" s="1"/>
  <c r="M13" i="55" s="1"/>
  <c r="J13" i="55" s="1"/>
  <c r="O177" i="55"/>
  <c r="W177" i="55"/>
  <c r="S253" i="55"/>
  <c r="S255" i="55" s="1"/>
  <c r="O253" i="55"/>
  <c r="O255" i="55" s="1"/>
  <c r="M251" i="55"/>
  <c r="W314" i="55"/>
  <c r="W316" i="55" s="1"/>
  <c r="W318" i="55" s="1"/>
  <c r="R253" i="55"/>
  <c r="R255" i="55" s="1"/>
  <c r="O314" i="55"/>
  <c r="O316" i="55" s="1"/>
  <c r="O318" i="55" s="1"/>
  <c r="M312" i="55"/>
  <c r="T314" i="55"/>
  <c r="T316" i="55" s="1"/>
  <c r="T318" i="55" s="1"/>
  <c r="U253" i="55"/>
  <c r="U255" i="55" s="1"/>
  <c r="R74" i="23"/>
  <c r="R75" i="23" s="1"/>
  <c r="Q74" i="23"/>
  <c r="Q75" i="23" s="1"/>
  <c r="N74" i="23"/>
  <c r="N75" i="23" s="1"/>
  <c r="P74" i="23"/>
  <c r="P75" i="23" s="1"/>
  <c r="O74" i="23"/>
  <c r="O75" i="23" s="1"/>
  <c r="M74" i="23"/>
  <c r="M75" i="23" s="1"/>
  <c r="M166" i="23"/>
  <c r="M158" i="23"/>
  <c r="M95" i="23"/>
  <c r="M88" i="23"/>
  <c r="M165" i="23"/>
  <c r="M96" i="23"/>
  <c r="M173" i="55" l="1"/>
  <c r="J173" i="55" s="1"/>
  <c r="T257" i="55"/>
  <c r="T287" i="55"/>
  <c r="T290" i="55" s="1"/>
  <c r="T262" i="55"/>
  <c r="T275" i="55" s="1"/>
  <c r="T288" i="55" s="1"/>
  <c r="W257" i="55"/>
  <c r="W262" i="55"/>
  <c r="W275" i="55" s="1"/>
  <c r="W288" i="55" s="1"/>
  <c r="W287" i="55"/>
  <c r="W290" i="55" s="1"/>
  <c r="V257" i="55"/>
  <c r="V262" i="55"/>
  <c r="V275" i="55" s="1"/>
  <c r="V288" i="55" s="1"/>
  <c r="V287" i="55"/>
  <c r="V290" i="55" s="1"/>
  <c r="U257" i="55"/>
  <c r="U262" i="55"/>
  <c r="U275" i="55" s="1"/>
  <c r="U288" i="55" s="1"/>
  <c r="U287" i="55"/>
  <c r="U290" i="55" s="1"/>
  <c r="S257" i="55"/>
  <c r="S262" i="55"/>
  <c r="S275" i="55" s="1"/>
  <c r="S288" i="55" s="1"/>
  <c r="S287" i="55"/>
  <c r="S290" i="55" s="1"/>
  <c r="R257" i="55"/>
  <c r="R287" i="55"/>
  <c r="R290" i="55" s="1"/>
  <c r="R262" i="55"/>
  <c r="R275" i="55" s="1"/>
  <c r="R288" i="55" s="1"/>
  <c r="Q257" i="55"/>
  <c r="Q262" i="55"/>
  <c r="Q275" i="55" s="1"/>
  <c r="Q288" i="55" s="1"/>
  <c r="Q287" i="55"/>
  <c r="Q290" i="55" s="1"/>
  <c r="J241" i="55"/>
  <c r="M249" i="55"/>
  <c r="J249" i="55" s="1"/>
  <c r="P257" i="55"/>
  <c r="P262" i="55"/>
  <c r="P275" i="55" s="1"/>
  <c r="P288" i="55" s="1"/>
  <c r="P287" i="55"/>
  <c r="P290" i="55" s="1"/>
  <c r="J313" i="55"/>
  <c r="M97" i="23"/>
  <c r="R99" i="23" s="1"/>
  <c r="M167" i="23"/>
  <c r="R169" i="23" s="1"/>
  <c r="I158" i="23"/>
  <c r="J302" i="55"/>
  <c r="M310" i="55"/>
  <c r="J310" i="55" s="1"/>
  <c r="I96" i="23"/>
  <c r="J252" i="55"/>
  <c r="M318" i="55"/>
  <c r="J318" i="55" s="1"/>
  <c r="I95" i="23"/>
  <c r="J251" i="55"/>
  <c r="M253" i="55"/>
  <c r="Q12" i="55"/>
  <c r="Q202" i="55"/>
  <c r="Q204" i="55" s="1"/>
  <c r="Q222" i="55" s="1"/>
  <c r="O287" i="55"/>
  <c r="O290" i="55" s="1"/>
  <c r="O257" i="55"/>
  <c r="O262" i="55"/>
  <c r="P12" i="55"/>
  <c r="P202" i="55"/>
  <c r="P204" i="55" s="1"/>
  <c r="P222" i="55" s="1"/>
  <c r="O12" i="55"/>
  <c r="O202" i="55"/>
  <c r="J312" i="55"/>
  <c r="I165" i="23"/>
  <c r="M314" i="55"/>
  <c r="W202" i="55"/>
  <c r="W204" i="55" s="1"/>
  <c r="W12" i="55"/>
  <c r="M230" i="23"/>
  <c r="M224" i="23"/>
  <c r="M181" i="55" l="1"/>
  <c r="J181" i="55" s="1"/>
  <c r="M177" i="55"/>
  <c r="J177" i="55" s="1"/>
  <c r="M257" i="55"/>
  <c r="J257" i="55" s="1"/>
  <c r="P169" i="23"/>
  <c r="P170" i="23" s="1"/>
  <c r="Q169" i="23"/>
  <c r="Q170" i="23" s="1"/>
  <c r="P99" i="23"/>
  <c r="P100" i="23" s="1"/>
  <c r="Q99" i="23"/>
  <c r="Q100" i="23" s="1"/>
  <c r="N169" i="23"/>
  <c r="N170" i="23" s="1"/>
  <c r="O169" i="23"/>
  <c r="O170" i="23" s="1"/>
  <c r="N99" i="23"/>
  <c r="N100" i="23" s="1"/>
  <c r="O99" i="23"/>
  <c r="O100" i="23" s="1"/>
  <c r="M12" i="55"/>
  <c r="J12" i="55" s="1"/>
  <c r="R170" i="23"/>
  <c r="M169" i="23"/>
  <c r="M170" i="23" s="1"/>
  <c r="M99" i="23"/>
  <c r="M100" i="23" s="1"/>
  <c r="R100" i="23"/>
  <c r="I230" i="23"/>
  <c r="J253" i="55"/>
  <c r="M255" i="55"/>
  <c r="M202" i="55"/>
  <c r="J202" i="55" s="1"/>
  <c r="O204" i="55"/>
  <c r="I224" i="23"/>
  <c r="O275" i="55"/>
  <c r="O288" i="55" s="1"/>
  <c r="M262" i="55"/>
  <c r="J314" i="55"/>
  <c r="M316" i="55"/>
  <c r="M78" i="23"/>
  <c r="M148" i="23"/>
  <c r="M131" i="55" l="1"/>
  <c r="M82" i="23"/>
  <c r="M152" i="23"/>
  <c r="I78" i="23"/>
  <c r="J255" i="55"/>
  <c r="O222" i="55"/>
  <c r="M222" i="55" s="1"/>
  <c r="M204" i="55"/>
  <c r="J204" i="55" s="1"/>
  <c r="J316" i="55"/>
  <c r="I148" i="23"/>
  <c r="J262" i="55"/>
  <c r="J275" i="55" s="1"/>
  <c r="M275" i="55"/>
  <c r="M218" i="23"/>
  <c r="I218" i="23" l="1"/>
  <c r="Q154" i="23"/>
  <c r="Q155" i="23" s="1"/>
  <c r="M154" i="23"/>
  <c r="M155" i="23" s="1"/>
  <c r="R154" i="23"/>
  <c r="R155" i="23" s="1"/>
  <c r="N154" i="23"/>
  <c r="N155" i="23" s="1"/>
  <c r="O154" i="23"/>
  <c r="O155" i="23" s="1"/>
  <c r="P154" i="23"/>
  <c r="P155" i="23" s="1"/>
  <c r="P84" i="23"/>
  <c r="P85" i="23" s="1"/>
  <c r="O84" i="23"/>
  <c r="O85" i="23" s="1"/>
  <c r="N84" i="23"/>
  <c r="N85" i="23" s="1"/>
  <c r="R84" i="23"/>
  <c r="R85" i="23" s="1"/>
  <c r="M84" i="23"/>
  <c r="M85" i="23" s="1"/>
  <c r="Q84" i="23"/>
  <c r="Q85" i="23" s="1"/>
  <c r="K265"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Pieter Nuiten</author>
    <author>tc={21ED3BEB-DB43-4312-8D9F-CC84F4BFAE0E}</author>
    <author>tc={C46A0D3D-9F6B-4622-B9E6-EE8A3362C03B}</author>
  </authors>
  <commentList>
    <comment ref="T109" authorId="0" shapeId="0" xr:uid="{7F0D1C44-29C4-4FB1-9463-ADCA21BC927F}">
      <text>
        <r>
          <rPr>
            <sz val="9"/>
            <color indexed="81"/>
            <rFont val="Tahoma"/>
            <family val="2"/>
          </rPr>
          <t>10 W/paneel, 6 panelen/won</t>
        </r>
      </text>
    </comment>
    <comment ref="Y254" authorId="1" shapeId="0" xr:uid="{21ED3BEB-DB43-4312-8D9F-CC84F4BFAE0E}">
      <text>
        <t>[Opmerkingenthread]
U kunt deze opmerkingenthread lezen in uw versie van Excel. Eventuele wijzigingen aan de thread gaan echter verloren als het bestand wordt geopend in een nieuwere versie van Excel. Meer informatie: https://go.microsoft.com/fwlink/?linkid=870924
Opmerking:
    in pdf staat forfaitair</t>
      </text>
    </comment>
    <comment ref="Z254" authorId="2" shapeId="0" xr:uid="{C46A0D3D-9F6B-4622-B9E6-EE8A3362C03B}">
      <text>
        <t>[Opmerkingenthread]
U kunt deze opmerkingenthread lezen in uw versie van Excel. Eventuele wijzigingen aan de thread gaan echter verloren als het bestand wordt geopend in een nieuwere versie van Excel. Meer informatie: https://go.microsoft.com/fwlink/?linkid=870924
Opmerking:
    in pdf staat forfaitair</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<sst xmlns="http://schemas.openxmlformats.org/spreadsheetml/2006/main" count="11812" uniqueCount="1208">
  <si>
    <t xml:space="preserve">De Uniforme Maatlat is ontwikkeld in opdracht van het Expertisecentrum Warmte (ECW), onderdeel van de Rijksdienst voor Ondernemend Nederland.
De Uniforme Maatlat is één van de methoden die het Expertisecentrum Warmte ontwikkelt om de energieprestaties van verschillende technieken (zoals zonneboilers, warmtepompen, warmte-koudeopslag, collectieve systemen, restwarmte, verbranding van houtachtige biomassa, etc.) goed vergelijkbaar te maken.
Het Rekenmodel is gebaseerd op het rapport 'Uniforme Maatlat voor de warmtevoorziening van woning-en utiliteitsbouw', versie 5.0  (Utrecht, 2 september 2020).
Het Rekenmodel bevat de belangrijkste systemen/rendementen uit het rapport.
Meer rendementen zijn terug te vinden in het genoemde rapport, NTA 8800 en NEN 7125. Deze getallen kunnen in de bibliotheek van het Rekenmodel worden opgenomen en vervolgens in de berekeningen worden gebruikt. 
Let op: De resultaten van de berekende energieprestatie-indicatoren (BENG 1, 2, 3, energielabel, PEF) zijn indicatief.
</t>
  </si>
  <si>
    <t>&gt;&gt; Website Expertisecentrum Warmte</t>
  </si>
  <si>
    <t>&gt;&gt; Website Uniforme Maatlat</t>
  </si>
  <si>
    <t>Wijzigingen 5.02 t.o.v. 5.01</t>
  </si>
  <si>
    <t>Toegevoegd</t>
  </si>
  <si>
    <t xml:space="preserve">Voor woningen is bij de energieprestatie-indicatoren nu ook aangegeven of de woning voldoet aan de 'standaard' (warmtevraag per vierkante meter). </t>
  </si>
  <si>
    <t>In de bibliotheek is in de tabel 'isolatiepakketten gebouwschil' een isolatiepakket opgenomen met streefwaarden.</t>
  </si>
  <si>
    <t>Op de tabbladen met varianten is de mogelijkheid toegevoegd om de warmtebehoefte voor verwarming handmatig te corrigeren ten opzichte van de warmtebehoefte met NTA8800. Bovenaan het tabblad kan worden aangegeven óf de warmtebehoefte wordt gecorrigeerd. In regel 53 kan de voorgestelde correctie (op basis van de gemiddelde U-waarde van de gebouwschil) worden overschreven door een eigen waarde voor de correctie.</t>
  </si>
  <si>
    <t>Op de tabbladen met varianten staat nu een samenvatting van de gekozen installaties per deellocatie.</t>
  </si>
  <si>
    <t>In de bibliotheek is een tabel 'warmte-/koudenetten met EMG-verklaring' toegevoegd.</t>
  </si>
  <si>
    <t>In de bibliotheek zijn collectieve tapwatertoestellen (VR-combi, HR-combi) toegevoegd.</t>
  </si>
  <si>
    <t>In de bibliotheek is een boosterwarmtepomp toegevoegd.
Principe: stel een COP van 4,0 voor de booster-WP. Dan komt 3/4e deel van de te leveren warmte uit het warmtenet (=preferent toestel), 1/4e deel wordt elektrisch toegevoegd door de booster-WP (niet-preferent toestel). Het warmtenet is te kiezen door de gebruiker in de bibliotheek. Staat wel los van de keuze bij RV op de variant! Dit is niet helemaal conform NTA 8800, want daar wordt het elektrische deel gezien als hulpenergie.</t>
  </si>
  <si>
    <t>Wijzigingen 5.01 t.o.v. 5.0</t>
  </si>
  <si>
    <t>Gewijzigd</t>
  </si>
  <si>
    <t>Correctie op het aandeel hernieuwbare energie (tbv indicator EP3/BENG3). Er werd bij ruimteverwarming, ruimtekoeling en tapwater (onterecht) altijd een aandeel 'omgevingswarmte' mee gerekend, ook in geval er geen warmtepomp geselecteerd was. 
Per installatie (preferent en niet-preferent toestel) kan in de bibliotheek maar één keer kan worden aangegeven of een toestel een warmtepomp is met hernieuwbare bron. Uitgangspunt is dat dat alleen het preferente toestel is.</t>
  </si>
  <si>
    <t>Correctie bij berekening regeneratie als gekozen is voor warmtepomp met aquifer.</t>
  </si>
  <si>
    <t>Correctie bij berekening BENG-eisen woningen/woongebouwen.</t>
  </si>
  <si>
    <t xml:space="preserve">Correctie bij invoer eigen toestellen tapwater in bibliotheek.. </t>
  </si>
  <si>
    <t>Wijzigingen 5.0 t.o.v. 4.3.2</t>
  </si>
  <si>
    <t>Gewijzigd / Toegevoegd / Verwijderd</t>
  </si>
  <si>
    <t>&gt;&gt; Zie apart tabblad 'wijzigingen 5.0'</t>
  </si>
  <si>
    <t>Disclaimer</t>
  </si>
  <si>
    <t>Aan het Rekenmodel Uniforme Maatlat kunnen geen rechten worden ontleend.
Hoewel dit instrument met de grootst mogelijke zorg is samengesteld, kan RVO geen enkele aansprakelijkheid aanvaarden voor schade als gevolg van eventuele onjuistheden en/of uitvoering of gebruik op van het instrument.</t>
  </si>
  <si>
    <t>Compacte handleiding</t>
  </si>
  <si>
    <t>Inleiding</t>
  </si>
  <si>
    <t>De ‘Uniforme Maatlat Gebouwde Omgeving' (UMGO) is een rekenmodel waarmee de CO2 emissie en het (primaire) energiegebruik van gebouwen in een locatie kunnen worden berekend en waarin verschillende energie-opties voor een locatie met elkaar vergeleken kunnen worden. Het model rekent op basis van kengetallen voor woningen, utiliteitsgebouwen, isolatie en installaties, en rekenmethoden conform NTA8800 en EMG (NEN7125).
De achtergronden van het rekenmodel staan beschreven in het Protocol Uniforme Maatlat Gebouwde Omgeving (zie onderstaande link).
Het rekenmodel bestaat uit:
-  een invoerblad; hierin kunnen maximaal 8 woningen en/of utiliteitsgebouwen per maximaal 4 locaties worden ingevoerd;
-  zes rekenbladen waarin voor de opgegeven locaties verschillende energiemaatregelen doorgerekend kunnen worden (varianten);
-  een resultatenblad waar de belangrijkste resultaten van de opgegeven varianten naast elkaar staan;
-  een 'bibliotheek' met gegevens over gebouwen, installaties, energiedragers etcetera, die door alle rekenbladen gebruikt wordt.
De eerste versie van de UMGO is in de zomer van 2010 ontwikkeld waarbij inbreng van experts is verwerkt. In 2011 is een update van de Uniforme Maatlat uitgebracht, versie 3.0. De maatlat en het bijbehorende rekenmodel zijn sindsdien periodiek geactualiseerd en aangepast. Versie 4.0 is verschenen in april 2016 en is onder meer gericht op de toekomstige BENG-eisen. Versie 5.0 is verschenen in september 2020 en is gebaseerd op berekeningen met NTA8800.</t>
  </si>
  <si>
    <t>&gt;&gt; Protocol Uniforme Maatlat Gebouwde Omgeving (UMGO) voor de warmtevoorziening in de woning- en utiliteitsbouw</t>
  </si>
  <si>
    <t>Benodigde invoer tabblad 'woningen|utiliteit'</t>
  </si>
  <si>
    <t>gegevens van maximaal 8 woningen en/of utiliteitsgebouwen per maximaal 4 locaties:
-  naam van elke locatie (optionele vrije invoer);
-  type woning|utiliteitsgebouw (verplichte invoer met keuzelijst (kan in bibliotheek worden aangepast/aangevuld));
-  aanvullende informatie (optionele vrije invoer);
-  aantal woningen|utiliteitsgebouwen per type (≥0);
-  gebruiksoppervlakte (optioneel en overschrijft gebruiks- en verliesoppervlakte van gekozen type uit de bibliotheek).</t>
  </si>
  <si>
    <t>Benodigde invoer tabbladen 'variant x'</t>
  </si>
  <si>
    <t>-  primaire energiefactor elektriciteit (verplichte invoer op basis van een keuzelijst);
-  aantal woningen|utiliteitsgebouwen per type (optioneel en overschrijft de ingevulde aantallen uit 'woningen|utiliteit';
-  energiemaatregelen die effect hebben op de energiebehoefte per type woning|utiliteitsgebouw (verplicht)
   (energiepakket bouwkundig (keuzelijst, te wijzigen|aan te passen in de biblitoheek), type ventilatiesysteem, ventilator,
    geïnstalleerd vermogen en type verlichtingsregeling (vrij/keuzelijst, verplicht bij utiliteitsgebouwen), besparing op
    niet gebouwgebonden elektriciteit);
-  elektriciteitsgebruik voor mobiliteit (optioneel);
-  door zonnecellen geproduceerde hoeveelheid elektriciteit (optioneel);
-  kenmerken van de installatie voor verwarming, warmtapwater en koeling
   (preferent toestel, warmtedistributie, thermische zonne-energie);
-  kenmerken (niet) preferente toestellen voor verwarming, warmtapwater en koeling;
   (optioneel, invoer overschrijft de waarden die uit de bibliotheek gehaald worden op basis van keuze preferent toestel;
    in de bibliotheek kunnen toestellen worden toegevoegd, die vervolgens in de variant gekozen kunnen worden)
-  aandeel duurzame fractie bij aftap warmte elektriciteitscentrale (optioneel, overschrijft waarde uit bibliotheek).</t>
  </si>
  <si>
    <t>Markering invoergegevens</t>
  </si>
  <si>
    <t>Cellen waar gegevens kunnen worden ingevoerd zijn in het model met kleuren gemarkeerd:</t>
  </si>
  <si>
    <t>- nog niet gevulde cellen waar OPTIONEEL informatie kan worden ingevoerd zijn LICHTGEEL gemarkeerd;</t>
  </si>
  <si>
    <t>- ingevulde cellen, gerelateerd aan gegevens per gebouwtype, zijn DONKERGROEN gemarkeerd, met witte tekst;</t>
  </si>
  <si>
    <t>- ingevulde cellen, gerelateerd aan gegevens per energiepost, zijn DONKERBLAUW gemarkeerd, met witte tekst;</t>
  </si>
  <si>
    <t>- nog niet ingevulde cellen waar VERPLICHT informatie moet worden ingevoerd zijn ROOD gemarkeerd.</t>
  </si>
  <si>
    <t>Navigatie</t>
  </si>
  <si>
    <r>
      <rPr>
        <sz val="10"/>
        <color rgb="FF275937"/>
        <rFont val="Calibri"/>
        <family val="2"/>
      </rPr>
      <t>tussen de verschillende tabbladen</t>
    </r>
    <r>
      <rPr>
        <sz val="10"/>
        <color indexed="8"/>
        <rFont val="Calibri"/>
        <family val="2"/>
      </rPr>
      <t xml:space="preserve">
Tussen de bladen kan worden genavigeerd met de tabs onderin, of met de knoppenbalk bovenin.
</t>
    </r>
    <r>
      <rPr>
        <sz val="10"/>
        <color rgb="FF275937"/>
        <rFont val="Calibri"/>
        <family val="2"/>
      </rPr>
      <t>binnen elk tabblad</t>
    </r>
    <r>
      <rPr>
        <sz val="10"/>
        <color indexed="8"/>
        <rFont val="Calibri"/>
        <family val="2"/>
      </rPr>
      <t xml:space="preserve">
- Door de TAB te gebruiken komt de gebruiker automatisch in alle invoercellen op een blad.
- In de eerste kolom(men) is een filter gemaakt waarmee (delen) van de tabellen kunnen worden gefilterd.</t>
    </r>
  </si>
  <si>
    <t>Rekenbladen (variant 1, …., variant 6)</t>
  </si>
  <si>
    <t>Per rekenblad/variant worden de CO2-emissie en het (primaire) energiegebruik van de ingevoerde woningen en utiliteitsgebouwen berekend, op basis van gebouwkenmerken (grootte, vorm, isolatieniveau), type installatie, niet gebouwgebonden elektriciteitsgebruik en lokale (hernieuwbare)elektriciteitsproductie.
Per locatie en per variant gaat om het energiegebruik voor:
-  ruimteverwarming;
-  koeling;
-  warmtapwater;
-  ventilatoren;
-  verlichting;
-  niet gebouwgebonden elektriciteitsgebruik (computer, tv, huishoudelijk, et cetera);
-  mobiliteit (elektrische auto's);
en het effect van lokaal geproduceerde elektriciteit (warmtekracht, zonnecellen).
Naast CO2 emissie en (primair) energiegebruik wordt per gebouwtype een indicatie gegeven van de energieprestatie-indicatoren cf. NTA8800 en worden deze getoetst aan de BENG-eisen:
-  warmte-/koudebehoefte (met ventilatiesysteem C1);
-  het primair energiegebruik;
-  de bijdragen van hernieuwbare bronnen.</t>
  </si>
  <si>
    <t>Resultaten</t>
  </si>
  <si>
    <t>Het resultatenblad verzamelt de resultaten van de verschillende rekenbladen. De belangrijkste resultaten worden ook in een grafiek weergegeven.
Op het resultatenblad kan worden aangegeven welke variant als referentie moet worden gebruikt. Voor een aantal resultaten worden de resultaten ten opzichte van die variant aangegeven.</t>
  </si>
  <si>
    <t>Bibliotheek</t>
  </si>
  <si>
    <t>De bibliotheek bevat een groot aantal forfaitaire waarden die in de berekeningen worden gebruikt. Deze zijn overgenomen uit of gebaseerd NTA8800, EMG (NEN7125), CBS gegevens, de energielabeldatabase, Voorbeeldwoningen 2020, eerdere versies van de UMGO, e.a. Waar nodig is de bron per tabel in de bibliotheek aangegeven.</t>
  </si>
  <si>
    <t>In de bibliotheek kan een aantal gebouwen (woningen, utiliteitsgebouwen), installaties (ruimteverwarming/warmtapwater, koeling) en energiedragers worden toegevoegd. In de betreffende tabellen zijn deze cellen geel gemarkeerd.Ook hier kan de gebruiker direct of met de TAB naar de betreffende cel gaan.
Nieuwe gebouwen en installaties worden in de maatlat zichtbaar in keuzemenu’s bij de invoer van woningen, utiliteitsgebouwen en installaties.</t>
  </si>
  <si>
    <t>Inzicht in de berekening</t>
  </si>
  <si>
    <t>De maatlat geeft de mogelijkheid om voor één locatie verschillende variantberekeningen te maken. Elke variantberekening geeft boven aan in het tabblad de berekende primaire energiegebruiken, CO2-emissies en m3 verbuikt gas.
De belangrijkste resultaten van elke variant worden in het tabblad 'resultaten' bij elkaar gezet.</t>
  </si>
  <si>
    <t>Filteren tabellen</t>
  </si>
  <si>
    <t>De UMGO biedt op de tabbladen 'variant x', 'resultaten' en 'bibliotheek' de mogelijkheid gegevens te filteren. In de eerste (en bij 'variant x' ook de tweede kolom) is bovenaan het tabblad een knop waarmee filtermogelijkheden worden getoond. Daarmee is het mogelijk om zichtbaarheid van tabellen te kiezen.</t>
  </si>
  <si>
    <t>.</t>
  </si>
  <si>
    <t>invoer woningen|utiliteitsgebouwen</t>
  </si>
  <si>
    <t>project</t>
  </si>
  <si>
    <t>filter</t>
  </si>
  <si>
    <t>naam berekening</t>
  </si>
  <si>
    <t>korte toelichting</t>
  </si>
  <si>
    <t>samenvatting locaties</t>
  </si>
  <si>
    <t>som locaties</t>
  </si>
  <si>
    <t>totaal</t>
  </si>
  <si>
    <t>woningen</t>
  </si>
  <si>
    <t>utiliteit</t>
  </si>
  <si>
    <t>01.invoer</t>
  </si>
  <si>
    <t>gesommeerde aantallen en gebruiksoppervlaktes</t>
  </si>
  <si>
    <t>totaal aantal woningen|utiliteitsgebouwen</t>
  </si>
  <si>
    <t>won|geb</t>
  </si>
  <si>
    <t>totaal gebruiksoppervlakte woningen|utiliteitsgebouwen</t>
  </si>
  <si>
    <t>m2 won|geb</t>
  </si>
  <si>
    <t>locatie 1</t>
  </si>
  <si>
    <t>gegevens woningen|gebouwen</t>
  </si>
  <si>
    <t>naam locatie</t>
  </si>
  <si>
    <t>-</t>
  </si>
  <si>
    <t>type woning|utiliteitsgebouw</t>
  </si>
  <si>
    <t>woning vrij L</t>
  </si>
  <si>
    <t>gebruiksfunctie gekozen type</t>
  </si>
  <si>
    <t xml:space="preserve">   optioneel: toelichting of eigen naam woning|utiliteitsgebouw</t>
  </si>
  <si>
    <t>aantal woningen|utiliteitsgebouwen per type</t>
  </si>
  <si>
    <t>aantal woningen</t>
  </si>
  <si>
    <t>won</t>
  </si>
  <si>
    <t>aantal utiliteitsgebouwen</t>
  </si>
  <si>
    <t>geb</t>
  </si>
  <si>
    <t>gebruiksoppervlakte</t>
  </si>
  <si>
    <t>m2/won|geb</t>
  </si>
  <si>
    <t xml:space="preserve">   optioneel: eigen waarde</t>
  </si>
  <si>
    <t>verliesoppervlakte</t>
  </si>
  <si>
    <t>locatie 2</t>
  </si>
  <si>
    <t>locatie 3</t>
  </si>
  <si>
    <t>locatie 4</t>
  </si>
  <si>
    <t>EINDE</t>
  </si>
  <si>
    <t>00.kop</t>
  </si>
  <si>
    <t xml:space="preserve"> </t>
  </si>
  <si>
    <t>installaties</t>
  </si>
  <si>
    <t>preferent  |  niet preferent</t>
  </si>
  <si>
    <t>naam variant</t>
  </si>
  <si>
    <t>verwarming</t>
  </si>
  <si>
    <t>toelichting</t>
  </si>
  <si>
    <t>koeling</t>
  </si>
  <si>
    <t>filter 1</t>
  </si>
  <si>
    <t>filter 2</t>
  </si>
  <si>
    <t>PEF/KCO2 elektriciteit</t>
  </si>
  <si>
    <t>NTA8800</t>
  </si>
  <si>
    <t>warmtapwater</t>
  </si>
  <si>
    <t>Correctie warmtebehoefte verwarming (RV)</t>
  </si>
  <si>
    <t>locaties</t>
  </si>
  <si>
    <t>00. samenvatting</t>
  </si>
  <si>
    <t>00. kop</t>
  </si>
  <si>
    <t>samenvatting resultaten per jaar</t>
  </si>
  <si>
    <t>tapwater</t>
  </si>
  <si>
    <t>verlichting</t>
  </si>
  <si>
    <t>ventilatoren</t>
  </si>
  <si>
    <t>kookgas</t>
  </si>
  <si>
    <t>overig elektra</t>
  </si>
  <si>
    <t>mobiliteit</t>
  </si>
  <si>
    <t>zonnepanelen</t>
  </si>
  <si>
    <t>04. resultaat</t>
  </si>
  <si>
    <t>primair energiegebruik</t>
  </si>
  <si>
    <t>MWh_prim</t>
  </si>
  <si>
    <t>CO2 emissie</t>
  </si>
  <si>
    <t>ton</t>
  </si>
  <si>
    <t>aardgas in locatie</t>
  </si>
  <si>
    <t>x1000 m3</t>
  </si>
  <si>
    <t>01. woningen &amp; utiliteitsgebouwen</t>
  </si>
  <si>
    <r>
      <t>woningen|utiliteitsgebouwen</t>
    </r>
    <r>
      <rPr>
        <sz val="16"/>
        <color rgb="FF275937"/>
        <rFont val="Calibri"/>
        <family val="2"/>
        <scheme val="minor"/>
      </rPr>
      <t xml:space="preserve"> terugkoppeling invoer</t>
    </r>
  </si>
  <si>
    <t>gebouwtype</t>
  </si>
  <si>
    <t>extra info over (deel)locatie en woningen</t>
  </si>
  <si>
    <t>gebruiksfunctie</t>
  </si>
  <si>
    <t>gestapeld (1) / niet gestapeld (0) (alleen woningen)</t>
  </si>
  <si>
    <t>aantallen</t>
  </si>
  <si>
    <t>01. invoer</t>
  </si>
  <si>
    <t>aantal woningen|utiliteitsgebouwen</t>
  </si>
  <si>
    <t>won|geb/type</t>
  </si>
  <si>
    <t>aantal woningen (niet gestapeld)</t>
  </si>
  <si>
    <t>aantal woningen in woongebouw (gestapeld)</t>
  </si>
  <si>
    <t>totaal aantal woningen|utiliteitsgebouwen in de deellocatie</t>
  </si>
  <si>
    <t>afmetingen</t>
  </si>
  <si>
    <t>per type woning|utiliteitsgebouw</t>
  </si>
  <si>
    <t>totaal per type</t>
  </si>
  <si>
    <t>m2</t>
  </si>
  <si>
    <t>totaal per locatie</t>
  </si>
  <si>
    <t>verhouding verlies-/gebruiksoppervlakte per woning|utiliteitsgebouw</t>
  </si>
  <si>
    <t>m2/m2</t>
  </si>
  <si>
    <t>verhouding raam-/gebruiksoppervlakte per woning|utiliteitsgebouw</t>
  </si>
  <si>
    <t>02. energiemaatregelen</t>
  </si>
  <si>
    <t>energiemaatregelen met effect op energiebehoefte</t>
  </si>
  <si>
    <t>invoer energiepakket per woning | gebouw</t>
  </si>
  <si>
    <t>isolatiepakket gebouwschil</t>
  </si>
  <si>
    <t>type ventilatiesysteem</t>
  </si>
  <si>
    <t>mech - CO2 (C4c)</t>
  </si>
  <si>
    <t>type ventilator</t>
  </si>
  <si>
    <t>zeer energiezuinig</t>
  </si>
  <si>
    <t>warmtevraag warmtapwater tov forfaitair NTA 8800 [50%-200%]</t>
  </si>
  <si>
    <t>%</t>
  </si>
  <si>
    <t>geïnstalleerd vermogen verlichting (alleen utiliteitsbouw)</t>
  </si>
  <si>
    <t>W/m2</t>
  </si>
  <si>
    <t>type verlichtingsregeling (alleen utiliteitsbouw)</t>
  </si>
  <si>
    <t>automatisch aan, sensoren automatisch dimmen</t>
  </si>
  <si>
    <t>energiedrager koken (alleen woningbouw)</t>
  </si>
  <si>
    <t>elektriciteit</t>
  </si>
  <si>
    <t>besparing niet gebouwgebonden elektriciteit tov referentie  [0%-100%]</t>
  </si>
  <si>
    <t>03. energiebehoefte</t>
  </si>
  <si>
    <t>foutcontrole invoer energiepakket</t>
  </si>
  <si>
    <t>invoer correct/volledig?</t>
  </si>
  <si>
    <t>kenmerken isolatiepakket gebouwschil</t>
  </si>
  <si>
    <r>
      <t>gemiddelde warmtedoorgangscoëfficiënt (U</t>
    </r>
    <r>
      <rPr>
        <vertAlign val="subscript"/>
        <sz val="10"/>
        <color rgb="FF000000"/>
        <rFont val="Calibri Light"/>
        <family val="2"/>
      </rPr>
      <t>gemiddeld</t>
    </r>
    <r>
      <rPr>
        <sz val="10"/>
        <color indexed="8"/>
        <rFont val="Calibri Light"/>
        <family val="2"/>
      </rPr>
      <t>)</t>
    </r>
  </si>
  <si>
    <t>W/m2K</t>
  </si>
  <si>
    <t>correctiefactor warmtebehoefte verwarming</t>
  </si>
  <si>
    <t xml:space="preserve">   optioneel: eigen waarde [0,2-2,0]</t>
  </si>
  <si>
    <t xml:space="preserve">   richtwaarde corrrectiefactor op basis van U,gemiddeld</t>
  </si>
  <si>
    <t>energiebehoefte per woning | utiliteitsgebouw</t>
  </si>
  <si>
    <t>gebouwgebonden (NTA8800) en niet-gebouwgebonden energiebehoefte</t>
  </si>
  <si>
    <t>kWh/m2</t>
  </si>
  <si>
    <t>elektriciteitsvraag voor mobiliteit (elektrische auto)</t>
  </si>
  <si>
    <t>kWh/won|geb</t>
  </si>
  <si>
    <t>Lokale opwek hernieuwbare elektriciteit</t>
  </si>
  <si>
    <t>zonnepanelen bijvoorbeeld</t>
  </si>
  <si>
    <t>energiebehoefte per energiepost</t>
  </si>
  <si>
    <t>gesommeerd per deellocatie</t>
  </si>
  <si>
    <t>energiebehoefte alle woningen|gebouwen gesommeerd per energiepost</t>
  </si>
  <si>
    <t>MWh</t>
  </si>
  <si>
    <t>04. installatie</t>
  </si>
  <si>
    <r>
      <t xml:space="preserve">installatie </t>
    </r>
    <r>
      <rPr>
        <sz val="16"/>
        <color theme="3"/>
        <rFont val="Calibri"/>
        <family val="2"/>
        <scheme val="minor"/>
      </rPr>
      <t>systeem</t>
    </r>
  </si>
  <si>
    <t>keuze preferent toestel</t>
  </si>
  <si>
    <t>naam preferent toestel</t>
  </si>
  <si>
    <t>coll. HR-ketel HT</t>
  </si>
  <si>
    <t>geen</t>
  </si>
  <si>
    <t>HR107 combi</t>
  </si>
  <si>
    <t>HR107</t>
  </si>
  <si>
    <t>distributie intern</t>
  </si>
  <si>
    <t>kengetal distributierendement intern</t>
  </si>
  <si>
    <t xml:space="preserve">   optioneel: eigen waarde [0,1-1,0]</t>
  </si>
  <si>
    <t>distributieverlies binnen gebouw</t>
  </si>
  <si>
    <t>thermische zonne-energie</t>
  </si>
  <si>
    <t>nee</t>
  </si>
  <si>
    <t>bijdrage thermische zonne-energie</t>
  </si>
  <si>
    <t>distributie extern</t>
  </si>
  <si>
    <t>warmteverlies distributie extern per woning|utiliteitsgebouw</t>
  </si>
  <si>
    <t>MWh/won|geb</t>
  </si>
  <si>
    <r>
      <t xml:space="preserve">   optioneel: eigen waarde [</t>
    </r>
    <r>
      <rPr>
        <sz val="10"/>
        <color theme="9" tint="-0.24994659260841701"/>
        <rFont val="Calibri"/>
        <family val="2"/>
      </rPr>
      <t>≥</t>
    </r>
    <r>
      <rPr>
        <sz val="9"/>
        <color theme="9" tint="-0.24994659260841701"/>
        <rFont val="Calibri Light"/>
        <family val="2"/>
      </rPr>
      <t>0]</t>
    </r>
  </si>
  <si>
    <t>distributieverlies buiten gebouw</t>
  </si>
  <si>
    <t>totaal aan distributienet te leveren warmte/koude</t>
  </si>
  <si>
    <t>03. tussenresultaat</t>
  </si>
  <si>
    <t>totaal te leveren warmte/koude aan distributienet</t>
  </si>
  <si>
    <t>indicatie aantal toestellen</t>
  </si>
  <si>
    <t>tst.</t>
  </si>
  <si>
    <t>indicatie vermogen voor ruimteverwarming en koeling</t>
  </si>
  <si>
    <t>kW</t>
  </si>
  <si>
    <t>05. preferent toestel</t>
  </si>
  <si>
    <r>
      <t xml:space="preserve">installatie </t>
    </r>
    <r>
      <rPr>
        <sz val="16"/>
        <color theme="3"/>
        <rFont val="Calibri"/>
        <family val="2"/>
        <scheme val="minor"/>
      </rPr>
      <t>preferent toestel</t>
    </r>
  </si>
  <si>
    <t>kenmerken preferent toestel</t>
  </si>
  <si>
    <t>energiedrager</t>
  </si>
  <si>
    <t>index hernieuwbare energiefactor</t>
  </si>
  <si>
    <r>
      <t xml:space="preserve">finaal energiegebruik </t>
    </r>
    <r>
      <rPr>
        <sz val="10"/>
        <color theme="3"/>
        <rFont val="Calibri Light"/>
        <family val="2"/>
      </rPr>
      <t>exclusief hulpenergie</t>
    </r>
  </si>
  <si>
    <t>dekkingsgraad</t>
  </si>
  <si>
    <t xml:space="preserve">   optioneel: eigen waarde [0%-100%]</t>
  </si>
  <si>
    <t>door preferent toestel te leveren warmte/koude</t>
  </si>
  <si>
    <t>opwekkingsrendement / COP</t>
  </si>
  <si>
    <t xml:space="preserve">   optioneel: eigen waarde [0,100-15,000]</t>
  </si>
  <si>
    <t>elektriciteitsderving WKK Δε;chp;el / ε;chp;th</t>
  </si>
  <si>
    <t>COP aquiferpomp</t>
  </si>
  <si>
    <t>warmte/koude uit aquifer</t>
  </si>
  <si>
    <t>finaal energiegebruik preferent toestel</t>
  </si>
  <si>
    <t>MWh_finaal</t>
  </si>
  <si>
    <t>02. invoer (gedetailleerd)</t>
  </si>
  <si>
    <t>primaire energiefactor</t>
  </si>
  <si>
    <t>MWh_prim/MWh_finaal</t>
  </si>
  <si>
    <t xml:space="preserve">   optioneel: eigen waarde [0,00-2,00]</t>
  </si>
  <si>
    <t>CO2 emissiecoëfficiënt</t>
  </si>
  <si>
    <t>ton CO2/MWh_finaal</t>
  </si>
  <si>
    <t xml:space="preserve">   optioneel: eigen waarde [0,000-1,000]</t>
  </si>
  <si>
    <t>ton CO2</t>
  </si>
  <si>
    <t>kenmerken die later gebruikt worden</t>
  </si>
  <si>
    <t>regeneratie</t>
  </si>
  <si>
    <t>pompenergie per MWh geleverde warmte/koude</t>
  </si>
  <si>
    <t>MWh_elek/MWh</t>
  </si>
  <si>
    <t>elektrisch rendement warmtekracht</t>
  </si>
  <si>
    <t xml:space="preserve">   optioneel: eigen waarde [0,00-0,50]</t>
  </si>
  <si>
    <t>06. niet-preferent toestel</t>
  </si>
  <si>
    <r>
      <t xml:space="preserve">installatie </t>
    </r>
    <r>
      <rPr>
        <sz val="16"/>
        <color theme="3"/>
        <rFont val="Calibri"/>
        <family val="2"/>
        <scheme val="minor"/>
      </rPr>
      <t>niet-preferent toestel</t>
    </r>
  </si>
  <si>
    <t>subtotaal</t>
  </si>
  <si>
    <t>naam niet-preferent toestel</t>
  </si>
  <si>
    <t>door niet-preferent toestel te leveren warmte/koude</t>
  </si>
  <si>
    <t>opwekkingsrendement</t>
  </si>
  <si>
    <t>finaal energiegebruik niet preferent toestel</t>
  </si>
  <si>
    <t>07. aftapwarmte</t>
  </si>
  <si>
    <t>08. energie niet voor verwarmen/koelen</t>
  </si>
  <si>
    <t>energiegebruik niet voor verwarmen/koelen</t>
  </si>
  <si>
    <t>elektriciteitsgebruik regeneratie, pompenergie, hulpenergie, verlichting, ventilatoren, apparatuur, mobiliteit</t>
  </si>
  <si>
    <t>kental elektriciteit regeneratie</t>
  </si>
  <si>
    <t>elektriciteitsgebruik regeneratie</t>
  </si>
  <si>
    <t>elektriciteitsgebruik 'overig'</t>
  </si>
  <si>
    <t>elektriciteitsgebruik pompenergie warmte/koudedistributie</t>
  </si>
  <si>
    <t>primair energiegebruik overig elektriciteitsgebruik</t>
  </si>
  <si>
    <t>CO2 emissie overig elektriciteitsgebruik</t>
  </si>
  <si>
    <t>09. elektriciteitsproductie lokaal</t>
  </si>
  <si>
    <t>elektriciteitsproductie lokaal</t>
  </si>
  <si>
    <t>Σ woningen</t>
  </si>
  <si>
    <t>Σ utiliteit</t>
  </si>
  <si>
    <t>lokale elektriciteitsproductie binnen project</t>
  </si>
  <si>
    <t>warmtekracht</t>
  </si>
  <si>
    <t>TOTAAL</t>
  </si>
  <si>
    <t>verdeling lokale elektriciteitsproductie naar eigen gebruik en export</t>
  </si>
  <si>
    <t>elektriciteitsgebruik gebouwen</t>
  </si>
  <si>
    <t>lokaal geproduceerd - lokaal gebruikt</t>
  </si>
  <si>
    <t>lokaal geproduceerd - geëxporteerd</t>
  </si>
  <si>
    <t>vermeden primair energiegebruik lokale elektriciteitsproductie</t>
  </si>
  <si>
    <t>energiefactor elektriciteit eigen gebruik</t>
  </si>
  <si>
    <t>energiefactor geëxporteerde elektriciteit</t>
  </si>
  <si>
    <t>vermeden primair energiegebruik</t>
  </si>
  <si>
    <t>vermeden CO2 emissie lokale elektriciteitsproductie</t>
  </si>
  <si>
    <t>CO2 emissiecoëfficiënt elektriciteit eigen gebruik</t>
  </si>
  <si>
    <t>CO2 emissiecoëfficiënt geëxporteerde elektriciteit</t>
  </si>
  <si>
    <t>vermeden CO2 emissie</t>
  </si>
  <si>
    <t>10. finaal energiegebruik</t>
  </si>
  <si>
    <t>finaal energiegebruik</t>
  </si>
  <si>
    <t>finale energievraag - indicatie per energiedrager gemiddeld per woning|utiliteitsgebouw</t>
  </si>
  <si>
    <t>gas</t>
  </si>
  <si>
    <t>warmte</t>
  </si>
  <si>
    <t>finale energievraag - indicatie per energiedrager gemiddeld per m2 gebruiksoppervlakte</t>
  </si>
  <si>
    <t>m3/m2</t>
  </si>
  <si>
    <t>GJ/m2</t>
  </si>
  <si>
    <t>11. primair energiegebruik dragers</t>
  </si>
  <si>
    <r>
      <t xml:space="preserve">primair energiegebruik </t>
    </r>
    <r>
      <rPr>
        <sz val="16"/>
        <color theme="3"/>
        <rFont val="Calibri"/>
        <family val="2"/>
        <scheme val="minor"/>
      </rPr>
      <t>per energiedrager</t>
    </r>
  </si>
  <si>
    <t>totaal primair energiegebruik per energiepost en per energiedrager</t>
  </si>
  <si>
    <t>preferent toestel</t>
  </si>
  <si>
    <t>energiegebruik</t>
  </si>
  <si>
    <t>niet preferent toestel</t>
  </si>
  <si>
    <t>kookgas en elektra overig</t>
  </si>
  <si>
    <t>&amp; lokaal geprod. elektriciteit</t>
  </si>
  <si>
    <t>TOTAAL primair energiegebruik</t>
  </si>
  <si>
    <t>alle energiedragers</t>
  </si>
  <si>
    <t>12. hernieuwbare energie</t>
  </si>
  <si>
    <r>
      <t xml:space="preserve">hernieuwbaar 'primair' energiegebruik </t>
    </r>
    <r>
      <rPr>
        <sz val="16"/>
        <color theme="3"/>
        <rFont val="Calibri"/>
        <family val="2"/>
        <scheme val="minor"/>
      </rPr>
      <t>per energiepost</t>
    </r>
  </si>
  <si>
    <t>hernieuwbare energie primair</t>
  </si>
  <si>
    <r>
      <t>warmtepomp (E</t>
    </r>
    <r>
      <rPr>
        <sz val="10"/>
        <color rgb="FF000000"/>
        <rFont val="Calibri"/>
        <family val="2"/>
      </rPr>
      <t>Pren;hp</t>
    </r>
    <r>
      <rPr>
        <sz val="10"/>
        <color indexed="8"/>
        <rFont val="Calibri"/>
        <family val="2"/>
      </rPr>
      <t>)</t>
    </r>
  </si>
  <si>
    <r>
      <t>vrije koeling (E</t>
    </r>
    <r>
      <rPr>
        <sz val="10"/>
        <color rgb="FF000000"/>
        <rFont val="Calibri"/>
        <family val="2"/>
      </rPr>
      <t>Pren;gen;out</t>
    </r>
    <r>
      <rPr>
        <sz val="10"/>
        <color indexed="8"/>
        <rFont val="Calibri"/>
        <family val="2"/>
      </rPr>
      <t>)</t>
    </r>
  </si>
  <si>
    <t>biomassagestookte toestellen (EPren;gen;out)</t>
  </si>
  <si>
    <t>externe warmte-/koudelevering (EPren;gen;out)</t>
  </si>
  <si>
    <t>absorptiekoeling op ext. warmtelevering (EPren;gen;out)</t>
  </si>
  <si>
    <t>zonneboiler (EPren;sol;prac)</t>
  </si>
  <si>
    <t>hernieuwbaar opgewekte elektriciteit (EPren;el)</t>
  </si>
  <si>
    <t>13. PEF</t>
  </si>
  <si>
    <t>PEF</t>
  </si>
  <si>
    <t>primaire energiefactor PEF voor installaties buiten het gebouw</t>
  </si>
  <si>
    <t>geografisch niveau installatie</t>
  </si>
  <si>
    <t>14. warmte-/koudebehoefte</t>
  </si>
  <si>
    <t>warmte-/koudebehoefte per m2</t>
  </si>
  <si>
    <t>warmtebehoefte ruimteverwarming</t>
  </si>
  <si>
    <t>cf. NTA8800</t>
  </si>
  <si>
    <t>koudebehoefte koeling</t>
  </si>
  <si>
    <t>15. (hulptabel)</t>
  </si>
  <si>
    <t>05. (hulpregel)</t>
  </si>
  <si>
    <t>(hulptabel)</t>
  </si>
  <si>
    <t>toerekening (hernieuwbaar) primaire energie per energiepost naar energie per woning/utiliteitsgebouw</t>
  </si>
  <si>
    <t>relatieve bijdrage energievraag ruimteverwarming</t>
  </si>
  <si>
    <t>relatieve bijdrage energievraag koeling</t>
  </si>
  <si>
    <t>relatieve bijdrage energievraag warmtapwater</t>
  </si>
  <si>
    <t>16. primair energiegebruik per m2</t>
  </si>
  <si>
    <t>primair energiegebruik door energievraag</t>
  </si>
  <si>
    <t>kWh_prim/m2</t>
  </si>
  <si>
    <t>TOTAAL VERBRUIK</t>
  </si>
  <si>
    <t>vermeden primair energiegebruik door lokale elektriciteitsproductie</t>
  </si>
  <si>
    <t>warmtekracht (vermeden primair)</t>
  </si>
  <si>
    <t>zonnepanelen (vermeden primair)</t>
  </si>
  <si>
    <t>TOTAAL VERMEDEN VERBRUIK</t>
  </si>
  <si>
    <t>TOTAAL primair energiegebruik bij gecorrigeerde warmtevraag verwarming</t>
  </si>
  <si>
    <t>17. hernieuwbare energie</t>
  </si>
  <si>
    <t>hernieuwbaar 'primair' energiegebruik</t>
  </si>
  <si>
    <t>karakteristiek energiegebruik</t>
  </si>
  <si>
    <t>karakteristiek energiegebruik (EPTot)</t>
  </si>
  <si>
    <t>hernieuwbaar bij verwarming, koeling, warmtapwater</t>
  </si>
  <si>
    <t>warmtepomp (EPren;hp)</t>
  </si>
  <si>
    <t>vrije koeling (EPren;gen;out)</t>
  </si>
  <si>
    <t>hernieuwbaar =lokaal opgewekte elektriciteit</t>
  </si>
  <si>
    <t>TOTAAL hernieuwbare energie (EPrenTot)</t>
  </si>
  <si>
    <t>aandeel hernieuwbare energie</t>
  </si>
  <si>
    <t>aandeel hernieuwbare energie (RERPrenTOT)</t>
  </si>
  <si>
    <t>18. energieprestatie</t>
  </si>
  <si>
    <t>(hulpregel)</t>
  </si>
  <si>
    <t>(hulpregel nummer gebruiksfunctie)</t>
  </si>
  <si>
    <t>BENG-eisen nieuwe woningen|utiliteitsgebouwen 2021</t>
  </si>
  <si>
    <t>BENG 1 (energiebehoefte indicator)</t>
  </si>
  <si>
    <t>BENG 2 (primaire fossiele energie indicator)</t>
  </si>
  <si>
    <t>BENG 3 (aandeel hernieuwbare energie)</t>
  </si>
  <si>
    <t>energieprestatie per woning|utiliteitsgebouw - afgezet tegen BENG-eisen 2021</t>
  </si>
  <si>
    <t>EP 1 (energiebehoefte indicator; groen voldoet aan eis BENG 1)</t>
  </si>
  <si>
    <t>EP 2 (primaire fossiele energie indicator; groen voldoet aan eis BENG 2)</t>
  </si>
  <si>
    <t>EP 3 (aandeel hernieuwbare energie; groen voldoet aan eis BENG 3)</t>
  </si>
  <si>
    <t>energielabel</t>
  </si>
  <si>
    <t>standaardwaarden woningen en woongebouwen t/m 1945</t>
  </si>
  <si>
    <t>standaardwaarde t/m 1945</t>
  </si>
  <si>
    <t>berekende netto warmtevraag</t>
  </si>
  <si>
    <t>standaardwaarden woningen en woongebouwen ná 1945</t>
  </si>
  <si>
    <t>standaardwaarde ná 1945</t>
  </si>
  <si>
    <t>19. CO2-emissie</t>
  </si>
  <si>
    <t>CO2 emissie per m2 en totaal</t>
  </si>
  <si>
    <t>CO2 emissie door energievraag</t>
  </si>
  <si>
    <t>kg CO2/m2</t>
  </si>
  <si>
    <t>CO2 emissie TOTAAL door verbruik</t>
  </si>
  <si>
    <t>vermeden CO2 emissie door lokale elektriciteitsproductie</t>
  </si>
  <si>
    <t>warmtekracht (vermeden CO2 emissie)</t>
  </si>
  <si>
    <t>zonnepanelen (vermeden CO2 emissie)</t>
  </si>
  <si>
    <t>CO2 emissie TOTAAL door vermeden verbruik</t>
  </si>
  <si>
    <t>TOTAAL CO2 emissie</t>
  </si>
  <si>
    <t>CO2 emissie TOTAAL</t>
  </si>
  <si>
    <t>TOTAAL CO2 emissie bij gecorrigeerde warmtevraag verwarming</t>
  </si>
  <si>
    <t>20. EINDE</t>
  </si>
  <si>
    <t>resultaat varianten</t>
  </si>
  <si>
    <t>resultaten vergelijken met:</t>
  </si>
  <si>
    <t>variant 1</t>
  </si>
  <si>
    <t>selecteer de cel met de gewenste waarde</t>
  </si>
  <si>
    <t>variant 2</t>
  </si>
  <si>
    <t>variant 3</t>
  </si>
  <si>
    <t>variant 4</t>
  </si>
  <si>
    <t>variant 5</t>
  </si>
  <si>
    <t>variant 6</t>
  </si>
  <si>
    <t>algemeen</t>
  </si>
  <si>
    <t>naam variant en type verrekening elektriciteit</t>
  </si>
  <si>
    <t>opwekking elektriciteit</t>
  </si>
  <si>
    <t>invoer correct ingevoerd?</t>
  </si>
  <si>
    <t>invoer locatie</t>
  </si>
  <si>
    <t>aantal woningen|utiliteitsgebouwen per locatie</t>
  </si>
  <si>
    <t>gebruiksoppervlakte woningen|utiliteitsgebouwen per locatie</t>
  </si>
  <si>
    <t>invoer bouwkundig</t>
  </si>
  <si>
    <t>NB matrixformule in tabel &gt;&gt;</t>
  </si>
  <si>
    <t>meest voorkomend pakket bouwkundig</t>
  </si>
  <si>
    <t>invoer mobiliteit</t>
  </si>
  <si>
    <t>MWh/jaar</t>
  </si>
  <si>
    <t>invoer PV</t>
  </si>
  <si>
    <t>invoer opbrengst PV</t>
  </si>
  <si>
    <t>invoer installaties</t>
  </si>
  <si>
    <t>gekozen installaties ruimteverwarming</t>
  </si>
  <si>
    <t>gekozen installaties koeling</t>
  </si>
  <si>
    <t>gekozen installaties warmtapwater</t>
  </si>
  <si>
    <t>gasverbruik</t>
  </si>
  <si>
    <t>jaarlijks gasverbruik locatie</t>
  </si>
  <si>
    <t>x1000 m3 gas/jaar</t>
  </si>
  <si>
    <t>TOTAAL locatie</t>
  </si>
  <si>
    <t>jaarlijks primair energiegebruik locatie</t>
  </si>
  <si>
    <t>MWh_prim/jaar</t>
  </si>
  <si>
    <t>primair energiegebruik per locatie</t>
  </si>
  <si>
    <t>jaarlijks primair energiegebruik locatie 1</t>
  </si>
  <si>
    <t>jaarlijks primair energiegebruik locatie 2</t>
  </si>
  <si>
    <t>jaarlijks primair energiegebruik locatie 3</t>
  </si>
  <si>
    <t>jaarlijks primair energiegebruik locatie 4</t>
  </si>
  <si>
    <t>jaarlijkse CO2 emissie locatie</t>
  </si>
  <si>
    <t>ton/jaar</t>
  </si>
  <si>
    <t>CO2 emissie per locatie</t>
  </si>
  <si>
    <t>jaarlijkse CO2 emissie locatie 1</t>
  </si>
  <si>
    <t>ton CO2/jaar</t>
  </si>
  <si>
    <t>jaarlijkse CO2 emissie locatie 2</t>
  </si>
  <si>
    <t>jaarlijkse CO2 emissie locatie 3</t>
  </si>
  <si>
    <t>jaarlijkse CO2 emissie locatie 4</t>
  </si>
  <si>
    <t>primaire energiefactor verwarming (alleen bij centrale warmte)</t>
  </si>
  <si>
    <t>primaire energiefactor koeling (alleen bij centrale koude)</t>
  </si>
  <si>
    <t>primaire energiefactor tapwater (alleen bij centrale warmte)</t>
  </si>
  <si>
    <t>hernieuwbaar</t>
  </si>
  <si>
    <t>bijdrage hernieuwbare energie</t>
  </si>
  <si>
    <t>grafiek CO2 emissie</t>
  </si>
  <si>
    <t>→</t>
  </si>
  <si>
    <t>grafiek primair energiegebruik</t>
  </si>
  <si>
    <t>grafiek fossiel energiegebruik</t>
  </si>
  <si>
    <t>bibliotheek</t>
  </si>
  <si>
    <t>woningen|utiliteitsgebouwen</t>
  </si>
  <si>
    <t>parameter</t>
  </si>
  <si>
    <t>eenheid</t>
  </si>
  <si>
    <t>hoofdkenmerken woning|utiliteitsgebouwen</t>
  </si>
  <si>
    <t>eigen won_geb</t>
  </si>
  <si>
    <t>naam woning|gebouw [vrije invoer - max 13 karakters ivm leesbaarheid]</t>
  </si>
  <si>
    <t>vrije tekst</t>
  </si>
  <si>
    <t>hoekwoning M</t>
  </si>
  <si>
    <t>logieswoning</t>
  </si>
  <si>
    <t>tussenwon S</t>
  </si>
  <si>
    <t>tussenwon M</t>
  </si>
  <si>
    <t>won XS wg XL</t>
  </si>
  <si>
    <t>woongebouw M</t>
  </si>
  <si>
    <t>bijeenkomst S</t>
  </si>
  <si>
    <t>bijeenkomst M</t>
  </si>
  <si>
    <t>bijeenkomst L</t>
  </si>
  <si>
    <t>bijeenk. XL</t>
  </si>
  <si>
    <t>creche XXS</t>
  </si>
  <si>
    <t>creche XS</t>
  </si>
  <si>
    <t>creche S</t>
  </si>
  <si>
    <t>gezond bed L</t>
  </si>
  <si>
    <t>gezond bed XL</t>
  </si>
  <si>
    <t>gezondheid S</t>
  </si>
  <si>
    <t>kantoor XXS</t>
  </si>
  <si>
    <t>kantoor XS</t>
  </si>
  <si>
    <t>kantoor S</t>
  </si>
  <si>
    <t>kantoor M</t>
  </si>
  <si>
    <t>kantoor XL 1</t>
  </si>
  <si>
    <t>kantoor XL 2</t>
  </si>
  <si>
    <t>logies M</t>
  </si>
  <si>
    <t>school XS</t>
  </si>
  <si>
    <t>school S</t>
  </si>
  <si>
    <t>school M</t>
  </si>
  <si>
    <t>school L</t>
  </si>
  <si>
    <t>school XL</t>
  </si>
  <si>
    <t>sport M</t>
  </si>
  <si>
    <t>sport L</t>
  </si>
  <si>
    <t>winkel XXS</t>
  </si>
  <si>
    <t>winkel XS</t>
  </si>
  <si>
    <t>winkel S</t>
  </si>
  <si>
    <t>winkel XL</t>
  </si>
  <si>
    <t>keuzelijst</t>
  </si>
  <si>
    <t>woning</t>
  </si>
  <si>
    <t>woongebouw</t>
  </si>
  <si>
    <t>bijeenkomst overig</t>
  </si>
  <si>
    <t>bijeenkomst kinderopvang</t>
  </si>
  <si>
    <t>gezondheid met bed</t>
  </si>
  <si>
    <t>gezondheid overig</t>
  </si>
  <si>
    <t>kantoor</t>
  </si>
  <si>
    <t>logies</t>
  </si>
  <si>
    <t>onderwijs</t>
  </si>
  <si>
    <t>sport</t>
  </si>
  <si>
    <t>winkel</t>
  </si>
  <si>
    <t>woning: gestapeld (1) / niet gestapeld (0)</t>
  </si>
  <si>
    <t>keuzelijst 0/1</t>
  </si>
  <si>
    <t>m2/won_geb</t>
  </si>
  <si>
    <t>verliesoppervlakken bouwdelen</t>
  </si>
  <si>
    <t>bg vloer</t>
  </si>
  <si>
    <t>dichte gevel</t>
  </si>
  <si>
    <t>plat dak</t>
  </si>
  <si>
    <t>hellend dak</t>
  </si>
  <si>
    <t>raam</t>
  </si>
  <si>
    <t>deur</t>
  </si>
  <si>
    <t>verliesoppervlak t.o.v. gebruiksoppervlakte Als/Ag</t>
  </si>
  <si>
    <t>raamoppervlak t.o.v. gebruiksoppervlakte Als/Ag</t>
  </si>
  <si>
    <t>bron RVO</t>
  </si>
  <si>
    <t xml:space="preserve">BENG referentie woningen </t>
  </si>
  <si>
    <t>BENG referentie utiliteit</t>
  </si>
  <si>
    <t>isolatiepakketten gebouwschil</t>
  </si>
  <si>
    <t>voorbeeld gevel</t>
  </si>
  <si>
    <t>naam</t>
  </si>
  <si>
    <t>isolatie bouwdelen</t>
  </si>
  <si>
    <t>eigen pakket</t>
  </si>
  <si>
    <t>A (m2)</t>
  </si>
  <si>
    <r>
      <t>R</t>
    </r>
    <r>
      <rPr>
        <vertAlign val="subscript"/>
        <sz val="10"/>
        <rFont val="Calibri"/>
        <family val="2"/>
        <scheme val="minor"/>
      </rPr>
      <t>c</t>
    </r>
    <r>
      <rPr>
        <sz val="10"/>
        <rFont val="Calibri"/>
        <family val="2"/>
        <scheme val="minor"/>
      </rPr>
      <t xml:space="preserve"> (m2K/W)</t>
    </r>
  </si>
  <si>
    <r>
      <t>R</t>
    </r>
    <r>
      <rPr>
        <vertAlign val="subscript"/>
        <sz val="10"/>
        <rFont val="Calibri"/>
        <family val="2"/>
        <scheme val="minor"/>
      </rPr>
      <t>i+e</t>
    </r>
    <r>
      <rPr>
        <sz val="10"/>
        <rFont val="Calibri"/>
        <family val="2"/>
        <scheme val="minor"/>
      </rPr>
      <t xml:space="preserve"> (m2K/W)</t>
    </r>
  </si>
  <si>
    <r>
      <t>R</t>
    </r>
    <r>
      <rPr>
        <vertAlign val="subscript"/>
        <sz val="10"/>
        <rFont val="Calibri"/>
        <family val="2"/>
        <scheme val="minor"/>
      </rPr>
      <t>totaal</t>
    </r>
    <r>
      <rPr>
        <sz val="10"/>
        <rFont val="Calibri"/>
        <family val="2"/>
        <scheme val="minor"/>
      </rPr>
      <t xml:space="preserve"> (m2K/W)</t>
    </r>
  </si>
  <si>
    <t>U (W/m2K)</t>
  </si>
  <si>
    <t>A*U (W/K)</t>
  </si>
  <si>
    <t>naam pakket</t>
  </si>
  <si>
    <t>streefwaarden</t>
  </si>
  <si>
    <t>2006-2012</t>
  </si>
  <si>
    <t>1992-2005</t>
  </si>
  <si>
    <t>1975-1991</t>
  </si>
  <si>
    <t>1965-1974</t>
  </si>
  <si>
    <t>t/m 1964</t>
  </si>
  <si>
    <t>m2K/W</t>
  </si>
  <si>
    <t>W/K</t>
  </si>
  <si>
    <t>Rc bg vloer</t>
  </si>
  <si>
    <t>per bouwdeel</t>
  </si>
  <si>
    <t>Rc dichte gevel</t>
  </si>
  <si>
    <t>constructie 1</t>
  </si>
  <si>
    <t>Rc plat dak</t>
  </si>
  <si>
    <t>constructie 2</t>
  </si>
  <si>
    <t>Rc hellend dak</t>
  </si>
  <si>
    <t>constructie 3</t>
  </si>
  <si>
    <t>rekenwaarde U bg vloer</t>
  </si>
  <si>
    <t>rekenwaarde U bg vloer, incl weegfactor</t>
  </si>
  <si>
    <t>alle bouwdelen</t>
  </si>
  <si>
    <t>rekenwaarde U dichte gevel</t>
  </si>
  <si>
    <r>
      <t>som A*U ( = ∑</t>
    </r>
    <r>
      <rPr>
        <vertAlign val="subscript"/>
        <sz val="10"/>
        <rFont val="Calibri"/>
        <family val="2"/>
      </rPr>
      <t>(1-x)</t>
    </r>
    <r>
      <rPr>
        <sz val="10"/>
        <rFont val="Calibri"/>
        <family val="2"/>
      </rPr>
      <t>( A</t>
    </r>
    <r>
      <rPr>
        <vertAlign val="subscript"/>
        <sz val="10"/>
        <rFont val="Calibri"/>
        <family val="2"/>
      </rPr>
      <t>x</t>
    </r>
    <r>
      <rPr>
        <sz val="10"/>
        <rFont val="Calibri"/>
        <family val="2"/>
      </rPr>
      <t>/(R</t>
    </r>
    <r>
      <rPr>
        <vertAlign val="subscript"/>
        <sz val="10"/>
        <rFont val="Calibri"/>
        <family val="2"/>
      </rPr>
      <t>c,x</t>
    </r>
    <r>
      <rPr>
        <sz val="10"/>
        <rFont val="Calibri"/>
        <family val="2"/>
      </rPr>
      <t>+R</t>
    </r>
    <r>
      <rPr>
        <vertAlign val="subscript"/>
        <sz val="10"/>
        <rFont val="Calibri"/>
        <family val="2"/>
      </rPr>
      <t>i+e</t>
    </r>
    <r>
      <rPr>
        <sz val="10"/>
        <rFont val="Calibri"/>
        <family val="2"/>
      </rPr>
      <t>) )  )</t>
    </r>
  </si>
  <si>
    <t>rekenwaarde U plat dak</t>
  </si>
  <si>
    <r>
      <t>som A ( = ∑</t>
    </r>
    <r>
      <rPr>
        <vertAlign val="subscript"/>
        <sz val="10"/>
        <rFont val="Calibri"/>
        <family val="2"/>
      </rPr>
      <t>(1-x)</t>
    </r>
    <r>
      <rPr>
        <sz val="10"/>
        <rFont val="Calibri"/>
        <family val="2"/>
      </rPr>
      <t>( A</t>
    </r>
    <r>
      <rPr>
        <vertAlign val="subscript"/>
        <sz val="10"/>
        <rFont val="Calibri"/>
        <family val="2"/>
      </rPr>
      <t>x</t>
    </r>
    <r>
      <rPr>
        <sz val="10"/>
        <rFont val="Calibri"/>
        <family val="2"/>
      </rPr>
      <t xml:space="preserve"> )  )</t>
    </r>
  </si>
  <si>
    <t>rekenwaarde U hellend dak</t>
  </si>
  <si>
    <t>gemiddelde U-waarde ( = som A*U / som A)</t>
  </si>
  <si>
    <t>U-waarde raam</t>
  </si>
  <si>
    <r>
      <t>gemiddelde R</t>
    </r>
    <r>
      <rPr>
        <vertAlign val="subscript"/>
        <sz val="10"/>
        <rFont val="Calibri"/>
        <family val="2"/>
        <scheme val="minor"/>
      </rPr>
      <t>totaal</t>
    </r>
    <r>
      <rPr>
        <sz val="10"/>
        <rFont val="Calibri"/>
        <family val="2"/>
        <scheme val="minor"/>
      </rPr>
      <t xml:space="preserve"> ( = 1 / gemiddelde U-waarde)</t>
    </r>
  </si>
  <si>
    <t>U-waarde deur</t>
  </si>
  <si>
    <r>
      <t>gemiddelde R</t>
    </r>
    <r>
      <rPr>
        <vertAlign val="subscript"/>
        <sz val="10"/>
        <rFont val="Calibri"/>
        <family val="2"/>
        <scheme val="minor"/>
      </rPr>
      <t>c</t>
    </r>
    <r>
      <rPr>
        <sz val="10"/>
        <rFont val="Calibri"/>
        <family val="2"/>
        <scheme val="minor"/>
      </rPr>
      <t xml:space="preserve"> ( = gemiddelde R</t>
    </r>
    <r>
      <rPr>
        <vertAlign val="subscript"/>
        <sz val="10"/>
        <rFont val="Calibri"/>
        <family val="2"/>
        <scheme val="minor"/>
      </rPr>
      <t>totaal</t>
    </r>
    <r>
      <rPr>
        <sz val="10"/>
        <rFont val="Calibri"/>
        <family val="2"/>
        <scheme val="minor"/>
      </rPr>
      <t xml:space="preserve"> - R</t>
    </r>
    <r>
      <rPr>
        <vertAlign val="subscript"/>
        <sz val="10"/>
        <rFont val="Calibri"/>
        <family val="2"/>
        <scheme val="minor"/>
      </rPr>
      <t>i+e</t>
    </r>
    <r>
      <rPr>
        <sz val="10"/>
        <rFont val="Calibri"/>
        <family val="2"/>
        <scheme val="minor"/>
      </rPr>
      <t>)</t>
    </r>
  </si>
  <si>
    <t>ventilatiesystemen</t>
  </si>
  <si>
    <t>ventilatiesysteem B/C</t>
  </si>
  <si>
    <t>systeemcode</t>
  </si>
  <si>
    <t>code eenvoudig</t>
  </si>
  <si>
    <t>natuurlijk (A)</t>
  </si>
  <si>
    <t>A</t>
  </si>
  <si>
    <t>mech (B1)</t>
  </si>
  <si>
    <t>B1</t>
  </si>
  <si>
    <t>B</t>
  </si>
  <si>
    <t>mech (C1)</t>
  </si>
  <si>
    <t>C1</t>
  </si>
  <si>
    <t>C</t>
  </si>
  <si>
    <t>C4c</t>
  </si>
  <si>
    <t>balans (D1)</t>
  </si>
  <si>
    <t>D1</t>
  </si>
  <si>
    <t>D</t>
  </si>
  <si>
    <t>balans CO2 (D5a)</t>
  </si>
  <si>
    <t>D5a</t>
  </si>
  <si>
    <t>ventilatorenergie</t>
  </si>
  <si>
    <t>wisselstroom</t>
  </si>
  <si>
    <t>gelijkstroom (vóór 2007)</t>
  </si>
  <si>
    <t>gelijkstroom (vanaf 2007)</t>
  </si>
  <si>
    <t>ventilatiesysteem D</t>
  </si>
  <si>
    <t>op basis van het onderscheid voor het type ventilator en de installatiejaarklasse in tabel 11.23 van NTA 8800 en berekeningen met NTA8800 (energielabeldatabase t/m 2019 herberekend en voorbeeldwoningen 2020) - 'zeer energiezuinig' gebruikt 50% van de energie van 'gelijkstroom (vanaf 2007)'</t>
  </si>
  <si>
    <t>installaties ruimteverwarming</t>
  </si>
  <si>
    <t>installatiesystemen ruimteverwarming</t>
  </si>
  <si>
    <t>type systeem</t>
  </si>
  <si>
    <t>eigen installatie</t>
  </si>
  <si>
    <t>naam [vrije invoer - compacte naam verbetert leesbaarheid]</t>
  </si>
  <si>
    <t>VR</t>
  </si>
  <si>
    <t>ind WP, coll grondw, elek bijstook</t>
  </si>
  <si>
    <t>ind WP, ind bodem, elek bijstook</t>
  </si>
  <si>
    <t>ind WP, coll grondw, gas bijstook</t>
  </si>
  <si>
    <t>ind WP, ind bodem, gas bijstook</t>
  </si>
  <si>
    <t>ind wp buitenlucht, elek bijstook</t>
  </si>
  <si>
    <t>ind WP toekomst</t>
  </si>
  <si>
    <t>coll WP, coll grond, gas bijstook</t>
  </si>
  <si>
    <t>coll WP, coll grond, elek bijstook</t>
  </si>
  <si>
    <t>Infrarood</t>
  </si>
  <si>
    <t>geothermie HT</t>
  </si>
  <si>
    <t>gasWKK 200-500 kW HT</t>
  </si>
  <si>
    <t>gasWKK 500-1000 kW HT</t>
  </si>
  <si>
    <t>bio olie/PPO dieselmotor</t>
  </si>
  <si>
    <t>biomassa vergisting</t>
  </si>
  <si>
    <t>biom. verbr. &lt; 10 MWe</t>
  </si>
  <si>
    <t>biom. verbr. 10-50 MWe</t>
  </si>
  <si>
    <t>houtpellet ketel</t>
  </si>
  <si>
    <t>aftap E-centrale (120°C)</t>
  </si>
  <si>
    <t>aftap AVI (120°C)</t>
  </si>
  <si>
    <t>restwarmte (CO2 vrij)</t>
  </si>
  <si>
    <t>ind. CR-ketel HT</t>
  </si>
  <si>
    <t>ind. VR-ketel HT</t>
  </si>
  <si>
    <t>externe warmtelevering forfaitair</t>
  </si>
  <si>
    <t>STEG + BIO</t>
  </si>
  <si>
    <t>AVI + BIO</t>
  </si>
  <si>
    <t>Warmtenet prim</t>
  </si>
  <si>
    <t>Warmtenet sec</t>
  </si>
  <si>
    <t>toelichting [optioneel, vrije invoer via 'invoerbericht' in 'gegevensvalidatie']</t>
  </si>
  <si>
    <t>voorbeeld met kwaliteitsverklaring</t>
  </si>
  <si>
    <t>geografisch niveau installatie [keuzelijst]</t>
  </si>
  <si>
    <t>gebouw</t>
  </si>
  <si>
    <t>centraal</t>
  </si>
  <si>
    <t>installaties 'centraal': warmtelevering heeft EMG-verklaring [0/1]</t>
  </si>
  <si>
    <t>toestel is warmtepomp met hernieuwbare bron? [0/1]</t>
  </si>
  <si>
    <t>toestel met aquifer/regeneratie? [0/1]</t>
  </si>
  <si>
    <t>afgifterendement/interne warmtedistributieverliezen ruimteverwarming</t>
  </si>
  <si>
    <t>afgifterendement ruimteverwarming [keuzelijst]</t>
  </si>
  <si>
    <t>distributieverlies warmte ruimteverwarming</t>
  </si>
  <si>
    <t>per laagbouwwoning [≥0,0]</t>
  </si>
  <si>
    <t>MWh / won.jaar</t>
  </si>
  <si>
    <t>per gestapelde woning [≥0,0]</t>
  </si>
  <si>
    <t>per utiliteitsgebouw [≥0,0]</t>
  </si>
  <si>
    <t>MWh / geb.jaar</t>
  </si>
  <si>
    <t>gegevens preferent toestel</t>
  </si>
  <si>
    <t>energiedrager [keuzelijst]</t>
  </si>
  <si>
    <t>aardgas</t>
  </si>
  <si>
    <t>bio-olie</t>
  </si>
  <si>
    <t>biomassa (bmB)</t>
  </si>
  <si>
    <t>aftap STEG</t>
  </si>
  <si>
    <t>aftap AVI</t>
  </si>
  <si>
    <t>restwarmte CO2-vrij</t>
  </si>
  <si>
    <t>externe warmte forfaitair</t>
  </si>
  <si>
    <t>aftap STEG+BIO</t>
  </si>
  <si>
    <t>aftap AVI+BIO</t>
  </si>
  <si>
    <t>warmtenet (primair)</t>
  </si>
  <si>
    <t>WARMTE | Amersfoort, Parkweelde | Collectief WKO</t>
  </si>
  <si>
    <t>eenheid finaal energiegebruik gebouw</t>
  </si>
  <si>
    <t>dekkingsgraad preferent toestel [&gt;0%-100%]</t>
  </si>
  <si>
    <t>opwekkingsrendement / COP (bovenwaarde) [0,1-15)</t>
  </si>
  <si>
    <t/>
  </si>
  <si>
    <t>pompenergie aquifer (COP) [0-50]</t>
  </si>
  <si>
    <t>elektrisch omzettingsgetal warmtekracht [0,0-0,7]</t>
  </si>
  <si>
    <t>elektriciteitsderving WKK Δε;chp;el / ε;chp;th  [0,0-0,5]</t>
  </si>
  <si>
    <t>MWh elektrisch / MWh</t>
  </si>
  <si>
    <t>gegevens niet-preferent toestel</t>
  </si>
  <si>
    <t>type toestel [vrije invoer]</t>
  </si>
  <si>
    <t>elektrisch element</t>
  </si>
  <si>
    <t>coll HR107</t>
  </si>
  <si>
    <t>nvt</t>
  </si>
  <si>
    <t>thermisch rendement (bovenwaarde) [0,100-15,000]</t>
  </si>
  <si>
    <t>hulpenergie</t>
  </si>
  <si>
    <t>hulpenergie - A [0-100]</t>
  </si>
  <si>
    <t>(NTA8800 par. 9.6.8.1.1.2)</t>
  </si>
  <si>
    <t>kWh/toestel</t>
  </si>
  <si>
    <t>hulpenergie - B [0,0-1,0]</t>
  </si>
  <si>
    <t>kW/toestel</t>
  </si>
  <si>
    <t>hulpenergie - C [0,0-1,0]</t>
  </si>
  <si>
    <r>
      <t>hulpenergie - B,nom [</t>
    </r>
    <r>
      <rPr>
        <sz val="10"/>
        <color indexed="8"/>
        <rFont val="Calibri"/>
        <family val="2"/>
      </rPr>
      <t>≥0</t>
    </r>
    <r>
      <rPr>
        <sz val="9"/>
        <color indexed="8"/>
        <rFont val="Calibri Light"/>
        <family val="2"/>
      </rPr>
      <t>]</t>
    </r>
  </si>
  <si>
    <r>
      <t>standby elektronica (P</t>
    </r>
    <r>
      <rPr>
        <vertAlign val="subscript"/>
        <sz val="10"/>
        <color rgb="FF000000"/>
        <rFont val="Calibri Light"/>
        <family val="2"/>
      </rPr>
      <t>H;aux;gen</t>
    </r>
    <r>
      <rPr>
        <sz val="10"/>
        <color indexed="8"/>
        <rFont val="Calibri Light"/>
        <family val="2"/>
      </rPr>
      <t>) [0-1]</t>
    </r>
  </si>
  <si>
    <t>(NTA8800 par. 9.6.8.2.3)</t>
  </si>
  <si>
    <t>W/toestel</t>
  </si>
  <si>
    <r>
      <t>spec elek gebruik (P</t>
    </r>
    <r>
      <rPr>
        <vertAlign val="subscript"/>
        <sz val="10"/>
        <color rgb="FF000000"/>
        <rFont val="Calibri Light"/>
        <family val="2"/>
      </rPr>
      <t>H;aux;gen;spec</t>
    </r>
    <r>
      <rPr>
        <sz val="10"/>
        <color indexed="8"/>
        <rFont val="Calibri Light"/>
        <family val="2"/>
      </rPr>
      <t>) [0-10]</t>
    </r>
  </si>
  <si>
    <t>W/kW</t>
  </si>
  <si>
    <t>aanname bedrijfstijd t;on [0-8760]</t>
  </si>
  <si>
    <t>h</t>
  </si>
  <si>
    <t>elektriciteitsverbruik collectieve voorziening</t>
  </si>
  <si>
    <t>pompenergie distributie per MWh geleverde warmte [0,0000-0,0100]</t>
  </si>
  <si>
    <t>kental elektriciteitsgebruik regeneratie [0,000-0,100]</t>
  </si>
  <si>
    <t>bron: NTA 8800</t>
  </si>
  <si>
    <t>tabel 9.25</t>
  </si>
  <si>
    <t>tabel 9.27</t>
  </si>
  <si>
    <t>EMG NEN 7125:2015, par 7.3.4.8</t>
  </si>
  <si>
    <t>tabel 9.31</t>
  </si>
  <si>
    <t>aanname</t>
  </si>
  <si>
    <t>tabel 9.30</t>
  </si>
  <si>
    <t>EMG NEN 7125:2015, par 7.3.4.6</t>
  </si>
  <si>
    <t>EMG NEN 7125:2015, par 7.3.4.7 en NTA 8800 5.8.2 h)</t>
  </si>
  <si>
    <t>par 9.6.7.2</t>
  </si>
  <si>
    <t>voorbeeldinvulling</t>
  </si>
  <si>
    <t>forfaitair vermogen ruimteverwarming</t>
  </si>
  <si>
    <t>parameters tbv bepaling forfaitair vermogen ruimteverwarming</t>
  </si>
  <si>
    <t>factor: energie naar distributienet -&gt; verlies januari transmissie &amp; ventilatie*</t>
  </si>
  <si>
    <t>rekenwaarde lengte januari</t>
  </si>
  <si>
    <t>temperatuur rekenzone verwarming</t>
  </si>
  <si>
    <r>
      <rPr>
        <sz val="10"/>
        <color indexed="8"/>
        <rFont val="Calibri"/>
        <family val="2"/>
      </rPr>
      <t>°</t>
    </r>
    <r>
      <rPr>
        <sz val="10"/>
        <color indexed="8"/>
        <rFont val="Calibri Light"/>
        <family val="2"/>
      </rPr>
      <t>C</t>
    </r>
  </si>
  <si>
    <t>gemiddelde buitentemperatuur januari (NTA8800, tabel 17.2)</t>
  </si>
  <si>
    <t>ontwerp buitentemperatuur buiten voor bepalen benodigd vermogen</t>
  </si>
  <si>
    <t>toeslag voor opwarming - aanname</t>
  </si>
  <si>
    <t>&gt;  NTA 8800 ónder tabel 9.12: formule bepaling ontwerp warmtebehoefte (verwarmingsvermogen nodig om rekenzone op setpointtemperatuur te verwarmen).</t>
  </si>
  <si>
    <t>*) NTA 8800 geeft onder tabel 9.12 een formule voor het forfaitair verwarmingsvermogen o.b.v. het warmteverlies voor transmissie en ventilatie in januari.</t>
  </si>
  <si>
    <t xml:space="preserve">    Het warmteverlies voor transmissie en ventilatie in januari is in UMGO niet beschikbaar. De geleverde energie aan het distributienet wel.</t>
  </si>
  <si>
    <t xml:space="preserve">    Met gegevens uit energielabeldatabase 2020 is een verband gevonden tussen deze parameters voor berekenen van forfaitair verwarmingsvermogen (zie grafiek).</t>
  </si>
  <si>
    <t>installaties warmtapwater</t>
  </si>
  <si>
    <t>installatiesystemen warmtapwater</t>
  </si>
  <si>
    <t>keukengeiser</t>
  </si>
  <si>
    <t>TOEKOMST ind WP, coll grondw, elek bijstook</t>
  </si>
  <si>
    <t>elektroboiler</t>
  </si>
  <si>
    <t>ind. CR-combitap</t>
  </si>
  <si>
    <t>ind. VR-combitap</t>
  </si>
  <si>
    <t>separaat tapwaternet</t>
  </si>
  <si>
    <t>warmtepompboiler</t>
  </si>
  <si>
    <t>VR combi collectief</t>
  </si>
  <si>
    <t>HR107 combi collectief</t>
  </si>
  <si>
    <t>booster warmtepomp COP 3,5</t>
  </si>
  <si>
    <t>eigen booster-WP</t>
  </si>
  <si>
    <t>hr107</t>
  </si>
  <si>
    <t>voorbeeld</t>
  </si>
  <si>
    <t>gebied</t>
  </si>
  <si>
    <t>systeemrendement binnen gebouw</t>
  </si>
  <si>
    <t>systeemrendement warmtapwater binnen het gebouw [0,50-1,00]</t>
  </si>
  <si>
    <t>warmteverlies externe distributie warmte tapwater (bron: tabel 10)</t>
  </si>
  <si>
    <t>per laagbouwwoning [0,0-2,0]</t>
  </si>
  <si>
    <t>per gestapelde woning [0,0-2,0]</t>
  </si>
  <si>
    <r>
      <t>per utiliteitsgebouw [</t>
    </r>
    <r>
      <rPr>
        <sz val="10"/>
        <color indexed="8"/>
        <rFont val="Calibri"/>
        <family val="2"/>
      </rPr>
      <t>≥</t>
    </r>
    <r>
      <rPr>
        <sz val="10"/>
        <color indexed="8"/>
        <rFont val="Calibri Light"/>
        <family val="2"/>
      </rPr>
      <t>0,0]</t>
    </r>
  </si>
  <si>
    <t>warmtenet (secundair)</t>
  </si>
  <si>
    <t>booster warmtepomp</t>
  </si>
  <si>
    <t>ELEKTR</t>
  </si>
  <si>
    <t>bron: NTA8800</t>
  </si>
  <si>
    <t>tabel 13.25, BCRG</t>
  </si>
  <si>
    <t>tabel 13.25</t>
  </si>
  <si>
    <t>EPG NEN 7120, tabel 19.16</t>
  </si>
  <si>
    <t>tabel 16</t>
  </si>
  <si>
    <t>tabel 13.28</t>
  </si>
  <si>
    <t>par 13.8.12.2</t>
  </si>
  <si>
    <t>installaties koeling</t>
  </si>
  <si>
    <t>installatiesystemen koeling</t>
  </si>
  <si>
    <t>compressie koelmachine</t>
  </si>
  <si>
    <t>compr. HT-afgifte of condensor of koeltoren</t>
  </si>
  <si>
    <t>compr. HT-afgifte en condensor of koeltoren</t>
  </si>
  <si>
    <t>compr. LT-koudebron  (regeneratie)</t>
  </si>
  <si>
    <t>compr. HT-afgifte en LT-koudebron  (regeneratie)</t>
  </si>
  <si>
    <t>koude opslag/aquifer  (regeneratie)</t>
  </si>
  <si>
    <t>warmtepomp met buitenlucht als bron</t>
  </si>
  <si>
    <t>absorptiekoeling op gas</t>
  </si>
  <si>
    <t>absorptiekoeling op warmte</t>
  </si>
  <si>
    <t>WKK + absorptiekoeling</t>
  </si>
  <si>
    <t>vrije koeling? [0/1]</t>
  </si>
  <si>
    <t>opwekkingsrendement [0,1-15]</t>
  </si>
  <si>
    <t>elektrisch rendement warmtekracht [0,000-0,700]</t>
  </si>
  <si>
    <t>opwekkingsrendement [0,100-15,000]</t>
  </si>
  <si>
    <t>pompenergie distributie per MWh geleverde koude [0,0000-0,0100]</t>
  </si>
  <si>
    <t>kWh elektrisch / MWh</t>
  </si>
  <si>
    <t>tabel 10.29</t>
  </si>
  <si>
    <t>NEN 7120, tabel 17.6</t>
  </si>
  <si>
    <t>tabel 10.34</t>
  </si>
  <si>
    <t>forfaitair vermogen koeling</t>
  </si>
  <si>
    <t>parameters tbv bepaling forfaitair vermogen koeling</t>
  </si>
  <si>
    <t>factor</t>
  </si>
  <si>
    <t>factor voor vertaling jaargemiddeld energiegebruik naar vermogen</t>
  </si>
  <si>
    <t>1/h</t>
  </si>
  <si>
    <t>bron: NTA8800 formule 10.60 en tabel 10.17 - inschatting op basis van buiten temperatuur van 24°C.</t>
  </si>
  <si>
    <t xml:space="preserve">bij toepassing thermische zonne-energiesystemen: aandeel zonne-energie in te leveren warmte aan distributienet </t>
  </si>
  <si>
    <t>ruimteverwarming</t>
  </si>
  <si>
    <t>primaire hernieuwbare energiefactor</t>
  </si>
  <si>
    <t>namen hernieuwbare energiedragers en hernieuwbare energiefactor</t>
  </si>
  <si>
    <t>hernieuwbare energiebron</t>
  </si>
  <si>
    <t xml:space="preserve">elektriciteit hernieuwbaar </t>
  </si>
  <si>
    <t>omgevingswarmte</t>
  </si>
  <si>
    <t>omgevingskoude</t>
  </si>
  <si>
    <t>biomassa (bmA)</t>
  </si>
  <si>
    <t>biomassa (bmC)</t>
  </si>
  <si>
    <t>externe warmte of koude (forfaitair)</t>
  </si>
  <si>
    <t>externe warmte of koude (kwal)</t>
  </si>
  <si>
    <t>index ri</t>
  </si>
  <si>
    <t>nren</t>
  </si>
  <si>
    <t>renelect</t>
  </si>
  <si>
    <t>renheat</t>
  </si>
  <si>
    <t>rencold</t>
  </si>
  <si>
    <t>bmA</t>
  </si>
  <si>
    <t>bmB</t>
  </si>
  <si>
    <t>bmC</t>
  </si>
  <si>
    <t>dxforf</t>
  </si>
  <si>
    <t>dxkwal</t>
  </si>
  <si>
    <t>getalswaarde primaire hernieuwbare energiefactor (fPren;ri)</t>
  </si>
  <si>
    <t>fPren;dx</t>
  </si>
  <si>
    <t>getalswaarde kwaliteitsverklaring nodig bij toestellen</t>
  </si>
  <si>
    <t>bron  NTA8800 tabel 5.4 in paragraaf 5.6.3</t>
  </si>
  <si>
    <t>x</t>
  </si>
  <si>
    <t>energiedragers (geen elektra)</t>
  </si>
  <si>
    <t>energiedragers (anders dan elektriciteit)</t>
  </si>
  <si>
    <t>toegepaste W/K-netten met EMG-verklaring</t>
  </si>
  <si>
    <t>namen, primaire energiefactor, CO2 emissiecoëfficiënt, eenheid finaal energiegebruik</t>
  </si>
  <si>
    <t>toegevoegd</t>
  </si>
  <si>
    <t>eigen e'drager</t>
  </si>
  <si>
    <t>keuze warmtenet</t>
  </si>
  <si>
    <t>energiedrager [vrije invoer - compacte naam verbetert leesbaarheid]</t>
  </si>
  <si>
    <t>stookolie</t>
  </si>
  <si>
    <t>externe koude forfaitair</t>
  </si>
  <si>
    <t>bio-|groen gas</t>
  </si>
  <si>
    <t>KOUDE | Amersfoort, Parkweelde | Collectief WKO</t>
  </si>
  <si>
    <t>primaire energiefactor [0,0-2,0]</t>
  </si>
  <si>
    <t>MWh_fossiel/MWh_tot</t>
  </si>
  <si>
    <t>CO2 emissiecoëfficiënt  [0,0-0,5]</t>
  </si>
  <si>
    <t>ton/MWh_finaal</t>
  </si>
  <si>
    <t>eenheid t.b.v finaal energiegebruik woning|utiliteitsgebouw [keuzelijst]</t>
  </si>
  <si>
    <t>kWh</t>
  </si>
  <si>
    <t>m3</t>
  </si>
  <si>
    <t>GJ</t>
  </si>
  <si>
    <t>bronnen: NTA8800 tabellen 5.2 en 5.5 (energiefactoren) en 5.3 en 5.6 (CO2 emissiecoëfficiënt)</t>
  </si>
  <si>
    <t>5.2/5.3</t>
  </si>
  <si>
    <t>RVO-W/E</t>
  </si>
  <si>
    <t>bijbehorende hernieuwbare energiebron met primaire hernieuwbare energiefactor</t>
  </si>
  <si>
    <t>eigen energiedrager</t>
  </si>
  <si>
    <t>Biomassa (bmA)</t>
  </si>
  <si>
    <t>uit NTA - tabel 5.4</t>
  </si>
  <si>
    <t>fPren</t>
  </si>
  <si>
    <t>waarde uit kwaliteitsverklaring</t>
  </si>
  <si>
    <t>rekenwaarde</t>
  </si>
  <si>
    <t xml:space="preserve">toelichting </t>
  </si>
  <si>
    <t>aftap verwerkt in fpdel en fpren</t>
  </si>
  <si>
    <r>
      <t xml:space="preserve">geschiktheid voor toepassing </t>
    </r>
    <r>
      <rPr>
        <sz val="10"/>
        <color theme="3"/>
        <rFont val="Calibri"/>
        <family val="2"/>
      </rPr>
      <t>vooral relevant voor warmte- en koudenetten</t>
    </r>
  </si>
  <si>
    <t>voor ruimteverwarming</t>
  </si>
  <si>
    <t>voor koeling</t>
  </si>
  <si>
    <t>voor warmtapwater</t>
  </si>
  <si>
    <t>energiedragers voor ruimteverwarming</t>
  </si>
  <si>
    <t>energiedragers voor koeling</t>
  </si>
  <si>
    <t>energiedragers voor warmtapwater</t>
  </si>
  <si>
    <t>W/K-netten EMG-verklaring</t>
  </si>
  <si>
    <t>warmte-/koudenetten met EMG-verklaring</t>
  </si>
  <si>
    <t>namen en relevante parameters warmte-/koudenetten met EMG-verklaring</t>
  </si>
  <si>
    <t>naam warmte-/koudenet</t>
  </si>
  <si>
    <t>TAPWATER | Amersfoort, Parkweelde | Collectief WKO</t>
  </si>
  <si>
    <t>WARMTE | Amsterdam, Buiksloterham | Collectief WKO</t>
  </si>
  <si>
    <t>KOUDE | Amsterdam, Buiksloterham | Collectief WKO</t>
  </si>
  <si>
    <t>WARMTE | Veenendaal, DEVO | Warmte- koudenet</t>
  </si>
  <si>
    <t>KOUDE | Veenendaal, DEVO | Warmte- koudenet</t>
  </si>
  <si>
    <t>WARMTE | Veenendaal, Warmtebedrijf Veenendaal | Warmtenet</t>
  </si>
  <si>
    <t>WARMTE | Westland, Westmade Noord | Warmtenet</t>
  </si>
  <si>
    <t>WARMTE | Amsterdam, Sluisbuurt | Hybride WKO</t>
  </si>
  <si>
    <t>KOUDE | Amsterdam, Sluisbuurt | Hybride WKO</t>
  </si>
  <si>
    <t>WARMTE | Lelystad | Warmtenet</t>
  </si>
  <si>
    <t>WARMTE LT | Amsterdam, Bullewijk | Collectief WKO</t>
  </si>
  <si>
    <t>WARMTE HT | Amsterdam, Bullewijk | Collectief WKO</t>
  </si>
  <si>
    <t>KOUDE | Amsterdam, Bullewijk | Collectief WKO</t>
  </si>
  <si>
    <t>WARMTE | Roosendaal, Stadsoevers | Warmtenet</t>
  </si>
  <si>
    <t>KOUDE | Amsterdam, Zuidas | Koudenet</t>
  </si>
  <si>
    <t>KOUDE | Amsterdam, Zuidoost | Koudenet</t>
  </si>
  <si>
    <t>WARMTE | Noorderwijkerhout, BAVO | Collectief WKO</t>
  </si>
  <si>
    <t>KOUDE | Noorderwijkerhout, BAVO | Collectief WKO</t>
  </si>
  <si>
    <t>WARMTE | Westland, Polanen | Warmtenet</t>
  </si>
  <si>
    <t>WARMTE | Midden- West-Brabant | Warmtenet</t>
  </si>
  <si>
    <t>WARMTE | Warmtebedrijf Ede | Warmtenet</t>
  </si>
  <si>
    <t>WARMTE | Eindhoven, de Strijp | Warmtenet</t>
  </si>
  <si>
    <t>WARMTE | Dordrecht | Primair warmtenet</t>
  </si>
  <si>
    <t>WARMTE | Dordrecht | Secundair warmtenet</t>
  </si>
  <si>
    <t>WARMTE | Alkmaar | Primair warmtenet</t>
  </si>
  <si>
    <t>WARMTE | Alkmaar | Secundair warmtenet</t>
  </si>
  <si>
    <t>WARMTE | Rotterdan, Eneco | Primair warmtenet</t>
  </si>
  <si>
    <t>WARMTE | Rotterdam, Eneco | Secundair warmtenet</t>
  </si>
  <si>
    <t>WARMTE | Apeldoorn, Zuidbroek | Warmtenet</t>
  </si>
  <si>
    <t>WARMTE | Eindhoven, Meerhoven | Warmtenet</t>
  </si>
  <si>
    <t>WARMTE | Enschede | Warmtenet</t>
  </si>
  <si>
    <t>KOUDE | Hoofddorp, Hydepark | Koudenet</t>
  </si>
  <si>
    <t>WARMTE | Rotterdam, Zuid en Hoogvliet | Primair warmtenet</t>
  </si>
  <si>
    <t>WARMTE | Rotterdam, Zuid en Hoogvliet | Secundair warmtenet</t>
  </si>
  <si>
    <t>WARMTE | Nijmegen | Primair warmtenet</t>
  </si>
  <si>
    <t>WARMTE | Nijmegen | Secundair warmtenet</t>
  </si>
  <si>
    <t>WARMTE | Duiven, Westervoort, Arnhem | Primair warmtenet</t>
  </si>
  <si>
    <t>WARMTE | Duiven, Westervoort, Arnhem | Secundair warmtenet</t>
  </si>
  <si>
    <t>WARMTE | Amsterdam, West en Noord | Primair warmtenet</t>
  </si>
  <si>
    <t>WARMTE | Amsterdam, West en Noord | Secundair warmtenet</t>
  </si>
  <si>
    <t>WARMTE | Amsterdam, Zuid-Oost en Almere | Primair warmtenet</t>
  </si>
  <si>
    <t>WARMTE | Amsterdam, Zuid-Oost en Almere | Secundair warmtenet</t>
  </si>
  <si>
    <t>WARMTE | Purmerend, SVP | Primair warmtenet</t>
  </si>
  <si>
    <t>WARMTE | Purmerend, SVP | Secundair warmtenet</t>
  </si>
  <si>
    <t>WARMTE | Utrecht en Nieuwgein | Primair warmtenet</t>
  </si>
  <si>
    <t>WARMTE | Utrecht en Nieuwgein | Secundair warmtenet</t>
  </si>
  <si>
    <t>WARMTE | Den Haag | Primair warmtenet</t>
  </si>
  <si>
    <t>WARMTE | Den Haag | Secundair warmtenet</t>
  </si>
  <si>
    <t>nummer of code kwaliteitsverklaring</t>
  </si>
  <si>
    <t>20210502GK</t>
  </si>
  <si>
    <t>20210482GK</t>
  </si>
  <si>
    <t>20210474GK</t>
  </si>
  <si>
    <t>20210420GK</t>
  </si>
  <si>
    <t>20210403GK</t>
  </si>
  <si>
    <t>20210395GK</t>
  </si>
  <si>
    <t>20210394GK</t>
  </si>
  <si>
    <t>20210313GK</t>
  </si>
  <si>
    <t>20210312GK</t>
  </si>
  <si>
    <t>20210283GK</t>
  </si>
  <si>
    <t>20210282GK</t>
  </si>
  <si>
    <t>20210203GK</t>
  </si>
  <si>
    <t>20210202GK</t>
  </si>
  <si>
    <t>20210124GK</t>
  </si>
  <si>
    <t>20210116GK</t>
  </si>
  <si>
    <t>20210002GK</t>
  </si>
  <si>
    <t>20201882GK</t>
  </si>
  <si>
    <t>20201881GK</t>
  </si>
  <si>
    <t>20201880GK</t>
  </si>
  <si>
    <t>20201761GK</t>
  </si>
  <si>
    <t>20201760GK</t>
  </si>
  <si>
    <t>20201680GK</t>
  </si>
  <si>
    <t>20201673GGRKUW</t>
  </si>
  <si>
    <t>20201672GK</t>
  </si>
  <si>
    <t>20201671GK</t>
  </si>
  <si>
    <t>20201670GK</t>
  </si>
  <si>
    <t>20201669GK</t>
  </si>
  <si>
    <t>20201668GK</t>
  </si>
  <si>
    <t>20201600GK</t>
  </si>
  <si>
    <t>20201595GK</t>
  </si>
  <si>
    <t>primaire energiefactor (fp;del)</t>
  </si>
  <si>
    <t>hernieuwbare energiefactor (fp,ren)</t>
  </si>
  <si>
    <t>kg/kWh</t>
  </si>
  <si>
    <t>bron: website Bureau CRG</t>
  </si>
  <si>
    <t>energiedrager elektriciteit</t>
  </si>
  <si>
    <t>energiedrager (export) elektriciteit</t>
  </si>
  <si>
    <t>primaire energiefactor en CO2 emissiecoëfficiënt</t>
  </si>
  <si>
    <t>typering opwekking elektriciteit</t>
  </si>
  <si>
    <t>NEN7120</t>
  </si>
  <si>
    <t>2025*</t>
  </si>
  <si>
    <t>2030*</t>
  </si>
  <si>
    <t>primaire energiefactor elektriciteit [0,0-2,0]</t>
  </si>
  <si>
    <t>primaire energiefactor export elektriciteit [0,0-2,0]</t>
  </si>
  <si>
    <t>CO2 emissiecoëfficiënt elektriciteit [0,0-0,5]</t>
  </si>
  <si>
    <t>CO2 emissiecoëfficiënt export elektriciteit [0,0-0,5]</t>
  </si>
  <si>
    <t>bron
* zijn projecties</t>
  </si>
  <si>
    <t>NEN7120, tabel 5.4 en tabel 5.5</t>
  </si>
  <si>
    <t>NTA8800 tabel 5.3</t>
  </si>
  <si>
    <t>gebruiksfuncties</t>
  </si>
  <si>
    <t>namen gebruiksfuncties</t>
  </si>
  <si>
    <t>cellengebouw</t>
  </si>
  <si>
    <t>correctiefactor RV;nd</t>
  </si>
  <si>
    <t xml:space="preserve">correctiefactor warmtebehoefte </t>
  </si>
  <si>
    <t>correctie = C1 * U,gem ^ C2</t>
  </si>
  <si>
    <t>formule</t>
  </si>
  <si>
    <t>C2</t>
  </si>
  <si>
    <t>netto warmtebehoefte warmtapwater</t>
  </si>
  <si>
    <t>netto warmtebehoefte warmtapwater per gebruiksfunctie</t>
  </si>
  <si>
    <t>spec. warmtebehoefte tapwater utiliteit</t>
  </si>
  <si>
    <t>bron: NTA8800, tabel 13.1</t>
  </si>
  <si>
    <t>specifiek niet gebouwgebonden elektriciteitsgebruik</t>
  </si>
  <si>
    <t>specifiek niet gebouwgebonden elektriciteitsgebruik utiliteitsgebouwen (NTA8800)</t>
  </si>
  <si>
    <t>specifiek elektriciteitsverbruik apparatuur (NTA8800, tabel 7.3)</t>
  </si>
  <si>
    <t>apparatuur - elektrisch niet gebouwgebonden (8760 uur)</t>
  </si>
  <si>
    <t>bron: NTA8800 tabel 7.3 (specifieke interne warmteproductie door apparatuur) - voor woningen wordt uitgegaan  van cijfers CBS (zie tabel 'huishoudelijk elektriciteitsgebruik woningen')</t>
  </si>
  <si>
    <t>koken</t>
  </si>
  <si>
    <r>
      <t xml:space="preserve">energiegebruik koken op gas/elektriciteit </t>
    </r>
    <r>
      <rPr>
        <sz val="10"/>
        <color theme="3"/>
        <rFont val="Calibri"/>
        <family val="2"/>
      </rPr>
      <t>alleen relevant voor woningen</t>
    </r>
  </si>
  <si>
    <t>koken op elektriciteit</t>
  </si>
  <si>
    <t>per woning</t>
  </si>
  <si>
    <t>kWh/won</t>
  </si>
  <si>
    <t>gemiddeld per m2</t>
  </si>
  <si>
    <t>koken op gas</t>
  </si>
  <si>
    <t>per woning in m3</t>
  </si>
  <si>
    <t>m3/won</t>
  </si>
  <si>
    <t>per woning energetisch in kWh</t>
  </si>
  <si>
    <t>bron: Correctie elektriciteitsverbruik koken", ECN-N-014-024, 29 september 2014</t>
  </si>
  <si>
    <t>huishoudelijk elektriciteitsgebruik woningen</t>
  </si>
  <si>
    <t>gemiddeld(e) elektriciteitsgebruik en gebruiksoppervlakte NL woningen</t>
  </si>
  <si>
    <t>elektriciteitsgebruik per woning 2018</t>
  </si>
  <si>
    <t>Statline CBS 2020</t>
  </si>
  <si>
    <t>gemiddelde gebruiksoppervlakte NL woningen 2018-2020</t>
  </si>
  <si>
    <t>m2/won</t>
  </si>
  <si>
    <t>aandeel elektrisch koken</t>
  </si>
  <si>
    <t>elektriciteitsgebruik per m2 gebruiksoppervlakte</t>
  </si>
  <si>
    <t>aftrekpost: gebouwgebonden elektriciteitsgebruik</t>
  </si>
  <si>
    <t>W/E 2020</t>
  </si>
  <si>
    <t>aftrekpost: elektriciteitsgebruik koken gemiddeld in Nederland</t>
  </si>
  <si>
    <t>gemiddeld niet-gebouwgebonden</t>
  </si>
  <si>
    <r>
      <t xml:space="preserve">   optioneel: eigen waarde [</t>
    </r>
    <r>
      <rPr>
        <sz val="10"/>
        <color theme="9" tint="-0.24994659260841701"/>
        <rFont val="Calibri"/>
        <family val="2"/>
      </rPr>
      <t>≥</t>
    </r>
    <r>
      <rPr>
        <sz val="9"/>
        <color theme="9" tint="-0.24994659260841701"/>
        <rFont val="Calibri Light"/>
        <family val="2"/>
      </rPr>
      <t>0,00</t>
    </r>
    <r>
      <rPr>
        <sz val="10"/>
        <color theme="9" tint="-0.24994659260841701"/>
        <rFont val="Calibri Light"/>
        <family val="2"/>
      </rPr>
      <t>]</t>
    </r>
  </si>
  <si>
    <t>bronnen: Statline CBS en W/E adviseurs</t>
  </si>
  <si>
    <t>ondergrens QH;nd en QC;nd</t>
  </si>
  <si>
    <r>
      <t>ondergrens Q</t>
    </r>
    <r>
      <rPr>
        <b/>
        <vertAlign val="subscript"/>
        <sz val="16"/>
        <color theme="3"/>
        <rFont val="Calibri"/>
        <family val="2"/>
        <scheme val="minor"/>
      </rPr>
      <t>H;nd</t>
    </r>
    <r>
      <rPr>
        <b/>
        <sz val="16"/>
        <color theme="3"/>
        <rFont val="Calibri"/>
        <family val="2"/>
        <scheme val="minor"/>
      </rPr>
      <t xml:space="preserve"> en Q</t>
    </r>
    <r>
      <rPr>
        <b/>
        <vertAlign val="subscript"/>
        <sz val="16"/>
        <color theme="3"/>
        <rFont val="Calibri"/>
        <family val="2"/>
        <scheme val="minor"/>
      </rPr>
      <t>C;nd</t>
    </r>
  </si>
  <si>
    <t>ondergrens voor</t>
  </si>
  <si>
    <t>QH;nd</t>
  </si>
  <si>
    <t>QC;nd</t>
  </si>
  <si>
    <t>parameters QH;nd</t>
  </si>
  <si>
    <r>
      <t>parameters Q</t>
    </r>
    <r>
      <rPr>
        <b/>
        <vertAlign val="subscript"/>
        <sz val="16"/>
        <color theme="3"/>
        <rFont val="Calibri"/>
        <family val="2"/>
        <scheme val="minor"/>
      </rPr>
      <t>H;nd</t>
    </r>
  </si>
  <si>
    <t>NTA8800 tool 1.46, berekening dd 14 09 2020</t>
  </si>
  <si>
    <t>snijpunt</t>
  </si>
  <si>
    <r>
      <t xml:space="preserve">C  </t>
    </r>
    <r>
      <rPr>
        <sz val="10"/>
        <color theme="3"/>
        <rFont val="Calibri"/>
        <family val="2"/>
      </rPr>
      <t>[constante]</t>
    </r>
  </si>
  <si>
    <r>
      <t xml:space="preserve">n  </t>
    </r>
    <r>
      <rPr>
        <sz val="10"/>
        <color theme="3"/>
        <rFont val="Calibri"/>
        <family val="2"/>
      </rPr>
      <t>[constante]</t>
    </r>
  </si>
  <si>
    <t>op basis van analyse van NTA8800-berekeningen van gebouwen in de energielabeldatabase 2019/2020 (ruim 65.000 utiliteitsgebouwen) en Voorbeeldwoningen 2020.</t>
  </si>
  <si>
    <t>QH,nd = max( 0 ; snijpunt + C * Ugemiddeld * (Averlies/Ag)^n )       [kWh/m2]</t>
  </si>
  <si>
    <t>parameters QC;nd</t>
  </si>
  <si>
    <r>
      <t>parameters Q</t>
    </r>
    <r>
      <rPr>
        <b/>
        <vertAlign val="subscript"/>
        <sz val="16"/>
        <color theme="3"/>
        <rFont val="Calibri"/>
        <family val="2"/>
        <scheme val="minor"/>
      </rPr>
      <t>C;nd</t>
    </r>
  </si>
  <si>
    <r>
      <t xml:space="preserve">C1  </t>
    </r>
    <r>
      <rPr>
        <sz val="10"/>
        <color theme="3"/>
        <rFont val="Calibri"/>
        <family val="2"/>
      </rPr>
      <t>[constante]</t>
    </r>
  </si>
  <si>
    <r>
      <t xml:space="preserve">C2  </t>
    </r>
    <r>
      <rPr>
        <sz val="10"/>
        <color theme="3"/>
        <rFont val="Calibri"/>
        <family val="2"/>
      </rPr>
      <t>[constante]</t>
    </r>
  </si>
  <si>
    <r>
      <t xml:space="preserve">C3  </t>
    </r>
    <r>
      <rPr>
        <sz val="10"/>
        <color theme="3"/>
        <rFont val="Calibri"/>
        <family val="2"/>
      </rPr>
      <t>[constante]</t>
    </r>
  </si>
  <si>
    <r>
      <t xml:space="preserve">C4  </t>
    </r>
    <r>
      <rPr>
        <sz val="10"/>
        <color theme="3"/>
        <rFont val="Calibri"/>
        <family val="2"/>
      </rPr>
      <t>[constante]</t>
    </r>
  </si>
  <si>
    <r>
      <t xml:space="preserve">n1  </t>
    </r>
    <r>
      <rPr>
        <sz val="10"/>
        <color theme="3"/>
        <rFont val="Calibri"/>
        <family val="2"/>
      </rPr>
      <t>[constante]</t>
    </r>
  </si>
  <si>
    <r>
      <t xml:space="preserve">n2  </t>
    </r>
    <r>
      <rPr>
        <sz val="10"/>
        <color theme="3"/>
        <rFont val="Calibri"/>
        <family val="2"/>
      </rPr>
      <t>[constante]</t>
    </r>
  </si>
  <si>
    <r>
      <t xml:space="preserve">n3  </t>
    </r>
    <r>
      <rPr>
        <sz val="10"/>
        <color theme="3"/>
        <rFont val="Calibri"/>
        <family val="2"/>
      </rPr>
      <t>[constante]</t>
    </r>
  </si>
  <si>
    <r>
      <t xml:space="preserve">n4  </t>
    </r>
    <r>
      <rPr>
        <sz val="10"/>
        <color theme="3"/>
        <rFont val="Calibri"/>
        <family val="2"/>
      </rPr>
      <t>[constante]</t>
    </r>
  </si>
  <si>
    <t>QC,nd = max( 0 ; snijpunt + c1*Ag^n1 + c2*(A,ls/A,g)^n2 + c3*U,gem^n3 + c4*(Araam/Ag)^n4 )    kWh/m2</t>
  </si>
  <si>
    <t>parameters Q(H+C);nd;EP1</t>
  </si>
  <si>
    <t>parameters Q(C+H);nd;EP1;ventsys C1</t>
  </si>
  <si>
    <t>n</t>
  </si>
  <si>
    <t>Q_C+H,nd,EP1,berekend = max( 0 ; snijpunt + c*U,gem* (Als/Ag)^n )      kWh/m2</t>
  </si>
  <si>
    <t>parameters verlichting</t>
  </si>
  <si>
    <r>
      <t>parameters verlichting Q</t>
    </r>
    <r>
      <rPr>
        <b/>
        <vertAlign val="subscript"/>
        <sz val="16"/>
        <color theme="3"/>
        <rFont val="Calibri"/>
        <family val="2"/>
        <scheme val="minor"/>
      </rPr>
      <t>L</t>
    </r>
  </si>
  <si>
    <t>parameters verlichting utiliteitsgebouwen (NTA8800)</t>
  </si>
  <si>
    <t>constante a</t>
  </si>
  <si>
    <t>constante b (*x)</t>
  </si>
  <si>
    <t>kh</t>
  </si>
  <si>
    <t>specifiek gïnstalleerd vermogen forfaitair</t>
  </si>
  <si>
    <t>op basis van analyse van NTA-berekeningen van gebouwen in de energielabeldatabase 2019/2020 (ruim 65.000 utiliteitsgebouwen) en Voorbeeldwoningen 2020.</t>
  </si>
  <si>
    <t>QL (kWh,finaal/m2) = constante a + constante b * geïnstalleerd vermogen (W/m2)</t>
  </si>
  <si>
    <t>de forfaitaire waarde voor het specifiek geïnstalleerd vermogen staat in tabel 14.3 van NTA8800:2019</t>
  </si>
  <si>
    <t>effect verlichtingsregeling</t>
  </si>
  <si>
    <t>effect verlichtingsregeling utiliteitsgebouwen (NTA8800)</t>
  </si>
  <si>
    <t>verlichtingsregeling</t>
  </si>
  <si>
    <t>geen, handmatig, onbekend</t>
  </si>
  <si>
    <t>handmatig + daglicht-regeling</t>
  </si>
  <si>
    <t>geen daglicht-regeling + regeling auto aan|uit</t>
  </si>
  <si>
    <t>auto aan|uit - daglicht: sensoren auto uit</t>
  </si>
  <si>
    <t>factor (x berekend finaal energiegebruik verlichting)</t>
  </si>
  <si>
    <t>op basis van analyse van NTA-berekeningen van gebouwen in de energielabaldatabase 2019/2020 (ruim 65.000 utiliteitsgebouwen)</t>
  </si>
  <si>
    <t>BENG-eisen 2021</t>
  </si>
  <si>
    <t>grenswaarden A,ls/A,g bij bepalen BENG 1</t>
  </si>
  <si>
    <t>&gt;&gt; grenswaarde 1: A,ls/A,g</t>
  </si>
  <si>
    <t>&gt;&gt; grenswaarde 2: A,ls/A,g</t>
  </si>
  <si>
    <t>BENG 1 als A,ls/A,g ≤ grenswaarde 1</t>
  </si>
  <si>
    <t>BENG 1</t>
  </si>
  <si>
    <t>als grenswaarde 1 &lt; A,ls/A,g ≤ grenswaarde 2:  BENG 1 = C1 + C2 * (A,ls/A,g - C3)</t>
  </si>
  <si>
    <t>C3</t>
  </si>
  <si>
    <t>als A,ls/A,g &gt; grenswaarde 2: BENG 1 = C4 + C5 * (A,ls/A,g - C6)</t>
  </si>
  <si>
    <t>C4</t>
  </si>
  <si>
    <t>C5</t>
  </si>
  <si>
    <t>C6</t>
  </si>
  <si>
    <t>BENG 2 - primair energiegebruik</t>
  </si>
  <si>
    <t>BENG 3 - % hernieuwbaar</t>
  </si>
  <si>
    <t>% hernieuwbaar</t>
  </si>
  <si>
    <t>informatie over BENG</t>
  </si>
  <si>
    <t>standaardwaarden 2021</t>
  </si>
  <si>
    <t>Standaardwaarden netto warmtebehoefte 2021</t>
  </si>
  <si>
    <t>bouwjaar</t>
  </si>
  <si>
    <t>jaar</t>
  </si>
  <si>
    <t>t/m 1945</t>
  </si>
  <si>
    <t>ná 1945</t>
  </si>
  <si>
    <t>basiswaarde</t>
  </si>
  <si>
    <t>netto warmtevraag (C1)</t>
  </si>
  <si>
    <t>toevoeging basiswaarde afhankelijk van vormfactor</t>
  </si>
  <si>
    <t>&gt;&gt; grenswaarde A,ls/A,g (verliesoppervlakte / gebruiksoppervlakte)</t>
  </si>
  <si>
    <t>&gt;&gt; extra netto warmtevaag boven grenswaarde A,ls/A,g (C2)</t>
  </si>
  <si>
    <t>standaardwaarde = C1 + C2 * (A,ls/Ag - 1)</t>
  </si>
  <si>
    <t>informatie over standaardwaarden</t>
  </si>
  <si>
    <t>energielabels</t>
  </si>
  <si>
    <t>naam gebruiksfunctie</t>
  </si>
  <si>
    <t>bovengrens primair energieverbruik per energielabel</t>
  </si>
  <si>
    <t>G</t>
  </si>
  <si>
    <t>F</t>
  </si>
  <si>
    <t>E</t>
  </si>
  <si>
    <t>A+</t>
  </si>
  <si>
    <t>A++</t>
  </si>
  <si>
    <t>A+++</t>
  </si>
  <si>
    <t>A++++</t>
  </si>
  <si>
    <t>A+++++</t>
  </si>
  <si>
    <t>De energielabelgrenzen zijn overgenomen uit de "Regeling energieprestatie gebouwen"</t>
  </si>
  <si>
    <t>verbrandingswaarde aardgas</t>
  </si>
  <si>
    <t>verbrandingswaarde aardgas (bovenwaarde)</t>
  </si>
  <si>
    <t>kWh/m3</t>
  </si>
  <si>
    <t>gebruikte namen</t>
  </si>
  <si>
    <t>eenheden finale energievraag gebouwniveau</t>
  </si>
  <si>
    <t>eenheid finale energievraag gebouwniveau</t>
  </si>
  <si>
    <t>geografische niveaus installaties</t>
  </si>
  <si>
    <t>geografisch niveau</t>
  </si>
  <si>
    <t>plaats installatie</t>
  </si>
  <si>
    <t>installatie binnen de energiemeter</t>
  </si>
  <si>
    <t>collectieve installatie binnen het project</t>
  </si>
  <si>
    <t>collectieve installatie buiten het project</t>
  </si>
  <si>
    <t>bestaand/nieuw</t>
  </si>
  <si>
    <t>bestaande bouw</t>
  </si>
  <si>
    <t>bestaand</t>
  </si>
  <si>
    <t>nieuwbouw</t>
  </si>
  <si>
    <t>nieuw</t>
  </si>
  <si>
    <t>overige namen</t>
  </si>
  <si>
    <t>laagbouw - hoogbouw / dichtheid</t>
  </si>
  <si>
    <t>laag</t>
  </si>
  <si>
    <t>hoog</t>
  </si>
  <si>
    <t>code</t>
  </si>
  <si>
    <t>de term "geen" voor als iets niet voorkomt</t>
  </si>
  <si>
    <t>waar - onwaar</t>
  </si>
  <si>
    <t>energieprestatie / werkelijk</t>
  </si>
  <si>
    <t>cf NTA8800</t>
  </si>
  <si>
    <t>gecorrigeerd</t>
  </si>
  <si>
    <t>toelichting bij 'energieprestatie / werkelijk'</t>
  </si>
  <si>
    <t>rekenregels cf. NTA8800</t>
  </si>
  <si>
    <t>rekenregels cf. NTA8800 incl correctiefactor</t>
  </si>
  <si>
    <t>Belangrijkste wijzigingen versie 5.0 t.o.v. 4.3</t>
  </si>
  <si>
    <t>W/E, 2021</t>
  </si>
  <si>
    <t>opvulkleuren cellen zijn gewijzigd</t>
  </si>
  <si>
    <t>de kop van een tabel met gegevens per gebouwtype</t>
  </si>
  <si>
    <t>de kop van een tabel met gegevens per energiestroom (verwarming, koeling, verlichting, …)</t>
  </si>
  <si>
    <r>
      <t xml:space="preserve">cellen met </t>
    </r>
    <r>
      <rPr>
        <b/>
        <sz val="10"/>
        <color theme="0"/>
        <rFont val="Calibri Light"/>
        <family val="2"/>
      </rPr>
      <t>verplichte invoer</t>
    </r>
    <r>
      <rPr>
        <sz val="10"/>
        <color theme="0"/>
        <rFont val="Calibri Light"/>
        <family val="2"/>
      </rPr>
      <t xml:space="preserve"> die nog leeg zijn</t>
    </r>
  </si>
  <si>
    <r>
      <t xml:space="preserve">cellen met </t>
    </r>
    <r>
      <rPr>
        <b/>
        <sz val="10"/>
        <color theme="1"/>
        <rFont val="Calibri Light"/>
        <family val="2"/>
      </rPr>
      <t xml:space="preserve">optionele invoer </t>
    </r>
    <r>
      <rPr>
        <sz val="10"/>
        <color theme="1"/>
        <rFont val="Calibri Light"/>
        <family val="2"/>
      </rPr>
      <t>die nog leeg zijn</t>
    </r>
  </si>
  <si>
    <r>
      <rPr>
        <b/>
        <sz val="12"/>
        <color rgb="FF000000"/>
        <rFont val="Calibri"/>
        <family val="2"/>
        <scheme val="minor"/>
      </rPr>
      <t xml:space="preserve">Invoer locaties met woningen en utiliteitsgebouwen
</t>
    </r>
    <r>
      <rPr>
        <sz val="12"/>
        <color indexed="8"/>
        <rFont val="Calibri"/>
        <family val="2"/>
        <scheme val="minor"/>
      </rPr>
      <t>Er kunnen nog steeds vier locaties worden gedefinieerd, maar per locatie kunnen nu 9 in plaats van 8 gebouwtypen worden ingevoerd.
Een locatie kan nu zowel woningen als utiliteitsgebouwen bevatten.
Elke locatie en elk gebouwtype kan een eigen naam meekrijgen, voor betere herkenbaarheid.</t>
    </r>
  </si>
  <si>
    <t>variant x - invoer</t>
  </si>
  <si>
    <r>
      <rPr>
        <b/>
        <sz val="12"/>
        <color rgb="FF000000"/>
        <rFont val="Calibri"/>
        <family val="2"/>
        <scheme val="minor"/>
      </rPr>
      <t xml:space="preserve">Invoer variant met energiebesparende maatregelen en installaties en bijbehorende rekenresultaten
</t>
    </r>
    <r>
      <rPr>
        <sz val="12"/>
        <color indexed="8"/>
        <rFont val="Calibri"/>
        <family val="2"/>
        <scheme val="minor"/>
      </rPr>
      <t xml:space="preserve">Om meer flexibiliteit te hebben in te gebruiken gebouwtypen is de manier waarop de energiebehoefte van de verschillende posten wordt uitgerekend gewijzigd. In UMGO 4.3 was een beperkt aantal woningen en utiliteitsgebouwen voorhanden waarvoor de energiebehoefte voor een beperkt aantal bouwjaarklassen met bijbehorend isolatieniveau was uitgerekend. Daarmee was rekenen eenvoudig, maar was niet veel variatie in gebouwtype en gebouwgebonden energiepakket mogelijk.
</t>
    </r>
    <r>
      <rPr>
        <i/>
        <sz val="12"/>
        <color rgb="FF000000"/>
        <rFont val="Calibri"/>
        <family val="2"/>
        <scheme val="minor"/>
      </rPr>
      <t xml:space="preserve">verwarming/koeling
</t>
    </r>
    <r>
      <rPr>
        <sz val="12"/>
        <color indexed="8"/>
        <rFont val="Calibri"/>
        <family val="2"/>
        <scheme val="minor"/>
      </rPr>
      <t xml:space="preserve">De energiebehoefte wordt nu afgeleid op basis van de parameters: gebruiksfunctie, verhouding verlies-/gebruiksoppervlakte gebouwtype, gemiddelde U-waarde van de gebouwschil en het ventilatiesysteem. Energiebehoeftes zijn afgeleid uit grote aantallen NTA8800-berekeningen van utiliteitsgebouwen uit de energielabeldatabase en de Voorbeeldwoningen 2020. In de bibliotheek zijn de relevante gegevens opgenomen van gebouwtypen, isolatiepakketten, ventilatiesystemen en de relatie met de energiebehoefte. Gegevens van gebouwtypen en isolatiepakketten zijn door gebruikers aan te vullen met eigen gebouwtypen en isolatiepakketten.
-&gt; berekend met Rekentool NTA8800, versie 1.46 (14 juli 2020)
</t>
    </r>
    <r>
      <rPr>
        <i/>
        <sz val="12"/>
        <color rgb="FF000000"/>
        <rFont val="Calibri"/>
        <family val="2"/>
        <scheme val="minor"/>
      </rPr>
      <t>warmtapwater</t>
    </r>
    <r>
      <rPr>
        <sz val="12"/>
        <color indexed="8"/>
        <rFont val="Calibri"/>
        <family val="2"/>
        <scheme val="minor"/>
      </rPr>
      <t xml:space="preserve">
De energiebehoefte voor warmtapwater wordt berekend op basis van gebruiksfunctie en gebruiksoppervlakte conform de rekenregels in NTA 8800. In de invoer is een % extra besparing door DWTW of bewust energiezuinig gedrag.
</t>
    </r>
    <r>
      <rPr>
        <i/>
        <sz val="12"/>
        <color rgb="FF000000"/>
        <rFont val="Calibri"/>
        <family val="2"/>
        <scheme val="minor"/>
      </rPr>
      <t>ventilatoren</t>
    </r>
    <r>
      <rPr>
        <sz val="12"/>
        <color indexed="8"/>
        <rFont val="Calibri"/>
        <family val="2"/>
        <scheme val="minor"/>
      </rPr>
      <t xml:space="preserve">
De energiebehoefte voor ventilatoren wordt afgeleid op basis van gebruiksfunctie en type ventilator.
</t>
    </r>
    <r>
      <rPr>
        <i/>
        <sz val="12"/>
        <color rgb="FF000000"/>
        <rFont val="Calibri"/>
        <family val="2"/>
        <scheme val="minor"/>
      </rPr>
      <t>verlichting</t>
    </r>
    <r>
      <rPr>
        <sz val="12"/>
        <color indexed="8"/>
        <rFont val="Calibri"/>
        <family val="2"/>
        <scheme val="minor"/>
      </rPr>
      <t xml:space="preserve">
Voor utiliteitsgebouwen wordt de elektriciteitsbehoefte voor verlichting afgeleid op basis van gebruiksfunctie, geïnstalleerd vermogen voor verlichting en de verlichtingsregeling.</t>
    </r>
  </si>
  <si>
    <r>
      <rPr>
        <i/>
        <sz val="12"/>
        <color rgb="FF000000"/>
        <rFont val="Calibri"/>
        <family val="2"/>
        <scheme val="minor"/>
      </rPr>
      <t>koken</t>
    </r>
    <r>
      <rPr>
        <sz val="12"/>
        <color indexed="8"/>
        <rFont val="Calibri"/>
        <family val="2"/>
        <scheme val="minor"/>
      </rPr>
      <t xml:space="preserve">
Voor woningen bepaalt de energiedrager voor koken of er voor koken gasverbruik of elektriciteitsverbruik in rekening wordt gebracht.
</t>
    </r>
    <r>
      <rPr>
        <i/>
        <sz val="12"/>
        <color rgb="FF000000"/>
        <rFont val="Calibri"/>
        <family val="2"/>
        <scheme val="minor"/>
      </rPr>
      <t xml:space="preserve">overig, niet gebouwgebonden elektriciteitsgebruik
</t>
    </r>
    <r>
      <rPr>
        <sz val="12"/>
        <color indexed="8"/>
        <rFont val="Calibri"/>
        <family val="2"/>
        <scheme val="minor"/>
      </rPr>
      <t xml:space="preserve">Er kan een % reductie voor het berekende niet gebouwgebonden elektriciteitsgebruik worden ingevuld. Als er een berekening nodig is van alleen het gebouwgebonden energiegebruik kan hier de waarde 100% worden ingevuld.
</t>
    </r>
    <r>
      <rPr>
        <i/>
        <sz val="12"/>
        <color rgb="FF000000"/>
        <rFont val="Calibri"/>
        <family val="2"/>
        <scheme val="minor"/>
      </rPr>
      <t>mobiliteit</t>
    </r>
    <r>
      <rPr>
        <sz val="12"/>
        <color indexed="8"/>
        <rFont val="Calibri"/>
        <family val="2"/>
        <scheme val="minor"/>
      </rPr>
      <t xml:space="preserve">
Invoer van het elektriciteitsgebruik voor mobiliteit is ongewijzigd.
</t>
    </r>
    <r>
      <rPr>
        <i/>
        <sz val="12"/>
        <color rgb="FF000000"/>
        <rFont val="Calibri"/>
        <family val="2"/>
        <scheme val="minor"/>
      </rPr>
      <t>zonnecellen</t>
    </r>
    <r>
      <rPr>
        <sz val="12"/>
        <color indexed="8"/>
        <rFont val="Calibri"/>
        <family val="2"/>
        <scheme val="minor"/>
      </rPr>
      <t xml:space="preserve">
Invoer van de door zonnecellen geproduceerde elektriciteitsgebruik is ongewijzigd.</t>
    </r>
  </si>
  <si>
    <t>variant x - rekenresultaten</t>
  </si>
  <si>
    <r>
      <rPr>
        <i/>
        <sz val="12"/>
        <color rgb="FF000000"/>
        <rFont val="Calibri"/>
        <family val="2"/>
        <scheme val="minor"/>
      </rPr>
      <t xml:space="preserve">NTA 8800
</t>
    </r>
    <r>
      <rPr>
        <sz val="12"/>
        <color rgb="FF000000"/>
        <rFont val="Calibri"/>
        <family val="2"/>
        <scheme val="minor"/>
      </rPr>
      <t xml:space="preserve">Berekeningen volgen NTA 8800 in plaats van EPG. De EPC en de EI van de gebouwtypen worden daarom niet meer berekend.
</t>
    </r>
    <r>
      <rPr>
        <sz val="12"/>
        <color indexed="8"/>
        <rFont val="Calibri"/>
        <family val="2"/>
        <scheme val="minor"/>
      </rPr>
      <t xml:space="preserve">
</t>
    </r>
    <r>
      <rPr>
        <i/>
        <sz val="12"/>
        <color rgb="FF000000"/>
        <rFont val="Calibri"/>
        <family val="2"/>
        <scheme val="minor"/>
      </rPr>
      <t>PEF</t>
    </r>
    <r>
      <rPr>
        <sz val="12"/>
        <color indexed="8"/>
        <rFont val="Calibri"/>
        <family val="2"/>
        <scheme val="minor"/>
      </rPr>
      <t xml:space="preserve">
Van 'centrale' installaties die warmte aan de locatie leveren wordt nu de PEF uitgerekend in plaats van de EOR.
</t>
    </r>
    <r>
      <rPr>
        <i/>
        <sz val="12"/>
        <color rgb="FF000000"/>
        <rFont val="Calibri"/>
        <family val="2"/>
        <scheme val="minor"/>
      </rPr>
      <t>energieprestaties</t>
    </r>
    <r>
      <rPr>
        <sz val="12"/>
        <color indexed="8"/>
        <rFont val="Calibri"/>
        <family val="2"/>
        <scheme val="minor"/>
      </rPr>
      <t xml:space="preserve">
De volgende energieprestaties worden berekend (de overige als de EPC zijn komen te vervallen):
- energiebehoefte indicator (inclusief een toetsing aan BENG 1 voor nieuwbouw);
- primaire fossiele energie indicator (inclusief een toetsing aan BENG 2 voor nieuwbouw);
- aandeel hernieuwbare energie (inclusief een toetsing aan BENG 3 voor nieuwbouw);
- het energielabel.</t>
    </r>
  </si>
  <si>
    <t>In de bibliotheek zijn overbodig geworden tabellen, bijvoorbeeld gerelateerd aan kenmerken die te maken hebben met het berekenen van de EPC, verwijderd.
Tabellen zijn waar nodig geactualiseerd, bijvoorbeeld als het gaat over het gemiddelde elektriciteitsgebruik per huishouden in Nederland.
Nieuwe tabellen zijn toegevoegd onder andere met aanvullende gegevens van woningen|utiliteitsgebouwen, gegevens over isolatiepakketten, relevante getallen mbt tot het berekenen van de energiebehoefte van de verschillende energieposten en gegevens nodig voor het berekenen van de nieuwe energieprestaties en voor het toesten daarvan aan nieuwbouw-eisen (BENG).</t>
  </si>
  <si>
    <t>Indicatie warmtebehoefte afhankelijk van vormfactor en isolatiegraad</t>
  </si>
  <si>
    <t>Indicatie warmtebehoefte afhankelijk van vormfactor en ventilatiesysteem</t>
  </si>
  <si>
    <t>Indicatie koudebehoefte in kWh/m2 afhankelijk van vormfactor en isolatiegraad</t>
  </si>
  <si>
    <t>Indicatie koudebehoefte in kWh/m2 afhankelijk van vormfactor en ventilatiesysteem</t>
  </si>
  <si>
    <t>bouwjaarklasse</t>
  </si>
  <si>
    <t>BENG</t>
  </si>
  <si>
    <t>pakket</t>
  </si>
  <si>
    <t>m2 GBO</t>
  </si>
  <si>
    <r>
      <t xml:space="preserve">m2 raam per m2 GBO </t>
    </r>
    <r>
      <rPr>
        <i/>
        <sz val="10"/>
        <color rgb="FF000000"/>
        <rFont val="Calibri"/>
        <family val="2"/>
      </rPr>
      <t>m2/m2</t>
    </r>
  </si>
  <si>
    <t>vormfactor</t>
  </si>
  <si>
    <r>
      <t>indicatie gemiddelde warmtedoorgangscoëfficiënt per bouwjaarklasse</t>
    </r>
    <r>
      <rPr>
        <sz val="10"/>
        <color theme="3"/>
        <rFont val="Calibri"/>
        <family val="2"/>
      </rPr>
      <t xml:space="preserve"> W/m2K</t>
    </r>
  </si>
  <si>
    <r>
      <t xml:space="preserve">indicatie gemiddelde warmtedoorgangscoëfficiënt van bouwjaarklasse </t>
    </r>
    <r>
      <rPr>
        <sz val="10"/>
        <color theme="3"/>
        <rFont val="Calibri"/>
        <family val="2"/>
      </rPr>
      <t>W/m2K</t>
    </r>
  </si>
  <si>
    <t>isolatiegraad uitgedrukt in de gemiddelde warmtedoorgamgscoëfficiënt in W/m2K</t>
  </si>
  <si>
    <t>ventilatiesysteem</t>
  </si>
  <si>
    <t>2013-2019</t>
  </si>
  <si>
    <t>passief</t>
  </si>
  <si>
    <t>(Averlies/Ag)</t>
  </si>
  <si>
    <r>
      <t xml:space="preserve">indicatie warmtebehoefte </t>
    </r>
    <r>
      <rPr>
        <sz val="10"/>
        <color theme="3"/>
        <rFont val="Calibri"/>
        <family val="2"/>
      </rPr>
      <t>kWh/m2</t>
    </r>
  </si>
  <si>
    <r>
      <t xml:space="preserve">indicatie koudebehoefte </t>
    </r>
    <r>
      <rPr>
        <sz val="10"/>
        <color theme="3"/>
        <rFont val="Calibri"/>
        <family val="2"/>
      </rPr>
      <t>kWh/m2</t>
    </r>
  </si>
  <si>
    <t>Wijzigingen 5.03 t.o.v. 5.02</t>
  </si>
  <si>
    <t>Diverse bugfixes.</t>
  </si>
  <si>
    <t>aquathermie</t>
  </si>
  <si>
    <t>BRON?</t>
  </si>
  <si>
    <t>ind HR107</t>
  </si>
  <si>
    <t>bijbehorende energielabel</t>
  </si>
  <si>
    <t>fofaitair isolatiepakket gebouwschil</t>
  </si>
  <si>
    <t>2006-2014</t>
  </si>
  <si>
    <t>referentie utiliteit bestaand</t>
  </si>
  <si>
    <t>G10 kantoor S</t>
  </si>
  <si>
    <t>G14 winkel M</t>
  </si>
  <si>
    <t>G16 sport S</t>
  </si>
  <si>
    <t>G17 sport M</t>
  </si>
  <si>
    <t>G18 sport L</t>
  </si>
  <si>
    <t>G12 kantoor XL</t>
  </si>
  <si>
    <t>G15 winkel XL</t>
  </si>
  <si>
    <t>G13 winkel XS</t>
  </si>
  <si>
    <t>G19 school M</t>
  </si>
  <si>
    <t>G20 school L</t>
  </si>
  <si>
    <t>G21 school XL</t>
  </si>
  <si>
    <t>G22 bijeen XS</t>
  </si>
  <si>
    <t>G23 bijeen M</t>
  </si>
  <si>
    <t>G24 bijeen L</t>
  </si>
  <si>
    <t>G25 KDV S</t>
  </si>
  <si>
    <t>G26 KDV M</t>
  </si>
  <si>
    <t>G27 zorg S</t>
  </si>
  <si>
    <t>G28 zorg L</t>
  </si>
  <si>
    <t>G29 zorg XL</t>
  </si>
  <si>
    <t>G31 zorg bed L</t>
  </si>
  <si>
    <t>G33 cel L</t>
  </si>
  <si>
    <t>G34 cel XL</t>
  </si>
  <si>
    <t>G35 cel XXL</t>
  </si>
  <si>
    <t>G36 logies M</t>
  </si>
  <si>
    <t>G37 logies L</t>
  </si>
  <si>
    <t>G38 logies XL</t>
  </si>
  <si>
    <t>G39 logies XS</t>
  </si>
  <si>
    <t>G11 kantoor L</t>
  </si>
  <si>
    <t>G30 zorg bed S</t>
  </si>
  <si>
    <t>G32 zorg bed XXL</t>
  </si>
  <si>
    <t xml:space="preserve">   optioneel: eigen waarde [keuzelijst]</t>
  </si>
  <si>
    <t>2015-2023</t>
  </si>
  <si>
    <t>Tabellenbijlage 'Klimaat- en Energieverkenning 2022', tabel 23a</t>
  </si>
  <si>
    <t>2040*</t>
  </si>
  <si>
    <t xml:space="preserve">correctiefactor warmtebehoefte ruimteverwarming </t>
  </si>
  <si>
    <t>hybride (warmtepomp+ketel)</t>
  </si>
  <si>
    <t>www.installatiemonitor.nl</t>
  </si>
  <si>
    <t>Uniforme Maatlat Gebouwde Omgeving 5.04</t>
  </si>
  <si>
    <t>Wijzigingen 5.04 t.o.v. 5.03</t>
  </si>
  <si>
    <t>Toegegevoegd</t>
  </si>
  <si>
    <t>Renovatiestandaard voor utiliteitsgebouwen</t>
  </si>
  <si>
    <t>Voorbeeldwoningen Bestaande Bouw 2022</t>
  </si>
  <si>
    <t>standaard won</t>
  </si>
  <si>
    <t>streefw. won</t>
  </si>
  <si>
    <t>vrij 06-14</t>
  </si>
  <si>
    <t>vrij 15-18</t>
  </si>
  <si>
    <t>2/1 kap 06-14</t>
  </si>
  <si>
    <t>2/1 kap 15-18</t>
  </si>
  <si>
    <t>maison 06-14</t>
  </si>
  <si>
    <t>maison 15-18</t>
  </si>
  <si>
    <t>galerij 06-14</t>
  </si>
  <si>
    <t>galerij 15-18</t>
  </si>
  <si>
    <t>portiek 06-14</t>
  </si>
  <si>
    <t>portiek 15-18</t>
  </si>
  <si>
    <t>overig 06-14</t>
  </si>
  <si>
    <t>overig 15-18</t>
  </si>
  <si>
    <t>vrij 65-74</t>
  </si>
  <si>
    <t>vrij 75-91</t>
  </si>
  <si>
    <t>vrij 92-05</t>
  </si>
  <si>
    <t>2/1 kap 65-74</t>
  </si>
  <si>
    <t>2/1 kap 75-91</t>
  </si>
  <si>
    <t>2/1 kap 92-05</t>
  </si>
  <si>
    <t>maison 65-74</t>
  </si>
  <si>
    <t>maison 75-91</t>
  </si>
  <si>
    <t>maison 92-05</t>
  </si>
  <si>
    <t>galerij 65-74</t>
  </si>
  <si>
    <t>galerij 75-91</t>
  </si>
  <si>
    <t>galerij 92-05</t>
  </si>
  <si>
    <t>portiek 46-64</t>
  </si>
  <si>
    <t>portiek 65-74</t>
  </si>
  <si>
    <t>portiek 75-91</t>
  </si>
  <si>
    <t>portiek 92-05</t>
  </si>
  <si>
    <t>overig 65-74</t>
  </si>
  <si>
    <t>overig 75-91</t>
  </si>
  <si>
    <t>overig 92-05</t>
  </si>
  <si>
    <t>tussen 15-18</t>
  </si>
  <si>
    <t>tussen 06-14</t>
  </si>
  <si>
    <t>tussen 92-05</t>
  </si>
  <si>
    <t>tussen 75-91</t>
  </si>
  <si>
    <t>tussen 65-74</t>
  </si>
  <si>
    <t>tussen 46-64</t>
  </si>
  <si>
    <t>hoek 46-64</t>
  </si>
  <si>
    <t>hoek 65-74</t>
  </si>
  <si>
    <t>hoek 75-91</t>
  </si>
  <si>
    <t>hoek 92-05</t>
  </si>
  <si>
    <t>hoek 06-14</t>
  </si>
  <si>
    <t>hoek 15-18</t>
  </si>
  <si>
    <t>hoek &lt;46</t>
  </si>
  <si>
    <t>tussen &lt;46</t>
  </si>
  <si>
    <t>portiek &lt;46</t>
  </si>
  <si>
    <t>vrij &lt;65</t>
  </si>
  <si>
    <t>2/1 kap &lt;65</t>
  </si>
  <si>
    <t>maison &lt;65</t>
  </si>
  <si>
    <t>galerij &lt;65</t>
  </si>
  <si>
    <t>overig &lt;65</t>
  </si>
  <si>
    <t>Voorbeeld- woningen bestaand 2022</t>
  </si>
  <si>
    <t>Hybride installatie (gasketel + warmtepomp)</t>
  </si>
  <si>
    <t>Voorbeeldgebouwen utiliteit</t>
  </si>
  <si>
    <t>energielabel voor renovatiestandaard utiliteit</t>
  </si>
  <si>
    <t>informatie over renovatiestandaard</t>
  </si>
  <si>
    <t>renovatiestandaard utiliteit</t>
  </si>
  <si>
    <t>Update kentallen elektriciteitsnet cf KEV '22</t>
  </si>
  <si>
    <t>Voorbeeld</t>
  </si>
  <si>
    <t>0,50</t>
  </si>
  <si>
    <t>0,42</t>
  </si>
  <si>
    <t>0,57</t>
  </si>
  <si>
    <t>0,09</t>
  </si>
  <si>
    <t>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</si>
</sst>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4">
    <numFmt numFmtId="42" formatCode="_ &quot;€&quot;\ * #,##0_ ;_ &quot;€&quot;\ * \-#,##0_ ;_ &quot;€&quot;\ * &quot;-&quot;_ ;_ @_ "/>
    <numFmt numFmtId="41" formatCode="_ * #,##0_ ;_ * \-#,##0_ ;_ * &quot;-&quot;_ ;_ @_ "/>
    <numFmt numFmtId="44" formatCode="_ &quot;€&quot;\ * #,##0.00_ ;_ &quot;€&quot;\ * \-#,##0.00_ ;_ &quot;€&quot;\ * &quot;-&quot;??_ ;_ @_ "/>
    <numFmt numFmtId="43" formatCode="_ * #,##0.00_ ;_ * \-#,##0.00_ ;_ * &quot;-&quot;??_ ;_ @_ "/>
    <numFmt numFmtId="164" formatCode="0.0"/>
    <numFmt numFmtId="165" formatCode="0.000"/>
    <numFmt numFmtId="166" formatCode="#,##0.000"/>
    <numFmt numFmtId="167" formatCode="#,##0.0000"/>
    <numFmt numFmtId="168" formatCode="#,##0.0"/>
    <numFmt numFmtId="169" formatCode="#,##0.00000"/>
    <numFmt numFmtId="170" formatCode="#,##0.000000000"/>
    <numFmt numFmtId="171" formatCode="0.0000"/>
    <numFmt numFmtId="172" formatCode="d\ mmmm\ yyyy"/>
    <numFmt numFmtId="173" formatCode="0.0000000"/>
    <numFmt numFmtId="174" formatCode="&quot;hoog: &quot;0%"/>
    <numFmt numFmtId="175" formatCode="0.0%"/>
    <numFmt numFmtId="176" formatCode="&quot;versie &quot;dd\ mmm\ yyyy"/>
    <numFmt numFmtId="177" formatCode="&quot;versie &quot;dd\ mmmm\ yyyy"/>
    <numFmt numFmtId="178" formatCode="&quot;Ri + Re &quot;#,##0.00"/>
    <numFmt numFmtId="179" formatCode="&quot;max bijdrage weegfactor &quot;#,##0%"/>
    <numFmt numFmtId="180" formatCode="\+#,##0.0;\-#,##0.0"/>
    <numFmt numFmtId="181" formatCode="\+#,##0%;\-#,##0%"/>
    <numFmt numFmtId="182" formatCode="&quot;PEF: &quot;0.000"/>
    <numFmt numFmtId="183" formatCode="0.000&quot; kgCO2/kWh&quot;"/>
  </numFmts>
  <fonts count="176" x14ac:knownFonts="1">
    <font>
      <sz val="10"/>
      <name val="Calibri"/>
      <family val="2"/>
    </font>
    <font>
      <sz val="10"/>
      <color theme="1"/>
      <name val="Inter"/>
      <family val="2"/>
    </font>
    <font>
      <sz val="11"/>
      <color theme="1"/>
      <name val="Calibri"/>
      <family val="2"/>
      <scheme val="minor"/>
    </font>
    <font>
      <sz val="10"/>
      <color indexed="9"/>
      <name val="Verdana"/>
      <family val="2"/>
    </font>
    <font>
      <sz val="8"/>
      <name val="Verdana"/>
      <family val="2"/>
    </font>
    <font>
      <sz val="10"/>
      <name val="Arial"/>
      <family val="2"/>
    </font>
    <font>
      <sz val="9"/>
      <color indexed="81"/>
      <name val="Tahoma"/>
      <family val="2"/>
    </font>
    <font>
      <u/>
      <sz val="8"/>
      <color indexed="12"/>
      <name val="Verdana"/>
      <family val="2"/>
    </font>
    <font>
      <sz val="11"/>
      <color theme="1"/>
      <name val="Calibri"/>
      <family val="2"/>
      <scheme val="minor"/>
    </font>
    <font>
      <sz val="11"/>
      <color theme="0"/>
      <name val="Calibri"/>
      <family val="2"/>
      <scheme val="minor"/>
    </font>
    <font>
      <b/>
      <sz val="11"/>
      <color theme="0"/>
      <name val="Calibri"/>
      <family val="2"/>
      <scheme val="minor"/>
    </font>
    <font>
      <sz val="11"/>
      <color rgb="FF006100"/>
      <name val="Calibri"/>
      <family val="2"/>
      <scheme val="minor"/>
    </font>
    <font>
      <sz val="11"/>
      <color rgb="FF9C0006"/>
      <name val="Calibri"/>
      <family val="2"/>
      <scheme val="minor"/>
    </font>
    <font>
      <b/>
      <sz val="11"/>
      <color theme="1"/>
      <name val="Calibri"/>
      <family val="2"/>
      <scheme val="minor"/>
    </font>
    <font>
      <b/>
      <sz val="11"/>
      <color rgb="FF3F3F3F"/>
      <name val="Calibri"/>
      <family val="2"/>
      <scheme val="minor"/>
    </font>
    <font>
      <i/>
      <sz val="11"/>
      <color rgb="FF7F7F7F"/>
      <name val="Calibri"/>
      <family val="2"/>
      <scheme val="minor"/>
    </font>
    <font>
      <sz val="11"/>
      <color rgb="FFFF0000"/>
      <name val="Calibri"/>
      <family val="2"/>
      <scheme val="minor"/>
    </font>
    <font>
      <sz val="10"/>
      <color theme="0"/>
      <name val="Calibri"/>
      <family val="2"/>
      <scheme val="minor"/>
    </font>
    <font>
      <b/>
      <sz val="10"/>
      <color theme="0"/>
      <name val="Calibri"/>
      <family val="2"/>
      <scheme val="minor"/>
    </font>
    <font>
      <sz val="10"/>
      <name val="Calibri"/>
      <family val="2"/>
      <scheme val="minor"/>
    </font>
    <font>
      <sz val="8"/>
      <name val="Calibri"/>
      <family val="2"/>
      <scheme val="minor"/>
    </font>
    <font>
      <sz val="8"/>
      <color theme="0"/>
      <name val="Calibri"/>
      <family val="2"/>
      <scheme val="minor"/>
    </font>
    <font>
      <b/>
      <sz val="10"/>
      <name val="Calibri"/>
      <family val="2"/>
      <scheme val="minor"/>
    </font>
    <font>
      <sz val="10"/>
      <color indexed="9"/>
      <name val="Calibri"/>
      <family val="2"/>
      <scheme val="minor"/>
    </font>
    <font>
      <sz val="10"/>
      <color indexed="8"/>
      <name val="Calibri"/>
      <family val="2"/>
      <scheme val="minor"/>
    </font>
    <font>
      <sz val="10"/>
      <color rgb="FF275937"/>
      <name val="Calibri"/>
      <family val="2"/>
      <scheme val="minor"/>
    </font>
    <font>
      <sz val="10"/>
      <color rgb="FF0070C0"/>
      <name val="Calibri"/>
      <family val="2"/>
      <scheme val="minor"/>
    </font>
    <font>
      <b/>
      <sz val="10"/>
      <color rgb="FF275937"/>
      <name val="Calibri"/>
      <family val="2"/>
      <scheme val="minor"/>
    </font>
    <font>
      <sz val="8"/>
      <color rgb="FFFF0000"/>
      <name val="Calibri"/>
      <family val="2"/>
      <scheme val="minor"/>
    </font>
    <font>
      <sz val="10"/>
      <color rgb="FFFF0000"/>
      <name val="Calibri"/>
      <family val="2"/>
      <scheme val="minor"/>
    </font>
    <font>
      <b/>
      <sz val="10"/>
      <color rgb="FFFF0000"/>
      <name val="Calibri"/>
      <family val="2"/>
      <scheme val="minor"/>
    </font>
    <font>
      <i/>
      <sz val="10"/>
      <color indexed="25"/>
      <name val="Calibri"/>
      <family val="2"/>
      <scheme val="minor"/>
    </font>
    <font>
      <i/>
      <sz val="10"/>
      <name val="Calibri"/>
      <family val="2"/>
      <scheme val="minor"/>
    </font>
    <font>
      <sz val="10"/>
      <color indexed="10"/>
      <name val="Calibri"/>
      <family val="2"/>
      <scheme val="minor"/>
    </font>
    <font>
      <sz val="10"/>
      <color theme="0" tint="-0.499984740745262"/>
      <name val="Calibri"/>
      <family val="2"/>
      <scheme val="minor"/>
    </font>
    <font>
      <i/>
      <sz val="10"/>
      <color rgb="FFFF0000"/>
      <name val="Calibri"/>
      <family val="2"/>
      <scheme val="minor"/>
    </font>
    <font>
      <sz val="11"/>
      <name val="Wingdings 2"/>
      <family val="1"/>
      <charset val="2"/>
    </font>
    <font>
      <sz val="10"/>
      <color rgb="FF39870C"/>
      <name val="Calibri"/>
      <family val="2"/>
      <scheme val="minor"/>
    </font>
    <font>
      <sz val="11"/>
      <color theme="0" tint="-0.34998626667073579"/>
      <name val="Wingdings 2"/>
      <family val="1"/>
      <charset val="2"/>
    </font>
    <font>
      <i/>
      <sz val="11"/>
      <color theme="0" tint="-0.34998626667073579"/>
      <name val="Wingdings 2"/>
      <family val="1"/>
      <charset val="2"/>
    </font>
    <font>
      <b/>
      <sz val="12"/>
      <color indexed="9"/>
      <name val="Calibri"/>
      <family val="2"/>
      <scheme val="minor"/>
    </font>
    <font>
      <sz val="18"/>
      <color indexed="24"/>
      <name val="Calibri"/>
      <family val="2"/>
      <scheme val="minor"/>
    </font>
    <font>
      <sz val="12"/>
      <name val="Calibri"/>
      <family val="2"/>
      <scheme val="minor"/>
    </font>
    <font>
      <sz val="12"/>
      <color indexed="9"/>
      <name val="Calibri"/>
      <family val="2"/>
      <scheme val="minor"/>
    </font>
    <font>
      <sz val="12"/>
      <color indexed="8"/>
      <name val="Calibri"/>
      <family val="2"/>
      <scheme val="minor"/>
    </font>
    <font>
      <sz val="12"/>
      <color indexed="25"/>
      <name val="Calibri"/>
      <family val="2"/>
      <scheme val="minor"/>
    </font>
    <font>
      <sz val="200"/>
      <name val="Calibri"/>
      <family val="2"/>
      <scheme val="minor"/>
    </font>
    <font>
      <i/>
      <sz val="12"/>
      <color indexed="24"/>
      <name val="Calibri"/>
      <family val="2"/>
      <scheme val="minor"/>
    </font>
    <font>
      <b/>
      <sz val="18"/>
      <color rgb="FF275937"/>
      <name val="Calibri"/>
      <family val="2"/>
    </font>
    <font>
      <sz val="11"/>
      <name val="Verdana"/>
      <family val="2"/>
    </font>
    <font>
      <b/>
      <sz val="16"/>
      <color rgb="FF275937"/>
      <name val="Calibri"/>
      <family val="2"/>
      <scheme val="minor"/>
    </font>
    <font>
      <b/>
      <sz val="16"/>
      <color theme="3"/>
      <name val="Calibri"/>
      <family val="2"/>
      <scheme val="minor"/>
    </font>
    <font>
      <u/>
      <sz val="8"/>
      <color theme="11"/>
      <name val="Verdana"/>
      <family val="2"/>
    </font>
    <font>
      <sz val="20"/>
      <color rgb="FFFF0000"/>
      <name val="Calibri"/>
      <family val="2"/>
      <scheme val="minor"/>
    </font>
    <font>
      <sz val="11"/>
      <name val="Calibri"/>
      <family val="2"/>
      <scheme val="minor"/>
    </font>
    <font>
      <sz val="10"/>
      <color rgb="FFFA7D00"/>
      <name val="Calibri"/>
      <family val="2"/>
      <scheme val="minor"/>
    </font>
    <font>
      <b/>
      <sz val="10"/>
      <color rgb="FF0070C0"/>
      <name val="Calibri"/>
      <family val="2"/>
      <scheme val="minor"/>
    </font>
    <font>
      <sz val="10"/>
      <color theme="0"/>
      <name val="Verdana"/>
      <family val="2"/>
    </font>
    <font>
      <b/>
      <sz val="8"/>
      <color rgb="FFC00000"/>
      <name val="Verdana"/>
      <family val="2"/>
    </font>
    <font>
      <sz val="10"/>
      <name val="Calibri Light"/>
      <family val="2"/>
    </font>
    <font>
      <b/>
      <sz val="10"/>
      <color rgb="FFFF0000"/>
      <name val="Calibri Light"/>
      <family val="2"/>
    </font>
    <font>
      <b/>
      <sz val="16"/>
      <color rgb="FFFF0000"/>
      <name val="Calibri Light"/>
      <family val="2"/>
    </font>
    <font>
      <sz val="8"/>
      <name val="Calibri Light"/>
      <family val="2"/>
    </font>
    <font>
      <sz val="10"/>
      <color indexed="8"/>
      <name val="Calibri Light"/>
      <family val="2"/>
    </font>
    <font>
      <sz val="10"/>
      <color rgb="FFFF0000"/>
      <name val="Calibri Light"/>
      <family val="2"/>
    </font>
    <font>
      <sz val="10"/>
      <color indexed="9"/>
      <name val="Calibri Light"/>
      <family val="2"/>
    </font>
    <font>
      <b/>
      <sz val="10"/>
      <color theme="0"/>
      <name val="Calibri Light"/>
      <family val="2"/>
    </font>
    <font>
      <sz val="10"/>
      <color theme="0"/>
      <name val="Calibri Light"/>
      <family val="2"/>
    </font>
    <font>
      <sz val="10"/>
      <color theme="1"/>
      <name val="Calibri Light"/>
      <family val="2"/>
    </font>
    <font>
      <sz val="10"/>
      <color rgb="FF275937"/>
      <name val="Calibri Light"/>
      <family val="2"/>
    </font>
    <font>
      <b/>
      <sz val="10"/>
      <color rgb="FF275937"/>
      <name val="Calibri Light"/>
      <family val="2"/>
    </font>
    <font>
      <sz val="10"/>
      <color theme="0" tint="-0.34998626667073579"/>
      <name val="Calibri Light"/>
      <family val="2"/>
    </font>
    <font>
      <sz val="10"/>
      <color theme="0" tint="-0.249977111117893"/>
      <name val="Calibri Light"/>
      <family val="2"/>
    </font>
    <font>
      <i/>
      <sz val="10"/>
      <name val="Calibri Light"/>
      <family val="2"/>
    </font>
    <font>
      <b/>
      <sz val="10"/>
      <color theme="3"/>
      <name val="Calibri Light"/>
      <family val="2"/>
    </font>
    <font>
      <sz val="10"/>
      <color theme="3"/>
      <name val="Calibri Light"/>
      <family val="2"/>
    </font>
    <font>
      <sz val="10"/>
      <color rgb="FF00B050"/>
      <name val="Calibri Light"/>
      <family val="2"/>
    </font>
    <font>
      <sz val="10"/>
      <color rgb="FF0070C0"/>
      <name val="Calibri Light"/>
      <family val="2"/>
    </font>
    <font>
      <sz val="10"/>
      <color indexed="10"/>
      <name val="Calibri Light"/>
      <family val="2"/>
    </font>
    <font>
      <sz val="10"/>
      <color theme="3" tint="0.39997558519241921"/>
      <name val="Calibri Light"/>
      <family val="2"/>
    </font>
    <font>
      <sz val="14"/>
      <name val="Calibri"/>
      <family val="2"/>
      <scheme val="minor"/>
    </font>
    <font>
      <sz val="14"/>
      <color rgb="FF275937"/>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9C5700"/>
      <name val="Calibri"/>
      <family val="2"/>
      <scheme val="minor"/>
    </font>
    <font>
      <sz val="11"/>
      <color rgb="FFFA7D00"/>
      <name val="Calibri"/>
      <family val="2"/>
      <scheme val="minor"/>
    </font>
    <font>
      <b/>
      <sz val="10"/>
      <color theme="3"/>
      <name val="Calibri"/>
      <family val="2"/>
      <scheme val="minor"/>
    </font>
    <font>
      <b/>
      <sz val="16"/>
      <color theme="3"/>
      <name val="Calibri"/>
      <family val="2"/>
    </font>
    <font>
      <sz val="16"/>
      <color theme="3"/>
      <name val="Calibri"/>
      <family val="2"/>
      <scheme val="minor"/>
    </font>
    <font>
      <sz val="11"/>
      <name val="Calibri"/>
      <family val="2"/>
    </font>
    <font>
      <vertAlign val="subscript"/>
      <sz val="10"/>
      <color rgb="FF000000"/>
      <name val="Calibri Light"/>
      <family val="2"/>
    </font>
    <font>
      <sz val="16"/>
      <color rgb="FF275937"/>
      <name val="Calibri"/>
      <family val="2"/>
      <scheme val="minor"/>
    </font>
    <font>
      <b/>
      <sz val="10"/>
      <color theme="3"/>
      <name val="Calibri"/>
      <family val="2"/>
    </font>
    <font>
      <b/>
      <sz val="10"/>
      <color rgb="FF275937"/>
      <name val="Calibri"/>
      <family val="2"/>
    </font>
    <font>
      <b/>
      <vertAlign val="subscript"/>
      <sz val="16"/>
      <color theme="3"/>
      <name val="Calibri"/>
      <family val="2"/>
      <scheme val="minor"/>
    </font>
    <font>
      <u/>
      <sz val="10"/>
      <color theme="10"/>
      <name val="Calibri Light"/>
      <family val="2"/>
    </font>
    <font>
      <sz val="10"/>
      <color rgb="FF00B050"/>
      <name val="Calibri"/>
      <family val="2"/>
      <scheme val="minor"/>
    </font>
    <font>
      <sz val="10"/>
      <color theme="0" tint="-0.499984740745262"/>
      <name val="Wingdings 2"/>
      <family val="1"/>
      <charset val="2"/>
    </font>
    <font>
      <sz val="10"/>
      <color rgb="FFFF0000"/>
      <name val="Verdana"/>
      <family val="2"/>
    </font>
    <font>
      <sz val="10"/>
      <color indexed="8"/>
      <name val="Calibri"/>
      <family val="2"/>
    </font>
    <font>
      <sz val="10"/>
      <name val="Calibri"/>
      <family val="2"/>
    </font>
    <font>
      <sz val="9"/>
      <color theme="9" tint="-0.24994659260841701"/>
      <name val="Calibri Light"/>
      <family val="2"/>
    </font>
    <font>
      <sz val="10"/>
      <color theme="9" tint="-0.24994659260841701"/>
      <name val="Calibri Light"/>
      <family val="2"/>
    </font>
    <font>
      <sz val="10"/>
      <color theme="9" tint="-0.24994659260841701"/>
      <name val="Calibri"/>
      <family val="2"/>
    </font>
    <font>
      <sz val="9"/>
      <color indexed="8"/>
      <name val="Calibri Light"/>
      <family val="2"/>
    </font>
    <font>
      <sz val="10"/>
      <color indexed="9"/>
      <name val="Calibri"/>
      <family val="2"/>
    </font>
    <font>
      <sz val="12"/>
      <color theme="9"/>
      <name val="Calibri"/>
      <family val="2"/>
    </font>
    <font>
      <sz val="1"/>
      <color theme="9"/>
      <name val="Calibri"/>
      <family val="2"/>
    </font>
    <font>
      <b/>
      <sz val="18"/>
      <color theme="3"/>
      <name val="Calibri"/>
      <family val="2"/>
    </font>
    <font>
      <sz val="9"/>
      <color theme="3"/>
      <name val="Calibri"/>
      <family val="2"/>
    </font>
    <font>
      <sz val="14"/>
      <color theme="0" tint="-0.34998626667073579"/>
      <name val="Calibri"/>
      <family val="2"/>
    </font>
    <font>
      <sz val="16"/>
      <color theme="0" tint="-0.34998626667073579"/>
      <name val="Calibri"/>
      <family val="2"/>
    </font>
    <font>
      <sz val="7"/>
      <color theme="0" tint="-0.24994659260841701"/>
      <name val="Calibri Light"/>
      <family val="2"/>
    </font>
    <font>
      <sz val="16"/>
      <name val="Wingdings 2"/>
      <family val="1"/>
      <charset val="2"/>
    </font>
    <font>
      <sz val="9"/>
      <color theme="1"/>
      <name val="Calibri"/>
      <family val="2"/>
    </font>
    <font>
      <sz val="12"/>
      <color theme="1"/>
      <name val="Calibri"/>
      <family val="2"/>
    </font>
    <font>
      <sz val="1"/>
      <color theme="0"/>
      <name val="Calibri"/>
      <family val="2"/>
    </font>
    <font>
      <sz val="9"/>
      <color rgb="FF275937"/>
      <name val="Calibri"/>
      <family val="2"/>
    </font>
    <font>
      <sz val="10"/>
      <color rgb="FF275937"/>
      <name val="Calibri"/>
      <family val="2"/>
    </font>
    <font>
      <u/>
      <sz val="10"/>
      <color indexed="8"/>
      <name val="Calibri"/>
      <family val="2"/>
    </font>
    <font>
      <sz val="10"/>
      <color theme="3"/>
      <name val="Calibri"/>
      <family val="2"/>
    </font>
    <font>
      <sz val="10"/>
      <color rgb="FFFF0000"/>
      <name val="Calibri"/>
      <family val="2"/>
    </font>
    <font>
      <b/>
      <sz val="12"/>
      <color rgb="FF000000"/>
      <name val="Calibri"/>
      <family val="2"/>
      <scheme val="minor"/>
    </font>
    <font>
      <b/>
      <sz val="10"/>
      <color theme="1"/>
      <name val="Calibri Light"/>
      <family val="2"/>
    </font>
    <font>
      <i/>
      <sz val="12"/>
      <color rgb="FF000000"/>
      <name val="Calibri"/>
      <family val="2"/>
      <scheme val="minor"/>
    </font>
    <font>
      <sz val="12"/>
      <color rgb="FF000000"/>
      <name val="Calibri"/>
      <family val="2"/>
      <scheme val="minor"/>
    </font>
    <font>
      <sz val="10"/>
      <color theme="0"/>
      <name val="Calibri"/>
      <family val="2"/>
    </font>
    <font>
      <sz val="12"/>
      <name val="Calibri Light"/>
      <family val="2"/>
    </font>
    <font>
      <sz val="11"/>
      <color theme="0" tint="-0.499984740745262"/>
      <name val="Wingdings 2"/>
      <family val="1"/>
      <charset val="2"/>
    </font>
    <font>
      <sz val="1"/>
      <color theme="0" tint="-0.499984740745262"/>
      <name val="Wingdings 2"/>
      <family val="1"/>
      <charset val="2"/>
    </font>
    <font>
      <sz val="10"/>
      <color rgb="FF00B050"/>
      <name val="Calibri"/>
      <family val="2"/>
    </font>
    <font>
      <u/>
      <sz val="10"/>
      <color theme="9" tint="-0.24994659260841701"/>
      <name val="Calibri"/>
      <family val="2"/>
    </font>
    <font>
      <b/>
      <sz val="10"/>
      <color theme="9" tint="-0.24994659260841701"/>
      <name val="Calibri"/>
      <family val="2"/>
    </font>
    <font>
      <u/>
      <sz val="10"/>
      <color rgb="FF0070C0"/>
      <name val="Calibri"/>
      <family val="2"/>
    </font>
    <font>
      <sz val="10"/>
      <color rgb="FF000000"/>
      <name val="Calibri"/>
      <family val="2"/>
    </font>
    <font>
      <sz val="10"/>
      <color theme="0" tint="-0.14999847407452621"/>
      <name val="Calibri"/>
      <family val="2"/>
    </font>
    <font>
      <i/>
      <sz val="10"/>
      <color indexed="8"/>
      <name val="Calibri"/>
      <family val="2"/>
    </font>
    <font>
      <b/>
      <sz val="10"/>
      <color indexed="8"/>
      <name val="Calibri"/>
      <family val="2"/>
    </font>
    <font>
      <sz val="16"/>
      <color theme="0" tint="-0.499984740745262"/>
      <name val="Calibri"/>
      <family val="2"/>
    </font>
    <font>
      <sz val="10"/>
      <color theme="0" tint="-0.499984740745262"/>
      <name val="Calibri"/>
      <family val="2"/>
    </font>
    <font>
      <sz val="10"/>
      <color theme="0" tint="-0.499984740745262"/>
      <name val="Calibri Light"/>
      <family val="2"/>
    </font>
    <font>
      <sz val="14"/>
      <name val="Calibri"/>
      <family val="2"/>
    </font>
    <font>
      <sz val="1"/>
      <color indexed="9"/>
      <name val="Calibri"/>
      <family val="2"/>
    </font>
    <font>
      <sz val="1"/>
      <name val="Calibri"/>
      <family val="2"/>
    </font>
    <font>
      <sz val="10"/>
      <color theme="1"/>
      <name val="Calibri"/>
      <family val="2"/>
    </font>
    <font>
      <i/>
      <sz val="10"/>
      <color theme="3"/>
      <name val="Calibri"/>
      <family val="2"/>
      <scheme val="minor"/>
    </font>
    <font>
      <sz val="11"/>
      <color theme="0" tint="-0.499984740745262"/>
      <name val="Calibri"/>
      <family val="2"/>
    </font>
    <font>
      <sz val="11"/>
      <color theme="9"/>
      <name val="Calibri"/>
      <family val="2"/>
    </font>
    <font>
      <sz val="11"/>
      <color indexed="23"/>
      <name val="Wingdings 2"/>
      <family val="1"/>
      <charset val="2"/>
    </font>
    <font>
      <sz val="11"/>
      <color theme="0" tint="-0.34998626667073579"/>
      <name val="Calibri"/>
      <family val="2"/>
    </font>
    <font>
      <sz val="11"/>
      <color indexed="9"/>
      <name val="Calibri"/>
      <family val="2"/>
    </font>
    <font>
      <i/>
      <sz val="10"/>
      <color rgb="FF000000"/>
      <name val="Calibri"/>
      <family val="2"/>
    </font>
    <font>
      <b/>
      <sz val="12"/>
      <color theme="3"/>
      <name val="Calibri"/>
      <family val="2"/>
      <scheme val="minor"/>
    </font>
    <font>
      <b/>
      <sz val="12"/>
      <color theme="3"/>
      <name val="Calibri"/>
      <family val="2"/>
    </font>
    <font>
      <sz val="10"/>
      <color theme="1" tint="0.34998626667073579"/>
      <name val="Calibri"/>
      <family val="2"/>
      <scheme val="minor"/>
    </font>
    <font>
      <sz val="10"/>
      <color theme="3"/>
      <name val="Calibri"/>
      <family val="2"/>
      <scheme val="minor"/>
    </font>
    <font>
      <sz val="10"/>
      <color theme="9"/>
      <name val="Calibri"/>
      <family val="2"/>
    </font>
    <font>
      <i/>
      <sz val="10"/>
      <color theme="0" tint="-0.499984740745262"/>
      <name val="Calibri"/>
      <family val="2"/>
    </font>
    <font>
      <i/>
      <u/>
      <sz val="10"/>
      <color theme="10"/>
      <name val="Calibri"/>
      <family val="2"/>
    </font>
    <font>
      <sz val="10"/>
      <color theme="0" tint="-0.249977111117893"/>
      <name val="Calibri"/>
      <family val="2"/>
    </font>
    <font>
      <sz val="10"/>
      <color theme="0" tint="-4.9989318521683403E-2"/>
      <name val="Calibri"/>
      <family val="2"/>
    </font>
    <font>
      <sz val="9"/>
      <color theme="0" tint="-0.499984740745262"/>
      <name val="Calibri"/>
      <family val="2"/>
    </font>
    <font>
      <sz val="1"/>
      <name val="Calibri"/>
      <family val="2"/>
      <scheme val="minor"/>
    </font>
    <font>
      <sz val="1"/>
      <name val="Wingdings 2"/>
      <family val="1"/>
      <charset val="2"/>
    </font>
    <font>
      <sz val="16"/>
      <color theme="0" tint="-0.14999847407452621"/>
      <name val="Calibri"/>
      <family val="2"/>
    </font>
    <font>
      <sz val="12"/>
      <color theme="0" tint="-0.14999847407452621"/>
      <name val="Calibri"/>
      <family val="2"/>
    </font>
    <font>
      <sz val="1"/>
      <color theme="0" tint="-0.14999847407452621"/>
      <name val="Calibri"/>
      <family val="2"/>
    </font>
    <font>
      <sz val="12"/>
      <color theme="0" tint="-0.499984740745262"/>
      <name val="Wingdings 2"/>
      <family val="1"/>
      <charset val="2"/>
    </font>
    <font>
      <sz val="12"/>
      <color theme="3"/>
      <name val="Calibri"/>
      <family val="2"/>
    </font>
    <font>
      <b/>
      <sz val="1"/>
      <color rgb="FFFF0000"/>
      <name val="Calibri"/>
      <family val="2"/>
      <scheme val="minor"/>
    </font>
    <font>
      <vertAlign val="subscript"/>
      <sz val="10"/>
      <name val="Calibri"/>
      <family val="2"/>
    </font>
    <font>
      <vertAlign val="subscript"/>
      <sz val="10"/>
      <name val="Calibri"/>
      <family val="2"/>
      <scheme val="minor"/>
    </font>
    <font>
      <b/>
      <i/>
      <sz val="10"/>
      <name val="Calibri"/>
      <family val="2"/>
    </font>
    <font>
      <b/>
      <sz val="10"/>
      <name val="Calibri"/>
      <family val="2"/>
    </font>
    <font>
      <sz val="10"/>
      <color rgb="FF0070C0"/>
      <name val="Calibri"/>
      <family val="2"/>
    </font>
  </fonts>
  <fills count="57">
    <fill>
      <patternFill patternType="none"/>
    </fill>
    <fill>
      <patternFill patternType="gray125"/>
    </fill>
    <fill>
      <patternFill patternType="solid">
        <fgColor indexed="9"/>
        <bgColor indexed="64"/>
      </patternFill>
    </fill>
    <fill>
      <patternFill patternType="solid">
        <fgColor indexed="24"/>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patternFill>
    </fill>
    <fill>
      <patternFill patternType="solid">
        <fgColor rgb="FFA5A5A5"/>
      </patternFill>
    </fill>
    <fill>
      <patternFill patternType="solid">
        <fgColor rgb="FFFFEB9C"/>
      </patternFill>
    </fill>
    <fill>
      <patternFill patternType="solid">
        <fgColor rgb="FFFFFFCC"/>
      </patternFill>
    </fill>
    <fill>
      <patternFill patternType="solid">
        <fgColor rgb="FFF7FBE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4"/>
        <bgColor indexed="64"/>
      </patternFill>
    </fill>
    <fill>
      <patternFill patternType="solid">
        <fgColor theme="0" tint="-0.14996795556505021"/>
        <bgColor indexed="64"/>
      </patternFill>
    </fill>
    <fill>
      <patternFill patternType="solid">
        <fgColor theme="3"/>
        <bgColor indexed="64"/>
      </patternFill>
    </fill>
    <fill>
      <patternFill patternType="solid">
        <fgColor rgb="FFF2F2F2"/>
      </patternFill>
    </fill>
    <fill>
      <patternFill patternType="solid">
        <fgColor rgb="FFFF0000"/>
        <bgColor indexed="64"/>
      </patternFill>
    </fill>
    <fill>
      <patternFill patternType="solid">
        <fgColor theme="4" tint="0.79998168889431442"/>
        <bgColor indexed="64"/>
      </patternFill>
    </fill>
    <fill>
      <patternFill patternType="solid">
        <fgColor theme="7"/>
        <bgColor indexed="64"/>
      </patternFill>
    </fill>
    <fill>
      <patternFill patternType="solid">
        <fgColor rgb="FFC6EFCE"/>
      </patternFill>
    </fill>
    <fill>
      <patternFill patternType="solid">
        <fgColor rgb="FFFFC7CE"/>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6E6E6"/>
        <bgColor indexed="64"/>
      </patternFill>
    </fill>
    <fill>
      <patternFill patternType="solid">
        <fgColor rgb="FFCBD9EB"/>
        <bgColor indexed="64"/>
      </patternFill>
    </fill>
    <fill>
      <patternFill patternType="solid">
        <fgColor theme="6" tint="0.79998168889431442"/>
        <bgColor indexed="64"/>
      </patternFill>
    </fill>
    <fill>
      <patternFill patternType="solid">
        <fgColor rgb="FFDDE8C6"/>
        <bgColor indexed="64"/>
      </patternFill>
    </fill>
    <fill>
      <patternFill patternType="solid">
        <fgColor rgb="FFF7F7F7"/>
        <bgColor indexed="64"/>
      </patternFill>
    </fill>
    <fill>
      <patternFill patternType="solid">
        <fgColor theme="3" tint="0.39994506668294322"/>
        <bgColor indexed="64"/>
      </patternFill>
    </fill>
    <fill>
      <patternFill patternType="solid">
        <fgColor rgb="FF00823B"/>
        <bgColor indexed="64"/>
      </patternFill>
    </fill>
    <fill>
      <patternFill patternType="solid">
        <fgColor rgb="FFFFFF9B"/>
        <bgColor indexed="64"/>
      </patternFill>
    </fill>
    <fill>
      <patternFill patternType="solid">
        <fgColor rgb="FFFFFFFF"/>
        <bgColor indexed="64"/>
      </patternFill>
    </fill>
    <fill>
      <patternFill patternType="solid">
        <fgColor rgb="FF026A68"/>
        <bgColor indexed="64"/>
      </patternFill>
    </fill>
    <fill>
      <patternFill patternType="solid">
        <fgColor rgb="FFFFFFC8"/>
        <bgColor indexed="64"/>
      </patternFill>
    </fill>
    <fill>
      <patternFill patternType="solid">
        <fgColor theme="8" tint="0.79998168889431442"/>
        <bgColor indexed="64"/>
      </patternFill>
    </fill>
  </fills>
  <borders count="62">
    <border>
      <left/>
      <right/>
      <top/>
      <bottom/>
      <diagonal/>
    </border>
    <border>
      <left/>
      <right/>
      <top style="thin">
        <color indexed="24"/>
      </top>
      <bottom style="thin">
        <color indexed="24"/>
      </bottom>
      <diagonal/>
    </border>
    <border>
      <left/>
      <right/>
      <top style="thin">
        <color indexed="29"/>
      </top>
      <bottom style="thin">
        <color indexed="2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2" tint="-9.9948118533890809E-2"/>
      </top>
      <bottom style="thin">
        <color theme="2" tint="-9.9948118533890809E-2"/>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style="thin">
        <color theme="0" tint="-0.14996795556505021"/>
      </top>
      <bottom style="thin">
        <color theme="0" tint="-0.14996795556505021"/>
      </bottom>
      <diagonal/>
    </border>
    <border>
      <left/>
      <right/>
      <top style="thin">
        <color theme="0" tint="-0.14996795556505021"/>
      </top>
      <bottom/>
      <diagonal/>
    </border>
    <border>
      <left/>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left>
      <right/>
      <top/>
      <bottom/>
      <diagonal/>
    </border>
    <border>
      <left/>
      <right/>
      <top style="thin">
        <color theme="0" tint="-0.14993743705557422"/>
      </top>
      <bottom style="thin">
        <color theme="0" tint="-0.14993743705557422"/>
      </bottom>
      <diagonal/>
    </border>
    <border>
      <left/>
      <right/>
      <top/>
      <bottom style="thin">
        <color theme="0" tint="-0.14993743705557422"/>
      </bottom>
      <diagonal/>
    </border>
    <border>
      <left/>
      <right/>
      <top style="thin">
        <color theme="0" tint="-0.14993743705557422"/>
      </top>
      <bottom style="thin">
        <color theme="0" tint="-0.14996795556505021"/>
      </bottom>
      <diagonal/>
    </border>
    <border>
      <left/>
      <right/>
      <top style="thin">
        <color theme="0" tint="-0.14996795556505021"/>
      </top>
      <bottom style="thin">
        <color theme="0" tint="-0.1499374370555742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right/>
      <top style="thin">
        <color theme="4"/>
      </top>
      <bottom style="double">
        <color theme="4"/>
      </bottom>
      <diagonal/>
    </border>
    <border>
      <left/>
      <right/>
      <top style="thin">
        <color theme="0" tint="-0.14990691854609822"/>
      </top>
      <bottom style="thin">
        <color theme="0" tint="-0.14990691854609822"/>
      </bottom>
      <diagonal/>
    </border>
    <border>
      <left/>
      <right/>
      <top style="thin">
        <color theme="0" tint="-0.14993743705557422"/>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right/>
      <top/>
      <bottom style="thin">
        <color theme="0" tint="-0.24994659260841701"/>
      </bottom>
      <diagonal/>
    </border>
    <border>
      <left/>
      <right/>
      <top style="thin">
        <color theme="0" tint="-0.34998626667073579"/>
      </top>
      <bottom/>
      <diagonal/>
    </border>
    <border>
      <left style="thin">
        <color theme="0" tint="-0.34998626667073579"/>
      </left>
      <right/>
      <top style="thin">
        <color theme="0" tint="-0.34998626667073579"/>
      </top>
      <bottom style="thin">
        <color theme="0" tint="-0.14996795556505021"/>
      </bottom>
      <diagonal/>
    </border>
    <border>
      <left/>
      <right/>
      <top style="thin">
        <color theme="0" tint="-0.34998626667073579"/>
      </top>
      <bottom style="thin">
        <color theme="0" tint="-0.14996795556505021"/>
      </bottom>
      <diagonal/>
    </border>
    <border>
      <left/>
      <right style="thin">
        <color theme="0" tint="-0.34998626667073579"/>
      </right>
      <top style="thin">
        <color theme="0" tint="-0.34998626667073579"/>
      </top>
      <bottom style="thin">
        <color theme="0" tint="-0.14996795556505021"/>
      </bottom>
      <diagonal/>
    </border>
    <border>
      <left style="thin">
        <color theme="0" tint="-0.34998626667073579"/>
      </left>
      <right/>
      <top style="thin">
        <color theme="0" tint="-0.14996795556505021"/>
      </top>
      <bottom style="thin">
        <color theme="0" tint="-0.14996795556505021"/>
      </bottom>
      <diagonal/>
    </border>
    <border>
      <left/>
      <right style="thin">
        <color theme="0" tint="-0.34998626667073579"/>
      </right>
      <top style="thin">
        <color theme="0" tint="-0.14996795556505021"/>
      </top>
      <bottom style="thin">
        <color theme="0" tint="-0.14996795556505021"/>
      </bottom>
      <diagonal/>
    </border>
    <border>
      <left style="thin">
        <color theme="0" tint="-0.34998626667073579"/>
      </left>
      <right/>
      <top style="thin">
        <color theme="0" tint="-0.14996795556505021"/>
      </top>
      <bottom style="thin">
        <color theme="0" tint="-0.34998626667073579"/>
      </bottom>
      <diagonal/>
    </border>
    <border>
      <left/>
      <right/>
      <top style="thin">
        <color theme="0" tint="-0.14996795556505021"/>
      </top>
      <bottom style="thin">
        <color theme="0" tint="-0.34998626667073579"/>
      </bottom>
      <diagonal/>
    </border>
    <border>
      <left/>
      <right style="thin">
        <color theme="0" tint="-0.34998626667073579"/>
      </right>
      <top style="thin">
        <color theme="0" tint="-0.14996795556505021"/>
      </top>
      <bottom style="thin">
        <color theme="0" tint="-0.34998626667073579"/>
      </bottom>
      <diagonal/>
    </border>
    <border>
      <left style="thin">
        <color theme="0" tint="-0.24994659260841701"/>
      </left>
      <right/>
      <top style="thin">
        <color theme="0" tint="-0.24994659260841701"/>
      </top>
      <bottom style="thin">
        <color theme="0" tint="-0.14996795556505021"/>
      </bottom>
      <diagonal/>
    </border>
    <border>
      <left/>
      <right/>
      <top style="thin">
        <color theme="0" tint="-0.24994659260841701"/>
      </top>
      <bottom style="thin">
        <color theme="0" tint="-0.14996795556505021"/>
      </bottom>
      <diagonal/>
    </border>
    <border>
      <left/>
      <right style="thin">
        <color theme="0" tint="-0.24994659260841701"/>
      </right>
      <top style="thin">
        <color theme="0" tint="-0.24994659260841701"/>
      </top>
      <bottom style="thin">
        <color theme="0" tint="-0.14996795556505021"/>
      </bottom>
      <diagonal/>
    </border>
    <border>
      <left style="thin">
        <color theme="0" tint="-0.24994659260841701"/>
      </left>
      <right/>
      <top style="thin">
        <color theme="0" tint="-0.14996795556505021"/>
      </top>
      <bottom style="thin">
        <color theme="0" tint="-0.14996795556505021"/>
      </bottom>
      <diagonal/>
    </border>
    <border>
      <left/>
      <right style="thin">
        <color theme="0" tint="-0.24994659260841701"/>
      </right>
      <top style="thin">
        <color theme="0" tint="-0.14996795556505021"/>
      </top>
      <bottom style="thin">
        <color theme="0" tint="-0.14996795556505021"/>
      </bottom>
      <diagonal/>
    </border>
    <border>
      <left style="thin">
        <color theme="0" tint="-0.24994659260841701"/>
      </left>
      <right/>
      <top style="thin">
        <color theme="0" tint="-0.14996795556505021"/>
      </top>
      <bottom style="thin">
        <color theme="0" tint="-0.24994659260841701"/>
      </bottom>
      <diagonal/>
    </border>
    <border>
      <left/>
      <right/>
      <top style="thin">
        <color theme="0" tint="-0.14996795556505021"/>
      </top>
      <bottom style="thin">
        <color theme="0" tint="-0.24994659260841701"/>
      </bottom>
      <diagonal/>
    </border>
    <border>
      <left/>
      <right style="thin">
        <color theme="0" tint="-0.24994659260841701"/>
      </right>
      <top style="thin">
        <color theme="0" tint="-0.14996795556505021"/>
      </top>
      <bottom style="thin">
        <color theme="0" tint="-0.24994659260841701"/>
      </bottom>
      <diagonal/>
    </border>
    <border>
      <left style="thin">
        <color theme="0" tint="-0.14993743705557422"/>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3"/>
      </left>
      <right/>
      <top style="thin">
        <color theme="3"/>
      </top>
      <bottom style="thin">
        <color theme="0" tint="-0.14996795556505021"/>
      </bottom>
      <diagonal/>
    </border>
    <border>
      <left/>
      <right/>
      <top style="thin">
        <color theme="3"/>
      </top>
      <bottom style="thin">
        <color theme="0" tint="-0.14996795556505021"/>
      </bottom>
      <diagonal/>
    </border>
    <border>
      <left/>
      <right style="thin">
        <color theme="3"/>
      </right>
      <top style="thin">
        <color theme="3"/>
      </top>
      <bottom style="thin">
        <color theme="0" tint="-0.14996795556505021"/>
      </bottom>
      <diagonal/>
    </border>
    <border>
      <left style="thin">
        <color theme="3"/>
      </left>
      <right/>
      <top style="thin">
        <color theme="0" tint="-0.14996795556505021"/>
      </top>
      <bottom style="thin">
        <color theme="0" tint="-0.14996795556505021"/>
      </bottom>
      <diagonal/>
    </border>
    <border>
      <left/>
      <right style="thin">
        <color theme="3"/>
      </right>
      <top style="thin">
        <color theme="0" tint="-0.14996795556505021"/>
      </top>
      <bottom style="thin">
        <color theme="0" tint="-0.14996795556505021"/>
      </bottom>
      <diagonal/>
    </border>
    <border>
      <left style="thin">
        <color theme="3"/>
      </left>
      <right/>
      <top style="thin">
        <color theme="0" tint="-0.14993743705557422"/>
      </top>
      <bottom style="thin">
        <color theme="0" tint="-0.14993743705557422"/>
      </bottom>
      <diagonal/>
    </border>
    <border>
      <left/>
      <right style="thin">
        <color theme="3"/>
      </right>
      <top style="thin">
        <color theme="0" tint="-0.14993743705557422"/>
      </top>
      <bottom style="thin">
        <color theme="0" tint="-0.14993743705557422"/>
      </bottom>
      <diagonal/>
    </border>
    <border>
      <left style="thin">
        <color theme="3"/>
      </left>
      <right/>
      <top style="thin">
        <color theme="0" tint="-0.14996795556505021"/>
      </top>
      <bottom style="thin">
        <color theme="3"/>
      </bottom>
      <diagonal/>
    </border>
    <border>
      <left/>
      <right/>
      <top style="thin">
        <color theme="0" tint="-0.14996795556505021"/>
      </top>
      <bottom style="thin">
        <color theme="3"/>
      </bottom>
      <diagonal/>
    </border>
    <border>
      <left/>
      <right style="thin">
        <color theme="3"/>
      </right>
      <top style="thin">
        <color theme="0" tint="-0.14996795556505021"/>
      </top>
      <bottom style="thin">
        <color theme="3"/>
      </bottom>
      <diagonal/>
    </border>
    <border>
      <left style="thin">
        <color theme="3"/>
      </left>
      <right/>
      <top style="thin">
        <color theme="0" tint="-0.14993743705557422"/>
      </top>
      <bottom style="thin">
        <color theme="0" tint="-0.14996795556505021"/>
      </bottom>
      <diagonal/>
    </border>
    <border>
      <left/>
      <right style="thin">
        <color theme="3"/>
      </right>
      <top style="thin">
        <color theme="0" tint="-0.14993743705557422"/>
      </top>
      <bottom style="thin">
        <color theme="0" tint="-0.14996795556505021"/>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3743705557422"/>
      </bottom>
      <diagonal/>
    </border>
    <border>
      <left/>
      <right/>
      <top style="thin">
        <color theme="0" tint="-0.14990691854609822"/>
      </top>
      <bottom style="thin">
        <color theme="0" tint="-0.14996795556505021"/>
      </bottom>
      <diagonal/>
    </border>
  </borders>
  <cellStyleXfs count="87">
    <xf numFmtId="0" fontId="0" fillId="11" borderId="0" applyNumberFormat="0" applyAlignment="0">
      <alignment vertical="top"/>
    </xf>
    <xf numFmtId="0" fontId="8" fillId="4" borderId="0" applyNumberFormat="0" applyBorder="0" applyAlignment="0" applyProtection="0"/>
    <xf numFmtId="0" fontId="8" fillId="5" borderId="0" applyNumberFormat="0" applyBorder="0" applyAlignment="0" applyProtection="0"/>
    <xf numFmtId="0" fontId="9" fillId="6" borderId="0" applyNumberFormat="0" applyBorder="0" applyAlignment="0" applyProtection="0"/>
    <xf numFmtId="0" fontId="10" fillId="7" borderId="4" applyNumberFormat="0" applyAlignment="0" applyProtection="0"/>
    <xf numFmtId="0" fontId="7" fillId="2" borderId="0" applyNumberFormat="0" applyFont="0" applyFill="0" applyBorder="0" applyAlignment="0" applyProtection="0">
      <alignment vertical="top"/>
    </xf>
    <xf numFmtId="166" fontId="127" fillId="54" borderId="26" applyNumberFormat="0" applyAlignment="0">
      <alignment horizontal="right" vertical="top" wrapText="1"/>
      <protection locked="0"/>
    </xf>
    <xf numFmtId="0" fontId="23" fillId="3" borderId="1" applyNumberFormat="0" applyBorder="0" applyAlignment="0">
      <alignment vertical="top"/>
    </xf>
    <xf numFmtId="3" fontId="23" fillId="15" borderId="2" applyNumberFormat="0" applyBorder="0" applyAlignment="0">
      <alignment vertical="top"/>
    </xf>
    <xf numFmtId="0" fontId="3" fillId="3" borderId="0" applyNumberFormat="0">
      <alignment vertical="top"/>
    </xf>
    <xf numFmtId="0" fontId="104" fillId="8" borderId="0" applyNumberFormat="0" applyBorder="0" applyAlignment="0" applyProtection="0"/>
    <xf numFmtId="0" fontId="113" fillId="2" borderId="0" applyNumberFormat="0" applyFill="0" applyBorder="0" applyAlignment="0">
      <alignment horizontal="right" vertical="top"/>
    </xf>
    <xf numFmtId="9" fontId="5" fillId="0" borderId="0" applyFont="0" applyFill="0" applyBorder="0" applyAlignment="0" applyProtection="0"/>
    <xf numFmtId="3" fontId="106" fillId="11" borderId="0" applyNumberFormat="0" applyBorder="0" applyAlignment="0" applyProtection="0">
      <alignment horizontal="right" vertical="top"/>
    </xf>
    <xf numFmtId="3" fontId="100" fillId="12" borderId="7" applyNumberFormat="0" applyBorder="0" applyAlignment="0">
      <alignment vertical="top"/>
    </xf>
    <xf numFmtId="0" fontId="52" fillId="2" borderId="0" applyNumberFormat="0" applyFill="0" applyBorder="0" applyAlignment="0" applyProtection="0">
      <alignment vertical="top"/>
    </xf>
    <xf numFmtId="0" fontId="112" fillId="16" borderId="8" applyNumberFormat="0" applyAlignment="0">
      <alignment vertical="top"/>
    </xf>
    <xf numFmtId="0" fontId="109" fillId="11" borderId="0" applyNumberFormat="0" applyBorder="0" applyAlignment="0"/>
    <xf numFmtId="0" fontId="15" fillId="0" borderId="0" applyNumberFormat="0" applyFill="0" applyBorder="0" applyAlignment="0" applyProtection="0"/>
    <xf numFmtId="0" fontId="16" fillId="0" borderId="0" applyNumberFormat="0" applyFill="0" applyBorder="0" applyAlignment="0" applyProtection="0"/>
    <xf numFmtId="2" fontId="98" fillId="11" borderId="0" applyNumberFormat="0">
      <alignment horizontal="center" vertical="top"/>
      <protection hidden="1"/>
    </xf>
    <xf numFmtId="3" fontId="121" fillId="49" borderId="10" applyNumberFormat="0" applyBorder="0" applyAlignment="0">
      <alignment vertical="top"/>
    </xf>
    <xf numFmtId="3" fontId="88" fillId="2" borderId="0" applyNumberFormat="0" applyBorder="0">
      <alignment horizontal="right" vertical="center"/>
    </xf>
    <xf numFmtId="3" fontId="89" fillId="11" borderId="0" applyBorder="0">
      <alignment horizontal="left" vertical="center"/>
    </xf>
    <xf numFmtId="3" fontId="51" fillId="46" borderId="10">
      <alignment horizontal="left" vertical="center"/>
    </xf>
    <xf numFmtId="168" fontId="121" fillId="45" borderId="10" applyNumberFormat="0" applyBorder="0" applyAlignment="0">
      <alignment horizontal="right" vertical="center"/>
    </xf>
    <xf numFmtId="3" fontId="23" fillId="17" borderId="2" applyNumberFormat="0" applyBorder="0" applyAlignment="0">
      <alignment vertical="top"/>
    </xf>
    <xf numFmtId="0" fontId="93" fillId="11" borderId="0" applyNumberFormat="0" applyBorder="0" applyAlignment="0">
      <alignment vertical="center"/>
    </xf>
    <xf numFmtId="0" fontId="55" fillId="18" borderId="3" applyNumberFormat="0" applyBorder="0" applyAlignment="0" applyProtection="0"/>
    <xf numFmtId="166" fontId="127" fillId="14" borderId="10" applyNumberFormat="0" applyAlignment="0">
      <alignment horizontal="right" vertical="top" wrapText="1"/>
      <protection locked="0"/>
    </xf>
    <xf numFmtId="3" fontId="80" fillId="0" borderId="12" applyNumberFormat="0" applyFill="0" applyBorder="0" applyAlignment="0">
      <alignment horizontal="left" vertical="top"/>
    </xf>
    <xf numFmtId="43" fontId="4" fillId="0" borderId="0" applyFont="0" applyFill="0" applyBorder="0" applyAlignment="0" applyProtection="0"/>
    <xf numFmtId="41"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0" fontId="82" fillId="0" borderId="19"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0" applyNumberFormat="0" applyFill="0" applyBorder="0" applyAlignment="0" applyProtection="0"/>
    <xf numFmtId="0" fontId="11" fillId="22" borderId="0" applyNumberFormat="0" applyBorder="0" applyAlignment="0" applyProtection="0"/>
    <xf numFmtId="0" fontId="12" fillId="23" borderId="0" applyNumberFormat="0" applyBorder="0" applyAlignment="0" applyProtection="0"/>
    <xf numFmtId="0" fontId="85" fillId="8" borderId="0" applyNumberFormat="0" applyBorder="0" applyAlignment="0" applyProtection="0"/>
    <xf numFmtId="0" fontId="14" fillId="18" borderId="6" applyNumberFormat="0" applyAlignment="0" applyProtection="0"/>
    <xf numFmtId="0" fontId="86" fillId="0" borderId="22" applyNumberFormat="0" applyFill="0" applyAlignment="0" applyProtection="0"/>
    <xf numFmtId="0" fontId="4" fillId="9" borderId="5" applyNumberFormat="0" applyFont="0" applyAlignment="0" applyProtection="0"/>
    <xf numFmtId="0" fontId="13" fillId="0" borderId="23" applyNumberFormat="0" applyFill="0" applyAlignment="0" applyProtection="0"/>
    <xf numFmtId="0" fontId="9"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9"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9"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9"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9"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3" fontId="87" fillId="46" borderId="0" applyNumberFormat="0" applyBorder="0">
      <alignment horizontal="right" vertical="center"/>
    </xf>
    <xf numFmtId="3" fontId="121" fillId="20" borderId="0" applyBorder="0" applyAlignment="0">
      <alignment horizontal="right" vertical="center"/>
    </xf>
    <xf numFmtId="3" fontId="50" fillId="48" borderId="10">
      <alignment horizontal="left" vertical="center"/>
    </xf>
    <xf numFmtId="0" fontId="94" fillId="11" borderId="0" applyBorder="0" applyAlignment="0">
      <alignment vertical="center"/>
    </xf>
    <xf numFmtId="3" fontId="27" fillId="48" borderId="10">
      <alignment horizontal="right" vertical="center"/>
    </xf>
    <xf numFmtId="3" fontId="69" fillId="47" borderId="10" applyAlignment="0">
      <alignment horizontal="right" vertical="center"/>
    </xf>
    <xf numFmtId="166" fontId="127" fillId="50" borderId="0" applyNumberFormat="0" applyBorder="0" applyAlignment="0">
      <alignment horizontal="right" vertical="top" wrapText="1"/>
      <protection locked="0"/>
    </xf>
    <xf numFmtId="3" fontId="67" fillId="21" borderId="7" applyNumberFormat="0" applyBorder="0" applyAlignment="0">
      <alignment vertical="top"/>
    </xf>
    <xf numFmtId="3" fontId="104" fillId="12" borderId="12" applyNumberFormat="0" applyBorder="0" applyAlignment="0">
      <alignment vertical="top" wrapText="1"/>
    </xf>
    <xf numFmtId="0" fontId="96" fillId="11" borderId="0" applyNumberFormat="0" applyFill="0" applyBorder="0" applyAlignment="0" applyProtection="0">
      <alignment vertical="top"/>
    </xf>
    <xf numFmtId="2" fontId="98" fillId="12" borderId="0" applyNumberFormat="0" applyBorder="0" applyAlignment="0">
      <alignment horizontal="center" vertical="top"/>
      <protection hidden="1"/>
    </xf>
    <xf numFmtId="166" fontId="127" fillId="17" borderId="26" applyAlignment="0">
      <alignment horizontal="right" vertical="top" wrapText="1"/>
      <protection locked="0"/>
    </xf>
    <xf numFmtId="3" fontId="108" fillId="2" borderId="0" applyNumberFormat="0" applyFont="0" applyFill="0" applyBorder="0" applyAlignment="0" applyProtection="0">
      <alignment horizontal="right" vertical="top"/>
    </xf>
    <xf numFmtId="3" fontId="107" fillId="2" borderId="0" applyNumberFormat="0" applyFill="0" applyBorder="0" applyAlignment="0" applyProtection="0">
      <alignment horizontal="right" vertical="top"/>
    </xf>
    <xf numFmtId="0" fontId="48" fillId="11" borderId="0" applyBorder="0" applyAlignment="0"/>
    <xf numFmtId="0" fontId="111" fillId="16" borderId="8" applyAlignment="0">
      <alignment vertical="top"/>
    </xf>
    <xf numFmtId="3" fontId="100" fillId="12" borderId="10" applyAlignment="0">
      <alignment vertical="top"/>
    </xf>
    <xf numFmtId="0" fontId="158" fillId="12" borderId="0" applyNumberFormat="0" applyFont="0" applyBorder="0" applyAlignment="0"/>
    <xf numFmtId="0" fontId="1" fillId="0" borderId="0"/>
    <xf numFmtId="0" fontId="159" fillId="12" borderId="0" applyNumberFormat="0" applyFill="0" applyBorder="0" applyAlignment="0" applyProtection="0"/>
  </cellStyleXfs>
  <cellXfs count="1097">
    <xf numFmtId="0" fontId="0" fillId="11" borderId="0" xfId="0">
      <alignment vertical="top"/>
    </xf>
    <xf numFmtId="0" fontId="0" fillId="11" borderId="0" xfId="0" applyAlignment="1">
      <alignment horizontal="right" vertical="center"/>
    </xf>
    <xf numFmtId="0" fontId="0" fillId="11" borderId="0" xfId="0" applyAlignment="1">
      <alignment vertical="center"/>
    </xf>
    <xf numFmtId="0" fontId="20" fillId="11" borderId="0" xfId="0" applyFont="1" applyAlignment="1">
      <alignment vertical="center"/>
    </xf>
    <xf numFmtId="0" fontId="19" fillId="11" borderId="0" xfId="0" applyFont="1" applyAlignment="1">
      <alignment vertical="center"/>
    </xf>
    <xf numFmtId="0" fontId="19" fillId="11" borderId="0" xfId="0" applyFont="1">
      <alignment vertical="top"/>
    </xf>
    <xf numFmtId="0" fontId="22" fillId="11" borderId="0" xfId="0" applyFont="1" applyAlignment="1">
      <alignment vertical="center"/>
    </xf>
    <xf numFmtId="0" fontId="28" fillId="11" borderId="0" xfId="0" applyFont="1" applyAlignment="1">
      <alignment vertical="center"/>
    </xf>
    <xf numFmtId="0" fontId="19" fillId="11" borderId="0" xfId="0" applyFont="1" applyAlignment="1">
      <alignment horizontal="left" vertical="center"/>
    </xf>
    <xf numFmtId="0" fontId="19" fillId="11" borderId="0" xfId="0" applyFont="1" applyAlignment="1">
      <alignment horizontal="right" vertical="center"/>
    </xf>
    <xf numFmtId="0" fontId="29" fillId="11" borderId="0" xfId="0" applyFont="1" applyAlignment="1">
      <alignment vertical="center"/>
    </xf>
    <xf numFmtId="3" fontId="19" fillId="11" borderId="0" xfId="0" applyNumberFormat="1" applyFont="1" applyAlignment="1">
      <alignment horizontal="right"/>
    </xf>
    <xf numFmtId="3" fontId="30" fillId="11" borderId="0" xfId="0" quotePrefix="1" applyNumberFormat="1" applyFont="1" applyAlignment="1">
      <alignment horizontal="left"/>
    </xf>
    <xf numFmtId="3" fontId="19" fillId="11" borderId="0" xfId="0" applyNumberFormat="1" applyFont="1" applyAlignment="1">
      <alignment vertical="center"/>
    </xf>
    <xf numFmtId="0" fontId="33" fillId="11" borderId="0" xfId="0" applyFont="1" applyAlignment="1">
      <alignment horizontal="right" vertical="center"/>
    </xf>
    <xf numFmtId="0" fontId="32" fillId="11" borderId="0" xfId="0" applyFont="1" applyAlignment="1">
      <alignment vertical="center"/>
    </xf>
    <xf numFmtId="0" fontId="19" fillId="11" borderId="0" xfId="0" applyFont="1" applyAlignment="1">
      <alignment horizontal="right" vertical="top"/>
    </xf>
    <xf numFmtId="4" fontId="19" fillId="11" borderId="0" xfId="0" applyNumberFormat="1" applyFont="1" applyAlignment="1">
      <alignment horizontal="right" vertical="top"/>
    </xf>
    <xf numFmtId="0" fontId="33" fillId="11" borderId="0" xfId="0" applyFont="1" applyAlignment="1">
      <alignment vertical="center"/>
    </xf>
    <xf numFmtId="0" fontId="23" fillId="11" borderId="0" xfId="13" applyNumberFormat="1" applyFont="1" applyAlignment="1">
      <alignment horizontal="left" vertical="top"/>
    </xf>
    <xf numFmtId="0" fontId="19" fillId="11" borderId="0" xfId="0" applyFont="1" applyAlignment="1">
      <alignment horizontal="left" vertical="top"/>
    </xf>
    <xf numFmtId="3" fontId="19" fillId="11" borderId="0" xfId="0" applyNumberFormat="1" applyFont="1" applyAlignment="1">
      <alignment horizontal="right" vertical="top"/>
    </xf>
    <xf numFmtId="0" fontId="29" fillId="11" borderId="0" xfId="0" applyFont="1" applyAlignment="1">
      <alignment horizontal="left" vertical="top"/>
    </xf>
    <xf numFmtId="173" fontId="19" fillId="11" borderId="0" xfId="0" applyNumberFormat="1" applyFont="1" applyAlignment="1">
      <alignment horizontal="right" vertical="top"/>
    </xf>
    <xf numFmtId="170" fontId="19" fillId="11" borderId="0" xfId="0" applyNumberFormat="1" applyFont="1" applyAlignment="1">
      <alignment horizontal="right" vertical="top"/>
    </xf>
    <xf numFmtId="170" fontId="19" fillId="11" borderId="0" xfId="0" applyNumberFormat="1" applyFont="1" applyAlignment="1">
      <alignment horizontal="left" vertical="top"/>
    </xf>
    <xf numFmtId="1" fontId="19" fillId="11" borderId="0" xfId="0" applyNumberFormat="1" applyFont="1" applyAlignment="1">
      <alignment horizontal="right" vertical="top"/>
    </xf>
    <xf numFmtId="170" fontId="19" fillId="11" borderId="0" xfId="0" applyNumberFormat="1" applyFont="1">
      <alignment vertical="top"/>
    </xf>
    <xf numFmtId="165" fontId="19" fillId="11" borderId="0" xfId="0" applyNumberFormat="1" applyFont="1" applyAlignment="1">
      <alignment horizontal="right" vertical="top"/>
    </xf>
    <xf numFmtId="171" fontId="33" fillId="11" borderId="0" xfId="0" applyNumberFormat="1" applyFont="1" applyAlignment="1">
      <alignment horizontal="left" vertical="top"/>
    </xf>
    <xf numFmtId="169" fontId="19" fillId="11" borderId="0" xfId="0" applyNumberFormat="1" applyFont="1">
      <alignment vertical="top"/>
    </xf>
    <xf numFmtId="169" fontId="19" fillId="11" borderId="0" xfId="0" applyNumberFormat="1" applyFont="1" applyAlignment="1">
      <alignment horizontal="right" vertical="top"/>
    </xf>
    <xf numFmtId="3" fontId="23" fillId="11" borderId="0" xfId="0" applyNumberFormat="1" applyFont="1" applyAlignment="1">
      <alignment vertical="center"/>
    </xf>
    <xf numFmtId="0" fontId="36" fillId="11" borderId="0" xfId="8" applyNumberFormat="1" applyFont="1" applyFill="1" applyBorder="1" applyAlignment="1">
      <alignment vertical="center"/>
    </xf>
    <xf numFmtId="0" fontId="34" fillId="11" borderId="0" xfId="0" applyFont="1" applyAlignment="1">
      <alignment vertical="center" textRotation="90"/>
    </xf>
    <xf numFmtId="0" fontId="34" fillId="11" borderId="0" xfId="0" applyFont="1" applyAlignment="1">
      <alignment vertical="top" textRotation="90"/>
    </xf>
    <xf numFmtId="0" fontId="39" fillId="11" borderId="0" xfId="7" applyFont="1" applyFill="1" applyBorder="1" applyAlignment="1">
      <alignment horizontal="center" vertical="center"/>
    </xf>
    <xf numFmtId="0" fontId="38" fillId="11" borderId="0" xfId="0" applyFont="1" applyAlignment="1">
      <alignment horizontal="center" vertical="top"/>
    </xf>
    <xf numFmtId="0" fontId="0" fillId="11" borderId="0" xfId="0" applyAlignment="1">
      <alignment vertical="top"/>
    </xf>
    <xf numFmtId="0" fontId="31" fillId="11" borderId="0" xfId="0" applyNumberFormat="1" applyFont="1" applyAlignment="1">
      <alignment horizontal="justify" vertical="center"/>
    </xf>
    <xf numFmtId="0" fontId="42" fillId="11" borderId="0" xfId="0" applyFont="1" applyAlignment="1">
      <alignment horizontal="justify" vertical="center"/>
    </xf>
    <xf numFmtId="0" fontId="43" fillId="11" borderId="0" xfId="7" applyFont="1" applyFill="1" applyBorder="1" applyAlignment="1">
      <alignment vertical="center"/>
    </xf>
    <xf numFmtId="0" fontId="40" fillId="3" borderId="1" xfId="7" applyFont="1" applyAlignment="1">
      <alignment vertical="center"/>
    </xf>
    <xf numFmtId="3" fontId="44" fillId="11" borderId="0" xfId="0" applyNumberFormat="1" applyFont="1" applyAlignment="1">
      <alignment vertical="center" wrapText="1"/>
    </xf>
    <xf numFmtId="3" fontId="44" fillId="10" borderId="0" xfId="0" applyNumberFormat="1" applyFont="1" applyFill="1" applyAlignment="1">
      <alignment vertical="center" wrapText="1"/>
    </xf>
    <xf numFmtId="3" fontId="44" fillId="11" borderId="0" xfId="0" applyNumberFormat="1" applyFont="1" applyAlignment="1">
      <alignment horizontal="justify" vertical="center"/>
    </xf>
    <xf numFmtId="0" fontId="45" fillId="11" borderId="0" xfId="0" applyNumberFormat="1" applyFont="1" applyAlignment="1">
      <alignment horizontal="justify" vertical="center"/>
    </xf>
    <xf numFmtId="3" fontId="44" fillId="11" borderId="0" xfId="0" applyNumberFormat="1" applyFont="1" applyAlignment="1">
      <alignment horizontal="justify" vertical="center" wrapText="1"/>
    </xf>
    <xf numFmtId="3" fontId="44" fillId="10" borderId="0" xfId="0" applyNumberFormat="1" applyFont="1" applyFill="1" applyAlignment="1">
      <alignment horizontal="justify" vertical="center" wrapText="1"/>
    </xf>
    <xf numFmtId="3" fontId="44" fillId="11" borderId="0" xfId="0" applyNumberFormat="1" applyFont="1" applyAlignment="1">
      <alignment horizontal="left" vertical="center" wrapText="1"/>
    </xf>
    <xf numFmtId="0" fontId="43" fillId="11" borderId="0" xfId="7" applyFont="1" applyFill="1" applyBorder="1" applyAlignment="1">
      <alignment horizontal="justify" vertical="center"/>
    </xf>
    <xf numFmtId="0" fontId="42" fillId="11" borderId="0" xfId="0" applyFont="1" applyAlignment="1">
      <alignment vertical="center"/>
    </xf>
    <xf numFmtId="0" fontId="42" fillId="11" borderId="0" xfId="0" applyFont="1" applyAlignment="1">
      <alignment vertical="center" wrapText="1"/>
    </xf>
    <xf numFmtId="0" fontId="44" fillId="11" borderId="0" xfId="0" applyFont="1">
      <alignment vertical="top"/>
    </xf>
    <xf numFmtId="0" fontId="44" fillId="11" borderId="0" xfId="0" applyFont="1" applyAlignment="1"/>
    <xf numFmtId="0" fontId="44" fillId="0" borderId="0" xfId="0" applyFont="1" applyFill="1">
      <alignment vertical="top"/>
    </xf>
    <xf numFmtId="0" fontId="44" fillId="11" borderId="0" xfId="0" applyFont="1" applyAlignment="1">
      <alignment vertical="center"/>
    </xf>
    <xf numFmtId="0" fontId="24" fillId="0" borderId="0" xfId="0" applyFont="1" applyFill="1">
      <alignment vertical="top"/>
    </xf>
    <xf numFmtId="0" fontId="42" fillId="11" borderId="0" xfId="0" applyFont="1" applyAlignment="1">
      <alignment horizontal="left" vertical="center" indent="1"/>
    </xf>
    <xf numFmtId="0" fontId="109" fillId="2" borderId="0" xfId="17" applyFill="1" applyAlignment="1">
      <alignment vertical="top"/>
    </xf>
    <xf numFmtId="0" fontId="0" fillId="11" borderId="0" xfId="0" applyAlignment="1">
      <alignment horizontal="left" vertical="top"/>
    </xf>
    <xf numFmtId="0" fontId="0" fillId="11" borderId="0" xfId="0" applyAlignment="1">
      <alignment horizontal="right" vertical="top"/>
    </xf>
    <xf numFmtId="0" fontId="29" fillId="11" borderId="0" xfId="0" applyFont="1" applyAlignment="1">
      <alignment horizontal="right" vertical="top"/>
    </xf>
    <xf numFmtId="0" fontId="49" fillId="11" borderId="0" xfId="0" applyFont="1" applyAlignment="1">
      <alignment horizontal="center" vertical="top"/>
    </xf>
    <xf numFmtId="0" fontId="39" fillId="11" borderId="0" xfId="7" applyFont="1" applyFill="1" applyBorder="1" applyAlignment="1">
      <alignment horizontal="center" vertical="top"/>
    </xf>
    <xf numFmtId="3" fontId="38" fillId="11" borderId="0" xfId="13" applyFont="1" applyAlignment="1">
      <alignment horizontal="center" vertical="top"/>
    </xf>
    <xf numFmtId="0" fontId="38" fillId="11" borderId="0" xfId="8" applyNumberFormat="1" applyFont="1" applyFill="1" applyBorder="1" applyAlignment="1">
      <alignment horizontal="center" vertical="top"/>
    </xf>
    <xf numFmtId="0" fontId="38" fillId="11" borderId="0" xfId="13" applyNumberFormat="1" applyFont="1" applyAlignment="1">
      <alignment horizontal="center" vertical="top"/>
    </xf>
    <xf numFmtId="0" fontId="109" fillId="11" borderId="0" xfId="17" applyAlignment="1">
      <alignment vertical="center"/>
    </xf>
    <xf numFmtId="0" fontId="17" fillId="11" borderId="0" xfId="0" applyFont="1" applyAlignment="1">
      <alignment horizontal="left" vertical="center"/>
    </xf>
    <xf numFmtId="0" fontId="38" fillId="11" borderId="0" xfId="0" applyFont="1" applyAlignment="1">
      <alignment horizontal="center" vertical="center"/>
    </xf>
    <xf numFmtId="0" fontId="19" fillId="11" borderId="0" xfId="0" applyFont="1" applyAlignment="1">
      <alignment horizontal="center" vertical="center"/>
    </xf>
    <xf numFmtId="3" fontId="19" fillId="11" borderId="0" xfId="0" applyNumberFormat="1" applyFont="1" applyAlignment="1">
      <alignment horizontal="center"/>
    </xf>
    <xf numFmtId="3" fontId="30" fillId="11" borderId="0" xfId="0" quotePrefix="1" applyNumberFormat="1" applyFont="1" applyAlignment="1">
      <alignment horizontal="center"/>
    </xf>
    <xf numFmtId="0" fontId="19" fillId="11" borderId="0" xfId="0" applyFont="1" applyAlignment="1">
      <alignment horizontal="center" vertical="top"/>
    </xf>
    <xf numFmtId="0" fontId="0" fillId="11" borderId="0" xfId="0" applyAlignment="1">
      <alignment horizontal="center" vertical="top"/>
    </xf>
    <xf numFmtId="0" fontId="19" fillId="11" borderId="0" xfId="0" applyFont="1" applyAlignment="1">
      <alignment vertical="top"/>
    </xf>
    <xf numFmtId="0" fontId="21" fillId="11" borderId="0" xfId="0" applyFont="1" applyAlignment="1">
      <alignment horizontal="center" vertical="center"/>
    </xf>
    <xf numFmtId="0" fontId="54" fillId="11" borderId="0" xfId="8" applyNumberFormat="1" applyFont="1" applyFill="1" applyBorder="1" applyAlignment="1">
      <alignment horizontal="center" vertical="center"/>
    </xf>
    <xf numFmtId="0" fontId="53" fillId="11" borderId="0" xfId="0" applyFont="1" applyAlignment="1">
      <alignment vertical="center"/>
    </xf>
    <xf numFmtId="0" fontId="27" fillId="0" borderId="0" xfId="0" applyFont="1" applyFill="1" applyAlignment="1">
      <alignment vertical="top"/>
    </xf>
    <xf numFmtId="0" fontId="30" fillId="11" borderId="0" xfId="8" applyNumberFormat="1" applyFont="1" applyFill="1" applyBorder="1" applyAlignment="1">
      <alignment horizontal="center" vertical="center"/>
    </xf>
    <xf numFmtId="0" fontId="36" fillId="11" borderId="0" xfId="8" applyNumberFormat="1" applyFont="1" applyFill="1" applyBorder="1" applyAlignment="1">
      <alignment vertical="top"/>
    </xf>
    <xf numFmtId="0" fontId="30" fillId="11" borderId="0" xfId="0" applyFont="1" applyAlignment="1">
      <alignment horizontal="center" vertical="center"/>
    </xf>
    <xf numFmtId="0" fontId="26" fillId="11" borderId="0" xfId="0" applyFont="1" applyAlignment="1">
      <alignment vertical="center"/>
    </xf>
    <xf numFmtId="0" fontId="58" fillId="11" borderId="0" xfId="0" applyFont="1" applyAlignment="1">
      <alignment horizontal="left" vertical="top"/>
    </xf>
    <xf numFmtId="170" fontId="22" fillId="11" borderId="0" xfId="0" applyNumberFormat="1" applyFont="1" applyAlignment="1">
      <alignment horizontal="right" vertical="top"/>
    </xf>
    <xf numFmtId="3" fontId="59" fillId="0" borderId="0" xfId="0" applyNumberFormat="1" applyFont="1" applyFill="1" applyAlignment="1">
      <alignment horizontal="right" vertical="center"/>
    </xf>
    <xf numFmtId="0" fontId="59" fillId="0" borderId="0" xfId="0" applyFont="1" applyFill="1" applyAlignment="1">
      <alignment vertical="center"/>
    </xf>
    <xf numFmtId="3" fontId="80" fillId="0" borderId="0" xfId="30" applyFill="1" applyBorder="1" applyAlignment="1">
      <alignment horizontal="left" vertical="top"/>
    </xf>
    <xf numFmtId="0" fontId="59" fillId="11" borderId="0" xfId="0" applyFont="1" applyAlignment="1">
      <alignment vertical="center"/>
    </xf>
    <xf numFmtId="3" fontId="59" fillId="11" borderId="0" xfId="0" applyNumberFormat="1" applyFont="1" applyAlignment="1">
      <alignment horizontal="right"/>
    </xf>
    <xf numFmtId="0" fontId="62" fillId="11" borderId="0" xfId="0" applyFont="1" applyAlignment="1">
      <alignment vertical="center"/>
    </xf>
    <xf numFmtId="0" fontId="59" fillId="11" borderId="0" xfId="0" applyFont="1" applyAlignment="1">
      <alignment horizontal="right" vertical="center"/>
    </xf>
    <xf numFmtId="0" fontId="68" fillId="11" borderId="0" xfId="0" applyFont="1" applyAlignment="1">
      <alignment vertical="center"/>
    </xf>
    <xf numFmtId="168" fontId="68" fillId="11" borderId="10" xfId="0" applyNumberFormat="1" applyFont="1" applyBorder="1" applyAlignment="1">
      <alignment vertical="center"/>
    </xf>
    <xf numFmtId="0" fontId="59" fillId="11" borderId="0" xfId="0" applyFont="1" applyAlignment="1">
      <alignment horizontal="left" vertical="center"/>
    </xf>
    <xf numFmtId="0" fontId="59" fillId="11" borderId="0" xfId="0" applyFont="1" applyAlignment="1">
      <alignment vertical="top"/>
    </xf>
    <xf numFmtId="9" fontId="59" fillId="11" borderId="0" xfId="0" applyNumberFormat="1" applyFont="1" applyAlignment="1">
      <alignment horizontal="right" vertical="top"/>
    </xf>
    <xf numFmtId="168" fontId="59" fillId="11" borderId="10" xfId="0" applyNumberFormat="1" applyFont="1" applyBorder="1" applyAlignment="1">
      <alignment vertical="top"/>
    </xf>
    <xf numFmtId="168" fontId="59" fillId="11" borderId="10" xfId="0" applyNumberFormat="1" applyFont="1" applyBorder="1" applyAlignment="1">
      <alignment vertical="center"/>
    </xf>
    <xf numFmtId="174" fontId="59" fillId="11" borderId="0" xfId="14" applyNumberFormat="1" applyFont="1" applyFill="1" applyBorder="1" applyAlignment="1">
      <alignment horizontal="right" vertical="center"/>
    </xf>
    <xf numFmtId="3" fontId="59" fillId="11" borderId="0" xfId="0" applyNumberFormat="1" applyFont="1" applyAlignment="1">
      <alignment vertical="center"/>
    </xf>
    <xf numFmtId="168" fontId="59" fillId="11" borderId="11" xfId="0" applyNumberFormat="1" applyFont="1" applyBorder="1" applyAlignment="1">
      <alignment vertical="center"/>
    </xf>
    <xf numFmtId="3" fontId="59" fillId="11" borderId="0" xfId="14" applyFont="1" applyFill="1" applyBorder="1" applyAlignment="1">
      <alignment horizontal="right" vertical="center"/>
    </xf>
    <xf numFmtId="168" fontId="59" fillId="11" borderId="0" xfId="0" applyNumberFormat="1" applyFont="1" applyAlignment="1">
      <alignment vertical="top"/>
    </xf>
    <xf numFmtId="168" fontId="59" fillId="11" borderId="12" xfId="0" applyNumberFormat="1" applyFont="1" applyBorder="1" applyAlignment="1">
      <alignment vertical="top"/>
    </xf>
    <xf numFmtId="0" fontId="71" fillId="11" borderId="0" xfId="0" applyFont="1" applyAlignment="1">
      <alignment vertical="center"/>
    </xf>
    <xf numFmtId="168" fontId="71" fillId="11" borderId="10" xfId="0" applyNumberFormat="1" applyFont="1" applyBorder="1" applyAlignment="1">
      <alignment vertical="center"/>
    </xf>
    <xf numFmtId="3" fontId="71" fillId="11" borderId="0" xfId="14" applyFont="1" applyFill="1" applyBorder="1" applyAlignment="1">
      <alignment horizontal="right" vertical="center"/>
    </xf>
    <xf numFmtId="3" fontId="59" fillId="11" borderId="0" xfId="14" applyNumberFormat="1" applyFont="1" applyFill="1" applyBorder="1" applyAlignment="1">
      <alignment horizontal="right" vertical="center"/>
    </xf>
    <xf numFmtId="0" fontId="72" fillId="11" borderId="0" xfId="0" applyFont="1" applyAlignment="1">
      <alignment vertical="center"/>
    </xf>
    <xf numFmtId="168" fontId="72" fillId="11" borderId="10" xfId="0" applyNumberFormat="1" applyFont="1" applyBorder="1" applyAlignment="1">
      <alignment vertical="center"/>
    </xf>
    <xf numFmtId="3" fontId="72" fillId="11" borderId="0" xfId="14" applyNumberFormat="1" applyFont="1" applyFill="1" applyBorder="1" applyAlignment="1">
      <alignment horizontal="right" vertical="center"/>
    </xf>
    <xf numFmtId="3" fontId="73" fillId="11" borderId="0" xfId="14" applyFont="1" applyFill="1" applyBorder="1" applyAlignment="1">
      <alignment horizontal="left" vertical="top" wrapText="1"/>
    </xf>
    <xf numFmtId="0" fontId="59" fillId="11" borderId="0" xfId="0" applyFont="1">
      <alignment vertical="top"/>
    </xf>
    <xf numFmtId="2" fontId="59" fillId="11" borderId="0" xfId="14" applyNumberFormat="1" applyFont="1" applyFill="1" applyBorder="1" applyAlignment="1">
      <alignment horizontal="left" vertical="center" wrapText="1"/>
    </xf>
    <xf numFmtId="0" fontId="64" fillId="11" borderId="0" xfId="0" applyFont="1" applyAlignment="1">
      <alignment horizontal="right" vertical="center"/>
    </xf>
    <xf numFmtId="168" fontId="59" fillId="11" borderId="0" xfId="14" applyNumberFormat="1" applyFont="1" applyFill="1" applyBorder="1" applyAlignment="1">
      <alignment horizontal="right" vertical="center"/>
    </xf>
    <xf numFmtId="3" fontId="65" fillId="0" borderId="0" xfId="0" applyNumberFormat="1" applyFont="1" applyFill="1" applyAlignment="1">
      <alignment vertical="top"/>
    </xf>
    <xf numFmtId="0" fontId="66" fillId="0" borderId="0" xfId="0" applyFont="1" applyFill="1" applyAlignment="1">
      <alignment vertical="top"/>
    </xf>
    <xf numFmtId="3" fontId="59" fillId="0" borderId="0" xfId="0" applyNumberFormat="1" applyFont="1" applyFill="1" applyAlignment="1">
      <alignment vertical="center"/>
    </xf>
    <xf numFmtId="3" fontId="59" fillId="11" borderId="0" xfId="0" applyNumberFormat="1" applyFont="1" applyAlignment="1">
      <alignment horizontal="right" vertical="center"/>
    </xf>
    <xf numFmtId="3" fontId="59" fillId="11" borderId="0" xfId="0" applyNumberFormat="1" applyFont="1" applyAlignment="1">
      <alignment horizontal="right" vertical="center" wrapText="1"/>
    </xf>
    <xf numFmtId="3" fontId="67" fillId="0" borderId="0" xfId="0" applyNumberFormat="1" applyFont="1" applyFill="1" applyAlignment="1">
      <alignment vertical="top"/>
    </xf>
    <xf numFmtId="168" fontId="59" fillId="0" borderId="0" xfId="14" applyNumberFormat="1" applyFont="1" applyFill="1" applyBorder="1" applyAlignment="1">
      <alignment horizontal="right" vertical="center"/>
    </xf>
    <xf numFmtId="4" fontId="59" fillId="0" borderId="0" xfId="0" applyNumberFormat="1" applyFont="1" applyFill="1" applyAlignment="1">
      <alignment horizontal="right" vertical="center"/>
    </xf>
    <xf numFmtId="168" fontId="59" fillId="0" borderId="0" xfId="0" applyNumberFormat="1" applyFont="1" applyFill="1" applyAlignment="1">
      <alignment horizontal="right" vertical="center"/>
    </xf>
    <xf numFmtId="168" fontId="59" fillId="11" borderId="0" xfId="0" applyNumberFormat="1" applyFont="1" applyAlignment="1">
      <alignment horizontal="right" vertical="center"/>
    </xf>
    <xf numFmtId="0" fontId="59" fillId="11" borderId="10" xfId="0" applyFont="1" applyBorder="1" applyAlignment="1">
      <alignment vertical="center"/>
    </xf>
    <xf numFmtId="4" fontId="59" fillId="11" borderId="0" xfId="0" applyNumberFormat="1" applyFont="1" applyAlignment="1">
      <alignment horizontal="right" vertical="top" wrapText="1"/>
    </xf>
    <xf numFmtId="0" fontId="59" fillId="11" borderId="11" xfId="0" applyFont="1" applyBorder="1" applyAlignment="1">
      <alignment vertical="center"/>
    </xf>
    <xf numFmtId="0" fontId="78" fillId="11" borderId="0" xfId="0" applyFont="1" applyAlignment="1">
      <alignment horizontal="right" vertical="center"/>
    </xf>
    <xf numFmtId="168" fontId="59" fillId="11" borderId="0" xfId="0" applyNumberFormat="1" applyFont="1" applyAlignment="1">
      <alignment horizontal="right" vertical="center" wrapText="1"/>
    </xf>
    <xf numFmtId="0" fontId="73" fillId="11" borderId="0" xfId="0" applyFont="1" applyAlignment="1">
      <alignment vertical="center"/>
    </xf>
    <xf numFmtId="3" fontId="59" fillId="11" borderId="10" xfId="0" applyNumberFormat="1" applyFont="1" applyBorder="1" applyAlignment="1">
      <alignment vertical="center"/>
    </xf>
    <xf numFmtId="0" fontId="59" fillId="11" borderId="10" xfId="0" applyFont="1" applyBorder="1">
      <alignment vertical="top"/>
    </xf>
    <xf numFmtId="168" fontId="59" fillId="11" borderId="0" xfId="0" applyNumberFormat="1" applyFont="1" applyAlignment="1">
      <alignment horizontal="right" vertical="top" wrapText="1"/>
    </xf>
    <xf numFmtId="0" fontId="67" fillId="11" borderId="0" xfId="0" applyFont="1" applyAlignment="1">
      <alignment vertical="center"/>
    </xf>
    <xf numFmtId="4" fontId="59" fillId="11" borderId="0" xfId="0" applyNumberFormat="1" applyFont="1" applyAlignment="1">
      <alignment horizontal="right" vertical="center"/>
    </xf>
    <xf numFmtId="9" fontId="59" fillId="11" borderId="0" xfId="0" applyNumberFormat="1" applyFont="1" applyAlignment="1">
      <alignment horizontal="right" vertical="center"/>
    </xf>
    <xf numFmtId="3" fontId="65" fillId="11" borderId="0" xfId="0" applyNumberFormat="1" applyFont="1" applyAlignment="1">
      <alignment horizontal="right" vertical="top"/>
    </xf>
    <xf numFmtId="0" fontId="75" fillId="0" borderId="0" xfId="0" applyFont="1" applyFill="1" applyAlignment="1">
      <alignment vertical="center"/>
    </xf>
    <xf numFmtId="3" fontId="67" fillId="0" borderId="0" xfId="8" applyFont="1" applyFill="1" applyBorder="1" applyAlignment="1">
      <alignment horizontal="right" vertical="top"/>
    </xf>
    <xf numFmtId="3" fontId="74" fillId="0" borderId="0" xfId="0" applyNumberFormat="1" applyFont="1" applyFill="1" applyAlignment="1">
      <alignment vertical="center"/>
    </xf>
    <xf numFmtId="3" fontId="59" fillId="12" borderId="10" xfId="0" applyNumberFormat="1" applyFont="1" applyFill="1" applyBorder="1" applyAlignment="1">
      <alignment horizontal="right" vertical="center"/>
    </xf>
    <xf numFmtId="0" fontId="59" fillId="0" borderId="10" xfId="0" applyFont="1" applyFill="1" applyBorder="1" applyAlignment="1">
      <alignment vertical="center"/>
    </xf>
    <xf numFmtId="168" fontId="59" fillId="12" borderId="10" xfId="0" applyNumberFormat="1" applyFont="1" applyFill="1" applyBorder="1" applyAlignment="1">
      <alignment horizontal="right" vertical="center"/>
    </xf>
    <xf numFmtId="4" fontId="59" fillId="12" borderId="10" xfId="0" applyNumberFormat="1" applyFont="1" applyFill="1" applyBorder="1" applyAlignment="1">
      <alignment horizontal="right" vertical="center"/>
    </xf>
    <xf numFmtId="3" fontId="59" fillId="12" borderId="10" xfId="14" applyNumberFormat="1" applyFont="1" applyBorder="1" applyAlignment="1">
      <alignment horizontal="right" vertical="center"/>
    </xf>
    <xf numFmtId="3" fontId="59" fillId="12" borderId="11" xfId="0" applyNumberFormat="1" applyFont="1" applyFill="1" applyBorder="1" applyAlignment="1">
      <alignment horizontal="right" vertical="center"/>
    </xf>
    <xf numFmtId="0" fontId="59" fillId="0" borderId="11" xfId="0" applyFont="1" applyFill="1" applyBorder="1" applyAlignment="1">
      <alignment vertical="center"/>
    </xf>
    <xf numFmtId="9" fontId="59" fillId="12" borderId="11" xfId="0" applyNumberFormat="1" applyFont="1" applyFill="1" applyBorder="1" applyAlignment="1">
      <alignment horizontal="right" vertical="center"/>
    </xf>
    <xf numFmtId="0" fontId="59" fillId="0" borderId="12" xfId="0" applyFont="1" applyFill="1" applyBorder="1" applyAlignment="1">
      <alignment vertical="center"/>
    </xf>
    <xf numFmtId="9" fontId="59" fillId="12" borderId="12" xfId="0" applyNumberFormat="1" applyFont="1" applyFill="1" applyBorder="1" applyAlignment="1">
      <alignment horizontal="right" vertical="center"/>
    </xf>
    <xf numFmtId="4" fontId="59" fillId="12" borderId="11" xfId="14" applyNumberFormat="1" applyFont="1" applyBorder="1" applyAlignment="1">
      <alignment horizontal="right" vertical="center"/>
    </xf>
    <xf numFmtId="4" fontId="59" fillId="12" borderId="11" xfId="0" applyNumberFormat="1" applyFont="1" applyFill="1" applyBorder="1" applyAlignment="1">
      <alignment horizontal="right" vertical="center"/>
    </xf>
    <xf numFmtId="4" fontId="59" fillId="12" borderId="12" xfId="0" applyNumberFormat="1" applyFont="1" applyFill="1" applyBorder="1" applyAlignment="1">
      <alignment horizontal="right" vertical="center"/>
    </xf>
    <xf numFmtId="166" fontId="59" fillId="12" borderId="11" xfId="0" applyNumberFormat="1" applyFont="1" applyFill="1" applyBorder="1" applyAlignment="1">
      <alignment horizontal="right" vertical="center"/>
    </xf>
    <xf numFmtId="4" fontId="127" fillId="14" borderId="12" xfId="29" applyNumberFormat="1" applyBorder="1" applyAlignment="1">
      <alignment horizontal="right" vertical="center"/>
      <protection locked="0"/>
    </xf>
    <xf numFmtId="3" fontId="79" fillId="0" borderId="0" xfId="0" applyNumberFormat="1" applyFont="1" applyFill="1" applyAlignment="1">
      <alignment vertical="center"/>
    </xf>
    <xf numFmtId="3" fontId="80" fillId="0" borderId="0" xfId="30" applyFill="1" applyBorder="1" applyAlignment="1">
      <alignment horizontal="left" vertical="center"/>
    </xf>
    <xf numFmtId="0" fontId="66" fillId="0" borderId="0" xfId="0" applyFont="1" applyFill="1" applyAlignment="1">
      <alignment vertical="center"/>
    </xf>
    <xf numFmtId="3" fontId="65" fillId="11" borderId="0" xfId="0" applyNumberFormat="1" applyFont="1" applyAlignment="1">
      <alignment horizontal="right" vertical="center"/>
    </xf>
    <xf numFmtId="3" fontId="67" fillId="0" borderId="0" xfId="0" applyNumberFormat="1" applyFont="1" applyFill="1" applyAlignment="1">
      <alignment vertical="center"/>
    </xf>
    <xf numFmtId="3" fontId="67" fillId="0" borderId="0" xfId="8" applyFont="1" applyFill="1" applyBorder="1" applyAlignment="1">
      <alignment horizontal="right" vertical="center"/>
    </xf>
    <xf numFmtId="3" fontId="70" fillId="0" borderId="0" xfId="0" applyNumberFormat="1" applyFont="1" applyFill="1" applyAlignment="1">
      <alignment vertical="center"/>
    </xf>
    <xf numFmtId="3" fontId="69" fillId="0" borderId="0" xfId="0" applyNumberFormat="1" applyFont="1" applyFill="1" applyAlignment="1">
      <alignment vertical="top"/>
    </xf>
    <xf numFmtId="3" fontId="81" fillId="0" borderId="0" xfId="30" applyFont="1" applyFill="1" applyBorder="1" applyAlignment="1">
      <alignment horizontal="left" vertical="top"/>
    </xf>
    <xf numFmtId="0" fontId="70" fillId="0" borderId="0" xfId="0" applyFont="1" applyFill="1" applyAlignment="1">
      <alignment vertical="top"/>
    </xf>
    <xf numFmtId="3" fontId="69" fillId="0" borderId="0" xfId="0" applyNumberFormat="1" applyFont="1" applyFill="1" applyAlignment="1">
      <alignment horizontal="right" vertical="top"/>
    </xf>
    <xf numFmtId="0" fontId="69" fillId="0" borderId="0" xfId="0" applyFont="1" applyFill="1" applyAlignment="1">
      <alignment vertical="top"/>
    </xf>
    <xf numFmtId="3" fontId="69" fillId="11" borderId="0" xfId="0" applyNumberFormat="1" applyFont="1" applyAlignment="1">
      <alignment horizontal="right" vertical="top"/>
    </xf>
    <xf numFmtId="3" fontId="69" fillId="0" borderId="0" xfId="8" applyFont="1" applyFill="1" applyBorder="1" applyAlignment="1">
      <alignment horizontal="right" vertical="top"/>
    </xf>
    <xf numFmtId="3" fontId="74" fillId="11" borderId="0" xfId="0" applyNumberFormat="1" applyFont="1" applyAlignment="1">
      <alignment vertical="center"/>
    </xf>
    <xf numFmtId="3" fontId="65" fillId="11" borderId="0" xfId="0" applyNumberFormat="1" applyFont="1" applyAlignment="1">
      <alignment vertical="top"/>
    </xf>
    <xf numFmtId="3" fontId="80" fillId="11" borderId="0" xfId="30" applyFill="1" applyBorder="1" applyAlignment="1">
      <alignment horizontal="left" vertical="top"/>
    </xf>
    <xf numFmtId="0" fontId="66" fillId="11" borderId="0" xfId="0" applyFont="1" applyAlignment="1">
      <alignment vertical="top"/>
    </xf>
    <xf numFmtId="0" fontId="67" fillId="11" borderId="0" xfId="0" applyFont="1" applyAlignment="1">
      <alignment vertical="top"/>
    </xf>
    <xf numFmtId="3" fontId="67" fillId="11" borderId="0" xfId="8" applyFont="1" applyFill="1" applyBorder="1" applyAlignment="1">
      <alignment horizontal="right" vertical="top"/>
    </xf>
    <xf numFmtId="168" fontId="121" fillId="49" borderId="10" xfId="21" applyNumberFormat="1" applyBorder="1" applyAlignment="1">
      <alignment horizontal="right" vertical="top"/>
    </xf>
    <xf numFmtId="9" fontId="121" fillId="45" borderId="10" xfId="25" applyNumberFormat="1" applyBorder="1" applyAlignment="1">
      <alignment horizontal="right" vertical="top" wrapText="1"/>
    </xf>
    <xf numFmtId="0" fontId="100" fillId="12" borderId="10" xfId="14" applyNumberFormat="1" applyBorder="1" applyAlignment="1">
      <alignment vertical="top"/>
    </xf>
    <xf numFmtId="0" fontId="100" fillId="12" borderId="10" xfId="14" applyNumberFormat="1" applyBorder="1" applyAlignment="1">
      <alignment horizontal="left" vertical="top"/>
    </xf>
    <xf numFmtId="4" fontId="121" fillId="49" borderId="10" xfId="21" applyNumberFormat="1" applyBorder="1" applyAlignment="1">
      <alignment horizontal="right" vertical="center" wrapText="1"/>
    </xf>
    <xf numFmtId="3" fontId="121" fillId="49" borderId="10" xfId="21" applyNumberFormat="1" applyBorder="1" applyAlignment="1">
      <alignment horizontal="right" vertical="top" wrapText="1"/>
    </xf>
    <xf numFmtId="3" fontId="64" fillId="11" borderId="0" xfId="0" applyNumberFormat="1" applyFont="1" applyAlignment="1">
      <alignment horizontal="right" vertical="center"/>
    </xf>
    <xf numFmtId="168" fontId="64" fillId="11" borderId="0" xfId="0" applyNumberFormat="1" applyFont="1" applyAlignment="1">
      <alignment horizontal="right" vertical="center"/>
    </xf>
    <xf numFmtId="0" fontId="59" fillId="0" borderId="10" xfId="0" applyFont="1" applyFill="1" applyBorder="1">
      <alignment vertical="top"/>
    </xf>
    <xf numFmtId="3" fontId="59" fillId="12" borderId="10" xfId="0" applyNumberFormat="1" applyFont="1" applyFill="1" applyBorder="1" applyAlignment="1">
      <alignment horizontal="right" vertical="top" wrapText="1"/>
    </xf>
    <xf numFmtId="164" fontId="59" fillId="12" borderId="10" xfId="0" applyNumberFormat="1" applyFont="1" applyFill="1" applyBorder="1" applyAlignment="1">
      <alignment horizontal="right" vertical="top"/>
    </xf>
    <xf numFmtId="3" fontId="59" fillId="0" borderId="10" xfId="0" applyNumberFormat="1" applyFont="1" applyFill="1" applyBorder="1" applyAlignment="1">
      <alignment horizontal="right" vertical="top"/>
    </xf>
    <xf numFmtId="9" fontId="59" fillId="12" borderId="10" xfId="14" applyNumberFormat="1" applyFont="1" applyBorder="1" applyAlignment="1">
      <alignment horizontal="right" vertical="center"/>
    </xf>
    <xf numFmtId="9" fontId="59" fillId="12" borderId="10" xfId="0" applyNumberFormat="1" applyFont="1" applyFill="1" applyBorder="1" applyAlignment="1">
      <alignment horizontal="right" vertical="center"/>
    </xf>
    <xf numFmtId="3" fontId="74" fillId="11" borderId="10" xfId="0" applyNumberFormat="1" applyFont="1" applyBorder="1" applyAlignment="1">
      <alignment vertical="center"/>
    </xf>
    <xf numFmtId="168" fontId="59" fillId="12" borderId="11" xfId="0" applyNumberFormat="1" applyFont="1" applyFill="1" applyBorder="1" applyAlignment="1">
      <alignment horizontal="right" vertical="center"/>
    </xf>
    <xf numFmtId="0" fontId="59" fillId="11" borderId="12" xfId="0" applyFont="1" applyBorder="1" applyAlignment="1">
      <alignment vertical="center"/>
    </xf>
    <xf numFmtId="4" fontId="59" fillId="12" borderId="12" xfId="14" applyNumberFormat="1" applyFont="1" applyBorder="1" applyAlignment="1">
      <alignment horizontal="right" vertical="center"/>
    </xf>
    <xf numFmtId="168" fontId="59" fillId="12" borderId="12" xfId="14" applyNumberFormat="1" applyFont="1" applyBorder="1" applyAlignment="1">
      <alignment horizontal="right" vertical="center"/>
    </xf>
    <xf numFmtId="168" fontId="59" fillId="12" borderId="12" xfId="0" applyNumberFormat="1" applyFont="1" applyFill="1" applyBorder="1" applyAlignment="1">
      <alignment horizontal="right" vertical="center"/>
    </xf>
    <xf numFmtId="1" fontId="59" fillId="12" borderId="10" xfId="0" applyNumberFormat="1" applyFont="1" applyFill="1" applyBorder="1" applyAlignment="1">
      <alignment horizontal="right" vertical="center" wrapText="1"/>
    </xf>
    <xf numFmtId="3" fontId="59" fillId="0" borderId="11" xfId="0" applyNumberFormat="1" applyFont="1" applyFill="1" applyBorder="1" applyAlignment="1">
      <alignment horizontal="right" vertical="center" wrapText="1"/>
    </xf>
    <xf numFmtId="3" fontId="65" fillId="11" borderId="10" xfId="0" applyNumberFormat="1" applyFont="1" applyBorder="1" applyAlignment="1">
      <alignment vertical="center"/>
    </xf>
    <xf numFmtId="3" fontId="80" fillId="11" borderId="10" xfId="30" applyFill="1" applyBorder="1" applyAlignment="1">
      <alignment horizontal="left" vertical="center"/>
    </xf>
    <xf numFmtId="0" fontId="66" fillId="11" borderId="10" xfId="0" applyFont="1" applyBorder="1" applyAlignment="1">
      <alignment vertical="center"/>
    </xf>
    <xf numFmtId="3" fontId="65" fillId="11" borderId="10" xfId="0" applyNumberFormat="1" applyFont="1" applyBorder="1" applyAlignment="1">
      <alignment horizontal="right" vertical="center"/>
    </xf>
    <xf numFmtId="3" fontId="67" fillId="11" borderId="0" xfId="8" applyFont="1" applyFill="1" applyBorder="1" applyAlignment="1">
      <alignment horizontal="right" vertical="center"/>
    </xf>
    <xf numFmtId="168" fontId="121" fillId="49" borderId="10" xfId="21" applyNumberFormat="1" applyBorder="1" applyAlignment="1">
      <alignment horizontal="right" vertical="center"/>
    </xf>
    <xf numFmtId="0" fontId="121" fillId="49" borderId="10" xfId="21" applyNumberFormat="1" applyBorder="1" applyAlignment="1">
      <alignment horizontal="right" vertical="center"/>
    </xf>
    <xf numFmtId="0" fontId="30" fillId="11" borderId="0" xfId="0" applyFont="1">
      <alignment vertical="top"/>
    </xf>
    <xf numFmtId="3" fontId="73" fillId="11" borderId="0" xfId="14" applyFont="1" applyFill="1" applyBorder="1" applyAlignment="1">
      <alignment horizontal="left" vertical="center" wrapText="1"/>
    </xf>
    <xf numFmtId="2" fontId="59" fillId="11" borderId="0" xfId="14" applyNumberFormat="1" applyFont="1" applyFill="1" applyBorder="1" applyAlignment="1">
      <alignment horizontal="right" vertical="center" wrapText="1"/>
    </xf>
    <xf numFmtId="2" fontId="59" fillId="11" borderId="11" xfId="14" applyNumberFormat="1" applyFont="1" applyFill="1" applyBorder="1" applyAlignment="1">
      <alignment horizontal="right" vertical="center" wrapText="1"/>
    </xf>
    <xf numFmtId="168" fontId="59" fillId="11" borderId="15" xfId="0" applyNumberFormat="1" applyFont="1" applyBorder="1" applyAlignment="1">
      <alignment vertical="center"/>
    </xf>
    <xf numFmtId="3" fontId="0" fillId="11" borderId="0" xfId="0" applyNumberFormat="1" applyAlignment="1">
      <alignment horizontal="right" vertical="center"/>
    </xf>
    <xf numFmtId="3" fontId="51" fillId="46" borderId="10" xfId="24">
      <alignment horizontal="left" vertical="center"/>
    </xf>
    <xf numFmtId="3" fontId="87" fillId="46" borderId="10" xfId="67" applyBorder="1">
      <alignment horizontal="right" vertical="center"/>
    </xf>
    <xf numFmtId="3" fontId="121" fillId="20" borderId="10" xfId="68" applyBorder="1">
      <alignment horizontal="right" vertical="center"/>
    </xf>
    <xf numFmtId="3" fontId="89" fillId="11" borderId="0" xfId="23">
      <alignment horizontal="left" vertical="center"/>
    </xf>
    <xf numFmtId="3" fontId="89" fillId="11" borderId="14" xfId="23" applyBorder="1">
      <alignment horizontal="left" vertical="center"/>
    </xf>
    <xf numFmtId="0" fontId="100" fillId="12" borderId="10" xfId="14" applyNumberFormat="1" applyBorder="1" applyAlignment="1">
      <alignment vertical="center"/>
    </xf>
    <xf numFmtId="0" fontId="100" fillId="12" borderId="10" xfId="14" applyNumberFormat="1" applyBorder="1" applyAlignment="1">
      <alignment horizontal="left" vertical="center"/>
    </xf>
    <xf numFmtId="3" fontId="75" fillId="11" borderId="10" xfId="8" applyFont="1" applyFill="1" applyBorder="1" applyAlignment="1">
      <alignment horizontal="right" vertical="center"/>
    </xf>
    <xf numFmtId="3" fontId="121" fillId="49" borderId="10" xfId="21" applyNumberFormat="1" applyBorder="1" applyAlignment="1">
      <alignment horizontal="right" vertical="center"/>
    </xf>
    <xf numFmtId="9" fontId="121" fillId="45" borderId="10" xfId="25" applyNumberFormat="1" applyBorder="1" applyAlignment="1">
      <alignment horizontal="right" vertical="top"/>
    </xf>
    <xf numFmtId="3" fontId="121" fillId="45" borderId="11" xfId="25" applyNumberFormat="1" applyBorder="1">
      <alignment horizontal="right" vertical="center"/>
    </xf>
    <xf numFmtId="9" fontId="121" fillId="45" borderId="12" xfId="25" applyNumberFormat="1" applyBorder="1" applyAlignment="1">
      <alignment horizontal="right" vertical="top"/>
    </xf>
    <xf numFmtId="3" fontId="121" fillId="45" borderId="10" xfId="25" applyNumberFormat="1" applyBorder="1">
      <alignment horizontal="right" vertical="center"/>
    </xf>
    <xf numFmtId="174" fontId="121" fillId="45" borderId="10" xfId="25" applyNumberFormat="1" applyBorder="1" applyAlignment="1">
      <alignment horizontal="right" vertical="center"/>
    </xf>
    <xf numFmtId="3" fontId="121" fillId="45" borderId="11" xfId="25" applyNumberFormat="1" applyBorder="1" applyAlignment="1">
      <alignment horizontal="right" vertical="center"/>
    </xf>
    <xf numFmtId="3" fontId="121" fillId="45" borderId="10" xfId="25" applyNumberFormat="1" applyBorder="1" applyAlignment="1">
      <alignment horizontal="right" vertical="center"/>
    </xf>
    <xf numFmtId="3" fontId="93" fillId="11" borderId="0" xfId="27" applyNumberFormat="1" applyBorder="1">
      <alignment vertical="center"/>
    </xf>
    <xf numFmtId="0" fontId="93" fillId="11" borderId="0" xfId="27" applyBorder="1">
      <alignment vertical="center"/>
    </xf>
    <xf numFmtId="0" fontId="98" fillId="11" borderId="0" xfId="20" applyNumberFormat="1">
      <alignment horizontal="center" vertical="top"/>
      <protection hidden="1"/>
    </xf>
    <xf numFmtId="3" fontId="75" fillId="11" borderId="18" xfId="8" applyFont="1" applyFill="1" applyBorder="1" applyAlignment="1">
      <alignment horizontal="right" vertical="center"/>
    </xf>
    <xf numFmtId="0" fontId="59" fillId="11" borderId="10" xfId="0" applyFont="1" applyBorder="1" applyAlignment="1">
      <alignment vertical="top"/>
    </xf>
    <xf numFmtId="0" fontId="94" fillId="11" borderId="0" xfId="70" applyBorder="1">
      <alignment vertical="center"/>
    </xf>
    <xf numFmtId="2" fontId="121" fillId="49" borderId="15" xfId="21" applyNumberFormat="1" applyBorder="1" applyAlignment="1">
      <alignment horizontal="right" vertical="center" wrapText="1"/>
    </xf>
    <xf numFmtId="9" fontId="121" fillId="45" borderId="0" xfId="25" applyNumberFormat="1" applyBorder="1" applyAlignment="1">
      <alignment horizontal="right" vertical="top"/>
    </xf>
    <xf numFmtId="3" fontId="121" fillId="45" borderId="12" xfId="25" applyNumberFormat="1" applyBorder="1" applyAlignment="1">
      <alignment horizontal="right" vertical="center"/>
    </xf>
    <xf numFmtId="3" fontId="51" fillId="46" borderId="15" xfId="24" applyBorder="1">
      <alignment horizontal="left" vertical="center"/>
    </xf>
    <xf numFmtId="3" fontId="87" fillId="46" borderId="15" xfId="67" applyBorder="1">
      <alignment horizontal="right" vertical="center"/>
    </xf>
    <xf numFmtId="3" fontId="100" fillId="12" borderId="10" xfId="14" applyNumberFormat="1" applyBorder="1" applyAlignment="1">
      <alignment horizontal="left" vertical="center"/>
    </xf>
    <xf numFmtId="168" fontId="121" fillId="45" borderId="10" xfId="25" applyNumberFormat="1" applyBorder="1" applyAlignment="1">
      <alignment horizontal="right" vertical="center"/>
    </xf>
    <xf numFmtId="175" fontId="121" fillId="45" borderId="10" xfId="25" applyNumberFormat="1" applyBorder="1" applyAlignment="1">
      <alignment horizontal="right" vertical="center"/>
    </xf>
    <xf numFmtId="175" fontId="121" fillId="49" borderId="10" xfId="21" applyNumberFormat="1" applyBorder="1" applyAlignment="1">
      <alignment horizontal="right" vertical="center"/>
    </xf>
    <xf numFmtId="0" fontId="100" fillId="12" borderId="15" xfId="14" applyNumberFormat="1" applyBorder="1" applyAlignment="1">
      <alignment vertical="center"/>
    </xf>
    <xf numFmtId="3" fontId="100" fillId="12" borderId="15" xfId="14" applyNumberFormat="1" applyBorder="1" applyAlignment="1">
      <alignment horizontal="left" vertical="center"/>
    </xf>
    <xf numFmtId="0" fontId="59" fillId="11" borderId="15" xfId="0" applyFont="1" applyBorder="1" applyAlignment="1">
      <alignment vertical="center"/>
    </xf>
    <xf numFmtId="3" fontId="121" fillId="45" borderId="15" xfId="25" applyNumberFormat="1" applyBorder="1" applyAlignment="1">
      <alignment horizontal="right" vertical="center"/>
    </xf>
    <xf numFmtId="0" fontId="121" fillId="49" borderId="15" xfId="21" applyNumberFormat="1" applyBorder="1">
      <alignment vertical="top"/>
    </xf>
    <xf numFmtId="168" fontId="121" fillId="49" borderId="15" xfId="21" applyNumberFormat="1" applyBorder="1" applyAlignment="1">
      <alignment horizontal="right" vertical="center"/>
    </xf>
    <xf numFmtId="9" fontId="121" fillId="49" borderId="15" xfId="21" applyNumberFormat="1" applyBorder="1" applyAlignment="1">
      <alignment horizontal="right" vertical="center"/>
    </xf>
    <xf numFmtId="3" fontId="50" fillId="48" borderId="10" xfId="69">
      <alignment horizontal="left" vertical="center"/>
    </xf>
    <xf numFmtId="168" fontId="121" fillId="49" borderId="15" xfId="21" applyNumberFormat="1" applyBorder="1">
      <alignment vertical="top"/>
    </xf>
    <xf numFmtId="168" fontId="0" fillId="11" borderId="0" xfId="0" applyNumberFormat="1" applyAlignment="1">
      <alignment horizontal="right" vertical="center"/>
    </xf>
    <xf numFmtId="3" fontId="0" fillId="11" borderId="0" xfId="0" applyNumberFormat="1" applyAlignment="1">
      <alignment horizontal="right"/>
    </xf>
    <xf numFmtId="9" fontId="0" fillId="11" borderId="0" xfId="0" applyNumberFormat="1" applyAlignment="1">
      <alignment horizontal="right" vertical="center"/>
    </xf>
    <xf numFmtId="9" fontId="0" fillId="11" borderId="0" xfId="0" applyNumberFormat="1" applyAlignment="1">
      <alignment horizontal="right" vertical="top"/>
    </xf>
    <xf numFmtId="174" fontId="0" fillId="11" borderId="0" xfId="0" applyNumberFormat="1" applyAlignment="1">
      <alignment horizontal="right" vertical="center"/>
    </xf>
    <xf numFmtId="3" fontId="0" fillId="11" borderId="0" xfId="0" applyNumberFormat="1" applyAlignment="1">
      <alignment horizontal="left" vertical="center" wrapText="1"/>
    </xf>
    <xf numFmtId="2" fontId="0" fillId="11" borderId="0" xfId="0" applyNumberFormat="1" applyAlignment="1">
      <alignment horizontal="left" vertical="center" wrapText="1"/>
    </xf>
    <xf numFmtId="2" fontId="0" fillId="11" borderId="0" xfId="0" applyNumberFormat="1" applyAlignment="1">
      <alignment horizontal="left" vertical="top" wrapText="1"/>
    </xf>
    <xf numFmtId="3" fontId="0" fillId="11" borderId="0" xfId="0" applyNumberFormat="1" applyAlignment="1">
      <alignment horizontal="right" vertical="top"/>
    </xf>
    <xf numFmtId="3" fontId="0" fillId="11" borderId="0" xfId="0" applyNumberFormat="1" applyAlignment="1">
      <alignment horizontal="right" vertical="center" wrapText="1"/>
    </xf>
    <xf numFmtId="3" fontId="0" fillId="11" borderId="0" xfId="0" applyNumberFormat="1" applyAlignment="1">
      <alignment vertical="center"/>
    </xf>
    <xf numFmtId="4" fontId="0" fillId="11" borderId="0" xfId="0" applyNumberFormat="1" applyAlignment="1">
      <alignment horizontal="right" vertical="top" wrapText="1"/>
    </xf>
    <xf numFmtId="168" fontId="0" fillId="11" borderId="0" xfId="0" applyNumberFormat="1" applyAlignment="1">
      <alignment horizontal="right" vertical="center" wrapText="1"/>
    </xf>
    <xf numFmtId="3" fontId="0" fillId="11" borderId="0" xfId="0" applyNumberFormat="1" applyAlignment="1">
      <alignment horizontal="right" vertical="top" wrapText="1"/>
    </xf>
    <xf numFmtId="168" fontId="0" fillId="11" borderId="0" xfId="0" applyNumberFormat="1" applyAlignment="1">
      <alignment horizontal="right" vertical="top" wrapText="1"/>
    </xf>
    <xf numFmtId="3" fontId="0" fillId="11" borderId="0" xfId="0" applyNumberFormat="1" applyAlignment="1">
      <alignment horizontal="center" vertical="center"/>
    </xf>
    <xf numFmtId="4" fontId="121" fillId="45" borderId="10" xfId="25" applyNumberFormat="1" applyBorder="1" applyAlignment="1">
      <alignment horizontal="right" vertical="center"/>
    </xf>
    <xf numFmtId="4" fontId="121" fillId="49" borderId="10" xfId="21" applyNumberFormat="1" applyBorder="1" applyAlignment="1">
      <alignment horizontal="right" vertical="center"/>
    </xf>
    <xf numFmtId="166" fontId="121" fillId="49" borderId="10" xfId="21" applyNumberFormat="1" applyBorder="1" applyAlignment="1">
      <alignment horizontal="right" vertical="center"/>
    </xf>
    <xf numFmtId="0" fontId="64" fillId="11" borderId="0" xfId="0" applyFont="1" applyAlignment="1">
      <alignment horizontal="left" vertical="top"/>
    </xf>
    <xf numFmtId="0" fontId="64" fillId="11" borderId="0" xfId="0" applyFont="1" applyAlignment="1">
      <alignment vertical="center"/>
    </xf>
    <xf numFmtId="0" fontId="64" fillId="11" borderId="0" xfId="0" applyFont="1">
      <alignment vertical="top"/>
    </xf>
    <xf numFmtId="4" fontId="94" fillId="11" borderId="0" xfId="70" applyNumberFormat="1" applyBorder="1">
      <alignment vertical="center"/>
    </xf>
    <xf numFmtId="4" fontId="59" fillId="11" borderId="10" xfId="0" applyNumberFormat="1" applyFont="1" applyBorder="1" applyAlignment="1">
      <alignment vertical="center"/>
    </xf>
    <xf numFmtId="168" fontId="94" fillId="11" borderId="0" xfId="70" applyNumberFormat="1" applyBorder="1">
      <alignment vertical="center"/>
    </xf>
    <xf numFmtId="168" fontId="94" fillId="11" borderId="0" xfId="70" applyNumberFormat="1" applyBorder="1" applyAlignment="1">
      <alignment vertical="top" wrapText="1"/>
    </xf>
    <xf numFmtId="3" fontId="100" fillId="12" borderId="10" xfId="14" applyNumberFormat="1" applyBorder="1" applyAlignment="1">
      <alignment horizontal="left" vertical="top"/>
    </xf>
    <xf numFmtId="168" fontId="121" fillId="45" borderId="10" xfId="25" applyNumberFormat="1" applyBorder="1" applyAlignment="1">
      <alignment horizontal="right" vertical="top"/>
    </xf>
    <xf numFmtId="168" fontId="94" fillId="11" borderId="0" xfId="70" applyNumberFormat="1" applyBorder="1" applyAlignment="1">
      <alignment vertical="top"/>
    </xf>
    <xf numFmtId="168" fontId="59" fillId="11" borderId="0" xfId="0" applyNumberFormat="1" applyFont="1" applyAlignment="1">
      <alignment horizontal="right" vertical="top"/>
    </xf>
    <xf numFmtId="168" fontId="93" fillId="11" borderId="0" xfId="27" applyNumberFormat="1" applyBorder="1">
      <alignment vertical="center"/>
    </xf>
    <xf numFmtId="0" fontId="100" fillId="12" borderId="12" xfId="14" applyNumberFormat="1" applyBorder="1" applyAlignment="1">
      <alignment vertical="top"/>
    </xf>
    <xf numFmtId="0" fontId="100" fillId="12" borderId="11" xfId="14" applyNumberFormat="1" applyBorder="1" applyAlignment="1">
      <alignment vertical="top" wrapText="1"/>
    </xf>
    <xf numFmtId="3" fontId="100" fillId="12" borderId="11" xfId="14" applyNumberFormat="1" applyBorder="1" applyAlignment="1">
      <alignment horizontal="left" vertical="top" wrapText="1"/>
    </xf>
    <xf numFmtId="0" fontId="59" fillId="11" borderId="11" xfId="0" applyFont="1" applyBorder="1" applyAlignment="1">
      <alignment vertical="top" wrapText="1"/>
    </xf>
    <xf numFmtId="168" fontId="121" fillId="45" borderId="11" xfId="25" applyNumberFormat="1" applyBorder="1" applyAlignment="1">
      <alignment horizontal="right" vertical="top" wrapText="1"/>
    </xf>
    <xf numFmtId="168" fontId="59" fillId="11" borderId="11" xfId="0" applyNumberFormat="1" applyFont="1" applyBorder="1" applyAlignment="1">
      <alignment vertical="top" wrapText="1"/>
    </xf>
    <xf numFmtId="168" fontId="121" fillId="49" borderId="11" xfId="21" applyNumberFormat="1" applyBorder="1" applyAlignment="1">
      <alignment horizontal="right" vertical="top" wrapText="1"/>
    </xf>
    <xf numFmtId="168" fontId="59" fillId="0" borderId="0" xfId="0" applyNumberFormat="1" applyFont="1" applyFill="1" applyAlignment="1">
      <alignment vertical="center"/>
    </xf>
    <xf numFmtId="168" fontId="59" fillId="11" borderId="0" xfId="0" applyNumberFormat="1" applyFont="1" applyAlignment="1">
      <alignment vertical="center"/>
    </xf>
    <xf numFmtId="168" fontId="77" fillId="0" borderId="0" xfId="0" applyNumberFormat="1" applyFont="1" applyFill="1" applyAlignment="1">
      <alignment vertical="center"/>
    </xf>
    <xf numFmtId="175" fontId="59" fillId="0" borderId="0" xfId="0" applyNumberFormat="1" applyFont="1" applyFill="1" applyAlignment="1">
      <alignment vertical="center"/>
    </xf>
    <xf numFmtId="175" fontId="59" fillId="11" borderId="0" xfId="0" applyNumberFormat="1" applyFont="1" applyAlignment="1">
      <alignment vertical="center"/>
    </xf>
    <xf numFmtId="3" fontId="100" fillId="12" borderId="10" xfId="14" applyNumberFormat="1" applyBorder="1" applyAlignment="1">
      <alignment vertical="center"/>
    </xf>
    <xf numFmtId="3" fontId="121" fillId="20" borderId="10" xfId="68" applyBorder="1" applyAlignment="1">
      <alignment vertical="top"/>
    </xf>
    <xf numFmtId="3" fontId="121" fillId="20" borderId="10" xfId="68" applyBorder="1" applyAlignment="1">
      <alignment horizontal="right" vertical="top"/>
    </xf>
    <xf numFmtId="0" fontId="90" fillId="11" borderId="0" xfId="0" applyFont="1" applyAlignment="1">
      <alignment vertical="center" wrapText="1"/>
    </xf>
    <xf numFmtId="168" fontId="76" fillId="49" borderId="15" xfId="21" applyNumberFormat="1" applyFont="1" applyBorder="1" applyAlignment="1">
      <alignment horizontal="right" vertical="center"/>
    </xf>
    <xf numFmtId="3" fontId="93" fillId="11" borderId="10" xfId="27" applyNumberFormat="1" applyBorder="1">
      <alignment vertical="center"/>
    </xf>
    <xf numFmtId="0" fontId="93" fillId="11" borderId="10" xfId="27" applyBorder="1">
      <alignment vertical="center"/>
    </xf>
    <xf numFmtId="3" fontId="80" fillId="0" borderId="10" xfId="30" applyFill="1" applyBorder="1" applyAlignment="1">
      <alignment horizontal="left" vertical="top"/>
    </xf>
    <xf numFmtId="168" fontId="121" fillId="45" borderId="10" xfId="25" applyNumberFormat="1" applyBorder="1" applyAlignment="1">
      <alignment horizontal="right" vertical="center" wrapText="1"/>
    </xf>
    <xf numFmtId="4" fontId="121" fillId="45" borderId="10" xfId="25" applyNumberFormat="1" applyBorder="1" applyAlignment="1">
      <alignment horizontal="right" vertical="center" wrapText="1"/>
    </xf>
    <xf numFmtId="168" fontId="121" fillId="49" borderId="10" xfId="21" applyNumberFormat="1" applyBorder="1" applyAlignment="1">
      <alignment horizontal="right" vertical="center" wrapText="1"/>
    </xf>
    <xf numFmtId="0" fontId="98" fillId="11" borderId="0" xfId="20" applyNumberFormat="1" applyAlignment="1">
      <alignment horizontal="center" vertical="center"/>
      <protection hidden="1"/>
    </xf>
    <xf numFmtId="3" fontId="93" fillId="11" borderId="10" xfId="27" applyNumberFormat="1" applyBorder="1" applyAlignment="1">
      <alignment vertical="center"/>
    </xf>
    <xf numFmtId="3" fontId="80" fillId="0" borderId="10" xfId="30" applyFill="1" applyBorder="1" applyAlignment="1">
      <alignment horizontal="left" vertical="center"/>
    </xf>
    <xf numFmtId="0" fontId="93" fillId="11" borderId="10" xfId="27" applyBorder="1" applyAlignment="1">
      <alignment vertical="center"/>
    </xf>
    <xf numFmtId="0" fontId="93" fillId="11" borderId="0" xfId="27" applyBorder="1" applyAlignment="1">
      <alignment vertical="center"/>
    </xf>
    <xf numFmtId="3" fontId="121" fillId="20" borderId="10" xfId="68" applyBorder="1" applyAlignment="1">
      <alignment horizontal="right" vertical="center"/>
    </xf>
    <xf numFmtId="3" fontId="93" fillId="11" borderId="0" xfId="27" applyNumberFormat="1" applyBorder="1" applyAlignment="1">
      <alignment vertical="center"/>
    </xf>
    <xf numFmtId="0" fontId="100" fillId="12" borderId="11" xfId="14" applyNumberFormat="1" applyBorder="1" applyAlignment="1">
      <alignment vertical="center"/>
    </xf>
    <xf numFmtId="0" fontId="100" fillId="12" borderId="12" xfId="14" applyNumberFormat="1" applyBorder="1" applyAlignment="1">
      <alignment vertical="center"/>
    </xf>
    <xf numFmtId="3" fontId="27" fillId="48" borderId="10" xfId="71">
      <alignment horizontal="right" vertical="center"/>
    </xf>
    <xf numFmtId="3" fontId="27" fillId="48" borderId="18" xfId="71" applyBorder="1">
      <alignment horizontal="right" vertical="center"/>
    </xf>
    <xf numFmtId="3" fontId="69" fillId="47" borderId="18" xfId="72" applyBorder="1" applyAlignment="1">
      <alignment horizontal="right" vertical="center"/>
    </xf>
    <xf numFmtId="0" fontId="59" fillId="0" borderId="24" xfId="0" applyFont="1" applyFill="1" applyBorder="1" applyAlignment="1">
      <alignment vertical="center"/>
    </xf>
    <xf numFmtId="168" fontId="121" fillId="49" borderId="24" xfId="21" applyNumberFormat="1" applyBorder="1" applyAlignment="1">
      <alignment horizontal="right" vertical="center"/>
    </xf>
    <xf numFmtId="168" fontId="121" fillId="45" borderId="24" xfId="25" applyNumberFormat="1" applyBorder="1" applyAlignment="1">
      <alignment horizontal="right" vertical="center"/>
    </xf>
    <xf numFmtId="168" fontId="68" fillId="11" borderId="0" xfId="0" applyNumberFormat="1" applyFont="1" applyAlignment="1">
      <alignment horizontal="right" vertical="center"/>
    </xf>
    <xf numFmtId="3" fontId="127" fillId="14" borderId="16" xfId="29" applyNumberFormat="1" applyBorder="1" applyAlignment="1">
      <alignment horizontal="right" vertical="center" wrapText="1"/>
      <protection locked="0"/>
    </xf>
    <xf numFmtId="0" fontId="100" fillId="12" borderId="10" xfId="14" applyNumberFormat="1" applyBorder="1" applyAlignment="1">
      <alignment vertical="top" wrapText="1"/>
    </xf>
    <xf numFmtId="0" fontId="100" fillId="12" borderId="10" xfId="14" applyNumberFormat="1" applyBorder="1" applyAlignment="1">
      <alignment horizontal="left" vertical="top" wrapText="1"/>
    </xf>
    <xf numFmtId="0" fontId="100" fillId="12" borderId="10" xfId="14" applyNumberFormat="1" applyBorder="1" applyAlignment="1">
      <alignment vertical="center" wrapText="1"/>
    </xf>
    <xf numFmtId="3" fontId="127" fillId="54" borderId="26" xfId="6" applyNumberFormat="1" applyAlignment="1">
      <alignment horizontal="right" vertical="center" wrapText="1"/>
      <protection locked="0"/>
    </xf>
    <xf numFmtId="3" fontId="121" fillId="45" borderId="10" xfId="25" applyNumberFormat="1" applyBorder="1" applyAlignment="1">
      <alignment horizontal="right" vertical="top" wrapText="1"/>
    </xf>
    <xf numFmtId="4" fontId="100" fillId="12" borderId="10" xfId="14" applyNumberFormat="1" applyBorder="1" applyAlignment="1">
      <alignment horizontal="right" vertical="top" wrapText="1"/>
    </xf>
    <xf numFmtId="1" fontId="100" fillId="12" borderId="10" xfId="14" applyNumberFormat="1" applyBorder="1" applyAlignment="1">
      <alignment horizontal="right" vertical="center"/>
    </xf>
    <xf numFmtId="1" fontId="100" fillId="12" borderId="10" xfId="14" applyNumberFormat="1" applyBorder="1" applyAlignment="1">
      <alignment horizontal="right" vertical="center" wrapText="1"/>
    </xf>
    <xf numFmtId="9" fontId="100" fillId="12" borderId="10" xfId="14" applyNumberFormat="1" applyBorder="1" applyAlignment="1">
      <alignment horizontal="right" vertical="center"/>
    </xf>
    <xf numFmtId="168" fontId="100" fillId="12" borderId="10" xfId="14" applyNumberFormat="1" applyBorder="1" applyAlignment="1">
      <alignment horizontal="right" vertical="center"/>
    </xf>
    <xf numFmtId="4" fontId="100" fillId="12" borderId="10" xfId="14" applyNumberFormat="1" applyBorder="1" applyAlignment="1">
      <alignment horizontal="right" vertical="center"/>
    </xf>
    <xf numFmtId="4" fontId="127" fillId="50" borderId="16" xfId="73" applyNumberFormat="1" applyBorder="1" applyAlignment="1">
      <alignment horizontal="right" vertical="center" wrapText="1"/>
      <protection locked="0"/>
    </xf>
    <xf numFmtId="168" fontId="127" fillId="50" borderId="16" xfId="73" applyNumberFormat="1" applyBorder="1" applyAlignment="1">
      <alignment horizontal="right" vertical="center" wrapText="1"/>
      <protection locked="0"/>
    </xf>
    <xf numFmtId="3" fontId="65" fillId="11" borderId="15" xfId="0" applyNumberFormat="1" applyFont="1" applyBorder="1" applyAlignment="1">
      <alignment horizontal="right" vertical="center"/>
    </xf>
    <xf numFmtId="0" fontId="59" fillId="0" borderId="10" xfId="0" applyFont="1" applyFill="1" applyBorder="1" applyAlignment="1">
      <alignment vertical="top"/>
    </xf>
    <xf numFmtId="1" fontId="59" fillId="12" borderId="10" xfId="0" applyNumberFormat="1" applyFont="1" applyFill="1" applyBorder="1" applyAlignment="1">
      <alignment horizontal="right" vertical="top" wrapText="1"/>
    </xf>
    <xf numFmtId="3" fontId="59" fillId="0" borderId="11" xfId="0" applyNumberFormat="1" applyFont="1" applyFill="1" applyBorder="1" applyAlignment="1">
      <alignment horizontal="right" vertical="top" wrapText="1"/>
    </xf>
    <xf numFmtId="4" fontId="59" fillId="12" borderId="16" xfId="14" applyNumberFormat="1" applyFont="1" applyBorder="1" applyAlignment="1">
      <alignment horizontal="right" vertical="center"/>
    </xf>
    <xf numFmtId="168" fontId="59" fillId="12" borderId="16" xfId="14" applyNumberFormat="1" applyFont="1" applyBorder="1" applyAlignment="1">
      <alignment horizontal="right" vertical="center"/>
    </xf>
    <xf numFmtId="9" fontId="127" fillId="50" borderId="16" xfId="73" applyNumberFormat="1" applyBorder="1" applyAlignment="1">
      <alignment horizontal="right" vertical="center" wrapText="1"/>
      <protection locked="0"/>
    </xf>
    <xf numFmtId="4" fontId="121" fillId="49" borderId="10" xfId="21" applyNumberFormat="1" applyBorder="1" applyAlignment="1">
      <alignment horizontal="right" vertical="top" wrapText="1"/>
    </xf>
    <xf numFmtId="1" fontId="121" fillId="49" borderId="10" xfId="21" applyNumberFormat="1" applyBorder="1" applyAlignment="1">
      <alignment horizontal="right" vertical="center"/>
    </xf>
    <xf numFmtId="9" fontId="121" fillId="49" borderId="10" xfId="21" applyNumberFormat="1" applyBorder="1" applyAlignment="1">
      <alignment horizontal="right" vertical="center"/>
    </xf>
    <xf numFmtId="3" fontId="71" fillId="12" borderId="12" xfId="0" applyNumberFormat="1" applyFont="1" applyFill="1" applyBorder="1" applyAlignment="1">
      <alignment horizontal="right" vertical="center"/>
    </xf>
    <xf numFmtId="3" fontId="121" fillId="45" borderId="10" xfId="25" applyNumberFormat="1" applyBorder="1" applyAlignment="1">
      <alignment horizontal="right" vertical="top"/>
    </xf>
    <xf numFmtId="175" fontId="121" fillId="45" borderId="11" xfId="25" applyNumberFormat="1" applyBorder="1" applyAlignment="1">
      <alignment horizontal="right" vertical="center"/>
    </xf>
    <xf numFmtId="166" fontId="121" fillId="45" borderId="11" xfId="25" applyNumberFormat="1" applyBorder="1" applyAlignment="1">
      <alignment horizontal="right" vertical="center"/>
    </xf>
    <xf numFmtId="2" fontId="121" fillId="49" borderId="11" xfId="21" applyNumberFormat="1" applyBorder="1" applyAlignment="1">
      <alignment horizontal="right" vertical="center"/>
    </xf>
    <xf numFmtId="0" fontId="100" fillId="12" borderId="11" xfId="14" applyNumberFormat="1" applyBorder="1" applyAlignment="1">
      <alignment horizontal="left" vertical="center"/>
    </xf>
    <xf numFmtId="0" fontId="100" fillId="12" borderId="12" xfId="14" applyNumberFormat="1" applyBorder="1" applyAlignment="1">
      <alignment horizontal="left" vertical="center"/>
    </xf>
    <xf numFmtId="0" fontId="100" fillId="12" borderId="11" xfId="14" applyNumberFormat="1" applyBorder="1" applyAlignment="1">
      <alignment horizontal="left" vertical="center" wrapText="1"/>
    </xf>
    <xf numFmtId="0" fontId="100" fillId="12" borderId="10" xfId="14" applyNumberFormat="1" applyBorder="1">
      <alignment vertical="top"/>
    </xf>
    <xf numFmtId="0" fontId="100" fillId="12" borderId="24" xfId="14" applyNumberFormat="1" applyBorder="1" applyAlignment="1">
      <alignment horizontal="left" vertical="center"/>
    </xf>
    <xf numFmtId="0" fontId="100" fillId="12" borderId="24" xfId="14" applyNumberFormat="1" applyBorder="1" applyAlignment="1">
      <alignment vertical="center"/>
    </xf>
    <xf numFmtId="0" fontId="100" fillId="12" borderId="12" xfId="14" applyNumberFormat="1" applyBorder="1" applyAlignment="1">
      <alignment horizontal="left" vertical="top"/>
    </xf>
    <xf numFmtId="0" fontId="100" fillId="12" borderId="11" xfId="14" applyNumberFormat="1" applyBorder="1" applyAlignment="1">
      <alignment horizontal="left" vertical="top"/>
    </xf>
    <xf numFmtId="3" fontId="71" fillId="45" borderId="12" xfId="25" applyNumberFormat="1" applyFont="1" applyBorder="1" applyAlignment="1">
      <alignment horizontal="right" vertical="center"/>
    </xf>
    <xf numFmtId="175" fontId="100" fillId="12" borderId="11" xfId="14" applyNumberFormat="1" applyBorder="1" applyAlignment="1">
      <alignment horizontal="right" vertical="center"/>
    </xf>
    <xf numFmtId="4" fontId="100" fillId="12" borderId="12" xfId="14" applyNumberFormat="1" applyBorder="1" applyAlignment="1">
      <alignment horizontal="right" vertical="center"/>
    </xf>
    <xf numFmtId="4" fontId="100" fillId="12" borderId="11" xfId="14" applyNumberFormat="1" applyBorder="1" applyAlignment="1">
      <alignment horizontal="right" vertical="center"/>
    </xf>
    <xf numFmtId="0" fontId="100" fillId="12" borderId="11" xfId="14" applyNumberFormat="1" applyBorder="1" applyAlignment="1">
      <alignment vertical="center" wrapText="1"/>
    </xf>
    <xf numFmtId="3" fontId="121" fillId="49" borderId="10" xfId="21" applyNumberFormat="1" applyBorder="1" applyAlignment="1">
      <alignment vertical="center"/>
    </xf>
    <xf numFmtId="168" fontId="121" fillId="45" borderId="11" xfId="25" applyNumberFormat="1" applyBorder="1" applyAlignment="1">
      <alignment horizontal="right" vertical="center"/>
    </xf>
    <xf numFmtId="168" fontId="100" fillId="12" borderId="11" xfId="14" applyNumberFormat="1" applyBorder="1" applyAlignment="1">
      <alignment horizontal="right" vertical="center"/>
    </xf>
    <xf numFmtId="168" fontId="121" fillId="45" borderId="12" xfId="25" applyNumberFormat="1" applyBorder="1" applyAlignment="1">
      <alignment horizontal="right" vertical="center"/>
    </xf>
    <xf numFmtId="168" fontId="59" fillId="11" borderId="12" xfId="0" applyNumberFormat="1" applyFont="1" applyBorder="1" applyAlignment="1">
      <alignment vertical="center"/>
    </xf>
    <xf numFmtId="168" fontId="100" fillId="12" borderId="12" xfId="14" applyNumberFormat="1" applyBorder="1" applyAlignment="1">
      <alignment horizontal="right" vertical="center"/>
    </xf>
    <xf numFmtId="3" fontId="100" fillId="12" borderId="10" xfId="14" applyNumberFormat="1" applyBorder="1" applyAlignment="1">
      <alignment horizontal="right" vertical="center"/>
    </xf>
    <xf numFmtId="3" fontId="69" fillId="47" borderId="10" xfId="72" applyAlignment="1">
      <alignment horizontal="right" vertical="center"/>
    </xf>
    <xf numFmtId="168" fontId="121" fillId="45" borderId="15" xfId="25" applyNumberFormat="1" applyBorder="1" applyAlignment="1">
      <alignment horizontal="right" vertical="center"/>
    </xf>
    <xf numFmtId="168" fontId="0" fillId="11" borderId="0" xfId="0" applyNumberFormat="1" applyAlignment="1">
      <alignment vertical="center"/>
    </xf>
    <xf numFmtId="0" fontId="33" fillId="11" borderId="0" xfId="0" applyFont="1" applyAlignment="1">
      <alignment horizontal="left" vertical="center"/>
    </xf>
    <xf numFmtId="0" fontId="30" fillId="11" borderId="0" xfId="0" applyFont="1" applyAlignment="1">
      <alignment vertical="center"/>
    </xf>
    <xf numFmtId="0" fontId="30" fillId="11" borderId="0" xfId="0" applyFont="1" applyAlignment="1">
      <alignment horizontal="left" vertical="top"/>
    </xf>
    <xf numFmtId="4" fontId="127" fillId="54" borderId="26" xfId="6" applyNumberFormat="1">
      <alignment horizontal="right" vertical="top" wrapText="1"/>
      <protection locked="0"/>
    </xf>
    <xf numFmtId="9" fontId="100" fillId="12" borderId="10" xfId="14" applyNumberFormat="1" applyBorder="1" applyAlignment="1">
      <alignment horizontal="right" vertical="top" wrapText="1"/>
    </xf>
    <xf numFmtId="0" fontId="93" fillId="11" borderId="10" xfId="27" applyNumberFormat="1" applyBorder="1" applyAlignment="1">
      <alignment vertical="center"/>
    </xf>
    <xf numFmtId="0" fontId="80" fillId="11" borderId="10" xfId="30" applyNumberFormat="1" applyFill="1" applyBorder="1" applyAlignment="1">
      <alignment vertical="center"/>
    </xf>
    <xf numFmtId="2" fontId="93" fillId="11" borderId="10" xfId="27" applyNumberFormat="1" applyBorder="1" applyAlignment="1">
      <alignment horizontal="right" vertical="center"/>
    </xf>
    <xf numFmtId="168" fontId="93" fillId="11" borderId="10" xfId="27" applyNumberFormat="1" applyBorder="1" applyAlignment="1">
      <alignment horizontal="right" vertical="center"/>
    </xf>
    <xf numFmtId="3" fontId="121" fillId="20" borderId="15" xfId="68" applyBorder="1" applyAlignment="1">
      <alignment vertical="top"/>
    </xf>
    <xf numFmtId="3" fontId="121" fillId="20" borderId="15" xfId="68" applyBorder="1" applyAlignment="1">
      <alignment horizontal="right" vertical="top"/>
    </xf>
    <xf numFmtId="9" fontId="59" fillId="11" borderId="0" xfId="0" applyNumberFormat="1" applyFont="1" applyAlignment="1">
      <alignment horizontal="right" vertical="top" wrapText="1"/>
    </xf>
    <xf numFmtId="168" fontId="59" fillId="11" borderId="10" xfId="0" applyNumberFormat="1" applyFont="1" applyBorder="1" applyAlignment="1">
      <alignment vertical="top" wrapText="1"/>
    </xf>
    <xf numFmtId="3" fontId="121" fillId="49" borderId="10" xfId="21" applyBorder="1" applyAlignment="1">
      <alignment horizontal="right" vertical="top" wrapText="1"/>
    </xf>
    <xf numFmtId="0" fontId="104" fillId="12" borderId="15" xfId="75" applyNumberFormat="1" applyBorder="1" applyAlignment="1">
      <alignment vertical="center"/>
    </xf>
    <xf numFmtId="0" fontId="104" fillId="12" borderId="15" xfId="75" applyNumberFormat="1" applyBorder="1" applyAlignment="1">
      <alignment vertical="center" wrapText="1"/>
    </xf>
    <xf numFmtId="171" fontId="33" fillId="11" borderId="0" xfId="0" applyNumberFormat="1" applyFont="1" applyAlignment="1">
      <alignment horizontal="left" vertical="center"/>
    </xf>
    <xf numFmtId="170" fontId="19" fillId="11" borderId="0" xfId="0" applyNumberFormat="1" applyFont="1" applyAlignment="1">
      <alignment horizontal="right" vertical="center"/>
    </xf>
    <xf numFmtId="0" fontId="100" fillId="12" borderId="15" xfId="14" applyNumberFormat="1" applyBorder="1">
      <alignment vertical="top"/>
    </xf>
    <xf numFmtId="0" fontId="100" fillId="12" borderId="15" xfId="14" applyNumberFormat="1" applyBorder="1" applyAlignment="1">
      <alignment vertical="top" wrapText="1"/>
    </xf>
    <xf numFmtId="2" fontId="100" fillId="12" borderId="10" xfId="14" applyNumberFormat="1" applyBorder="1" applyAlignment="1">
      <alignment horizontal="right" vertical="top" wrapText="1"/>
    </xf>
    <xf numFmtId="2" fontId="100" fillId="12" borderId="10" xfId="14" applyNumberFormat="1" applyBorder="1" applyAlignment="1">
      <alignment horizontal="right" vertical="center"/>
    </xf>
    <xf numFmtId="165" fontId="100" fillId="12" borderId="10" xfId="14" applyNumberFormat="1" applyBorder="1" applyAlignment="1">
      <alignment horizontal="right" vertical="center" wrapText="1"/>
    </xf>
    <xf numFmtId="165" fontId="100" fillId="12" borderId="10" xfId="14" applyNumberFormat="1" applyBorder="1" applyAlignment="1">
      <alignment horizontal="right" vertical="top" wrapText="1"/>
    </xf>
    <xf numFmtId="4" fontId="100" fillId="12" borderId="10" xfId="14" applyNumberFormat="1" applyBorder="1" applyAlignment="1">
      <alignment horizontal="right" vertical="center" wrapText="1"/>
    </xf>
    <xf numFmtId="166" fontId="100" fillId="12" borderId="10" xfId="14" applyNumberFormat="1" applyBorder="1" applyAlignment="1">
      <alignment horizontal="right" vertical="center" wrapText="1"/>
    </xf>
    <xf numFmtId="0" fontId="93" fillId="11" borderId="15" xfId="27" applyNumberFormat="1" applyBorder="1" applyAlignment="1">
      <alignment vertical="center"/>
    </xf>
    <xf numFmtId="0" fontId="80" fillId="11" borderId="15" xfId="30" applyNumberFormat="1" applyFill="1" applyBorder="1" applyAlignment="1">
      <alignment vertical="center"/>
    </xf>
    <xf numFmtId="3" fontId="93" fillId="11" borderId="15" xfId="27" applyNumberFormat="1" applyBorder="1" applyAlignment="1">
      <alignment horizontal="left" vertical="center"/>
    </xf>
    <xf numFmtId="168" fontId="93" fillId="11" borderId="15" xfId="27" applyNumberFormat="1" applyBorder="1" applyAlignment="1">
      <alignment horizontal="right" vertical="center" wrapText="1"/>
    </xf>
    <xf numFmtId="4" fontId="100" fillId="12" borderId="15" xfId="14" applyNumberFormat="1" applyBorder="1" applyAlignment="1">
      <alignment horizontal="right" vertical="top" wrapText="1"/>
    </xf>
    <xf numFmtId="2" fontId="100" fillId="12" borderId="15" xfId="14" applyNumberFormat="1" applyBorder="1" applyAlignment="1">
      <alignment horizontal="right" vertical="top"/>
    </xf>
    <xf numFmtId="3" fontId="100" fillId="12" borderId="15" xfId="14" applyBorder="1" applyAlignment="1">
      <alignment horizontal="right" vertical="top" wrapText="1"/>
    </xf>
    <xf numFmtId="9" fontId="100" fillId="12" borderId="15" xfId="14" applyNumberFormat="1" applyBorder="1" applyAlignment="1">
      <alignment horizontal="right" vertical="top" wrapText="1"/>
    </xf>
    <xf numFmtId="4" fontId="100" fillId="12" borderId="15" xfId="14" applyNumberFormat="1" applyBorder="1" applyAlignment="1">
      <alignment horizontal="center" vertical="top" wrapText="1"/>
    </xf>
    <xf numFmtId="0" fontId="104" fillId="12" borderId="12" xfId="75" applyNumberFormat="1" applyBorder="1" applyAlignment="1">
      <alignment vertical="center"/>
    </xf>
    <xf numFmtId="0" fontId="100" fillId="12" borderId="12" xfId="14" applyNumberFormat="1" applyBorder="1" applyAlignment="1">
      <alignment vertical="center" wrapText="1"/>
    </xf>
    <xf numFmtId="166" fontId="59" fillId="0" borderId="0" xfId="0" applyNumberFormat="1" applyFont="1" applyFill="1" applyAlignment="1">
      <alignment horizontal="right" vertical="center"/>
    </xf>
    <xf numFmtId="165" fontId="121" fillId="49" borderId="11" xfId="21" applyNumberFormat="1" applyBorder="1" applyAlignment="1">
      <alignment horizontal="right" vertical="center"/>
    </xf>
    <xf numFmtId="165" fontId="100" fillId="12" borderId="11" xfId="14" applyNumberFormat="1" applyBorder="1" applyAlignment="1">
      <alignment horizontal="right" vertical="center"/>
    </xf>
    <xf numFmtId="165" fontId="59" fillId="11" borderId="0" xfId="0" applyNumberFormat="1" applyFont="1" applyAlignment="1">
      <alignment horizontal="right" vertical="center"/>
    </xf>
    <xf numFmtId="165" fontId="121" fillId="45" borderId="11" xfId="25" applyNumberFormat="1" applyBorder="1" applyAlignment="1">
      <alignment horizontal="right" vertical="center"/>
    </xf>
    <xf numFmtId="165" fontId="59" fillId="11" borderId="11" xfId="0" applyNumberFormat="1" applyFont="1" applyBorder="1" applyAlignment="1">
      <alignment vertical="center"/>
    </xf>
    <xf numFmtId="165" fontId="127" fillId="50" borderId="16" xfId="73" applyNumberFormat="1" applyBorder="1" applyAlignment="1">
      <alignment horizontal="right" vertical="center" wrapText="1"/>
      <protection locked="0"/>
    </xf>
    <xf numFmtId="166" fontId="100" fillId="12" borderId="10" xfId="14" applyNumberFormat="1" applyBorder="1" applyAlignment="1">
      <alignment horizontal="right" vertical="center"/>
    </xf>
    <xf numFmtId="166" fontId="59" fillId="11" borderId="0" xfId="0" applyNumberFormat="1" applyFont="1" applyAlignment="1">
      <alignment horizontal="right" vertical="center"/>
    </xf>
    <xf numFmtId="166" fontId="121" fillId="45" borderId="10" xfId="25" applyNumberFormat="1" applyBorder="1" applyAlignment="1">
      <alignment horizontal="right" vertical="center"/>
    </xf>
    <xf numFmtId="166" fontId="59" fillId="11" borderId="10" xfId="0" applyNumberFormat="1" applyFont="1" applyBorder="1" applyAlignment="1">
      <alignment vertical="center"/>
    </xf>
    <xf numFmtId="166" fontId="121" fillId="45" borderId="10" xfId="25" applyNumberFormat="1" applyBorder="1" applyAlignment="1">
      <alignment horizontal="right" vertical="center" wrapText="1"/>
    </xf>
    <xf numFmtId="166" fontId="59" fillId="11" borderId="0" xfId="0" applyNumberFormat="1" applyFont="1" applyAlignment="1">
      <alignment horizontal="right" vertical="center" wrapText="1"/>
    </xf>
    <xf numFmtId="3" fontId="100" fillId="12" borderId="12" xfId="14" applyNumberFormat="1" applyBorder="1" applyAlignment="1">
      <alignment horizontal="left" vertical="center"/>
    </xf>
    <xf numFmtId="168" fontId="94" fillId="11" borderId="0" xfId="70" applyNumberFormat="1" applyBorder="1" applyAlignment="1">
      <alignment vertical="center"/>
    </xf>
    <xf numFmtId="168" fontId="121" fillId="49" borderId="12" xfId="21" applyNumberFormat="1" applyBorder="1" applyAlignment="1">
      <alignment horizontal="right" vertical="center"/>
    </xf>
    <xf numFmtId="3" fontId="100" fillId="12" borderId="11" xfId="14" applyNumberFormat="1" applyBorder="1" applyAlignment="1">
      <alignment horizontal="left" vertical="center" wrapText="1"/>
    </xf>
    <xf numFmtId="0" fontId="59" fillId="11" borderId="11" xfId="0" applyFont="1" applyBorder="1" applyAlignment="1">
      <alignment vertical="center" wrapText="1"/>
    </xf>
    <xf numFmtId="168" fontId="121" fillId="45" borderId="11" xfId="25" applyNumberFormat="1" applyBorder="1" applyAlignment="1">
      <alignment horizontal="right" vertical="center" wrapText="1"/>
    </xf>
    <xf numFmtId="168" fontId="94" fillId="11" borderId="0" xfId="70" applyNumberFormat="1" applyBorder="1" applyAlignment="1">
      <alignment vertical="center" wrapText="1"/>
    </xf>
    <xf numFmtId="168" fontId="59" fillId="11" borderId="11" xfId="0" applyNumberFormat="1" applyFont="1" applyBorder="1" applyAlignment="1">
      <alignment vertical="center" wrapText="1"/>
    </xf>
    <xf numFmtId="168" fontId="121" fillId="49" borderId="11" xfId="21" applyNumberFormat="1" applyBorder="1" applyAlignment="1">
      <alignment horizontal="right" vertical="center" wrapText="1"/>
    </xf>
    <xf numFmtId="4" fontId="121" fillId="45" borderId="11" xfId="25" applyNumberFormat="1" applyBorder="1" applyAlignment="1">
      <alignment horizontal="right" vertical="center" wrapText="1"/>
    </xf>
    <xf numFmtId="0" fontId="97" fillId="11" borderId="0" xfId="0" applyFont="1" applyAlignment="1">
      <alignment horizontal="left" vertical="top"/>
    </xf>
    <xf numFmtId="4" fontId="96" fillId="12" borderId="15" xfId="76" applyNumberFormat="1" applyFill="1" applyBorder="1" applyAlignment="1">
      <alignment horizontal="center" vertical="top" wrapText="1"/>
    </xf>
    <xf numFmtId="0" fontId="24" fillId="12" borderId="10" xfId="14" applyNumberFormat="1" applyFont="1" applyBorder="1">
      <alignment vertical="top"/>
    </xf>
    <xf numFmtId="3" fontId="69" fillId="47" borderId="10" xfId="72">
      <alignment horizontal="right" vertical="center"/>
    </xf>
    <xf numFmtId="168" fontId="19" fillId="11" borderId="0" xfId="14" applyNumberFormat="1" applyFont="1" applyFill="1" applyBorder="1" applyAlignment="1">
      <alignment horizontal="right" vertical="center"/>
    </xf>
    <xf numFmtId="3" fontId="100" fillId="12" borderId="10" xfId="14" applyBorder="1" applyAlignment="1">
      <alignment vertical="center"/>
    </xf>
    <xf numFmtId="0" fontId="0" fillId="11" borderId="0" xfId="0" applyAlignment="1">
      <alignment horizontal="center" vertical="center"/>
    </xf>
    <xf numFmtId="166" fontId="59" fillId="11" borderId="11" xfId="0" applyNumberFormat="1" applyFont="1" applyBorder="1" applyAlignment="1">
      <alignment vertical="center"/>
    </xf>
    <xf numFmtId="166" fontId="121" fillId="49" borderId="11" xfId="21" applyNumberFormat="1" applyBorder="1" applyAlignment="1">
      <alignment horizontal="right" vertical="center"/>
    </xf>
    <xf numFmtId="166" fontId="100" fillId="12" borderId="11" xfId="14" applyNumberFormat="1" applyBorder="1" applyAlignment="1">
      <alignment horizontal="right" vertical="center"/>
    </xf>
    <xf numFmtId="167" fontId="59" fillId="12" borderId="10" xfId="0" applyNumberFormat="1" applyFont="1" applyFill="1" applyBorder="1" applyAlignment="1">
      <alignment horizontal="right" vertical="center"/>
    </xf>
    <xf numFmtId="165" fontId="59" fillId="0" borderId="0" xfId="0" applyNumberFormat="1" applyFont="1" applyFill="1" applyAlignment="1">
      <alignment horizontal="right" vertical="center"/>
    </xf>
    <xf numFmtId="3" fontId="127" fillId="14" borderId="24" xfId="29" applyNumberFormat="1" applyBorder="1" applyAlignment="1">
      <alignment horizontal="right" vertical="center"/>
      <protection locked="0"/>
    </xf>
    <xf numFmtId="0" fontId="42" fillId="11" borderId="0" xfId="0" applyFont="1" applyAlignment="1">
      <alignment horizontal="left" vertical="center" wrapText="1"/>
    </xf>
    <xf numFmtId="0" fontId="0" fillId="11" borderId="0" xfId="0" applyAlignment="1">
      <alignment horizontal="left" vertical="top" wrapText="1"/>
    </xf>
    <xf numFmtId="4" fontId="121" fillId="49" borderId="11" xfId="21" applyNumberFormat="1" applyBorder="1" applyAlignment="1">
      <alignment horizontal="right" vertical="center"/>
    </xf>
    <xf numFmtId="3" fontId="121" fillId="49" borderId="10" xfId="21" applyNumberFormat="1" applyBorder="1" applyAlignment="1">
      <alignment horizontal="right" vertical="center" wrapText="1"/>
    </xf>
    <xf numFmtId="168" fontId="71" fillId="12" borderId="12" xfId="0" applyNumberFormat="1" applyFont="1" applyFill="1" applyBorder="1" applyAlignment="1">
      <alignment horizontal="right" vertical="center"/>
    </xf>
    <xf numFmtId="0" fontId="104" fillId="12" borderId="0" xfId="75" applyNumberFormat="1" applyBorder="1" applyAlignment="1">
      <alignment vertical="center"/>
    </xf>
    <xf numFmtId="0" fontId="104" fillId="12" borderId="0" xfId="75" applyNumberFormat="1" applyBorder="1" applyAlignment="1">
      <alignment horizontal="right" vertical="center" wrapText="1"/>
    </xf>
    <xf numFmtId="168" fontId="104" fillId="12" borderId="10" xfId="75" applyNumberFormat="1" applyBorder="1" applyAlignment="1">
      <alignment horizontal="right" vertical="center" wrapText="1"/>
    </xf>
    <xf numFmtId="0" fontId="104" fillId="12" borderId="0" xfId="75" applyNumberFormat="1" applyBorder="1" applyAlignment="1">
      <alignment vertical="center" wrapText="1"/>
    </xf>
    <xf numFmtId="2" fontId="104" fillId="12" borderId="10" xfId="75" applyNumberFormat="1" applyBorder="1" applyAlignment="1">
      <alignment horizontal="right" vertical="center"/>
    </xf>
    <xf numFmtId="0" fontId="104" fillId="12" borderId="10" xfId="75" applyNumberFormat="1" applyBorder="1" applyAlignment="1">
      <alignment vertical="center"/>
    </xf>
    <xf numFmtId="2" fontId="104" fillId="12" borderId="0" xfId="75" applyNumberFormat="1" applyBorder="1" applyAlignment="1">
      <alignment horizontal="right" vertical="center"/>
    </xf>
    <xf numFmtId="2" fontId="104" fillId="12" borderId="12" xfId="75" applyNumberFormat="1" applyBorder="1" applyAlignment="1">
      <alignment horizontal="right" vertical="center"/>
    </xf>
    <xf numFmtId="166" fontId="127" fillId="54" borderId="26" xfId="6" applyAlignment="1">
      <alignment horizontal="right" vertical="top" wrapText="1"/>
      <protection locked="0"/>
    </xf>
    <xf numFmtId="0" fontId="100" fillId="12" borderId="18" xfId="14" applyNumberFormat="1" applyBorder="1" applyAlignment="1">
      <alignment horizontal="left" vertical="center"/>
    </xf>
    <xf numFmtId="3" fontId="121" fillId="49" borderId="18" xfId="21" applyNumberFormat="1" applyBorder="1" applyAlignment="1">
      <alignment vertical="top"/>
    </xf>
    <xf numFmtId="3" fontId="121" fillId="49" borderId="10" xfId="21" applyNumberFormat="1" applyAlignment="1">
      <alignment horizontal="right" vertical="center" wrapText="1"/>
    </xf>
    <xf numFmtId="9" fontId="121" fillId="45" borderId="15" xfId="25" applyNumberFormat="1" applyBorder="1" applyAlignment="1">
      <alignment horizontal="right" vertical="top"/>
    </xf>
    <xf numFmtId="3" fontId="121" fillId="45" borderId="17" xfId="25" applyNumberFormat="1" applyBorder="1" applyAlignment="1">
      <alignment horizontal="right" vertical="center"/>
    </xf>
    <xf numFmtId="3" fontId="121" fillId="45" borderId="18" xfId="25" applyNumberFormat="1" applyBorder="1" applyAlignment="1">
      <alignment horizontal="right" vertical="center"/>
    </xf>
    <xf numFmtId="0" fontId="104" fillId="12" borderId="10" xfId="75" applyNumberFormat="1" applyBorder="1" applyAlignment="1">
      <alignment horizontal="right" vertical="center" wrapText="1"/>
    </xf>
    <xf numFmtId="0" fontId="104" fillId="12" borderId="10" xfId="75" applyNumberFormat="1" applyBorder="1" applyAlignment="1">
      <alignment vertical="center" wrapText="1"/>
    </xf>
    <xf numFmtId="0" fontId="104" fillId="12" borderId="12" xfId="75" applyNumberFormat="1" applyBorder="1" applyAlignment="1">
      <alignment vertical="center" wrapText="1"/>
    </xf>
    <xf numFmtId="168" fontId="104" fillId="12" borderId="0" xfId="75" applyNumberFormat="1" applyBorder="1" applyAlignment="1">
      <alignment horizontal="right" vertical="center" wrapText="1"/>
    </xf>
    <xf numFmtId="168" fontId="19" fillId="11" borderId="0" xfId="0" applyNumberFormat="1" applyFont="1" applyAlignment="1">
      <alignment vertical="top"/>
    </xf>
    <xf numFmtId="0" fontId="106" fillId="11" borderId="0" xfId="13" applyNumberFormat="1" applyAlignment="1" applyProtection="1">
      <alignment horizontal="left" vertical="top"/>
      <protection hidden="1"/>
    </xf>
    <xf numFmtId="2" fontId="100" fillId="12" borderId="10" xfId="14" applyNumberFormat="1" applyBorder="1" applyAlignment="1">
      <alignment horizontal="right" vertical="top"/>
    </xf>
    <xf numFmtId="0" fontId="100" fillId="12" borderId="10" xfId="14" applyNumberFormat="1" applyBorder="1" applyAlignment="1">
      <alignment horizontal="right" vertical="top" wrapText="1"/>
    </xf>
    <xf numFmtId="168" fontId="19" fillId="11" borderId="0" xfId="0" applyNumberFormat="1" applyFont="1" applyAlignment="1">
      <alignment vertical="center"/>
    </xf>
    <xf numFmtId="3" fontId="19" fillId="11" borderId="0" xfId="14" applyFont="1" applyFill="1" applyBorder="1" applyAlignment="1">
      <alignment horizontal="right" vertical="center"/>
    </xf>
    <xf numFmtId="168" fontId="104" fillId="12" borderId="12" xfId="75" applyNumberFormat="1" applyBorder="1" applyAlignment="1">
      <alignment horizontal="right" vertical="center" wrapText="1"/>
    </xf>
    <xf numFmtId="0" fontId="104" fillId="12" borderId="12" xfId="75" applyNumberFormat="1" applyBorder="1" applyAlignment="1">
      <alignment horizontal="right" vertical="center" wrapText="1"/>
    </xf>
    <xf numFmtId="3" fontId="100" fillId="12" borderId="24" xfId="14" applyNumberFormat="1" applyBorder="1" applyAlignment="1">
      <alignment horizontal="left" vertical="center"/>
    </xf>
    <xf numFmtId="165" fontId="59" fillId="12" borderId="12" xfId="0" applyNumberFormat="1" applyFont="1" applyFill="1" applyBorder="1" applyAlignment="1">
      <alignment horizontal="right" vertical="center"/>
    </xf>
    <xf numFmtId="168" fontId="59" fillId="12" borderId="11" xfId="14" applyNumberFormat="1" applyFont="1" applyBorder="1" applyAlignment="1">
      <alignment horizontal="right" vertical="center"/>
    </xf>
    <xf numFmtId="168" fontId="59" fillId="0" borderId="11" xfId="0" applyNumberFormat="1" applyFont="1" applyFill="1" applyBorder="1" applyAlignment="1">
      <alignment vertical="center"/>
    </xf>
    <xf numFmtId="3" fontId="59" fillId="0" borderId="0" xfId="14" applyNumberFormat="1" applyFont="1" applyFill="1" applyBorder="1" applyAlignment="1">
      <alignment horizontal="right" vertical="center"/>
    </xf>
    <xf numFmtId="167" fontId="59" fillId="0" borderId="0" xfId="14" applyNumberFormat="1" applyFont="1" applyFill="1" applyBorder="1" applyAlignment="1">
      <alignment horizontal="right" vertical="center"/>
    </xf>
    <xf numFmtId="3" fontId="75" fillId="20" borderId="10" xfId="68" applyFont="1" applyBorder="1">
      <alignment horizontal="right" vertical="center"/>
    </xf>
    <xf numFmtId="0" fontId="101" fillId="11" borderId="0" xfId="0" applyFont="1" applyAlignment="1">
      <alignment horizontal="right" vertical="center"/>
    </xf>
    <xf numFmtId="0" fontId="60" fillId="11" borderId="0" xfId="0" applyFont="1">
      <alignment vertical="top"/>
    </xf>
    <xf numFmtId="0" fontId="106" fillId="11" borderId="0" xfId="13" applyNumberFormat="1" applyAlignment="1">
      <alignment horizontal="right" vertical="center" textRotation="90"/>
    </xf>
    <xf numFmtId="0" fontId="106" fillId="11" borderId="0" xfId="13" applyNumberFormat="1" applyBorder="1" applyAlignment="1" applyProtection="1">
      <alignment horizontal="right" vertical="top"/>
      <protection hidden="1"/>
    </xf>
    <xf numFmtId="3" fontId="50" fillId="48" borderId="15" xfId="69" applyBorder="1">
      <alignment horizontal="left" vertical="center"/>
    </xf>
    <xf numFmtId="168" fontId="100" fillId="12" borderId="15" xfId="14" applyNumberFormat="1" applyBorder="1" applyAlignment="1">
      <alignment horizontal="right" vertical="top" wrapText="1"/>
    </xf>
    <xf numFmtId="3" fontId="100" fillId="12" borderId="15" xfId="14" applyBorder="1">
      <alignment vertical="top"/>
    </xf>
    <xf numFmtId="3" fontId="100" fillId="12" borderId="15" xfId="14" applyBorder="1" applyAlignment="1">
      <alignment vertical="top" wrapText="1"/>
    </xf>
    <xf numFmtId="168" fontId="100" fillId="12" borderId="15" xfId="14" applyNumberFormat="1" applyBorder="1" applyAlignment="1">
      <alignment horizontal="right" vertical="top"/>
    </xf>
    <xf numFmtId="4" fontId="100" fillId="12" borderId="15" xfId="14" applyNumberFormat="1" applyBorder="1">
      <alignment vertical="top"/>
    </xf>
    <xf numFmtId="4" fontId="121" fillId="49" borderId="15" xfId="21" applyNumberFormat="1" applyBorder="1">
      <alignment vertical="top"/>
    </xf>
    <xf numFmtId="0" fontId="93" fillId="11" borderId="15" xfId="27" applyBorder="1">
      <alignment vertical="center"/>
    </xf>
    <xf numFmtId="2" fontId="25" fillId="12" borderId="15" xfId="14" applyNumberFormat="1" applyFont="1" applyBorder="1" applyAlignment="1">
      <alignment horizontal="right" vertical="top"/>
    </xf>
    <xf numFmtId="4" fontId="127" fillId="54" borderId="15" xfId="6" applyNumberFormat="1" applyBorder="1">
      <alignment horizontal="right" vertical="top" wrapText="1"/>
      <protection locked="0"/>
    </xf>
    <xf numFmtId="168" fontId="25" fillId="12" borderId="15" xfId="14" applyNumberFormat="1" applyFont="1" applyBorder="1" applyAlignment="1">
      <alignment horizontal="right" vertical="top"/>
    </xf>
    <xf numFmtId="178" fontId="100" fillId="12" borderId="15" xfId="14" applyNumberFormat="1" applyBorder="1" applyAlignment="1">
      <alignment vertical="top" wrapText="1"/>
    </xf>
    <xf numFmtId="179" fontId="100" fillId="12" borderId="15" xfId="14" applyNumberFormat="1" applyBorder="1" applyAlignment="1">
      <alignment vertical="top" wrapText="1"/>
    </xf>
    <xf numFmtId="3" fontId="121" fillId="20" borderId="15" xfId="68" applyBorder="1" applyAlignment="1">
      <alignment horizontal="left" vertical="center"/>
    </xf>
    <xf numFmtId="3" fontId="121" fillId="20" borderId="15" xfId="68" applyBorder="1">
      <alignment horizontal="right" vertical="center"/>
    </xf>
    <xf numFmtId="3" fontId="121" fillId="20" borderId="15" xfId="68" applyBorder="1" applyAlignment="1">
      <alignment horizontal="right" vertical="center"/>
    </xf>
    <xf numFmtId="0" fontId="93" fillId="11" borderId="15" xfId="27" applyNumberFormat="1" applyBorder="1" applyAlignment="1">
      <alignment vertical="center" wrapText="1"/>
    </xf>
    <xf numFmtId="0" fontId="93" fillId="11" borderId="15" xfId="27" applyNumberFormat="1" applyBorder="1" applyAlignment="1">
      <alignment horizontal="left" vertical="center" wrapText="1"/>
    </xf>
    <xf numFmtId="2" fontId="93" fillId="11" borderId="15" xfId="27" applyNumberFormat="1" applyBorder="1" applyAlignment="1">
      <alignment horizontal="right" vertical="center"/>
    </xf>
    <xf numFmtId="0" fontId="100" fillId="12" borderId="15" xfId="14" applyNumberFormat="1" applyBorder="1" applyAlignment="1">
      <alignment horizontal="center" vertical="top"/>
    </xf>
    <xf numFmtId="168" fontId="98" fillId="12" borderId="15" xfId="77" applyNumberFormat="1" applyBorder="1" applyAlignment="1">
      <alignment horizontal="right" vertical="top"/>
      <protection hidden="1"/>
    </xf>
    <xf numFmtId="0" fontId="93" fillId="11" borderId="15" xfId="27" applyNumberFormat="1" applyBorder="1" applyAlignment="1">
      <alignment horizontal="right" vertical="center" wrapText="1"/>
    </xf>
    <xf numFmtId="2" fontId="93" fillId="11" borderId="15" xfId="27" applyNumberFormat="1" applyBorder="1" applyAlignment="1">
      <alignment horizontal="right" vertical="top"/>
    </xf>
    <xf numFmtId="168" fontId="121" fillId="49" borderId="15" xfId="21" applyNumberFormat="1" applyBorder="1" applyAlignment="1">
      <alignment horizontal="right" vertical="top" wrapText="1"/>
    </xf>
    <xf numFmtId="166" fontId="100" fillId="12" borderId="15" xfId="14" applyNumberFormat="1" applyBorder="1" applyAlignment="1">
      <alignment horizontal="right" vertical="top" wrapText="1"/>
    </xf>
    <xf numFmtId="3" fontId="100" fillId="12" borderId="15" xfId="14" applyNumberFormat="1" applyBorder="1" applyAlignment="1">
      <alignment horizontal="right" vertical="top" wrapText="1"/>
    </xf>
    <xf numFmtId="0" fontId="104" fillId="12" borderId="15" xfId="75" applyNumberFormat="1" applyBorder="1">
      <alignment vertical="top" wrapText="1"/>
    </xf>
    <xf numFmtId="2" fontId="104" fillId="12" borderId="15" xfId="75" applyNumberFormat="1" applyBorder="1">
      <alignment vertical="top" wrapText="1"/>
    </xf>
    <xf numFmtId="168" fontId="104" fillId="12" borderId="15" xfId="75" applyNumberFormat="1" applyBorder="1" applyAlignment="1">
      <alignment horizontal="right" vertical="top" wrapText="1"/>
    </xf>
    <xf numFmtId="0" fontId="100" fillId="12" borderId="15" xfId="14" applyNumberFormat="1" applyBorder="1" applyAlignment="1">
      <alignment horizontal="right" vertical="top" wrapText="1"/>
    </xf>
    <xf numFmtId="2" fontId="104" fillId="12" borderId="15" xfId="75" applyNumberFormat="1" applyBorder="1" applyAlignment="1">
      <alignment horizontal="right" vertical="center"/>
    </xf>
    <xf numFmtId="168" fontId="104" fillId="12" borderId="15" xfId="75" applyNumberFormat="1" applyBorder="1" applyAlignment="1">
      <alignment horizontal="right" vertical="center" wrapText="1"/>
    </xf>
    <xf numFmtId="0" fontId="104" fillId="12" borderId="15" xfId="75" applyNumberFormat="1" applyBorder="1" applyAlignment="1">
      <alignment horizontal="right" vertical="center" wrapText="1"/>
    </xf>
    <xf numFmtId="3" fontId="51" fillId="46" borderId="15" xfId="24" applyBorder="1" applyAlignment="1">
      <alignment horizontal="right" vertical="center"/>
    </xf>
    <xf numFmtId="168" fontId="93" fillId="11" borderId="15" xfId="27" applyNumberFormat="1" applyBorder="1" applyAlignment="1">
      <alignment horizontal="right" vertical="center"/>
    </xf>
    <xf numFmtId="168" fontId="93" fillId="11" borderId="15" xfId="27" applyNumberFormat="1" applyBorder="1" applyAlignment="1">
      <alignment horizontal="left" vertical="center"/>
    </xf>
    <xf numFmtId="2" fontId="24" fillId="12" borderId="15" xfId="14" applyNumberFormat="1" applyFont="1" applyBorder="1" applyAlignment="1">
      <alignment horizontal="right" vertical="top"/>
    </xf>
    <xf numFmtId="2" fontId="29" fillId="12" borderId="15" xfId="14" applyNumberFormat="1" applyFont="1" applyBorder="1" applyAlignment="1">
      <alignment horizontal="right" vertical="top"/>
    </xf>
    <xf numFmtId="0" fontId="104" fillId="12" borderId="15" xfId="75" applyNumberFormat="1" applyBorder="1" applyAlignment="1">
      <alignment vertical="top"/>
    </xf>
    <xf numFmtId="0" fontId="104" fillId="12" borderId="15" xfId="75" applyNumberFormat="1" applyBorder="1" applyAlignment="1">
      <alignment vertical="top" wrapText="1"/>
    </xf>
    <xf numFmtId="2" fontId="104" fillId="12" borderId="15" xfId="75" applyNumberFormat="1" applyBorder="1" applyAlignment="1">
      <alignment horizontal="right" vertical="top"/>
    </xf>
    <xf numFmtId="0" fontId="100" fillId="12" borderId="15" xfId="14" applyNumberFormat="1" applyBorder="1" applyAlignment="1">
      <alignment vertical="top"/>
    </xf>
    <xf numFmtId="164" fontId="100" fillId="12" borderId="10" xfId="14" applyNumberFormat="1" applyBorder="1" applyAlignment="1">
      <alignment horizontal="right" vertical="top" wrapText="1"/>
    </xf>
    <xf numFmtId="168" fontId="98" fillId="12" borderId="10" xfId="77" applyNumberFormat="1" applyBorder="1" applyAlignment="1">
      <alignment horizontal="right" vertical="center"/>
      <protection hidden="1"/>
    </xf>
    <xf numFmtId="2" fontId="37" fillId="12" borderId="10" xfId="14" applyNumberFormat="1" applyFont="1" applyBorder="1" applyAlignment="1">
      <alignment horizontal="right" vertical="center"/>
    </xf>
    <xf numFmtId="2" fontId="100" fillId="12" borderId="10" xfId="14" applyNumberFormat="1" applyBorder="1" applyAlignment="1">
      <alignment horizontal="right" vertical="center" wrapText="1"/>
    </xf>
    <xf numFmtId="0" fontId="104" fillId="12" borderId="10" xfId="75" applyNumberFormat="1" applyBorder="1" applyAlignment="1">
      <alignment vertical="top" wrapText="1"/>
    </xf>
    <xf numFmtId="0" fontId="104" fillId="12" borderId="10" xfId="75" applyNumberFormat="1" applyBorder="1" applyAlignment="1">
      <alignment vertical="top"/>
    </xf>
    <xf numFmtId="2" fontId="104" fillId="12" borderId="10" xfId="75" applyNumberFormat="1" applyBorder="1" applyAlignment="1">
      <alignment horizontal="right" vertical="top"/>
    </xf>
    <xf numFmtId="168" fontId="104" fillId="12" borderId="10" xfId="75" applyNumberFormat="1" applyBorder="1" applyAlignment="1">
      <alignment horizontal="right" vertical="top" wrapText="1"/>
    </xf>
    <xf numFmtId="1" fontId="100" fillId="12" borderId="10" xfId="14" applyNumberFormat="1" applyBorder="1" applyAlignment="1">
      <alignment horizontal="right" vertical="top" wrapText="1"/>
    </xf>
    <xf numFmtId="0" fontId="104" fillId="12" borderId="15" xfId="75" applyNumberFormat="1" applyBorder="1" applyAlignment="1">
      <alignment horizontal="right" vertical="center"/>
    </xf>
    <xf numFmtId="0" fontId="121" fillId="49" borderId="15" xfId="21" applyNumberFormat="1" applyBorder="1" applyAlignment="1">
      <alignment horizontal="right" vertical="top" wrapText="1"/>
    </xf>
    <xf numFmtId="4" fontId="121" fillId="49" borderId="15" xfId="21" applyNumberFormat="1" applyBorder="1" applyAlignment="1">
      <alignment horizontal="right" vertical="top" wrapText="1"/>
    </xf>
    <xf numFmtId="2" fontId="100" fillId="12" borderId="15" xfId="14" applyNumberFormat="1" applyBorder="1" applyAlignment="1">
      <alignment horizontal="right" vertical="top" wrapText="1"/>
    </xf>
    <xf numFmtId="0" fontId="100" fillId="12" borderId="15" xfId="14" applyNumberFormat="1" applyBorder="1" applyAlignment="1">
      <alignment vertical="center" wrapText="1"/>
    </xf>
    <xf numFmtId="2" fontId="100" fillId="12" borderId="15" xfId="14" applyNumberFormat="1" applyBorder="1" applyAlignment="1">
      <alignment horizontal="right" vertical="center"/>
    </xf>
    <xf numFmtId="168" fontId="100" fillId="12" borderId="15" xfId="14" applyNumberFormat="1" applyBorder="1" applyAlignment="1">
      <alignment horizontal="right" vertical="center" wrapText="1"/>
    </xf>
    <xf numFmtId="4" fontId="100" fillId="12" borderId="15" xfId="14" applyNumberFormat="1" applyBorder="1" applyAlignment="1">
      <alignment horizontal="right" vertical="center" wrapText="1"/>
    </xf>
    <xf numFmtId="0" fontId="100" fillId="12" borderId="15" xfId="14" applyNumberFormat="1" applyBorder="1" applyAlignment="1">
      <alignment horizontal="right" vertical="center" wrapText="1"/>
    </xf>
    <xf numFmtId="3" fontId="112" fillId="16" borderId="8" xfId="16" applyNumberFormat="1" applyAlignment="1">
      <alignment vertical="center"/>
    </xf>
    <xf numFmtId="3" fontId="112" fillId="16" borderId="8" xfId="16" applyNumberFormat="1" applyAlignment="1">
      <alignment horizontal="left" vertical="center"/>
    </xf>
    <xf numFmtId="3" fontId="112" fillId="16" borderId="8" xfId="16" applyNumberFormat="1" applyAlignment="1">
      <alignment horizontal="right" vertical="center"/>
    </xf>
    <xf numFmtId="3" fontId="112" fillId="16" borderId="8" xfId="16" applyNumberFormat="1" applyAlignment="1">
      <alignment horizontal="center" vertical="center"/>
    </xf>
    <xf numFmtId="168" fontId="127" fillId="14" borderId="10" xfId="29" applyNumberFormat="1">
      <alignment horizontal="right" vertical="top" wrapText="1"/>
      <protection locked="0"/>
    </xf>
    <xf numFmtId="168" fontId="127" fillId="54" borderId="26" xfId="6" applyNumberFormat="1" applyAlignment="1">
      <alignment horizontal="right" vertical="top" wrapText="1"/>
      <protection locked="0"/>
    </xf>
    <xf numFmtId="4" fontId="127" fillId="54" borderId="26" xfId="6" applyNumberFormat="1" applyAlignment="1">
      <alignment horizontal="right" vertical="center" wrapText="1"/>
      <protection locked="0"/>
    </xf>
    <xf numFmtId="166" fontId="127" fillId="17" borderId="15" xfId="78" applyBorder="1">
      <alignment horizontal="right" vertical="top" wrapText="1"/>
      <protection locked="0"/>
    </xf>
    <xf numFmtId="166" fontId="127" fillId="17" borderId="15" xfId="78" applyBorder="1" applyAlignment="1">
      <alignment horizontal="right" vertical="top" wrapText="1"/>
      <protection locked="0"/>
    </xf>
    <xf numFmtId="166" fontId="127" fillId="50" borderId="15" xfId="73" applyBorder="1">
      <alignment horizontal="right" vertical="top" wrapText="1"/>
      <protection locked="0"/>
    </xf>
    <xf numFmtId="166" fontId="127" fillId="50" borderId="15" xfId="73" applyBorder="1" applyAlignment="1">
      <alignment horizontal="right" vertical="top" wrapText="1"/>
      <protection locked="0"/>
    </xf>
    <xf numFmtId="165" fontId="127" fillId="50" borderId="15" xfId="73" applyNumberFormat="1" applyBorder="1" applyAlignment="1">
      <alignment horizontal="right" vertical="top" wrapText="1"/>
      <protection locked="0"/>
    </xf>
    <xf numFmtId="166" fontId="121" fillId="49" borderId="15" xfId="21" applyNumberFormat="1" applyBorder="1" applyAlignment="1">
      <alignment horizontal="right" vertical="top" wrapText="1"/>
    </xf>
    <xf numFmtId="168" fontId="127" fillId="50" borderId="10" xfId="73" applyNumberFormat="1" applyBorder="1">
      <alignment horizontal="right" vertical="top" wrapText="1"/>
      <protection locked="0"/>
    </xf>
    <xf numFmtId="168" fontId="127" fillId="50" borderId="10" xfId="73" applyNumberFormat="1" applyBorder="1" applyAlignment="1">
      <alignment horizontal="right" vertical="top" wrapText="1"/>
      <protection locked="0"/>
    </xf>
    <xf numFmtId="167" fontId="127" fillId="17" borderId="15" xfId="78" applyNumberFormat="1" applyBorder="1">
      <alignment horizontal="right" vertical="top" wrapText="1"/>
      <protection locked="0"/>
    </xf>
    <xf numFmtId="3" fontId="127" fillId="17" borderId="15" xfId="78" applyNumberFormat="1" applyBorder="1">
      <alignment horizontal="right" vertical="top" wrapText="1"/>
      <protection locked="0"/>
    </xf>
    <xf numFmtId="4" fontId="127" fillId="17" borderId="15" xfId="78" applyNumberFormat="1" applyBorder="1">
      <alignment horizontal="right" vertical="top" wrapText="1"/>
      <protection locked="0"/>
    </xf>
    <xf numFmtId="168" fontId="127" fillId="17" borderId="15" xfId="78" applyNumberFormat="1" applyBorder="1">
      <alignment horizontal="right" vertical="top" wrapText="1"/>
      <protection locked="0"/>
    </xf>
    <xf numFmtId="171" fontId="100" fillId="12" borderId="15" xfId="14" applyNumberFormat="1" applyBorder="1" applyAlignment="1">
      <alignment horizontal="right" vertical="top"/>
    </xf>
    <xf numFmtId="165" fontId="100" fillId="12" borderId="15" xfId="14" applyNumberFormat="1" applyBorder="1" applyAlignment="1">
      <alignment horizontal="right" vertical="top"/>
    </xf>
    <xf numFmtId="168" fontId="127" fillId="50" borderId="15" xfId="73" applyNumberFormat="1" applyBorder="1">
      <alignment horizontal="right" vertical="top" wrapText="1"/>
      <protection locked="0"/>
    </xf>
    <xf numFmtId="0" fontId="127" fillId="50" borderId="15" xfId="73" applyNumberFormat="1" applyBorder="1" applyAlignment="1">
      <alignment horizontal="right" vertical="top" wrapText="1"/>
      <protection locked="0"/>
    </xf>
    <xf numFmtId="4" fontId="127" fillId="50" borderId="15" xfId="73" applyNumberFormat="1" applyBorder="1" applyAlignment="1">
      <alignment horizontal="right" vertical="top" wrapText="1"/>
      <protection locked="0"/>
    </xf>
    <xf numFmtId="168" fontId="127" fillId="50" borderId="15" xfId="73" applyNumberFormat="1" applyBorder="1" applyAlignment="1">
      <alignment horizontal="right" vertical="top"/>
      <protection locked="0"/>
    </xf>
    <xf numFmtId="9" fontId="127" fillId="17" borderId="15" xfId="78" applyNumberFormat="1" applyBorder="1">
      <alignment horizontal="right" vertical="top" wrapText="1"/>
      <protection locked="0"/>
    </xf>
    <xf numFmtId="166" fontId="127" fillId="17" borderId="15" xfId="78" applyBorder="1" applyAlignment="1">
      <alignment horizontal="right" vertical="center" wrapText="1"/>
      <protection locked="0"/>
    </xf>
    <xf numFmtId="0" fontId="29" fillId="11" borderId="0" xfId="0" applyFont="1" applyAlignment="1">
      <alignment horizontal="left" vertical="center"/>
    </xf>
    <xf numFmtId="166" fontId="121" fillId="49" borderId="15" xfId="21" applyNumberFormat="1" applyBorder="1" applyAlignment="1">
      <alignment horizontal="right" vertical="center" wrapText="1"/>
    </xf>
    <xf numFmtId="166" fontId="100" fillId="12" borderId="15" xfId="14" applyNumberFormat="1" applyBorder="1" applyAlignment="1">
      <alignment horizontal="right" vertical="center" wrapText="1"/>
    </xf>
    <xf numFmtId="171" fontId="100" fillId="12" borderId="15" xfId="14" applyNumberFormat="1" applyBorder="1" applyAlignment="1">
      <alignment horizontal="right" vertical="center"/>
    </xf>
    <xf numFmtId="167" fontId="127" fillId="17" borderId="15" xfId="78" applyNumberFormat="1" applyBorder="1" applyAlignment="1">
      <alignment horizontal="right" vertical="center" wrapText="1"/>
      <protection locked="0"/>
    </xf>
    <xf numFmtId="165" fontId="100" fillId="12" borderId="15" xfId="14" applyNumberFormat="1" applyBorder="1" applyAlignment="1">
      <alignment horizontal="right" vertical="center"/>
    </xf>
    <xf numFmtId="168" fontId="121" fillId="49" borderId="15" xfId="21" applyNumberFormat="1" applyBorder="1" applyAlignment="1">
      <alignment horizontal="right" vertical="center" wrapText="1"/>
    </xf>
    <xf numFmtId="9" fontId="100" fillId="12" borderId="15" xfId="14" applyNumberFormat="1" applyBorder="1" applyAlignment="1">
      <alignment horizontal="right" vertical="center" wrapText="1"/>
    </xf>
    <xf numFmtId="9" fontId="127" fillId="17" borderId="15" xfId="78" applyNumberFormat="1" applyBorder="1" applyAlignment="1">
      <alignment horizontal="right" vertical="center" wrapText="1"/>
      <protection locked="0"/>
    </xf>
    <xf numFmtId="3" fontId="100" fillId="12" borderId="15" xfId="14" applyBorder="1" applyAlignment="1">
      <alignment horizontal="right" vertical="center" wrapText="1"/>
    </xf>
    <xf numFmtId="3" fontId="127" fillId="17" borderId="15" xfId="78" applyNumberFormat="1" applyBorder="1" applyAlignment="1">
      <alignment horizontal="right" vertical="center" wrapText="1"/>
      <protection locked="0"/>
    </xf>
    <xf numFmtId="0" fontId="127" fillId="50" borderId="10" xfId="73" applyNumberFormat="1" applyBorder="1">
      <alignment horizontal="right" vertical="top" wrapText="1"/>
      <protection locked="0"/>
    </xf>
    <xf numFmtId="166" fontId="127" fillId="17" borderId="10" xfId="78" applyBorder="1" applyAlignment="1">
      <alignment horizontal="right" vertical="center" wrapText="1"/>
      <protection locked="0"/>
    </xf>
    <xf numFmtId="0" fontId="127" fillId="50" borderId="10" xfId="73" applyNumberFormat="1" applyBorder="1" applyAlignment="1">
      <alignment horizontal="right" vertical="center" wrapText="1"/>
      <protection locked="0"/>
    </xf>
    <xf numFmtId="166" fontId="127" fillId="17" borderId="10" xfId="78" applyBorder="1" applyAlignment="1">
      <alignment horizontal="right" vertical="top" wrapText="1"/>
      <protection locked="0"/>
    </xf>
    <xf numFmtId="0" fontId="19" fillId="11" borderId="0" xfId="0" applyFont="1" applyAlignment="1">
      <alignment horizontal="right" vertical="top" wrapText="1"/>
    </xf>
    <xf numFmtId="9" fontId="19" fillId="12" borderId="13" xfId="0" applyNumberFormat="1" applyFont="1" applyFill="1" applyBorder="1" applyAlignment="1">
      <alignment horizontal="right" vertical="top"/>
    </xf>
    <xf numFmtId="9" fontId="30" fillId="12" borderId="13" xfId="0" applyNumberFormat="1" applyFont="1" applyFill="1" applyBorder="1" applyAlignment="1">
      <alignment horizontal="right" vertical="top"/>
    </xf>
    <xf numFmtId="0" fontId="99" fillId="11" borderId="0" xfId="13" applyNumberFormat="1" applyFont="1" applyAlignment="1">
      <alignment horizontal="right" vertical="top"/>
    </xf>
    <xf numFmtId="0" fontId="99" fillId="11" borderId="0" xfId="13" applyNumberFormat="1" applyFont="1" applyAlignment="1">
      <alignment horizontal="right" vertical="top" textRotation="90"/>
    </xf>
    <xf numFmtId="0" fontId="24" fillId="12" borderId="25" xfId="14" applyNumberFormat="1" applyFont="1" applyBorder="1">
      <alignment vertical="top"/>
    </xf>
    <xf numFmtId="0" fontId="24" fillId="12" borderId="25" xfId="14" applyNumberFormat="1" applyFont="1" applyBorder="1" applyAlignment="1">
      <alignment vertical="top" wrapText="1"/>
    </xf>
    <xf numFmtId="2" fontId="24" fillId="12" borderId="25" xfId="14" applyNumberFormat="1" applyFont="1" applyBorder="1" applyAlignment="1">
      <alignment horizontal="right" vertical="top"/>
    </xf>
    <xf numFmtId="4" fontId="59" fillId="12" borderId="25" xfId="14" applyNumberFormat="1" applyFont="1" applyBorder="1" applyAlignment="1">
      <alignment horizontal="right" vertical="center"/>
    </xf>
    <xf numFmtId="3" fontId="24" fillId="12" borderId="25" xfId="14" applyFont="1" applyBorder="1" applyAlignment="1">
      <alignment horizontal="right" vertical="top" wrapText="1"/>
    </xf>
    <xf numFmtId="0" fontId="24" fillId="12" borderId="16" xfId="14" applyNumberFormat="1" applyFont="1" applyBorder="1">
      <alignment vertical="top"/>
    </xf>
    <xf numFmtId="0" fontId="24" fillId="12" borderId="16" xfId="14" applyNumberFormat="1" applyFont="1" applyBorder="1" applyAlignment="1">
      <alignment vertical="top" wrapText="1"/>
    </xf>
    <xf numFmtId="2" fontId="24" fillId="12" borderId="16" xfId="14" applyNumberFormat="1" applyFont="1" applyBorder="1" applyAlignment="1">
      <alignment horizontal="right" vertical="top"/>
    </xf>
    <xf numFmtId="3" fontId="24" fillId="12" borderId="16" xfId="14" applyFont="1" applyBorder="1" applyAlignment="1">
      <alignment horizontal="right" vertical="top" wrapText="1"/>
    </xf>
    <xf numFmtId="0" fontId="94" fillId="11" borderId="15" xfId="70" applyBorder="1" applyAlignment="1">
      <alignment vertical="center"/>
    </xf>
    <xf numFmtId="0" fontId="94" fillId="11" borderId="15" xfId="70" applyBorder="1" applyAlignment="1">
      <alignment vertical="center" wrapText="1"/>
    </xf>
    <xf numFmtId="3" fontId="69" fillId="47" borderId="10" xfId="72" applyAlignment="1">
      <alignment horizontal="left" vertical="center"/>
    </xf>
    <xf numFmtId="0" fontId="18" fillId="11" borderId="0" xfId="0" applyFont="1" applyAlignment="1">
      <alignment horizontal="left" vertical="center"/>
    </xf>
    <xf numFmtId="0" fontId="108" fillId="11" borderId="0" xfId="79" applyNumberFormat="1" applyFill="1" applyAlignment="1">
      <alignment vertical="center"/>
    </xf>
    <xf numFmtId="0" fontId="108" fillId="11" borderId="0" xfId="79" applyNumberFormat="1" applyFill="1" applyAlignment="1">
      <alignment vertical="top"/>
    </xf>
    <xf numFmtId="0" fontId="107" fillId="11" borderId="0" xfId="80" applyNumberFormat="1" applyFill="1" applyAlignment="1" applyProtection="1">
      <alignment horizontal="center" vertical="top"/>
      <protection hidden="1"/>
    </xf>
    <xf numFmtId="0" fontId="107" fillId="11" borderId="0" xfId="80" applyNumberFormat="1" applyFill="1" applyAlignment="1" applyProtection="1">
      <alignment horizontal="center" vertical="center"/>
      <protection hidden="1"/>
    </xf>
    <xf numFmtId="0" fontId="94" fillId="11" borderId="15" xfId="70" applyBorder="1" applyAlignment="1">
      <alignment horizontal="right" vertical="center" wrapText="1"/>
    </xf>
    <xf numFmtId="3" fontId="121" fillId="49" borderId="11" xfId="21" applyNumberFormat="1" applyBorder="1" applyAlignment="1">
      <alignment horizontal="right" vertical="center"/>
    </xf>
    <xf numFmtId="3" fontId="121" fillId="49" borderId="11" xfId="21" applyNumberFormat="1" applyBorder="1" applyAlignment="1">
      <alignment horizontal="right" vertical="center" wrapText="1"/>
    </xf>
    <xf numFmtId="3" fontId="121" fillId="49" borderId="15" xfId="21" applyBorder="1" applyAlignment="1">
      <alignment horizontal="right" vertical="center"/>
    </xf>
    <xf numFmtId="168" fontId="121" fillId="49" borderId="11" xfId="21" applyNumberFormat="1" applyBorder="1" applyAlignment="1">
      <alignment horizontal="right" vertical="center"/>
    </xf>
    <xf numFmtId="3" fontId="121" fillId="49" borderId="15" xfId="21" applyNumberFormat="1" applyBorder="1" applyAlignment="1">
      <alignment horizontal="right" vertical="center"/>
    </xf>
    <xf numFmtId="3" fontId="121" fillId="49" borderId="10" xfId="21" applyBorder="1" applyAlignment="1">
      <alignment horizontal="right" vertical="center" wrapText="1"/>
    </xf>
    <xf numFmtId="9" fontId="121" fillId="49" borderId="11" xfId="21" applyNumberFormat="1" applyBorder="1" applyAlignment="1">
      <alignment horizontal="right" vertical="center"/>
    </xf>
    <xf numFmtId="167" fontId="121" fillId="49" borderId="10" xfId="21" applyNumberFormat="1" applyBorder="1" applyAlignment="1">
      <alignment horizontal="right" vertical="center"/>
    </xf>
    <xf numFmtId="0" fontId="19" fillId="11" borderId="10" xfId="0" applyFont="1" applyBorder="1" applyAlignment="1">
      <alignment horizontal="center" vertical="center"/>
    </xf>
    <xf numFmtId="0" fontId="121" fillId="49" borderId="10" xfId="21" applyNumberFormat="1" applyBorder="1" applyAlignment="1">
      <alignment horizontal="center" vertical="center"/>
    </xf>
    <xf numFmtId="1" fontId="121" fillId="49" borderId="10" xfId="21" applyNumberFormat="1" applyBorder="1" applyAlignment="1">
      <alignment horizontal="right" vertical="center" wrapText="1"/>
    </xf>
    <xf numFmtId="0" fontId="54" fillId="11" borderId="10" xfId="8" applyNumberFormat="1" applyFont="1" applyFill="1" applyBorder="1" applyAlignment="1">
      <alignment horizontal="center" vertical="center"/>
    </xf>
    <xf numFmtId="0" fontId="121" fillId="49" borderId="10" xfId="21" applyNumberFormat="1" applyBorder="1" applyAlignment="1">
      <alignment vertical="center"/>
    </xf>
    <xf numFmtId="3" fontId="121" fillId="49" borderId="10" xfId="21" applyNumberFormat="1" applyBorder="1" applyAlignment="1">
      <alignment horizontal="center" vertical="center"/>
    </xf>
    <xf numFmtId="0" fontId="54" fillId="11" borderId="18" xfId="8" applyNumberFormat="1" applyFont="1" applyFill="1" applyBorder="1" applyAlignment="1">
      <alignment horizontal="center" vertical="center"/>
    </xf>
    <xf numFmtId="0" fontId="54" fillId="11" borderId="15" xfId="8" applyNumberFormat="1" applyFont="1" applyFill="1" applyBorder="1" applyAlignment="1">
      <alignment horizontal="center" vertical="center"/>
    </xf>
    <xf numFmtId="9" fontId="121" fillId="45" borderId="10" xfId="25" applyNumberFormat="1" applyBorder="1" applyAlignment="1">
      <alignment horizontal="right" vertical="center"/>
    </xf>
    <xf numFmtId="9" fontId="19" fillId="11" borderId="0" xfId="0" applyNumberFormat="1" applyFont="1" applyAlignment="1">
      <alignment horizontal="right" vertical="center"/>
    </xf>
    <xf numFmtId="3" fontId="121" fillId="49" borderId="18" xfId="21" applyBorder="1" applyAlignment="1">
      <alignment horizontal="right" vertical="center" wrapText="1"/>
    </xf>
    <xf numFmtId="3" fontId="121" fillId="49" borderId="12" xfId="21" applyNumberFormat="1" applyBorder="1" applyAlignment="1">
      <alignment horizontal="right" vertical="center" wrapText="1"/>
    </xf>
    <xf numFmtId="168" fontId="121" fillId="49" borderId="10" xfId="21" applyNumberFormat="1" applyBorder="1" applyAlignment="1">
      <alignment horizontal="right" vertical="top" wrapText="1"/>
    </xf>
    <xf numFmtId="3" fontId="121" fillId="45" borderId="17" xfId="25" applyNumberFormat="1" applyBorder="1">
      <alignment horizontal="right" vertical="center"/>
    </xf>
    <xf numFmtId="4" fontId="121" fillId="49" borderId="10" xfId="21" applyNumberFormat="1" applyBorder="1" applyAlignment="1">
      <alignment horizontal="center" vertical="center"/>
    </xf>
    <xf numFmtId="3" fontId="121" fillId="20" borderId="0" xfId="68" applyBorder="1" applyAlignment="1">
      <alignment horizontal="right" vertical="center"/>
    </xf>
    <xf numFmtId="0" fontId="48" fillId="11" borderId="0" xfId="81" applyAlignment="1">
      <alignment vertical="top"/>
    </xf>
    <xf numFmtId="0" fontId="110" fillId="11" borderId="0" xfId="0" applyFont="1" applyAlignment="1">
      <alignment horizontal="center" textRotation="90"/>
    </xf>
    <xf numFmtId="0" fontId="108" fillId="11" borderId="0" xfId="79" applyNumberFormat="1" applyFill="1" applyAlignment="1">
      <alignment horizontal="left" vertical="top"/>
    </xf>
    <xf numFmtId="0" fontId="108" fillId="11" borderId="0" xfId="79" applyNumberFormat="1" applyFill="1" applyBorder="1" applyAlignment="1">
      <alignment vertical="center"/>
    </xf>
    <xf numFmtId="0" fontId="108" fillId="11" borderId="0" xfId="79" applyNumberFormat="1" applyFill="1" applyBorder="1" applyAlignment="1">
      <alignment horizontal="center" vertical="center"/>
    </xf>
    <xf numFmtId="0" fontId="112" fillId="16" borderId="8" xfId="16">
      <alignment vertical="top"/>
    </xf>
    <xf numFmtId="0" fontId="107" fillId="11" borderId="0" xfId="80" applyNumberFormat="1" applyFill="1" applyBorder="1" applyAlignment="1" applyProtection="1">
      <alignment horizontal="center" vertical="top"/>
      <protection hidden="1"/>
    </xf>
    <xf numFmtId="0" fontId="107" fillId="11" borderId="0" xfId="80" applyNumberFormat="1" applyFill="1" applyBorder="1" applyAlignment="1" applyProtection="1">
      <alignment horizontal="center" vertical="center"/>
      <protection hidden="1"/>
    </xf>
    <xf numFmtId="3" fontId="107" fillId="11" borderId="0" xfId="80" applyNumberFormat="1" applyFill="1" applyBorder="1" applyAlignment="1" applyProtection="1">
      <alignment horizontal="center" vertical="top"/>
      <protection hidden="1"/>
    </xf>
    <xf numFmtId="0" fontId="107" fillId="11" borderId="0" xfId="80" applyNumberFormat="1" applyFill="1" applyBorder="1" applyAlignment="1" applyProtection="1">
      <alignment vertical="top"/>
      <protection hidden="1"/>
    </xf>
    <xf numFmtId="0" fontId="114" fillId="11" borderId="0" xfId="8" applyNumberFormat="1" applyFont="1" applyFill="1" applyBorder="1" applyAlignment="1">
      <alignment vertical="center"/>
    </xf>
    <xf numFmtId="0" fontId="116" fillId="11" borderId="0" xfId="80" applyNumberFormat="1" applyFont="1" applyFill="1" applyBorder="1" applyAlignment="1" applyProtection="1">
      <alignment horizontal="center" vertical="top"/>
      <protection hidden="1"/>
    </xf>
    <xf numFmtId="0" fontId="116" fillId="11" borderId="0" xfId="80" applyNumberFormat="1" applyFont="1" applyFill="1" applyBorder="1" applyAlignment="1" applyProtection="1">
      <alignment horizontal="center" vertical="center"/>
      <protection hidden="1"/>
    </xf>
    <xf numFmtId="2" fontId="116" fillId="11" borderId="0" xfId="80" applyNumberFormat="1" applyFont="1" applyFill="1" applyBorder="1" applyAlignment="1" applyProtection="1">
      <alignment horizontal="center" vertical="top"/>
      <protection hidden="1"/>
    </xf>
    <xf numFmtId="0" fontId="106" fillId="11" borderId="0" xfId="13" applyNumberFormat="1" applyBorder="1" applyAlignment="1">
      <alignment horizontal="right" vertical="top"/>
    </xf>
    <xf numFmtId="0" fontId="117" fillId="11" borderId="0" xfId="79" applyNumberFormat="1" applyFont="1" applyFill="1" applyBorder="1" applyAlignment="1">
      <alignment horizontal="right" vertical="top"/>
    </xf>
    <xf numFmtId="0" fontId="115" fillId="11" borderId="0" xfId="0" applyFont="1" applyAlignment="1">
      <alignment textRotation="90"/>
    </xf>
    <xf numFmtId="0" fontId="106" fillId="11" borderId="0" xfId="13" applyNumberFormat="1" applyAlignment="1">
      <alignment vertical="top"/>
    </xf>
    <xf numFmtId="0" fontId="108" fillId="11" borderId="0" xfId="79" applyNumberFormat="1" applyFill="1" applyBorder="1" applyAlignment="1">
      <alignment textRotation="90"/>
    </xf>
    <xf numFmtId="0" fontId="61" fillId="11" borderId="0" xfId="0" applyFont="1">
      <alignment vertical="top"/>
    </xf>
    <xf numFmtId="0" fontId="96" fillId="0" borderId="0" xfId="76" applyFill="1" applyAlignment="1">
      <alignment vertical="top" wrapText="1"/>
    </xf>
    <xf numFmtId="0" fontId="94" fillId="11" borderId="0" xfId="70" applyBorder="1" applyAlignment="1">
      <alignment horizontal="left" vertical="center" wrapText="1"/>
    </xf>
    <xf numFmtId="0" fontId="41" fillId="11" borderId="0" xfId="16" applyFont="1" applyFill="1" applyBorder="1" applyAlignment="1">
      <alignment horizontal="left" vertical="center"/>
    </xf>
    <xf numFmtId="3" fontId="100" fillId="12" borderId="10" xfId="83" applyAlignment="1">
      <alignment horizontal="left" vertical="center" wrapText="1"/>
    </xf>
    <xf numFmtId="3" fontId="100" fillId="12" borderId="10" xfId="83" quotePrefix="1" applyAlignment="1">
      <alignment horizontal="left" vertical="center" wrapText="1"/>
    </xf>
    <xf numFmtId="2" fontId="98" fillId="11" borderId="0" xfId="20" applyNumberFormat="1">
      <alignment horizontal="center" vertical="top"/>
      <protection hidden="1"/>
    </xf>
    <xf numFmtId="0" fontId="107" fillId="11" borderId="0" xfId="80" applyNumberFormat="1" applyFill="1" applyBorder="1" applyAlignment="1">
      <alignment vertical="center" textRotation="90"/>
    </xf>
    <xf numFmtId="3" fontId="120" fillId="12" borderId="10" xfId="83" quotePrefix="1" applyFont="1" applyAlignment="1">
      <alignment horizontal="left" vertical="center" wrapText="1"/>
    </xf>
    <xf numFmtId="3" fontId="51" fillId="46" borderId="16" xfId="24" applyBorder="1">
      <alignment horizontal="left" vertical="center"/>
    </xf>
    <xf numFmtId="0" fontId="108" fillId="11" borderId="0" xfId="79" applyNumberFormat="1" applyFill="1" applyAlignment="1">
      <alignment horizontal="right" vertical="center"/>
    </xf>
    <xf numFmtId="0" fontId="17" fillId="11" borderId="0" xfId="0" applyFont="1" applyAlignment="1">
      <alignment horizontal="right" vertical="center"/>
    </xf>
    <xf numFmtId="0" fontId="17" fillId="11" borderId="0" xfId="0" applyFont="1" applyAlignment="1">
      <alignment horizontal="right" vertical="top" textRotation="90"/>
    </xf>
    <xf numFmtId="0" fontId="17" fillId="11" borderId="0" xfId="0" applyFont="1" applyAlignment="1">
      <alignment horizontal="right" vertical="center" textRotation="90"/>
    </xf>
    <xf numFmtId="0" fontId="18" fillId="11" borderId="0" xfId="0" applyFont="1" applyAlignment="1">
      <alignment horizontal="right" vertical="center"/>
    </xf>
    <xf numFmtId="3" fontId="57" fillId="11" borderId="0" xfId="13" applyFont="1" applyAlignment="1">
      <alignment horizontal="right" vertical="center"/>
    </xf>
    <xf numFmtId="3" fontId="57" fillId="11" borderId="0" xfId="13" applyFont="1" applyAlignment="1">
      <alignment horizontal="right" vertical="top"/>
    </xf>
    <xf numFmtId="0" fontId="108" fillId="11" borderId="0" xfId="79" applyNumberFormat="1" applyFont="1" applyFill="1" applyAlignment="1">
      <alignment horizontal="left" vertical="top"/>
    </xf>
    <xf numFmtId="0" fontId="108" fillId="11" borderId="0" xfId="79" applyNumberFormat="1" applyFont="1" applyFill="1" applyAlignment="1">
      <alignment vertical="center"/>
    </xf>
    <xf numFmtId="0" fontId="108" fillId="11" borderId="0" xfId="79" applyNumberFormat="1" applyFont="1" applyFill="1" applyBorder="1" applyAlignment="1">
      <alignment vertical="center"/>
    </xf>
    <xf numFmtId="0" fontId="108" fillId="11" borderId="0" xfId="79" applyNumberFormat="1" applyFont="1" applyFill="1" applyBorder="1" applyAlignment="1">
      <alignment horizontal="center" vertical="center"/>
    </xf>
    <xf numFmtId="0" fontId="108" fillId="11" borderId="0" xfId="79" applyNumberFormat="1" applyFont="1" applyFill="1" applyAlignment="1">
      <alignment vertical="top"/>
    </xf>
    <xf numFmtId="3" fontId="121" fillId="20" borderId="10" xfId="68" applyBorder="1" applyAlignment="1">
      <alignment vertical="center"/>
    </xf>
    <xf numFmtId="168" fontId="67" fillId="11" borderId="0" xfId="8" applyNumberFormat="1" applyFont="1" applyFill="1" applyBorder="1" applyAlignment="1">
      <alignment horizontal="right" vertical="top"/>
    </xf>
    <xf numFmtId="168" fontId="59" fillId="11" borderId="10" xfId="0" applyNumberFormat="1" applyFont="1" applyBorder="1">
      <alignment vertical="top"/>
    </xf>
    <xf numFmtId="168" fontId="65" fillId="11" borderId="0" xfId="0" applyNumberFormat="1" applyFont="1" applyAlignment="1">
      <alignment horizontal="right" vertical="top"/>
    </xf>
    <xf numFmtId="0" fontId="100" fillId="12" borderId="0" xfId="14" applyNumberFormat="1" applyBorder="1" applyAlignment="1">
      <alignment vertical="center"/>
    </xf>
    <xf numFmtId="0" fontId="113" fillId="11" borderId="15" xfId="11" applyNumberFormat="1" applyFill="1" applyBorder="1" applyAlignment="1">
      <alignment horizontal="right" vertical="center" wrapText="1"/>
    </xf>
    <xf numFmtId="175" fontId="76" fillId="49" borderId="15" xfId="21" applyNumberFormat="1" applyFont="1" applyBorder="1" applyAlignment="1">
      <alignment horizontal="right" vertical="center"/>
    </xf>
    <xf numFmtId="175" fontId="59" fillId="11" borderId="0" xfId="0" applyNumberFormat="1" applyFont="1" applyAlignment="1">
      <alignment horizontal="right" vertical="center"/>
    </xf>
    <xf numFmtId="175" fontId="121" fillId="45" borderId="15" xfId="25" applyNumberFormat="1" applyBorder="1" applyAlignment="1">
      <alignment horizontal="right" vertical="center"/>
    </xf>
    <xf numFmtId="175" fontId="59" fillId="11" borderId="15" xfId="0" applyNumberFormat="1" applyFont="1" applyBorder="1" applyAlignment="1">
      <alignment vertical="center"/>
    </xf>
    <xf numFmtId="0" fontId="30" fillId="11" borderId="0" xfId="0" applyFont="1" applyAlignment="1">
      <alignment horizontal="right" vertical="center"/>
    </xf>
    <xf numFmtId="0" fontId="100" fillId="12" borderId="0" xfId="14" applyNumberFormat="1" applyBorder="1">
      <alignment vertical="top"/>
    </xf>
    <xf numFmtId="0" fontId="100" fillId="12" borderId="25" xfId="14" applyNumberFormat="1" applyBorder="1">
      <alignment vertical="top"/>
    </xf>
    <xf numFmtId="0" fontId="100" fillId="12" borderId="25" xfId="14" applyNumberFormat="1" applyBorder="1" applyAlignment="1">
      <alignment vertical="top" wrapText="1"/>
    </xf>
    <xf numFmtId="0" fontId="100" fillId="12" borderId="16" xfId="14" applyNumberFormat="1" applyBorder="1">
      <alignment vertical="top"/>
    </xf>
    <xf numFmtId="3" fontId="121" fillId="49" borderId="15" xfId="21" applyBorder="1" applyAlignment="1">
      <alignment horizontal="right" vertical="top" wrapText="1"/>
    </xf>
    <xf numFmtId="2" fontId="100" fillId="12" borderId="25" xfId="14" applyNumberFormat="1" applyBorder="1" applyAlignment="1">
      <alignment horizontal="right" vertical="top"/>
    </xf>
    <xf numFmtId="4" fontId="100" fillId="12" borderId="25" xfId="14" applyNumberFormat="1" applyBorder="1" applyAlignment="1">
      <alignment horizontal="center" vertical="top" wrapText="1"/>
    </xf>
    <xf numFmtId="0" fontId="127" fillId="14" borderId="10" xfId="29" applyNumberFormat="1" applyAlignment="1">
      <alignment horizontal="right" vertical="center" wrapText="1"/>
      <protection locked="0"/>
    </xf>
    <xf numFmtId="4" fontId="121" fillId="49" borderId="10" xfId="21" applyNumberFormat="1" applyAlignment="1">
      <alignment horizontal="right" vertical="center" wrapText="1"/>
    </xf>
    <xf numFmtId="168" fontId="100" fillId="12" borderId="10" xfId="14" applyNumberFormat="1" applyBorder="1" applyAlignment="1">
      <alignment horizontal="right" vertical="center" wrapText="1"/>
    </xf>
    <xf numFmtId="168" fontId="100" fillId="12" borderId="11" xfId="14" applyNumberFormat="1" applyBorder="1" applyAlignment="1">
      <alignment horizontal="right" vertical="top" wrapText="1"/>
    </xf>
    <xf numFmtId="168" fontId="100" fillId="12" borderId="11" xfId="14" applyNumberFormat="1" applyBorder="1" applyAlignment="1">
      <alignment horizontal="right" vertical="center" wrapText="1"/>
    </xf>
    <xf numFmtId="4" fontId="121" fillId="45" borderId="11" xfId="25" applyNumberFormat="1" applyBorder="1" applyAlignment="1">
      <alignment horizontal="right" vertical="center"/>
    </xf>
    <xf numFmtId="4" fontId="59" fillId="11" borderId="11" xfId="0" applyNumberFormat="1" applyFont="1" applyBorder="1" applyAlignment="1">
      <alignment vertical="center"/>
    </xf>
    <xf numFmtId="0" fontId="94" fillId="11" borderId="0" xfId="70" applyBorder="1" applyAlignment="1">
      <alignment vertical="center"/>
    </xf>
    <xf numFmtId="1" fontId="100" fillId="12" borderId="15" xfId="14" applyNumberFormat="1" applyBorder="1" applyAlignment="1">
      <alignment horizontal="right" vertical="top"/>
    </xf>
    <xf numFmtId="3" fontId="64" fillId="11" borderId="15" xfId="0" applyNumberFormat="1" applyFont="1" applyBorder="1" applyAlignment="1">
      <alignment horizontal="right" vertical="center"/>
    </xf>
    <xf numFmtId="9" fontId="64" fillId="45" borderId="10" xfId="25" applyNumberFormat="1" applyFont="1" applyBorder="1" applyAlignment="1">
      <alignment horizontal="right" vertical="top"/>
    </xf>
    <xf numFmtId="4" fontId="127" fillId="50" borderId="16" xfId="73" applyNumberFormat="1" applyBorder="1" applyAlignment="1">
      <alignment horizontal="right" vertical="center"/>
      <protection locked="0"/>
    </xf>
    <xf numFmtId="0" fontId="100" fillId="12" borderId="11" xfId="14" applyNumberFormat="1" applyBorder="1" applyAlignment="1">
      <alignment vertical="top"/>
    </xf>
    <xf numFmtId="9" fontId="121" fillId="45" borderId="11" xfId="25" applyNumberFormat="1" applyBorder="1" applyAlignment="1">
      <alignment horizontal="right" vertical="top"/>
    </xf>
    <xf numFmtId="168" fontId="59" fillId="11" borderId="11" xfId="0" applyNumberFormat="1" applyFont="1" applyBorder="1" applyAlignment="1">
      <alignment vertical="top"/>
    </xf>
    <xf numFmtId="0" fontId="59" fillId="11" borderId="12" xfId="0" applyFont="1" applyBorder="1" applyAlignment="1">
      <alignment vertical="top"/>
    </xf>
    <xf numFmtId="3" fontId="121" fillId="45" borderId="12" xfId="25" applyNumberFormat="1" applyBorder="1">
      <alignment horizontal="right" vertical="center"/>
    </xf>
    <xf numFmtId="168" fontId="72" fillId="11" borderId="12" xfId="0" applyNumberFormat="1" applyFont="1" applyBorder="1" applyAlignment="1">
      <alignment vertical="center"/>
    </xf>
    <xf numFmtId="9" fontId="121" fillId="45" borderId="10" xfId="25" applyNumberFormat="1" applyBorder="1">
      <alignment horizontal="right" vertical="center"/>
    </xf>
    <xf numFmtId="166" fontId="59" fillId="12" borderId="10" xfId="0" applyNumberFormat="1" applyFont="1" applyFill="1" applyBorder="1" applyAlignment="1">
      <alignment horizontal="right" vertical="center"/>
    </xf>
    <xf numFmtId="166" fontId="59" fillId="0" borderId="0" xfId="14" applyNumberFormat="1" applyFont="1" applyFill="1" applyBorder="1" applyAlignment="1">
      <alignment horizontal="right" vertical="center"/>
    </xf>
    <xf numFmtId="166" fontId="59" fillId="11" borderId="0" xfId="0" applyNumberFormat="1" applyFont="1" applyAlignment="1">
      <alignment vertical="center"/>
    </xf>
    <xf numFmtId="166" fontId="127" fillId="50" borderId="16" xfId="73" applyNumberFormat="1" applyBorder="1" applyAlignment="1">
      <alignment horizontal="right" vertical="center" wrapText="1"/>
      <protection locked="0"/>
    </xf>
    <xf numFmtId="166" fontId="59" fillId="12" borderId="16" xfId="14" applyNumberFormat="1" applyFont="1" applyBorder="1" applyAlignment="1">
      <alignment horizontal="right" vertical="center"/>
    </xf>
    <xf numFmtId="166" fontId="59" fillId="12" borderId="12" xfId="0" applyNumberFormat="1" applyFont="1" applyFill="1" applyBorder="1" applyAlignment="1">
      <alignment horizontal="right" vertical="center"/>
    </xf>
    <xf numFmtId="166" fontId="121" fillId="45" borderId="12" xfId="25" applyNumberFormat="1" applyBorder="1" applyAlignment="1">
      <alignment horizontal="right" vertical="center"/>
    </xf>
    <xf numFmtId="0" fontId="122" fillId="11" borderId="0" xfId="13" applyNumberFormat="1" applyFont="1" applyAlignment="1">
      <alignment horizontal="right" vertical="top"/>
    </xf>
    <xf numFmtId="0" fontId="122" fillId="11" borderId="0" xfId="13" applyNumberFormat="1" applyFont="1" applyAlignment="1">
      <alignment horizontal="right" vertical="center"/>
    </xf>
    <xf numFmtId="2" fontId="104" fillId="12" borderId="15" xfId="75" applyNumberFormat="1" applyBorder="1" applyAlignment="1">
      <alignment horizontal="right" vertical="top" wrapText="1"/>
    </xf>
    <xf numFmtId="3" fontId="69" fillId="47" borderId="10" xfId="72" applyAlignment="1">
      <alignment horizontal="justify" vertical="center"/>
    </xf>
    <xf numFmtId="3" fontId="121" fillId="20" borderId="10" xfId="68" applyBorder="1" applyAlignment="1">
      <alignment horizontal="justify" vertical="center"/>
    </xf>
    <xf numFmtId="3" fontId="67" fillId="19" borderId="10" xfId="68" applyFont="1" applyFill="1" applyBorder="1" applyAlignment="1">
      <alignment horizontal="justify" vertical="center"/>
    </xf>
    <xf numFmtId="3" fontId="68" fillId="52" borderId="10" xfId="68" applyFont="1" applyFill="1" applyBorder="1" applyAlignment="1">
      <alignment horizontal="justify" vertical="center"/>
    </xf>
    <xf numFmtId="3" fontId="127" fillId="54" borderId="26" xfId="6" applyNumberFormat="1" applyAlignment="1">
      <alignment horizontal="justify" vertical="center"/>
      <protection locked="0"/>
    </xf>
    <xf numFmtId="166" fontId="127" fillId="17" borderId="26" xfId="78" applyAlignment="1">
      <alignment horizontal="justify" vertical="center"/>
      <protection locked="0"/>
    </xf>
    <xf numFmtId="3" fontId="127" fillId="14" borderId="10" xfId="29" applyNumberFormat="1" applyAlignment="1">
      <alignment horizontal="justify" vertical="center"/>
      <protection locked="0"/>
    </xf>
    <xf numFmtId="166" fontId="127" fillId="50" borderId="10" xfId="73" applyBorder="1" applyAlignment="1">
      <alignment horizontal="justify" vertical="center"/>
      <protection locked="0"/>
    </xf>
    <xf numFmtId="0" fontId="64" fillId="11" borderId="0" xfId="0" applyFont="1" applyAlignment="1">
      <alignment vertical="top" wrapText="1"/>
    </xf>
    <xf numFmtId="0" fontId="106" fillId="11" borderId="0" xfId="13" applyNumberFormat="1" applyBorder="1" applyAlignment="1">
      <alignment horizontal="right" vertical="center"/>
    </xf>
    <xf numFmtId="3" fontId="106" fillId="11" borderId="0" xfId="13" applyNumberFormat="1" applyBorder="1" applyAlignment="1">
      <alignment horizontal="right" vertical="top"/>
    </xf>
    <xf numFmtId="0" fontId="106" fillId="11" borderId="0" xfId="13" applyNumberFormat="1" applyBorder="1" applyAlignment="1" applyProtection="1">
      <alignment horizontal="right" vertical="center"/>
      <protection hidden="1"/>
    </xf>
    <xf numFmtId="3" fontId="100" fillId="52" borderId="10" xfId="83" quotePrefix="1" applyFill="1" applyAlignment="1">
      <alignment horizontal="left" vertical="center" wrapText="1"/>
    </xf>
    <xf numFmtId="3" fontId="127" fillId="51" borderId="10" xfId="83" quotePrefix="1" applyFont="1" applyFill="1" applyAlignment="1">
      <alignment horizontal="left" vertical="center" wrapText="1"/>
    </xf>
    <xf numFmtId="3" fontId="127" fillId="17" borderId="10" xfId="83" quotePrefix="1" applyFont="1" applyFill="1" applyAlignment="1">
      <alignment horizontal="left" vertical="center" wrapText="1"/>
    </xf>
    <xf numFmtId="3" fontId="127" fillId="19" borderId="10" xfId="83" applyFont="1" applyFill="1" applyAlignment="1">
      <alignment horizontal="left" vertical="center" wrapText="1"/>
    </xf>
    <xf numFmtId="3" fontId="128" fillId="11" borderId="0" xfId="0" applyNumberFormat="1" applyFont="1" applyAlignment="1">
      <alignment horizontal="right" vertical="center"/>
    </xf>
    <xf numFmtId="0" fontId="129" fillId="11" borderId="0" xfId="20" applyNumberFormat="1" applyFont="1">
      <alignment horizontal="center" vertical="top"/>
      <protection hidden="1"/>
    </xf>
    <xf numFmtId="2" fontId="129" fillId="11" borderId="0" xfId="20" applyNumberFormat="1" applyFont="1" applyAlignment="1">
      <alignment horizontal="center" vertical="center"/>
      <protection hidden="1"/>
    </xf>
    <xf numFmtId="3" fontId="129" fillId="11" borderId="0" xfId="20" applyNumberFormat="1" applyFont="1" applyAlignment="1">
      <alignment horizontal="center" vertical="center"/>
      <protection hidden="1"/>
    </xf>
    <xf numFmtId="2" fontId="129" fillId="11" borderId="0" xfId="20" applyFont="1">
      <alignment horizontal="center" vertical="top"/>
      <protection hidden="1"/>
    </xf>
    <xf numFmtId="2" fontId="129" fillId="11" borderId="0" xfId="20" applyNumberFormat="1" applyFont="1">
      <alignment horizontal="center" vertical="top"/>
      <protection hidden="1"/>
    </xf>
    <xf numFmtId="3" fontId="129" fillId="11" borderId="0" xfId="20" applyNumberFormat="1" applyFont="1">
      <alignment horizontal="center" vertical="top"/>
      <protection hidden="1"/>
    </xf>
    <xf numFmtId="0" fontId="129" fillId="11" borderId="0" xfId="20" applyNumberFormat="1" applyFont="1" applyAlignment="1">
      <alignment horizontal="center" vertical="center"/>
      <protection hidden="1"/>
    </xf>
    <xf numFmtId="2" fontId="129" fillId="11" borderId="0" xfId="20" applyFont="1" applyAlignment="1">
      <alignment horizontal="center" vertical="center"/>
      <protection hidden="1"/>
    </xf>
    <xf numFmtId="0" fontId="108" fillId="11" borderId="0" xfId="79" applyNumberFormat="1" applyFont="1" applyFill="1" applyAlignment="1">
      <alignment horizontal="right" vertical="center"/>
    </xf>
    <xf numFmtId="0" fontId="130" fillId="11" borderId="0" xfId="20" applyNumberFormat="1" applyFont="1">
      <alignment horizontal="center" vertical="top"/>
      <protection hidden="1"/>
    </xf>
    <xf numFmtId="0" fontId="54" fillId="11" borderId="0" xfId="0" applyFont="1" applyAlignment="1">
      <alignment vertical="center"/>
    </xf>
    <xf numFmtId="0" fontId="104" fillId="8" borderId="9" xfId="10" applyNumberFormat="1" applyBorder="1" applyAlignment="1">
      <alignment vertical="center"/>
    </xf>
    <xf numFmtId="0" fontId="104" fillId="8" borderId="8" xfId="10" applyNumberFormat="1" applyBorder="1" applyAlignment="1">
      <alignment vertical="center"/>
    </xf>
    <xf numFmtId="180" fontId="104" fillId="8" borderId="8" xfId="10" applyNumberFormat="1" applyBorder="1" applyAlignment="1">
      <alignment horizontal="right" vertical="center"/>
    </xf>
    <xf numFmtId="0" fontId="104" fillId="8" borderId="27" xfId="10" applyNumberFormat="1" applyBorder="1" applyAlignment="1">
      <alignment vertical="center"/>
    </xf>
    <xf numFmtId="3" fontId="56" fillId="12" borderId="0" xfId="8" applyFont="1" applyFill="1" applyBorder="1" applyAlignment="1">
      <alignment horizontal="left" vertical="top"/>
    </xf>
    <xf numFmtId="0" fontId="56" fillId="12" borderId="0" xfId="0" quotePrefix="1" applyFont="1" applyFill="1" applyAlignment="1">
      <alignment horizontal="left" vertical="top"/>
    </xf>
    <xf numFmtId="0" fontId="46" fillId="12" borderId="0" xfId="0" applyFont="1" applyFill="1" applyAlignment="1">
      <alignment vertical="center"/>
    </xf>
    <xf numFmtId="181" fontId="104" fillId="8" borderId="8" xfId="10" applyNumberFormat="1" applyBorder="1" applyAlignment="1">
      <alignment horizontal="right" vertical="center"/>
    </xf>
    <xf numFmtId="9" fontId="0" fillId="11" borderId="0" xfId="0" applyNumberFormat="1">
      <alignment vertical="top"/>
    </xf>
    <xf numFmtId="3" fontId="59" fillId="11" borderId="0" xfId="14" applyFont="1" applyFill="1" applyBorder="1" applyAlignment="1">
      <alignment horizontal="right" vertical="center" wrapText="1"/>
    </xf>
    <xf numFmtId="3" fontId="59" fillId="11" borderId="0" xfId="14" applyFont="1" applyFill="1" applyBorder="1" applyAlignment="1">
      <alignment horizontal="right" vertical="top" wrapText="1"/>
    </xf>
    <xf numFmtId="0" fontId="94" fillId="11" borderId="0" xfId="70" applyBorder="1" applyAlignment="1">
      <alignment vertical="top"/>
    </xf>
    <xf numFmtId="3" fontId="59" fillId="11" borderId="10" xfId="14" applyFont="1" applyFill="1" applyBorder="1" applyAlignment="1">
      <alignment horizontal="right" vertical="top" wrapText="1"/>
    </xf>
    <xf numFmtId="3" fontId="59" fillId="11" borderId="10" xfId="14" applyFont="1" applyFill="1" applyBorder="1" applyAlignment="1">
      <alignment horizontal="right" vertical="center" wrapText="1"/>
    </xf>
    <xf numFmtId="168" fontId="59" fillId="11" borderId="0" xfId="14" applyNumberFormat="1" applyFont="1" applyFill="1" applyBorder="1" applyAlignment="1">
      <alignment horizontal="right" vertical="center" wrapText="1"/>
    </xf>
    <xf numFmtId="168" fontId="59" fillId="11" borderId="10" xfId="14" applyNumberFormat="1" applyFont="1" applyFill="1" applyBorder="1" applyAlignment="1">
      <alignment horizontal="right" vertical="center" wrapText="1"/>
    </xf>
    <xf numFmtId="9" fontId="131" fillId="45" borderId="10" xfId="25" applyNumberFormat="1" applyFont="1" applyBorder="1" applyAlignment="1">
      <alignment horizontal="right" vertical="top"/>
    </xf>
    <xf numFmtId="168" fontId="101" fillId="11" borderId="10" xfId="0" applyNumberFormat="1" applyFont="1" applyBorder="1" applyAlignment="1">
      <alignment vertical="top"/>
    </xf>
    <xf numFmtId="2" fontId="131" fillId="49" borderId="15" xfId="21" applyNumberFormat="1" applyFont="1" applyBorder="1" applyAlignment="1">
      <alignment horizontal="right" vertical="center" wrapText="1"/>
    </xf>
    <xf numFmtId="2" fontId="101" fillId="11" borderId="0" xfId="14" applyNumberFormat="1" applyFont="1" applyFill="1" applyBorder="1" applyAlignment="1">
      <alignment horizontal="right" vertical="center" wrapText="1"/>
    </xf>
    <xf numFmtId="2" fontId="101" fillId="11" borderId="11" xfId="14" applyNumberFormat="1" applyFont="1" applyFill="1" applyBorder="1" applyAlignment="1">
      <alignment horizontal="right" vertical="center" wrapText="1"/>
    </xf>
    <xf numFmtId="0" fontId="98" fillId="11" borderId="0" xfId="20" applyNumberFormat="1" applyAlignment="1">
      <alignment horizontal="center" vertical="top" wrapText="1"/>
      <protection hidden="1"/>
    </xf>
    <xf numFmtId="0" fontId="122" fillId="11" borderId="0" xfId="13" applyNumberFormat="1" applyFont="1" applyAlignment="1">
      <alignment horizontal="right" vertical="top" wrapText="1"/>
    </xf>
    <xf numFmtId="0" fontId="100" fillId="12" borderId="15" xfId="14" applyNumberFormat="1" applyBorder="1" applyAlignment="1">
      <alignment horizontal="center" vertical="top" wrapText="1"/>
    </xf>
    <xf numFmtId="168" fontId="98" fillId="12" borderId="15" xfId="77" applyNumberFormat="1" applyBorder="1" applyAlignment="1">
      <alignment horizontal="right" vertical="top" wrapText="1"/>
      <protection hidden="1"/>
    </xf>
    <xf numFmtId="0" fontId="29" fillId="11" borderId="0" xfId="0" applyFont="1" applyAlignment="1">
      <alignment horizontal="left" vertical="top" wrapText="1"/>
    </xf>
    <xf numFmtId="0" fontId="0" fillId="11" borderId="0" xfId="0" applyAlignment="1">
      <alignment vertical="top" wrapText="1"/>
    </xf>
    <xf numFmtId="177" fontId="69" fillId="47" borderId="10" xfId="72" applyNumberFormat="1" applyAlignment="1">
      <alignment horizontal="left" vertical="center"/>
    </xf>
    <xf numFmtId="0" fontId="44" fillId="11" borderId="11" xfId="0" applyFont="1" applyBorder="1" applyAlignment="1"/>
    <xf numFmtId="3" fontId="50" fillId="48" borderId="16" xfId="69" applyBorder="1">
      <alignment horizontal="left" vertical="center"/>
    </xf>
    <xf numFmtId="177" fontId="69" fillId="47" borderId="10" xfId="72" applyNumberFormat="1" applyAlignment="1">
      <alignment horizontal="left" vertical="center" wrapText="1"/>
    </xf>
    <xf numFmtId="0" fontId="132" fillId="12" borderId="15" xfId="75" applyNumberFormat="1" applyFont="1" applyBorder="1" applyAlignment="1">
      <alignment vertical="center"/>
    </xf>
    <xf numFmtId="0" fontId="17" fillId="11" borderId="0" xfId="0" applyFont="1" applyAlignment="1">
      <alignment horizontal="center" vertical="center"/>
    </xf>
    <xf numFmtId="3" fontId="94" fillId="11" borderId="0" xfId="70" applyNumberFormat="1" applyBorder="1">
      <alignment vertical="center"/>
    </xf>
    <xf numFmtId="0" fontId="29" fillId="11" borderId="0" xfId="0" applyFont="1" applyAlignment="1">
      <alignment horizontal="right" vertical="top" textRotation="90"/>
    </xf>
    <xf numFmtId="0" fontId="30" fillId="11" borderId="0" xfId="0" applyFont="1" applyAlignment="1">
      <alignment horizontal="right" vertical="top"/>
    </xf>
    <xf numFmtId="0" fontId="64" fillId="11" borderId="0" xfId="0" applyFont="1" applyAlignment="1">
      <alignment horizontal="right" vertical="top"/>
    </xf>
    <xf numFmtId="9" fontId="19" fillId="12" borderId="0" xfId="0" applyNumberFormat="1" applyFont="1" applyFill="1" applyAlignment="1">
      <alignment horizontal="right" vertical="top"/>
    </xf>
    <xf numFmtId="4" fontId="101" fillId="12" borderId="15" xfId="14" applyNumberFormat="1" applyFont="1" applyBorder="1" applyAlignment="1">
      <alignment horizontal="right" vertical="top" wrapText="1"/>
    </xf>
    <xf numFmtId="4" fontId="101" fillId="49" borderId="15" xfId="21" applyNumberFormat="1" applyFont="1" applyBorder="1" applyAlignment="1">
      <alignment horizontal="right" vertical="top" wrapText="1"/>
    </xf>
    <xf numFmtId="4" fontId="59" fillId="12" borderId="15" xfId="14" applyNumberFormat="1" applyFont="1" applyBorder="1" applyAlignment="1">
      <alignment horizontal="right" vertical="top" wrapText="1"/>
    </xf>
    <xf numFmtId="4" fontId="59" fillId="49" borderId="15" xfId="21" applyNumberFormat="1" applyFont="1" applyBorder="1" applyAlignment="1">
      <alignment horizontal="right" vertical="top" wrapText="1"/>
    </xf>
    <xf numFmtId="168" fontId="101" fillId="11" borderId="15" xfId="27" applyNumberFormat="1" applyFont="1" applyBorder="1" applyAlignment="1">
      <alignment horizontal="right" vertical="center" wrapText="1"/>
    </xf>
    <xf numFmtId="3" fontId="89" fillId="46" borderId="15" xfId="24" applyFont="1" applyBorder="1">
      <alignment horizontal="left" vertical="center"/>
    </xf>
    <xf numFmtId="0" fontId="133" fillId="12" borderId="15" xfId="75" applyNumberFormat="1" applyFont="1" applyBorder="1" applyAlignment="1">
      <alignment vertical="center"/>
    </xf>
    <xf numFmtId="172" fontId="47" fillId="11" borderId="0" xfId="0" quotePrefix="1" applyNumberFormat="1" applyFont="1" applyAlignment="1">
      <alignment vertical="center"/>
    </xf>
    <xf numFmtId="3" fontId="100" fillId="12" borderId="11" xfId="83" applyBorder="1" applyAlignment="1">
      <alignment horizontal="left" vertical="center" wrapText="1"/>
    </xf>
    <xf numFmtId="3" fontId="134" fillId="12" borderId="0" xfId="83" applyFont="1" applyBorder="1" applyAlignment="1">
      <alignment horizontal="left" vertical="center" wrapText="1"/>
    </xf>
    <xf numFmtId="3" fontId="96" fillId="12" borderId="12" xfId="76" applyNumberFormat="1" applyFill="1" applyBorder="1" applyAlignment="1">
      <alignment horizontal="left" vertical="center" wrapText="1"/>
    </xf>
    <xf numFmtId="0" fontId="117" fillId="11" borderId="0" xfId="79" applyNumberFormat="1" applyFont="1" applyFill="1" applyAlignment="1">
      <alignment horizontal="right" vertical="top"/>
    </xf>
    <xf numFmtId="3" fontId="127" fillId="11" borderId="0" xfId="13" applyFont="1" applyAlignment="1">
      <alignment horizontal="right" vertical="top"/>
    </xf>
    <xf numFmtId="0" fontId="100" fillId="12" borderId="11" xfId="14" applyNumberFormat="1" applyBorder="1">
      <alignment vertical="top"/>
    </xf>
    <xf numFmtId="0" fontId="100" fillId="12" borderId="12" xfId="14" applyNumberFormat="1" applyBorder="1">
      <alignment vertical="top"/>
    </xf>
    <xf numFmtId="0" fontId="137" fillId="12" borderId="0" xfId="14" applyNumberFormat="1" applyFont="1" applyBorder="1">
      <alignment vertical="top"/>
    </xf>
    <xf numFmtId="2" fontId="121" fillId="12" borderId="10" xfId="14" applyNumberFormat="1" applyFont="1" applyBorder="1" applyAlignment="1">
      <alignment horizontal="right" vertical="top" wrapText="1"/>
    </xf>
    <xf numFmtId="165" fontId="127" fillId="17" borderId="10" xfId="78" applyNumberFormat="1" applyBorder="1" applyAlignment="1">
      <alignment horizontal="right" vertical="center" wrapText="1"/>
      <protection locked="0"/>
    </xf>
    <xf numFmtId="165" fontId="121" fillId="12" borderId="10" xfId="14" applyNumberFormat="1" applyFont="1" applyBorder="1" applyAlignment="1">
      <alignment horizontal="right" vertical="top" wrapText="1"/>
    </xf>
    <xf numFmtId="165" fontId="136" fillId="12" borderId="10" xfId="14" applyNumberFormat="1" applyFont="1" applyBorder="1" applyAlignment="1">
      <alignment horizontal="right" vertical="top" wrapText="1"/>
    </xf>
    <xf numFmtId="168" fontId="71" fillId="11" borderId="0" xfId="0" applyNumberFormat="1" applyFont="1" applyAlignment="1">
      <alignment vertical="center"/>
    </xf>
    <xf numFmtId="168" fontId="72" fillId="11" borderId="0" xfId="0" applyNumberFormat="1" applyFont="1" applyAlignment="1">
      <alignment vertical="center"/>
    </xf>
    <xf numFmtId="2" fontId="101" fillId="11" borderId="0" xfId="0" applyNumberFormat="1" applyFont="1" applyAlignment="1">
      <alignment vertical="center"/>
    </xf>
    <xf numFmtId="2" fontId="59" fillId="11" borderId="0" xfId="0" applyNumberFormat="1" applyFont="1" applyAlignment="1">
      <alignment vertical="center"/>
    </xf>
    <xf numFmtId="3" fontId="59" fillId="0" borderId="0" xfId="0" applyNumberFormat="1" applyFont="1" applyFill="1">
      <alignment vertical="top"/>
    </xf>
    <xf numFmtId="3" fontId="59" fillId="0" borderId="0" xfId="0" applyNumberFormat="1" applyFont="1" applyFill="1" applyAlignment="1">
      <alignment vertical="top" wrapText="1"/>
    </xf>
    <xf numFmtId="3" fontId="59" fillId="0" borderId="0" xfId="0" applyNumberFormat="1" applyFont="1" applyFill="1" applyAlignment="1">
      <alignment vertical="center" wrapText="1"/>
    </xf>
    <xf numFmtId="168" fontId="77" fillId="11" borderId="0" xfId="0" applyNumberFormat="1" applyFont="1" applyAlignment="1">
      <alignment vertical="center"/>
    </xf>
    <xf numFmtId="3" fontId="112" fillId="16" borderId="0" xfId="16" applyNumberFormat="1" applyBorder="1" applyAlignment="1">
      <alignment horizontal="right" vertical="center"/>
    </xf>
    <xf numFmtId="3" fontId="51" fillId="46" borderId="0" xfId="24" applyBorder="1">
      <alignment horizontal="left" vertical="center"/>
    </xf>
    <xf numFmtId="0" fontId="139" fillId="16" borderId="8" xfId="16" applyFont="1" applyAlignment="1">
      <alignment horizontal="right" vertical="center" textRotation="90"/>
    </xf>
    <xf numFmtId="0" fontId="139" fillId="16" borderId="8" xfId="16" applyFont="1" applyAlignment="1">
      <alignment horizontal="center" vertical="center" textRotation="90"/>
    </xf>
    <xf numFmtId="176" fontId="141" fillId="13" borderId="27" xfId="11" applyNumberFormat="1" applyFont="1" applyFill="1" applyBorder="1" applyAlignment="1">
      <alignment horizontal="right" vertical="center"/>
    </xf>
    <xf numFmtId="0" fontId="140" fillId="16" borderId="8" xfId="16" applyFont="1" applyAlignment="1">
      <alignment horizontal="left" vertical="center"/>
    </xf>
    <xf numFmtId="0" fontId="140" fillId="16" borderId="8" xfId="16" applyFont="1" applyAlignment="1">
      <alignment vertical="center"/>
    </xf>
    <xf numFmtId="0" fontId="139" fillId="16" borderId="8" xfId="16" applyFont="1" applyAlignment="1">
      <alignment horizontal="right" vertical="center"/>
    </xf>
    <xf numFmtId="0" fontId="139" fillId="16" borderId="8" xfId="16" applyFont="1" applyAlignment="1">
      <alignment vertical="center"/>
    </xf>
    <xf numFmtId="0" fontId="142" fillId="11" borderId="15" xfId="30" applyNumberFormat="1" applyFont="1" applyFill="1" applyBorder="1" applyAlignment="1">
      <alignment vertical="center"/>
    </xf>
    <xf numFmtId="0" fontId="122" fillId="11" borderId="0" xfId="0" applyFont="1" applyAlignment="1">
      <alignment horizontal="right" vertical="top"/>
    </xf>
    <xf numFmtId="168" fontId="140" fillId="16" borderId="8" xfId="16" applyNumberFormat="1" applyFont="1" applyAlignment="1">
      <alignment horizontal="right" vertical="center"/>
    </xf>
    <xf numFmtId="166" fontId="64" fillId="11" borderId="0" xfId="0" applyNumberFormat="1" applyFont="1" applyAlignment="1">
      <alignment horizontal="right" vertical="center"/>
    </xf>
    <xf numFmtId="0" fontId="35" fillId="11" borderId="0" xfId="0" applyFont="1" applyAlignment="1">
      <alignment vertical="center"/>
    </xf>
    <xf numFmtId="0" fontId="41" fillId="11" borderId="28" xfId="16" applyFont="1" applyFill="1" applyBorder="1" applyAlignment="1">
      <alignment horizontal="left" vertical="center"/>
    </xf>
    <xf numFmtId="0" fontId="20" fillId="11" borderId="28" xfId="0" applyFont="1" applyBorder="1" applyAlignment="1">
      <alignment vertical="center"/>
    </xf>
    <xf numFmtId="0" fontId="100" fillId="12" borderId="16" xfId="14" applyNumberFormat="1" applyBorder="1" applyAlignment="1">
      <alignment vertical="top" wrapText="1"/>
    </xf>
    <xf numFmtId="0" fontId="143" fillId="11" borderId="0" xfId="13" applyNumberFormat="1" applyFont="1" applyBorder="1" applyAlignment="1">
      <alignment horizontal="right" vertical="top"/>
    </xf>
    <xf numFmtId="0" fontId="108" fillId="11" borderId="0" xfId="80" applyNumberFormat="1" applyFont="1" applyFill="1" applyBorder="1" applyAlignment="1" applyProtection="1">
      <alignment horizontal="center" vertical="top"/>
      <protection hidden="1"/>
    </xf>
    <xf numFmtId="0" fontId="143" fillId="11" borderId="0" xfId="13" applyNumberFormat="1" applyFont="1" applyBorder="1" applyAlignment="1">
      <alignment horizontal="right" vertical="center"/>
    </xf>
    <xf numFmtId="0" fontId="144" fillId="11" borderId="0" xfId="0" applyFont="1" applyAlignment="1">
      <alignment vertical="center"/>
    </xf>
    <xf numFmtId="0" fontId="144" fillId="11" borderId="0" xfId="0" applyFont="1" applyAlignment="1">
      <alignment horizontal="left" vertical="center"/>
    </xf>
    <xf numFmtId="0" fontId="144" fillId="11" borderId="0" xfId="0" applyFont="1" applyAlignment="1">
      <alignment horizontal="right" vertical="center"/>
    </xf>
    <xf numFmtId="0" fontId="144" fillId="11" borderId="0" xfId="0" applyFont="1">
      <alignment vertical="top"/>
    </xf>
    <xf numFmtId="3" fontId="0" fillId="11" borderId="0" xfId="0" applyNumberFormat="1" applyAlignment="1">
      <alignment horizontal="left" vertical="center"/>
    </xf>
    <xf numFmtId="3" fontId="88" fillId="2" borderId="0" xfId="22" applyAlignment="1">
      <alignment horizontal="right"/>
    </xf>
    <xf numFmtId="0" fontId="59" fillId="11" borderId="0" xfId="0" applyFont="1" applyAlignment="1"/>
    <xf numFmtId="3" fontId="89" fillId="11" borderId="0" xfId="23" applyAlignment="1">
      <alignment horizontal="left"/>
    </xf>
    <xf numFmtId="3" fontId="89" fillId="11" borderId="14" xfId="23" applyBorder="1" applyAlignment="1">
      <alignment horizontal="left"/>
    </xf>
    <xf numFmtId="0" fontId="100" fillId="12" borderId="30" xfId="14" applyNumberFormat="1" applyBorder="1" applyAlignment="1">
      <alignment horizontal="right" vertical="center" indent="1"/>
    </xf>
    <xf numFmtId="166" fontId="127" fillId="50" borderId="31" xfId="73" applyBorder="1" applyAlignment="1">
      <alignment vertical="top" wrapText="1"/>
      <protection locked="0"/>
    </xf>
    <xf numFmtId="0" fontId="100" fillId="12" borderId="32" xfId="14" applyNumberFormat="1" applyBorder="1" applyAlignment="1">
      <alignment vertical="center"/>
    </xf>
    <xf numFmtId="0" fontId="100" fillId="12" borderId="34" xfId="14" applyNumberFormat="1" applyBorder="1" applyAlignment="1">
      <alignment vertical="center"/>
    </xf>
    <xf numFmtId="182" fontId="121" fillId="49" borderId="35" xfId="21" applyNumberFormat="1" applyBorder="1" applyAlignment="1">
      <alignment horizontal="left" vertical="center" indent="1"/>
    </xf>
    <xf numFmtId="0" fontId="24" fillId="12" borderId="37" xfId="14" applyNumberFormat="1" applyFont="1" applyBorder="1" applyAlignment="1">
      <alignment vertical="center"/>
    </xf>
    <xf numFmtId="0" fontId="24" fillId="12" borderId="40" xfId="14" applyNumberFormat="1" applyFont="1" applyBorder="1" applyAlignment="1">
      <alignment vertical="center"/>
    </xf>
    <xf numFmtId="0" fontId="146" fillId="11" borderId="0" xfId="0" applyNumberFormat="1" applyFont="1" applyAlignment="1">
      <alignment horizontal="justify" vertical="center"/>
    </xf>
    <xf numFmtId="0" fontId="24" fillId="12" borderId="42" xfId="14" applyNumberFormat="1" applyFont="1" applyBorder="1">
      <alignment vertical="top"/>
    </xf>
    <xf numFmtId="0" fontId="108" fillId="11" borderId="0" xfId="79" applyNumberFormat="1" applyFont="1" applyFill="1" applyBorder="1" applyAlignment="1">
      <alignment textRotation="90"/>
    </xf>
    <xf numFmtId="0" fontId="107" fillId="11" borderId="0" xfId="80" applyNumberFormat="1" applyFill="1" applyBorder="1" applyAlignment="1">
      <alignment textRotation="90"/>
    </xf>
    <xf numFmtId="0" fontId="24" fillId="12" borderId="29" xfId="14" applyNumberFormat="1" applyFont="1" applyBorder="1" applyAlignment="1">
      <alignment vertical="center"/>
    </xf>
    <xf numFmtId="0" fontId="24" fillId="12" borderId="32" xfId="14" applyNumberFormat="1" applyFont="1" applyBorder="1" applyAlignment="1">
      <alignment vertical="center"/>
    </xf>
    <xf numFmtId="0" fontId="24" fillId="12" borderId="34" xfId="14" applyNumberFormat="1" applyFont="1" applyBorder="1" applyAlignment="1">
      <alignment vertical="center"/>
    </xf>
    <xf numFmtId="0" fontId="147" fillId="16" borderId="8" xfId="16" applyFont="1" applyAlignment="1">
      <alignment horizontal="center" vertical="center" textRotation="90"/>
    </xf>
    <xf numFmtId="0" fontId="38" fillId="11" borderId="0" xfId="20" applyNumberFormat="1" applyFont="1" applyAlignment="1">
      <alignment horizontal="right" vertical="top"/>
      <protection hidden="1"/>
    </xf>
    <xf numFmtId="2" fontId="38" fillId="11" borderId="0" xfId="20" applyFont="1" applyAlignment="1">
      <alignment horizontal="right" vertical="top"/>
      <protection hidden="1"/>
    </xf>
    <xf numFmtId="0" fontId="38" fillId="11" borderId="0" xfId="20" applyNumberFormat="1" applyFont="1" applyAlignment="1">
      <alignment horizontal="right" vertical="center"/>
      <protection hidden="1"/>
    </xf>
    <xf numFmtId="3" fontId="150" fillId="16" borderId="8" xfId="16" applyNumberFormat="1" applyFont="1" applyAlignment="1">
      <alignment vertical="center"/>
    </xf>
    <xf numFmtId="0" fontId="104" fillId="8" borderId="32" xfId="10" applyNumberFormat="1" applyBorder="1" applyAlignment="1">
      <alignment horizontal="left" vertical="center"/>
    </xf>
    <xf numFmtId="0" fontId="88" fillId="2" borderId="0" xfId="22" applyNumberFormat="1" applyBorder="1">
      <alignment horizontal="right" vertical="center"/>
    </xf>
    <xf numFmtId="0" fontId="148" fillId="11" borderId="0" xfId="79" applyNumberFormat="1" applyFont="1" applyFill="1" applyAlignment="1">
      <alignment vertical="center"/>
    </xf>
    <xf numFmtId="0" fontId="90" fillId="11" borderId="0" xfId="0" applyFont="1" applyAlignment="1">
      <alignment vertical="top"/>
    </xf>
    <xf numFmtId="0" fontId="151" fillId="0" borderId="0" xfId="13" applyNumberFormat="1" applyFont="1" applyFill="1" applyAlignment="1">
      <alignment horizontal="left" vertical="top"/>
    </xf>
    <xf numFmtId="0" fontId="90" fillId="11" borderId="0" xfId="0" applyFont="1" applyAlignment="1">
      <alignment vertical="center"/>
    </xf>
    <xf numFmtId="0" fontId="90" fillId="11" borderId="0" xfId="0" applyFont="1">
      <alignment vertical="top"/>
    </xf>
    <xf numFmtId="165" fontId="0" fillId="11" borderId="0" xfId="0" applyNumberFormat="1">
      <alignment vertical="top"/>
    </xf>
    <xf numFmtId="0" fontId="100" fillId="12" borderId="10" xfId="14" applyNumberFormat="1" applyBorder="1" applyAlignment="1">
      <alignment horizontal="right" vertical="top"/>
    </xf>
    <xf numFmtId="3" fontId="93" fillId="11" borderId="0" xfId="27" applyNumberFormat="1" applyBorder="1" applyAlignment="1">
      <alignment horizontal="center" vertical="center"/>
    </xf>
    <xf numFmtId="0" fontId="100" fillId="12" borderId="10" xfId="14" applyNumberFormat="1" applyBorder="1" applyAlignment="1">
      <alignment horizontal="center" vertical="top"/>
    </xf>
    <xf numFmtId="2" fontId="100" fillId="12" borderId="10" xfId="14" applyNumberFormat="1" applyBorder="1" applyAlignment="1">
      <alignment horizontal="center" vertical="top"/>
    </xf>
    <xf numFmtId="0" fontId="100" fillId="12" borderId="10" xfId="14" applyNumberFormat="1" applyBorder="1" applyAlignment="1">
      <alignment horizontal="right" vertical="center"/>
    </xf>
    <xf numFmtId="166" fontId="127" fillId="54" borderId="15" xfId="6" applyBorder="1" applyAlignment="1">
      <alignment horizontal="right" vertical="center" wrapText="1"/>
      <protection locked="0"/>
    </xf>
    <xf numFmtId="166" fontId="127" fillId="54" borderId="15" xfId="6" applyBorder="1" applyAlignment="1">
      <alignment horizontal="right" vertical="top" wrapText="1"/>
      <protection locked="0"/>
    </xf>
    <xf numFmtId="9" fontId="127" fillId="54" borderId="15" xfId="6" applyNumberFormat="1" applyBorder="1" applyAlignment="1">
      <alignment horizontal="right" vertical="center" wrapText="1"/>
      <protection locked="0"/>
    </xf>
    <xf numFmtId="168" fontId="127" fillId="54" borderId="15" xfId="6" applyNumberFormat="1" applyBorder="1" applyAlignment="1">
      <alignment horizontal="right" vertical="center" wrapText="1"/>
      <protection locked="0"/>
    </xf>
    <xf numFmtId="3" fontId="59" fillId="0" borderId="0" xfId="0" applyNumberFormat="1" applyFont="1" applyFill="1" applyAlignment="1">
      <alignment horizontal="right" vertical="center" wrapText="1"/>
    </xf>
    <xf numFmtId="168" fontId="121" fillId="49" borderId="10" xfId="21" applyNumberFormat="1" applyBorder="1" applyAlignment="1">
      <alignment vertical="center"/>
    </xf>
    <xf numFmtId="165" fontId="127" fillId="50" borderId="10" xfId="73" applyNumberFormat="1" applyBorder="1" applyAlignment="1">
      <alignment horizontal="right" vertical="top" wrapText="1"/>
      <protection locked="0"/>
    </xf>
    <xf numFmtId="2" fontId="127" fillId="50" borderId="10" xfId="73" applyNumberFormat="1" applyBorder="1" applyAlignment="1">
      <alignment horizontal="right" vertical="top" wrapText="1"/>
      <protection locked="0"/>
    </xf>
    <xf numFmtId="168" fontId="98" fillId="12" borderId="10" xfId="77" applyNumberFormat="1" applyBorder="1" applyAlignment="1">
      <alignment horizontal="right" vertical="top"/>
      <protection hidden="1"/>
    </xf>
    <xf numFmtId="3" fontId="98" fillId="12" borderId="10" xfId="77" applyNumberFormat="1" applyBorder="1" applyAlignment="1">
      <alignment horizontal="right" vertical="top" wrapText="1"/>
      <protection hidden="1"/>
    </xf>
    <xf numFmtId="165" fontId="127" fillId="17" borderId="10" xfId="78" applyNumberFormat="1" applyBorder="1" applyAlignment="1">
      <alignment horizontal="right" vertical="top" wrapText="1"/>
      <protection locked="0"/>
    </xf>
    <xf numFmtId="0" fontId="30" fillId="11" borderId="0" xfId="0" applyFont="1" applyAlignment="1">
      <alignment vertical="top"/>
    </xf>
    <xf numFmtId="9" fontId="127" fillId="17" borderId="15" xfId="14" applyNumberFormat="1" applyFont="1" applyFill="1" applyBorder="1" applyAlignment="1" applyProtection="1">
      <alignment horizontal="right" vertical="top" wrapText="1"/>
      <protection locked="0"/>
    </xf>
    <xf numFmtId="166" fontId="127" fillId="17" borderId="15" xfId="14" applyNumberFormat="1" applyFont="1" applyFill="1" applyBorder="1" applyAlignment="1" applyProtection="1">
      <alignment horizontal="right" vertical="top" wrapText="1"/>
      <protection locked="0"/>
    </xf>
    <xf numFmtId="2" fontId="17" fillId="12" borderId="15" xfId="14" applyNumberFormat="1" applyFont="1" applyBorder="1" applyAlignment="1" applyProtection="1">
      <alignment horizontal="right" vertical="top"/>
      <protection locked="0"/>
    </xf>
    <xf numFmtId="166" fontId="127" fillId="54" borderId="45" xfId="6" applyBorder="1" applyAlignment="1">
      <alignment horizontal="center" vertical="center" wrapText="1"/>
      <protection locked="0"/>
    </xf>
    <xf numFmtId="164" fontId="121" fillId="49" borderId="10" xfId="21" applyNumberFormat="1" applyBorder="1" applyAlignment="1">
      <alignment horizontal="right" vertical="center"/>
    </xf>
    <xf numFmtId="4" fontId="127" fillId="54" borderId="26" xfId="6" applyNumberFormat="1" applyAlignment="1">
      <alignment horizontal="center" vertical="center" wrapText="1"/>
      <protection locked="0"/>
    </xf>
    <xf numFmtId="3" fontId="141" fillId="11" borderId="0" xfId="0" applyNumberFormat="1" applyFont="1" applyAlignment="1">
      <alignment horizontal="right"/>
    </xf>
    <xf numFmtId="3" fontId="155" fillId="45" borderId="10" xfId="0" applyNumberFormat="1" applyFont="1" applyFill="1" applyBorder="1" applyAlignment="1">
      <alignment horizontal="right" vertical="center"/>
    </xf>
    <xf numFmtId="0" fontId="155" fillId="11" borderId="10" xfId="0" applyFont="1" applyBorder="1">
      <alignment vertical="top"/>
    </xf>
    <xf numFmtId="3" fontId="155" fillId="49" borderId="10" xfId="0" applyNumberFormat="1" applyFont="1" applyFill="1" applyBorder="1" applyAlignment="1">
      <alignment horizontal="right" vertical="center"/>
    </xf>
    <xf numFmtId="3" fontId="155" fillId="49" borderId="10" xfId="0" applyNumberFormat="1" applyFont="1" applyFill="1" applyBorder="1" applyAlignment="1">
      <alignment horizontal="right"/>
    </xf>
    <xf numFmtId="0" fontId="155" fillId="45" borderId="10" xfId="0" applyFont="1" applyFill="1" applyBorder="1" applyAlignment="1">
      <alignment horizontal="right" vertical="center"/>
    </xf>
    <xf numFmtId="0" fontId="155" fillId="49" borderId="10" xfId="0" applyFont="1" applyFill="1" applyBorder="1" applyAlignment="1">
      <alignment vertical="center"/>
    </xf>
    <xf numFmtId="0" fontId="155" fillId="49" borderId="10" xfId="0" applyFont="1" applyFill="1" applyBorder="1" applyAlignment="1">
      <alignment horizontal="right" vertical="center"/>
    </xf>
    <xf numFmtId="0" fontId="157" fillId="11" borderId="0" xfId="79" applyNumberFormat="1" applyFont="1" applyFill="1" applyAlignment="1">
      <alignment vertical="center"/>
    </xf>
    <xf numFmtId="0" fontId="157" fillId="11" borderId="0" xfId="79" applyNumberFormat="1" applyFont="1" applyFill="1" applyBorder="1" applyAlignment="1">
      <alignment vertical="center"/>
    </xf>
    <xf numFmtId="0" fontId="157" fillId="11" borderId="0" xfId="79" applyNumberFormat="1" applyFont="1" applyFill="1" applyBorder="1" applyAlignment="1">
      <alignment horizontal="center" vertical="center"/>
    </xf>
    <xf numFmtId="0" fontId="157" fillId="11" borderId="0" xfId="79" applyNumberFormat="1" applyFont="1" applyFill="1" applyAlignment="1">
      <alignment vertical="top"/>
    </xf>
    <xf numFmtId="3" fontId="70" fillId="0" borderId="24" xfId="0" applyNumberFormat="1" applyFont="1" applyFill="1" applyBorder="1" applyAlignment="1">
      <alignment vertical="center"/>
    </xf>
    <xf numFmtId="3" fontId="69" fillId="0" borderId="24" xfId="0" applyNumberFormat="1" applyFont="1" applyFill="1" applyBorder="1" applyAlignment="1">
      <alignment vertical="top"/>
    </xf>
    <xf numFmtId="0" fontId="107" fillId="11" borderId="0" xfId="80" applyNumberFormat="1" applyFill="1" applyBorder="1" applyAlignment="1" applyProtection="1">
      <alignment horizontal="center"/>
      <protection hidden="1"/>
    </xf>
    <xf numFmtId="0" fontId="106" fillId="11" borderId="0" xfId="13" applyNumberFormat="1" applyAlignment="1">
      <alignment horizontal="right"/>
    </xf>
    <xf numFmtId="0" fontId="98" fillId="11" borderId="0" xfId="20" applyNumberFormat="1" applyAlignment="1">
      <alignment horizontal="center"/>
      <protection hidden="1"/>
    </xf>
    <xf numFmtId="0" fontId="109" fillId="11" borderId="0" xfId="17" applyAlignment="1"/>
    <xf numFmtId="3" fontId="128" fillId="11" borderId="0" xfId="0" applyNumberFormat="1" applyFont="1" applyAlignment="1">
      <alignment horizontal="left"/>
    </xf>
    <xf numFmtId="0" fontId="0" fillId="11" borderId="0" xfId="0" applyAlignment="1"/>
    <xf numFmtId="0" fontId="140" fillId="11" borderId="0" xfId="0" applyFont="1" applyAlignment="1">
      <alignment horizontal="right"/>
    </xf>
    <xf numFmtId="0" fontId="94" fillId="11" borderId="0" xfId="70" applyBorder="1" applyAlignment="1"/>
    <xf numFmtId="3" fontId="74" fillId="11" borderId="0" xfId="0" applyNumberFormat="1" applyFont="1" applyAlignment="1"/>
    <xf numFmtId="3" fontId="87" fillId="11" borderId="0" xfId="0" applyNumberFormat="1" applyFont="1" applyAlignment="1">
      <alignment horizontal="right"/>
    </xf>
    <xf numFmtId="2" fontId="116" fillId="11" borderId="0" xfId="80" applyNumberFormat="1" applyFont="1" applyFill="1" applyBorder="1" applyAlignment="1" applyProtection="1">
      <alignment horizontal="center" vertical="center"/>
      <protection hidden="1"/>
    </xf>
    <xf numFmtId="9" fontId="121" fillId="45" borderId="11" xfId="25" applyNumberFormat="1" applyBorder="1" applyAlignment="1">
      <alignment horizontal="right" vertical="center"/>
    </xf>
    <xf numFmtId="0" fontId="100" fillId="12" borderId="0" xfId="14" applyNumberFormat="1" applyBorder="1" applyAlignment="1">
      <alignment horizontal="left" vertical="center"/>
    </xf>
    <xf numFmtId="9" fontId="121" fillId="45" borderId="0" xfId="25" applyNumberFormat="1" applyBorder="1" applyAlignment="1">
      <alignment horizontal="right" vertical="center"/>
    </xf>
    <xf numFmtId="4" fontId="121" fillId="45" borderId="0" xfId="25" applyNumberFormat="1" applyBorder="1" applyAlignment="1">
      <alignment horizontal="right" vertical="center"/>
    </xf>
    <xf numFmtId="0" fontId="160" fillId="12" borderId="12" xfId="75" applyNumberFormat="1" applyFont="1" applyBorder="1" applyAlignment="1">
      <alignment vertical="center"/>
    </xf>
    <xf numFmtId="0" fontId="160" fillId="12" borderId="12" xfId="14" applyNumberFormat="1" applyFont="1" applyBorder="1" applyAlignment="1">
      <alignment vertical="center"/>
    </xf>
    <xf numFmtId="0" fontId="160" fillId="12" borderId="12" xfId="14" applyNumberFormat="1" applyFont="1" applyBorder="1" applyAlignment="1">
      <alignment horizontal="left" vertical="center"/>
    </xf>
    <xf numFmtId="2" fontId="72" fillId="11" borderId="0" xfId="14" applyNumberFormat="1" applyFont="1" applyFill="1" applyBorder="1" applyAlignment="1">
      <alignment horizontal="left" vertical="center" wrapText="1"/>
    </xf>
    <xf numFmtId="9" fontId="160" fillId="45" borderId="12" xfId="25" applyNumberFormat="1" applyFont="1" applyBorder="1" applyAlignment="1">
      <alignment horizontal="right" vertical="center"/>
    </xf>
    <xf numFmtId="2" fontId="72" fillId="11" borderId="0" xfId="0" applyNumberFormat="1" applyFont="1" applyAlignment="1">
      <alignment vertical="center"/>
    </xf>
    <xf numFmtId="4" fontId="160" fillId="45" borderId="12" xfId="25" applyNumberFormat="1" applyFont="1" applyBorder="1" applyAlignment="1">
      <alignment horizontal="right" vertical="center"/>
    </xf>
    <xf numFmtId="2" fontId="72" fillId="11" borderId="0" xfId="14" applyNumberFormat="1" applyFont="1" applyFill="1" applyBorder="1" applyAlignment="1">
      <alignment horizontal="right" vertical="center" wrapText="1"/>
    </xf>
    <xf numFmtId="3" fontId="156" fillId="11" borderId="0" xfId="0" applyNumberFormat="1" applyFont="1" applyAlignment="1">
      <alignment horizontal="left" indent="1"/>
    </xf>
    <xf numFmtId="3" fontId="155" fillId="49" borderId="10" xfId="0" applyNumberFormat="1" applyFont="1" applyFill="1" applyBorder="1" applyAlignment="1">
      <alignment horizontal="left" vertical="center" indent="1"/>
    </xf>
    <xf numFmtId="168" fontId="155" fillId="49" borderId="10" xfId="0" applyNumberFormat="1" applyFont="1" applyFill="1" applyBorder="1" applyAlignment="1">
      <alignment horizontal="left" vertical="center" indent="1"/>
    </xf>
    <xf numFmtId="3" fontId="89" fillId="11" borderId="0" xfId="23" applyAlignment="1">
      <alignment horizontal="left" indent="1"/>
    </xf>
    <xf numFmtId="3" fontId="51" fillId="46" borderId="47" xfId="24" applyBorder="1">
      <alignment horizontal="left" vertical="center"/>
    </xf>
    <xf numFmtId="3" fontId="51" fillId="46" borderId="48" xfId="24" applyBorder="1">
      <alignment horizontal="left" vertical="center"/>
    </xf>
    <xf numFmtId="3" fontId="51" fillId="46" borderId="49" xfId="24" applyBorder="1">
      <alignment horizontal="left" vertical="center"/>
    </xf>
    <xf numFmtId="3" fontId="121" fillId="20" borderId="50" xfId="68" applyBorder="1" applyAlignment="1">
      <alignment horizontal="right" vertical="top"/>
    </xf>
    <xf numFmtId="3" fontId="121" fillId="20" borderId="51" xfId="68" applyBorder="1" applyAlignment="1">
      <alignment horizontal="right" vertical="top"/>
    </xf>
    <xf numFmtId="0" fontId="113" fillId="11" borderId="52" xfId="11" applyNumberFormat="1" applyFill="1" applyBorder="1" applyAlignment="1">
      <alignment horizontal="right" vertical="center" wrapText="1"/>
    </xf>
    <xf numFmtId="0" fontId="113" fillId="11" borderId="53" xfId="11" applyNumberFormat="1" applyFill="1" applyBorder="1" applyAlignment="1">
      <alignment horizontal="right" vertical="center" wrapText="1"/>
    </xf>
    <xf numFmtId="0" fontId="127" fillId="50" borderId="50" xfId="73" applyNumberFormat="1" applyBorder="1">
      <alignment horizontal="right" vertical="top" wrapText="1"/>
      <protection locked="0"/>
    </xf>
    <xf numFmtId="0" fontId="127" fillId="50" borderId="51" xfId="73" applyNumberFormat="1" applyBorder="1">
      <alignment horizontal="right" vertical="top" wrapText="1"/>
      <protection locked="0"/>
    </xf>
    <xf numFmtId="168" fontId="104" fillId="12" borderId="50" xfId="75" applyNumberFormat="1" applyBorder="1" applyAlignment="1">
      <alignment horizontal="right" vertical="center" wrapText="1"/>
    </xf>
    <xf numFmtId="168" fontId="104" fillId="12" borderId="51" xfId="75" applyNumberFormat="1" applyBorder="1" applyAlignment="1">
      <alignment horizontal="right" vertical="center" wrapText="1"/>
    </xf>
    <xf numFmtId="2" fontId="121" fillId="12" borderId="50" xfId="14" applyNumberFormat="1" applyFont="1" applyBorder="1" applyAlignment="1">
      <alignment horizontal="right" vertical="top" wrapText="1"/>
    </xf>
    <xf numFmtId="2" fontId="121" fillId="12" borderId="51" xfId="14" applyNumberFormat="1" applyFont="1" applyBorder="1" applyAlignment="1">
      <alignment horizontal="right" vertical="top" wrapText="1"/>
    </xf>
    <xf numFmtId="165" fontId="121" fillId="12" borderId="51" xfId="14" applyNumberFormat="1" applyFont="1" applyBorder="1" applyAlignment="1">
      <alignment horizontal="right" vertical="top" wrapText="1"/>
    </xf>
    <xf numFmtId="168" fontId="104" fillId="12" borderId="54" xfId="75" applyNumberFormat="1" applyBorder="1" applyAlignment="1">
      <alignment horizontal="right" vertical="center" wrapText="1"/>
    </xf>
    <xf numFmtId="168" fontId="104" fillId="12" borderId="55" xfId="75" applyNumberFormat="1" applyBorder="1" applyAlignment="1">
      <alignment horizontal="right" vertical="center" wrapText="1"/>
    </xf>
    <xf numFmtId="168" fontId="104" fillId="12" borderId="56" xfId="75" applyNumberFormat="1" applyBorder="1" applyAlignment="1">
      <alignment horizontal="right" vertical="center" wrapText="1"/>
    </xf>
    <xf numFmtId="164" fontId="127" fillId="50" borderId="10" xfId="73" applyNumberFormat="1" applyBorder="1" applyAlignment="1">
      <alignment horizontal="right" vertical="top" wrapText="1"/>
      <protection locked="0"/>
    </xf>
    <xf numFmtId="0" fontId="127" fillId="50" borderId="10" xfId="73" applyNumberFormat="1" applyBorder="1" applyAlignment="1">
      <alignment horizontal="right" vertical="top" wrapText="1"/>
      <protection locked="0"/>
    </xf>
    <xf numFmtId="4" fontId="127" fillId="50" borderId="10" xfId="73" applyNumberFormat="1" applyBorder="1" applyAlignment="1">
      <alignment horizontal="right" vertical="top" wrapText="1"/>
      <protection locked="0"/>
    </xf>
    <xf numFmtId="4" fontId="127" fillId="50" borderId="10" xfId="73" applyNumberFormat="1" applyBorder="1">
      <alignment horizontal="right" vertical="top" wrapText="1"/>
      <protection locked="0"/>
    </xf>
    <xf numFmtId="1" fontId="127" fillId="50" borderId="10" xfId="73" applyNumberFormat="1" applyBorder="1" applyAlignment="1">
      <alignment horizontal="right" vertical="top" wrapText="1"/>
      <protection locked="0"/>
    </xf>
    <xf numFmtId="1" fontId="127" fillId="50" borderId="10" xfId="73" applyNumberFormat="1" applyBorder="1">
      <alignment horizontal="right" vertical="top" wrapText="1"/>
      <protection locked="0"/>
    </xf>
    <xf numFmtId="1" fontId="100" fillId="12" borderId="10" xfId="14" applyNumberFormat="1" applyBorder="1" applyAlignment="1">
      <alignment horizontal="right" vertical="top"/>
    </xf>
    <xf numFmtId="1" fontId="121" fillId="12" borderId="50" xfId="14" applyNumberFormat="1" applyFont="1" applyBorder="1" applyAlignment="1">
      <alignment horizontal="right" vertical="top" wrapText="1"/>
    </xf>
    <xf numFmtId="1" fontId="121" fillId="12" borderId="57" xfId="14" applyNumberFormat="1" applyFont="1" applyBorder="1" applyAlignment="1">
      <alignment horizontal="right" vertical="top" wrapText="1"/>
    </xf>
    <xf numFmtId="1" fontId="121" fillId="12" borderId="17" xfId="14" applyNumberFormat="1" applyFont="1" applyBorder="1" applyAlignment="1">
      <alignment horizontal="right" vertical="top" wrapText="1"/>
    </xf>
    <xf numFmtId="1" fontId="121" fillId="12" borderId="58" xfId="14" applyNumberFormat="1" applyFont="1" applyBorder="1" applyAlignment="1">
      <alignment horizontal="right" vertical="top" wrapText="1"/>
    </xf>
    <xf numFmtId="1" fontId="121" fillId="12" borderId="10" xfId="14" applyNumberFormat="1" applyFont="1" applyBorder="1" applyAlignment="1">
      <alignment horizontal="right" vertical="top" wrapText="1"/>
    </xf>
    <xf numFmtId="1" fontId="121" fillId="12" borderId="51" xfId="14" applyNumberFormat="1" applyFont="1" applyBorder="1" applyAlignment="1">
      <alignment horizontal="right" vertical="top" wrapText="1"/>
    </xf>
    <xf numFmtId="9" fontId="121" fillId="49" borderId="15" xfId="21" applyNumberFormat="1" applyBorder="1" applyAlignment="1">
      <alignment horizontal="right" vertical="top" wrapText="1"/>
    </xf>
    <xf numFmtId="3" fontId="100" fillId="12" borderId="11" xfId="83" quotePrefix="1" applyBorder="1" applyAlignment="1">
      <alignment horizontal="left" vertical="center" wrapText="1"/>
    </xf>
    <xf numFmtId="0" fontId="0" fillId="11" borderId="0" xfId="0" applyAlignment="1">
      <alignment horizontal="right"/>
    </xf>
    <xf numFmtId="0" fontId="127" fillId="17" borderId="10" xfId="78" applyNumberFormat="1" applyBorder="1" applyAlignment="1">
      <alignment horizontal="center" vertical="center" wrapText="1"/>
      <protection locked="0"/>
    </xf>
    <xf numFmtId="182" fontId="121" fillId="49" borderId="10" xfId="21" applyNumberFormat="1" applyBorder="1" applyAlignment="1">
      <alignment horizontal="left" vertical="center" indent="1"/>
    </xf>
    <xf numFmtId="183" fontId="121" fillId="49" borderId="33" xfId="21" applyNumberFormat="1" applyBorder="1" applyAlignment="1">
      <alignment horizontal="left" vertical="center" indent="1"/>
    </xf>
    <xf numFmtId="183" fontId="162" fillId="49" borderId="36" xfId="21" applyNumberFormat="1" applyFont="1" applyBorder="1" applyAlignment="1">
      <alignment horizontal="center" vertical="center"/>
    </xf>
    <xf numFmtId="1" fontId="101" fillId="12" borderId="10" xfId="14" applyNumberFormat="1" applyFont="1" applyBorder="1" applyAlignment="1">
      <alignment horizontal="right" vertical="top" wrapText="1"/>
    </xf>
    <xf numFmtId="3" fontId="127" fillId="17" borderId="15" xfId="78" applyNumberFormat="1" applyBorder="1" applyAlignment="1">
      <alignment horizontal="right" vertical="top" wrapText="1"/>
      <protection locked="0"/>
    </xf>
    <xf numFmtId="3" fontId="127" fillId="17" borderId="53" xfId="78" applyNumberFormat="1" applyBorder="1" applyAlignment="1">
      <alignment horizontal="right" vertical="top" wrapText="1"/>
      <protection locked="0"/>
    </xf>
    <xf numFmtId="3" fontId="100" fillId="12" borderId="17" xfId="14" applyNumberFormat="1" applyBorder="1" applyAlignment="1">
      <alignment horizontal="right" vertical="top" wrapText="1"/>
    </xf>
    <xf numFmtId="3" fontId="127" fillId="17" borderId="17" xfId="78" applyNumberFormat="1" applyBorder="1" applyAlignment="1">
      <alignment horizontal="right" vertical="top" wrapText="1"/>
      <protection locked="0"/>
    </xf>
    <xf numFmtId="3" fontId="127" fillId="17" borderId="58" xfId="78" applyNumberFormat="1" applyBorder="1" applyAlignment="1">
      <alignment horizontal="right" vertical="top" wrapText="1"/>
      <protection locked="0"/>
    </xf>
    <xf numFmtId="0" fontId="107" fillId="11" borderId="0" xfId="79" applyNumberFormat="1" applyFont="1" applyFill="1" applyAlignment="1">
      <alignment horizontal="left" vertical="top"/>
    </xf>
    <xf numFmtId="3" fontId="117" fillId="11" borderId="0" xfId="13" applyFont="1" applyAlignment="1">
      <alignment horizontal="right" vertical="top"/>
    </xf>
    <xf numFmtId="0" fontId="163" fillId="11" borderId="0" xfId="0" applyFont="1" applyAlignment="1">
      <alignment horizontal="right" vertical="center"/>
    </xf>
    <xf numFmtId="0" fontId="163" fillId="11" borderId="0" xfId="0" applyFont="1" applyAlignment="1">
      <alignment vertical="center"/>
    </xf>
    <xf numFmtId="0" fontId="164" fillId="11" borderId="0" xfId="8" applyNumberFormat="1" applyFont="1" applyFill="1" applyBorder="1" applyAlignment="1">
      <alignment vertical="center"/>
    </xf>
    <xf numFmtId="0" fontId="144" fillId="11" borderId="0" xfId="0" applyFont="1" applyAlignment="1">
      <alignment vertical="top"/>
    </xf>
    <xf numFmtId="0" fontId="165" fillId="13" borderId="0" xfId="16" applyFont="1" applyFill="1" applyBorder="1" applyAlignment="1">
      <alignment horizontal="right" vertical="center" textRotation="90"/>
    </xf>
    <xf numFmtId="0" fontId="166" fillId="13" borderId="0" xfId="80" applyNumberFormat="1" applyFont="1" applyFill="1" applyBorder="1" applyAlignment="1">
      <alignment textRotation="90"/>
    </xf>
    <xf numFmtId="0" fontId="167" fillId="13" borderId="0" xfId="79" applyNumberFormat="1" applyFont="1" applyFill="1" applyBorder="1" applyAlignment="1">
      <alignment textRotation="90"/>
    </xf>
    <xf numFmtId="0" fontId="166" fillId="13" borderId="0" xfId="80" applyNumberFormat="1" applyFont="1" applyFill="1" applyBorder="1" applyAlignment="1">
      <alignment vertical="center" textRotation="90"/>
    </xf>
    <xf numFmtId="0" fontId="167" fillId="13" borderId="0" xfId="80" applyNumberFormat="1" applyFont="1" applyFill="1" applyBorder="1" applyAlignment="1">
      <alignment textRotation="90"/>
    </xf>
    <xf numFmtId="0" fontId="166" fillId="13" borderId="0" xfId="80" applyNumberFormat="1" applyFont="1" applyFill="1" applyBorder="1" applyAlignment="1">
      <alignment vertical="top" textRotation="90"/>
    </xf>
    <xf numFmtId="0" fontId="166" fillId="13" borderId="0" xfId="80" applyNumberFormat="1" applyFont="1" applyFill="1" applyBorder="1" applyAlignment="1">
      <alignment horizontal="center" textRotation="90"/>
    </xf>
    <xf numFmtId="0" fontId="166" fillId="0" borderId="0" xfId="80" applyNumberFormat="1" applyFont="1" applyFill="1" applyBorder="1" applyAlignment="1">
      <alignment textRotation="90"/>
    </xf>
    <xf numFmtId="0" fontId="166" fillId="11" borderId="0" xfId="80" applyNumberFormat="1" applyFont="1" applyFill="1" applyBorder="1" applyAlignment="1">
      <alignment vertical="top"/>
    </xf>
    <xf numFmtId="0" fontId="166" fillId="13" borderId="0" xfId="79" applyNumberFormat="1" applyFont="1" applyFill="1" applyBorder="1" applyAlignment="1">
      <alignment textRotation="90"/>
    </xf>
    <xf numFmtId="0" fontId="107" fillId="11" borderId="0" xfId="79" applyNumberFormat="1" applyFont="1" applyFill="1" applyAlignment="1">
      <alignment horizontal="right" vertical="center"/>
    </xf>
    <xf numFmtId="0" fontId="168" fillId="11" borderId="0" xfId="20" applyNumberFormat="1" applyFont="1">
      <alignment horizontal="center" vertical="top"/>
      <protection hidden="1"/>
    </xf>
    <xf numFmtId="0" fontId="107" fillId="11" borderId="0" xfId="79" applyNumberFormat="1" applyFont="1" applyFill="1" applyBorder="1" applyAlignment="1">
      <alignment vertical="center"/>
    </xf>
    <xf numFmtId="0" fontId="107" fillId="11" borderId="0" xfId="79" applyNumberFormat="1" applyFont="1" applyFill="1" applyBorder="1" applyAlignment="1">
      <alignment horizontal="center" vertical="center"/>
    </xf>
    <xf numFmtId="0" fontId="107" fillId="11" borderId="0" xfId="79" applyNumberFormat="1" applyFont="1" applyFill="1" applyAlignment="1">
      <alignment vertical="top"/>
    </xf>
    <xf numFmtId="0" fontId="107" fillId="11" borderId="0" xfId="79" applyNumberFormat="1" applyFont="1" applyFill="1" applyAlignment="1">
      <alignment vertical="center"/>
    </xf>
    <xf numFmtId="0" fontId="107" fillId="11" borderId="0" xfId="79" applyNumberFormat="1" applyFont="1" applyFill="1" applyBorder="1" applyAlignment="1">
      <alignment textRotation="90"/>
    </xf>
    <xf numFmtId="0" fontId="169" fillId="11" borderId="0" xfId="0" applyFont="1" applyAlignment="1">
      <alignment horizontal="center" textRotation="90"/>
    </xf>
    <xf numFmtId="0" fontId="108" fillId="11" borderId="0" xfId="79" applyNumberFormat="1" applyFont="1" applyFill="1" applyAlignment="1">
      <alignment horizontal="center" vertical="center"/>
    </xf>
    <xf numFmtId="0" fontId="38" fillId="11" borderId="0" xfId="20" applyNumberFormat="1" applyFont="1">
      <alignment horizontal="center" vertical="top"/>
      <protection hidden="1"/>
    </xf>
    <xf numFmtId="2" fontId="38" fillId="11" borderId="0" xfId="20" applyFont="1">
      <alignment horizontal="center" vertical="top"/>
      <protection hidden="1"/>
    </xf>
    <xf numFmtId="2" fontId="149" fillId="53" borderId="0" xfId="0" applyNumberFormat="1" applyFont="1" applyFill="1" applyAlignment="1" applyProtection="1">
      <alignment horizontal="center" vertical="top"/>
      <protection hidden="1"/>
    </xf>
    <xf numFmtId="0" fontId="38" fillId="11" borderId="0" xfId="20" applyNumberFormat="1" applyFont="1" applyAlignment="1">
      <alignment horizontal="center" vertical="center"/>
      <protection hidden="1"/>
    </xf>
    <xf numFmtId="0" fontId="38" fillId="11" borderId="0" xfId="20" applyNumberFormat="1" applyFont="1" applyAlignment="1">
      <alignment horizontal="center" vertical="top" wrapText="1"/>
      <protection hidden="1"/>
    </xf>
    <xf numFmtId="2" fontId="38" fillId="11" borderId="0" xfId="20" applyFont="1" applyAlignment="1">
      <alignment horizontal="center" vertical="center"/>
      <protection hidden="1"/>
    </xf>
    <xf numFmtId="0" fontId="170" fillId="11" borderId="0" xfId="8" applyNumberFormat="1" applyFont="1" applyFill="1" applyBorder="1" applyAlignment="1">
      <alignment horizontal="center" vertical="center"/>
    </xf>
    <xf numFmtId="0" fontId="163" fillId="11" borderId="0" xfId="8" applyNumberFormat="1" applyFont="1" applyFill="1" applyBorder="1" applyAlignment="1">
      <alignment horizontal="center" vertical="center"/>
    </xf>
    <xf numFmtId="0" fontId="22" fillId="11" borderId="10" xfId="0" applyFont="1" applyBorder="1" applyAlignment="1">
      <alignment vertical="center"/>
    </xf>
    <xf numFmtId="0" fontId="0" fillId="11" borderId="10" xfId="0" applyBorder="1">
      <alignment vertical="top"/>
    </xf>
    <xf numFmtId="0" fontId="19" fillId="13" borderId="10" xfId="0" applyFont="1" applyFill="1" applyBorder="1" applyAlignment="1">
      <alignment horizontal="right" vertical="center"/>
    </xf>
    <xf numFmtId="0" fontId="0" fillId="11" borderId="10" xfId="0" applyBorder="1" applyAlignment="1">
      <alignment vertical="center"/>
    </xf>
    <xf numFmtId="0" fontId="140" fillId="12" borderId="10" xfId="0" applyFont="1" applyFill="1" applyBorder="1" applyAlignment="1">
      <alignment horizontal="right" vertical="center"/>
    </xf>
    <xf numFmtId="0" fontId="173" fillId="11" borderId="10" xfId="0" applyFont="1" applyBorder="1" applyAlignment="1">
      <alignment vertical="center"/>
    </xf>
    <xf numFmtId="2" fontId="19" fillId="11" borderId="10" xfId="0" applyNumberFormat="1" applyFont="1" applyBorder="1" applyAlignment="1">
      <alignment horizontal="right" vertical="center"/>
    </xf>
    <xf numFmtId="0" fontId="19" fillId="11" borderId="10" xfId="0" applyFont="1" applyBorder="1" applyAlignment="1">
      <alignment horizontal="right" vertical="center"/>
    </xf>
    <xf numFmtId="165" fontId="19" fillId="11" borderId="10" xfId="0" applyNumberFormat="1" applyFont="1" applyBorder="1" applyAlignment="1">
      <alignment horizontal="right" vertical="center"/>
    </xf>
    <xf numFmtId="165" fontId="0" fillId="11" borderId="10" xfId="0" applyNumberFormat="1" applyBorder="1" applyAlignment="1">
      <alignment horizontal="right" vertical="center"/>
    </xf>
    <xf numFmtId="0" fontId="19" fillId="11" borderId="10" xfId="0" applyFont="1" applyBorder="1">
      <alignment vertical="top"/>
    </xf>
    <xf numFmtId="2" fontId="19" fillId="55" borderId="10" xfId="0" applyNumberFormat="1" applyFont="1" applyFill="1" applyBorder="1" applyAlignment="1">
      <alignment horizontal="right" vertical="center"/>
    </xf>
    <xf numFmtId="0" fontId="19" fillId="55" borderId="10" xfId="0" applyFont="1" applyFill="1" applyBorder="1" applyAlignment="1">
      <alignment horizontal="right" vertical="center"/>
    </xf>
    <xf numFmtId="0" fontId="174" fillId="11" borderId="0" xfId="0" applyFont="1">
      <alignment vertical="top"/>
    </xf>
    <xf numFmtId="183" fontId="161" fillId="49" borderId="35" xfId="21" applyNumberFormat="1" applyFont="1" applyBorder="1" applyAlignment="1" applyProtection="1">
      <alignment horizontal="left" vertical="center" indent="1"/>
      <protection locked="0"/>
    </xf>
    <xf numFmtId="168" fontId="157" fillId="11" borderId="0" xfId="79" applyNumberFormat="1" applyFont="1" applyFill="1" applyBorder="1" applyAlignment="1">
      <alignment vertical="center"/>
    </xf>
    <xf numFmtId="0" fontId="127" fillId="11" borderId="0" xfId="13" applyNumberFormat="1" applyFont="1" applyAlignment="1">
      <alignment horizontal="right" vertical="top"/>
    </xf>
    <xf numFmtId="0" fontId="127" fillId="11" borderId="0" xfId="13" applyNumberFormat="1" applyFont="1" applyAlignment="1">
      <alignment horizontal="right" vertical="top" wrapText="1"/>
    </xf>
    <xf numFmtId="166" fontId="127" fillId="17" borderId="17" xfId="78" applyBorder="1">
      <alignment horizontal="right" vertical="top" wrapText="1"/>
      <protection locked="0"/>
    </xf>
    <xf numFmtId="166" fontId="127" fillId="17" borderId="17" xfId="78" applyBorder="1" applyAlignment="1">
      <alignment horizontal="right" vertical="center" wrapText="1"/>
      <protection locked="0"/>
    </xf>
    <xf numFmtId="3" fontId="175" fillId="12" borderId="15" xfId="14" applyFont="1" applyBorder="1" applyAlignment="1">
      <alignment horizontal="right" vertical="top" wrapText="1"/>
    </xf>
    <xf numFmtId="0" fontId="100" fillId="12" borderId="60" xfId="14" applyNumberFormat="1" applyBorder="1" applyAlignment="1">
      <alignment vertical="center"/>
    </xf>
    <xf numFmtId="168" fontId="100" fillId="56" borderId="15" xfId="14" applyNumberFormat="1" applyFill="1" applyBorder="1" applyAlignment="1">
      <alignment horizontal="right" vertical="top" wrapText="1"/>
    </xf>
    <xf numFmtId="1" fontId="100" fillId="56" borderId="15" xfId="14" applyNumberFormat="1" applyFill="1" applyBorder="1" applyAlignment="1">
      <alignment horizontal="right" vertical="top"/>
    </xf>
    <xf numFmtId="4" fontId="100" fillId="56" borderId="15" xfId="14" applyNumberFormat="1" applyFill="1" applyBorder="1" applyAlignment="1">
      <alignment horizontal="right" vertical="top" wrapText="1"/>
    </xf>
    <xf numFmtId="4" fontId="100" fillId="56" borderId="15" xfId="14" applyNumberFormat="1" applyFill="1" applyBorder="1">
      <alignment vertical="top"/>
    </xf>
    <xf numFmtId="4" fontId="121" fillId="56" borderId="15" xfId="21" applyNumberFormat="1" applyFill="1" applyBorder="1">
      <alignment vertical="top"/>
    </xf>
    <xf numFmtId="168" fontId="104" fillId="56" borderId="15" xfId="75" applyNumberFormat="1" applyFill="1" applyBorder="1" applyAlignment="1">
      <alignment horizontal="right" vertical="top" wrapText="1"/>
    </xf>
    <xf numFmtId="166" fontId="127" fillId="14" borderId="10" xfId="29" applyAlignment="1">
      <alignment horizontal="right" vertical="top" wrapText="1"/>
      <protection locked="0"/>
    </xf>
    <xf numFmtId="1" fontId="127" fillId="54" borderId="26" xfId="6" applyNumberFormat="1" applyAlignment="1">
      <alignment horizontal="right" vertical="center" wrapText="1"/>
      <protection locked="0"/>
    </xf>
    <xf numFmtId="1" fontId="127" fillId="54" borderId="26" xfId="6" applyNumberFormat="1" applyAlignment="1">
      <alignment horizontal="right" vertical="top"/>
      <protection locked="0"/>
    </xf>
    <xf numFmtId="166" fontId="145" fillId="52" borderId="15" xfId="6" applyFont="1" applyFill="1" applyBorder="1" applyAlignment="1">
      <alignment horizontal="right" vertical="center" wrapText="1"/>
      <protection locked="0"/>
    </xf>
    <xf numFmtId="2" fontId="121" fillId="49" borderId="59" xfId="21" applyNumberFormat="1" applyBorder="1" applyAlignment="1">
      <alignment horizontal="right" vertical="center" wrapText="1"/>
    </xf>
    <xf numFmtId="2" fontId="121" fillId="49" borderId="24" xfId="21" applyNumberFormat="1" applyBorder="1" applyAlignment="1">
      <alignment horizontal="right" vertical="center" wrapText="1"/>
    </xf>
    <xf numFmtId="4" fontId="127" fillId="49" borderId="24" xfId="73" applyNumberFormat="1" applyFill="1" applyBorder="1" applyAlignment="1">
      <alignment horizontal="right" vertical="center" wrapText="1"/>
      <protection locked="0"/>
    </xf>
    <xf numFmtId="2" fontId="160" fillId="49" borderId="61" xfId="21" applyNumberFormat="1" applyFont="1" applyBorder="1" applyAlignment="1">
      <alignment horizontal="right" vertical="center" wrapText="1"/>
    </xf>
    <xf numFmtId="4" fontId="121" fillId="45" borderId="18" xfId="25" applyNumberFormat="1" applyBorder="1" applyAlignment="1">
      <alignment horizontal="right" vertical="center"/>
    </xf>
    <xf numFmtId="2" fontId="160" fillId="49" borderId="24" xfId="21" applyNumberFormat="1" applyFont="1" applyBorder="1" applyAlignment="1">
      <alignment horizontal="right" vertical="center" wrapText="1"/>
    </xf>
    <xf numFmtId="4" fontId="30" fillId="11" borderId="0" xfId="8" applyNumberFormat="1" applyFont="1" applyFill="1" applyBorder="1" applyAlignment="1">
      <alignment horizontal="center" vertical="center"/>
    </xf>
    <xf numFmtId="4" fontId="127" fillId="14" borderId="18" xfId="29" applyNumberFormat="1" applyBorder="1" applyAlignment="1">
      <alignment horizontal="left" vertical="center" wrapText="1" indent="1"/>
      <protection locked="0"/>
    </xf>
    <xf numFmtId="3" fontId="50" fillId="48" borderId="10" xfId="69">
      <alignment horizontal="left" vertical="center"/>
    </xf>
    <xf numFmtId="166" fontId="127" fillId="54" borderId="30" xfId="6" applyBorder="1" applyAlignment="1">
      <alignment horizontal="left" vertical="center" wrapText="1"/>
      <protection locked="0"/>
    </xf>
    <xf numFmtId="166" fontId="127" fillId="54" borderId="31" xfId="6" applyBorder="1" applyAlignment="1">
      <alignment horizontal="left" vertical="center" wrapText="1"/>
      <protection locked="0"/>
    </xf>
    <xf numFmtId="0" fontId="118" fillId="11" borderId="0" xfId="0" applyFont="1" applyAlignment="1">
      <alignment horizontal="center" textRotation="90"/>
    </xf>
    <xf numFmtId="166" fontId="127" fillId="54" borderId="10" xfId="6" applyBorder="1" applyAlignment="1">
      <alignment horizontal="left" vertical="top" wrapText="1"/>
      <protection locked="0"/>
    </xf>
    <xf numFmtId="166" fontId="127" fillId="54" borderId="33" xfId="6" applyBorder="1" applyAlignment="1">
      <alignment horizontal="left" vertical="top" wrapText="1"/>
      <protection locked="0"/>
    </xf>
    <xf numFmtId="166" fontId="127" fillId="54" borderId="35" xfId="6" applyBorder="1" applyAlignment="1">
      <alignment horizontal="left" vertical="center" wrapText="1"/>
      <protection locked="0"/>
    </xf>
    <xf numFmtId="166" fontId="127" fillId="54" borderId="36" xfId="6" applyBorder="1" applyAlignment="1">
      <alignment horizontal="left" vertical="center" wrapText="1"/>
      <protection locked="0"/>
    </xf>
    <xf numFmtId="166" fontId="138" fillId="12" borderId="29" xfId="14" applyNumberFormat="1" applyFont="1" applyBorder="1" applyAlignment="1">
      <alignment horizontal="left" vertical="top" wrapText="1"/>
    </xf>
    <xf numFmtId="166" fontId="138" fillId="12" borderId="30" xfId="14" applyNumberFormat="1" applyFont="1" applyBorder="1" applyAlignment="1">
      <alignment horizontal="left" vertical="top" wrapText="1"/>
    </xf>
    <xf numFmtId="166" fontId="127" fillId="50" borderId="10" xfId="73" applyBorder="1" applyAlignment="1">
      <alignment horizontal="left" vertical="center" wrapText="1"/>
      <protection locked="0"/>
    </xf>
    <xf numFmtId="166" fontId="127" fillId="50" borderId="33" xfId="73" applyBorder="1" applyAlignment="1">
      <alignment horizontal="left" vertical="center" wrapText="1"/>
      <protection locked="0"/>
    </xf>
    <xf numFmtId="0" fontId="145" fillId="11" borderId="0" xfId="0" applyFont="1" applyAlignment="1">
      <alignment horizontal="center" textRotation="90"/>
    </xf>
    <xf numFmtId="166" fontId="121" fillId="49" borderId="10" xfId="21" applyNumberFormat="1" applyBorder="1" applyAlignment="1">
      <alignment horizontal="left" vertical="center" wrapText="1"/>
    </xf>
    <xf numFmtId="166" fontId="121" fillId="49" borderId="33" xfId="21" applyNumberFormat="1" applyBorder="1" applyAlignment="1">
      <alignment horizontal="left" vertical="center" wrapText="1"/>
    </xf>
    <xf numFmtId="166" fontId="127" fillId="50" borderId="35" xfId="73" applyNumberFormat="1" applyBorder="1" applyAlignment="1">
      <alignment horizontal="left" vertical="center" wrapText="1"/>
      <protection locked="0"/>
    </xf>
    <xf numFmtId="166" fontId="127" fillId="50" borderId="36" xfId="73" applyNumberFormat="1" applyBorder="1" applyAlignment="1">
      <alignment horizontal="left" vertical="center" wrapText="1"/>
      <protection locked="0"/>
    </xf>
    <xf numFmtId="166" fontId="127" fillId="17" borderId="10" xfId="78" applyBorder="1" applyAlignment="1">
      <alignment horizontal="left" vertical="center"/>
      <protection locked="0"/>
    </xf>
    <xf numFmtId="166" fontId="127" fillId="17" borderId="33" xfId="78" applyBorder="1" applyAlignment="1">
      <alignment horizontal="left" vertical="center"/>
      <protection locked="0"/>
    </xf>
    <xf numFmtId="0" fontId="121" fillId="11" borderId="0" xfId="0" applyFont="1" applyAlignment="1">
      <alignment horizontal="right" textRotation="90"/>
    </xf>
    <xf numFmtId="166" fontId="138" fillId="12" borderId="31" xfId="14" applyNumberFormat="1" applyFont="1" applyBorder="1" applyAlignment="1">
      <alignment horizontal="left" vertical="top" wrapText="1"/>
    </xf>
    <xf numFmtId="166" fontId="100" fillId="12" borderId="10" xfId="14" applyNumberFormat="1" applyBorder="1" applyAlignment="1">
      <alignment horizontal="left" vertical="center" wrapText="1"/>
    </xf>
    <xf numFmtId="166" fontId="100" fillId="12" borderId="41" xfId="14" applyNumberFormat="1" applyBorder="1" applyAlignment="1">
      <alignment horizontal="left" vertical="center" wrapText="1"/>
    </xf>
    <xf numFmtId="166" fontId="127" fillId="14" borderId="43" xfId="29" applyNumberFormat="1" applyBorder="1" applyAlignment="1">
      <alignment horizontal="left" vertical="top" wrapText="1"/>
      <protection locked="0"/>
    </xf>
    <xf numFmtId="166" fontId="127" fillId="14" borderId="44" xfId="29" applyNumberFormat="1" applyBorder="1" applyAlignment="1">
      <alignment horizontal="left" vertical="top" wrapText="1"/>
      <protection locked="0"/>
    </xf>
    <xf numFmtId="166" fontId="100" fillId="12" borderId="38" xfId="14" applyNumberFormat="1" applyBorder="1" applyAlignment="1">
      <alignment horizontal="left" vertical="center" wrapText="1"/>
    </xf>
    <xf numFmtId="166" fontId="100" fillId="12" borderId="39" xfId="14" applyNumberFormat="1" applyBorder="1" applyAlignment="1">
      <alignment horizontal="left" vertical="center" wrapText="1"/>
    </xf>
    <xf numFmtId="0" fontId="110" fillId="11" borderId="0" xfId="0" applyFont="1" applyAlignment="1">
      <alignment horizontal="center" textRotation="90"/>
    </xf>
    <xf numFmtId="3" fontId="93" fillId="11" borderId="10" xfId="27" applyNumberFormat="1" applyBorder="1" applyAlignment="1">
      <alignment horizontal="center" vertical="center"/>
    </xf>
    <xf numFmtId="166" fontId="127" fillId="54" borderId="26" xfId="6" applyAlignment="1">
      <alignment horizontal="center" vertical="center" wrapText="1"/>
      <protection locked="0"/>
    </xf>
    <xf numFmtId="166" fontId="127" fillId="54" borderId="45" xfId="6" applyBorder="1" applyAlignment="1">
      <alignment horizontal="center" vertical="center" wrapText="1"/>
      <protection locked="0"/>
    </xf>
    <xf numFmtId="166" fontId="127" fillId="54" borderId="46" xfId="6" applyBorder="1" applyAlignment="1">
      <alignment horizontal="center" vertical="center" wrapText="1"/>
      <protection locked="0"/>
    </xf>
    <xf numFmtId="3" fontId="93" fillId="11" borderId="12" xfId="27" applyNumberFormat="1" applyBorder="1" applyAlignment="1">
      <alignment horizontal="center" vertical="center"/>
    </xf>
    <xf numFmtId="3" fontId="153" fillId="46" borderId="25" xfId="24" applyFont="1" applyBorder="1" applyAlignment="1">
      <alignment horizontal="center" vertical="center"/>
    </xf>
    <xf numFmtId="0" fontId="154" fillId="20" borderId="0" xfId="0" applyFont="1" applyFill="1" applyAlignment="1">
      <alignment horizontal="center" vertical="center"/>
    </xf>
    <xf numFmtId="3" fontId="127" fillId="54" borderId="26" xfId="6" applyNumberFormat="1" applyAlignment="1">
      <alignment horizontal="center" vertical="center" wrapText="1"/>
      <protection locked="0"/>
    </xf>
    <xf numFmtId="4" fontId="127" fillId="54" borderId="26" xfId="6" applyNumberFormat="1" applyAlignment="1">
      <alignment horizontal="center" vertical="center" wrapText="1"/>
      <protection locked="0"/>
    </xf>
  </cellXfs>
  <cellStyles count="87">
    <cellStyle name="20% - Accent1" xfId="47" builtinId="30" hidden="1"/>
    <cellStyle name="20% - Accent2" xfId="51" builtinId="34" hidden="1"/>
    <cellStyle name="20% - Accent3" xfId="54" builtinId="38" hidden="1"/>
    <cellStyle name="20% - Accent4" xfId="58" builtinId="42" hidden="1"/>
    <cellStyle name="20% - Accent5" xfId="1" builtinId="46" hidden="1" customBuiltin="1"/>
    <cellStyle name="20% - Accent6" xfId="64" builtinId="50" hidden="1"/>
    <cellStyle name="40% - Accent1" xfId="48" builtinId="31" hidden="1"/>
    <cellStyle name="40% - Accent2" xfId="2" builtinId="35" hidden="1" customBuiltin="1"/>
    <cellStyle name="40% - Accent3" xfId="55" builtinId="39" hidden="1"/>
    <cellStyle name="40% - Accent4" xfId="59" builtinId="43" hidden="1"/>
    <cellStyle name="40% - Accent5" xfId="61" builtinId="47" hidden="1"/>
    <cellStyle name="40% - Accent6" xfId="65" builtinId="51" hidden="1"/>
    <cellStyle name="60% - Accent1" xfId="49" builtinId="32" hidden="1"/>
    <cellStyle name="60% - Accent2" xfId="52" builtinId="36" hidden="1"/>
    <cellStyle name="60% - Accent3" xfId="56" builtinId="40" hidden="1"/>
    <cellStyle name="60% - Accent4" xfId="60" builtinId="44" hidden="1"/>
    <cellStyle name="60% - Accent5" xfId="62" builtinId="48" hidden="1"/>
    <cellStyle name="60% - Accent6" xfId="66" builtinId="52" hidden="1"/>
    <cellStyle name="Accent1" xfId="46" builtinId="29" hidden="1"/>
    <cellStyle name="Accent2" xfId="50" builtinId="33" hidden="1"/>
    <cellStyle name="Accent3" xfId="53" builtinId="37" hidden="1"/>
    <cellStyle name="Accent4" xfId="57" builtinId="41" hidden="1"/>
    <cellStyle name="Accent5" xfId="3" builtinId="45" hidden="1" customBuiltin="1"/>
    <cellStyle name="Accent6" xfId="63" builtinId="49" hidden="1"/>
    <cellStyle name="Berekening" xfId="28" builtinId="22" hidden="1" customBuiltin="1"/>
    <cellStyle name="CELHOOGTE" xfId="30" xr:uid="{C2FA12FA-8D76-4368-9C66-60CAFDB982DA}"/>
    <cellStyle name="Controlecel" xfId="4" builtinId="23" hidden="1" customBuiltin="1"/>
    <cellStyle name="Gekoppelde cel" xfId="43" builtinId="24" hidden="1"/>
    <cellStyle name="Gevolgde hyperlink" xfId="15" builtinId="9" hidden="1"/>
    <cellStyle name="Goed" xfId="39" builtinId="26" hidden="1"/>
    <cellStyle name="Hyperlink" xfId="5" builtinId="8" hidden="1" customBuiltin="1"/>
    <cellStyle name="Hyperlink" xfId="76" builtinId="8"/>
    <cellStyle name="Hyperlink 2" xfId="86" xr:uid="{D24CA1D7-794B-4760-8E60-6339886F4095}"/>
    <cellStyle name="info" xfId="20" xr:uid="{00000000-0005-0000-0000-00002B000000}"/>
    <cellStyle name="info_in tabel" xfId="77" xr:uid="{AE6E0ED2-D974-4B1C-9D29-BC21543E5AD2}"/>
    <cellStyle name="invoer_optioneel" xfId="29" xr:uid="{0572773F-94FC-4E16-AA05-8A89C72EF59D}"/>
    <cellStyle name="invoer_optioneel_energiepost" xfId="73" xr:uid="{AFED46DF-529A-4297-A53A-C3DBA6D2FEBA}"/>
    <cellStyle name="invoer_verplicht" xfId="6" xr:uid="{00000000-0005-0000-0000-00002C000000}"/>
    <cellStyle name="invoer_verplicht_energie" xfId="78" xr:uid="{2D2C3A42-1067-49AD-BC62-23D8C3551712}"/>
    <cellStyle name="Komma" xfId="31" builtinId="3" hidden="1"/>
    <cellStyle name="Komma [0]" xfId="32" builtinId="6" hidden="1"/>
    <cellStyle name="Kop 1" xfId="35" builtinId="16" hidden="1"/>
    <cellStyle name="Kop 2" xfId="36" builtinId="17" hidden="1"/>
    <cellStyle name="Kop 3" xfId="37" builtinId="18" hidden="1"/>
    <cellStyle name="Kop 4" xfId="38" builtinId="19" hidden="1"/>
    <cellStyle name="KOP_GEBOUW_UT" xfId="26" xr:uid="{6D76F259-6C70-451E-A66B-1D618FB9E56B}"/>
    <cellStyle name="KOP_GEBOUW_WON" xfId="8" xr:uid="{00000000-0005-0000-0000-000035000000}"/>
    <cellStyle name="KOP_RES_energieposten" xfId="27" xr:uid="{41054D35-7C26-455A-8E59-92E19DCCC44A}"/>
    <cellStyle name="KOP_RES_gebouwen" xfId="70" xr:uid="{11A4069B-5A71-468C-B8CE-68C7AD628CA4}"/>
    <cellStyle name="KOP_RES_UT" xfId="7" xr:uid="{00000000-0005-0000-0000-000030000000}"/>
    <cellStyle name="Kopregel" xfId="9" xr:uid="{00000000-0005-0000-0000-000036000000}"/>
    <cellStyle name="markeren_startcel_VERSCHUIVING" xfId="74" xr:uid="{ADB5BDD0-E69A-4C83-B181-E236FA3C7102}"/>
    <cellStyle name="Neutraal" xfId="41" builtinId="28" hidden="1"/>
    <cellStyle name="Notitie" xfId="44" builtinId="10" hidden="1"/>
    <cellStyle name="onderschrift" xfId="11" xr:uid="{00000000-0005-0000-0000-00003A000000}"/>
    <cellStyle name="Ongeldig" xfId="40" builtinId="27" hidden="1"/>
    <cellStyle name="Procent" xfId="12" builtinId="5" hidden="1"/>
    <cellStyle name="rijhhoogte 1" xfId="79" xr:uid="{81178B03-87BA-4916-AB83-24B1926E644C}"/>
    <cellStyle name="rijhoogte 12" xfId="80" xr:uid="{969C9B20-0EE2-4632-ACDC-36F2F62F24A8}"/>
    <cellStyle name="Standaard" xfId="0" builtinId="0" customBuiltin="1"/>
    <cellStyle name="Standaard 2" xfId="84" xr:uid="{E877107D-AB1B-4A2E-8DE3-A7B9B3D67CEF}"/>
    <cellStyle name="Standaard 3" xfId="85" xr:uid="{3839277D-B334-441E-92FB-19995E4AE7ED}"/>
    <cellStyle name="Tabelkop_energiepost_tekst" xfId="68" xr:uid="{27891AC3-A1A2-4266-B0C4-A2CE8D0D88C7}"/>
    <cellStyle name="Tabelkop_energiepost_tekst_som" xfId="67" xr:uid="{C326AB71-2CDE-4B1A-A1DA-140AC5C518E6}"/>
    <cellStyle name="Tabelkop_energiepost_titel" xfId="24" xr:uid="{00000000-0005-0000-0000-00004D000000}"/>
    <cellStyle name="Tabelkop_gebouwen_tekst" xfId="72" xr:uid="{57CDC742-69C4-4F0A-8DB9-D318C579C47A}"/>
    <cellStyle name="Tabelkop_gebouwen_tekst_som" xfId="71" xr:uid="{4F7731E3-FE83-45CC-93A0-1AA1FCF7D24C}"/>
    <cellStyle name="Tabelkop_gebouwen_titel" xfId="69" xr:uid="{49FA699A-6578-4C02-8B2B-0C1480F4533D}"/>
    <cellStyle name="tabeltekst" xfId="14" xr:uid="{00000000-0005-0000-0000-000048000000}"/>
    <cellStyle name="tabeltekst - resultaat" xfId="21" xr:uid="{00000000-0005-0000-0000-000049000000}"/>
    <cellStyle name="tabeltekst - totaalresultaat" xfId="25" xr:uid="{E4E49BEC-0DB8-428D-96A3-1CCAC0120040}"/>
    <cellStyle name="tabeltekst_toelichting_tabel" xfId="75" xr:uid="{C83CB404-A0DC-492F-86C3-5872ADEDB5A9}"/>
    <cellStyle name="Tabeltitel" xfId="22" xr:uid="{00000000-0005-0000-0000-00004B000000}"/>
    <cellStyle name="Tabeltitel 2" xfId="23" xr:uid="{00000000-0005-0000-0000-00004C000000}"/>
    <cellStyle name="tekst selectie" xfId="13" xr:uid="{00000000-0005-0000-0000-00003E000000}"/>
    <cellStyle name="TITEL" xfId="16" xr:uid="{00000000-0005-0000-0000-00004E000000}"/>
    <cellStyle name="Titel 2" xfId="17" xr:uid="{00000000-0005-0000-0000-00004F000000}"/>
    <cellStyle name="Titel 2 gebouwen" xfId="81" xr:uid="{A63C4897-BFFD-4483-9B3F-5B5CDA756A68}"/>
    <cellStyle name="TITEL navigatiebalk" xfId="82" xr:uid="{6CCF8BF4-2858-4C82-B8F5-5B9EB111CFCF}"/>
    <cellStyle name="toelichting" xfId="83" xr:uid="{66E5F37E-1F07-4790-B7DD-D0AE86ABFF58}"/>
    <cellStyle name="Totaal" xfId="45" builtinId="25" hidden="1"/>
    <cellStyle name="tov referentie" xfId="10" xr:uid="{00000000-0005-0000-0000-000038000000}"/>
    <cellStyle name="Uitvoer" xfId="42" builtinId="21" hidden="1"/>
    <cellStyle name="Valuta" xfId="33" builtinId="4" hidden="1"/>
    <cellStyle name="Valuta [0]" xfId="34" builtinId="7" hidden="1"/>
    <cellStyle name="Verklarende tekst" xfId="18" builtinId="53" hidden="1" customBuiltin="1"/>
    <cellStyle name="Waarschuwingstekst" xfId="19" builtinId="11" hidden="1" customBuiltin="1"/>
  </cellStyles>
  <dxfs count="1186">
    <dxf>
      <font>
        <color rgb="FFFF0000"/>
      </font>
    </dxf>
    <dxf>
      <font>
        <color rgb="FFFF0000"/>
      </font>
    </dxf>
    <dxf>
      <font>
        <color rgb="FFFF0000"/>
      </font>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rgb="FFFF0000"/>
      </font>
    </dxf>
    <dxf>
      <font>
        <color rgb="FFFF0000"/>
      </font>
    </dxf>
    <dxf>
      <font>
        <color theme="0" tint="-4.9989318521683403E-2"/>
      </font>
      <fill>
        <patternFill>
          <bgColor theme="0" tint="-4.9989318521683403E-2"/>
        </patternFill>
      </fill>
    </dxf>
    <dxf>
      <font>
        <color rgb="FFFF0000"/>
      </font>
    </dxf>
    <dxf>
      <font>
        <color rgb="FF00B050"/>
      </font>
    </dxf>
    <dxf>
      <font>
        <color rgb="FF00B050"/>
      </font>
    </dxf>
    <dxf>
      <font>
        <color rgb="FFFF0000"/>
      </font>
    </dxf>
    <dxf>
      <font>
        <color rgb="FFFF0000"/>
      </font>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rgb="FFFF0000"/>
      </font>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1"/>
      </font>
      <fill>
        <patternFill>
          <bgColor rgb="FFFFFF9B"/>
        </patternFill>
      </fill>
    </dxf>
    <dxf>
      <font>
        <color theme="0"/>
      </font>
      <fill>
        <patternFill>
          <bgColor theme="9"/>
        </patternFill>
      </fill>
    </dxf>
    <dxf>
      <font>
        <color theme="1"/>
      </font>
      <fill>
        <patternFill>
          <bgColor rgb="FFFFFF9B"/>
        </patternFill>
      </fill>
    </dxf>
    <dxf>
      <font>
        <color theme="0" tint="-4.9989318521683403E-2"/>
      </font>
      <fill>
        <patternFill>
          <bgColor rgb="FFF7F7F7"/>
        </patternFill>
      </fill>
    </dxf>
    <dxf>
      <font>
        <color theme="0" tint="-4.9989318521683403E-2"/>
      </font>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numFmt numFmtId="2" formatCode="0.00"/>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rgb="FFFF0000"/>
      </font>
    </dxf>
    <dxf>
      <font>
        <color theme="0" tint="-0.14996795556505021"/>
      </font>
    </dxf>
    <dxf>
      <font>
        <color theme="0" tint="-0.2499465926084170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color rgb="FF00B050"/>
      </font>
    </dxf>
    <dxf>
      <font>
        <color rgb="FF00B050"/>
      </font>
    </dxf>
    <dxf>
      <font>
        <color theme="0" tint="-0.24994659260841701"/>
      </font>
    </dxf>
    <dxf>
      <font>
        <color theme="0"/>
      </font>
      <fill>
        <patternFill>
          <bgColor rgb="FFFF0000"/>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rgb="FFBFBFBF"/>
      </font>
    </dxf>
    <dxf>
      <fill>
        <patternFill>
          <bgColor theme="9"/>
        </patternFill>
      </fill>
    </dxf>
    <dxf>
      <fill>
        <patternFill>
          <bgColor theme="9"/>
        </patternFill>
      </fill>
    </dxf>
    <dxf>
      <fill>
        <patternFill>
          <bgColor theme="9"/>
        </patternFill>
      </fill>
    </dxf>
    <dxf>
      <font>
        <color rgb="FFFF0000"/>
      </font>
    </dxf>
    <dxf>
      <font>
        <color rgb="FFFF0000"/>
      </font>
    </dxf>
    <dxf>
      <font>
        <color rgb="FFFF0000"/>
      </font>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rgb="FFFF0000"/>
      </font>
    </dxf>
    <dxf>
      <font>
        <color rgb="FFFF0000"/>
      </font>
    </dxf>
    <dxf>
      <font>
        <color theme="0" tint="-4.9989318521683403E-2"/>
      </font>
      <fill>
        <patternFill>
          <bgColor theme="0" tint="-4.9989318521683403E-2"/>
        </patternFill>
      </fill>
    </dxf>
    <dxf>
      <font>
        <color rgb="FFFF0000"/>
      </font>
    </dxf>
    <dxf>
      <font>
        <color rgb="FF00B050"/>
      </font>
    </dxf>
    <dxf>
      <font>
        <color rgb="FF00B050"/>
      </font>
    </dxf>
    <dxf>
      <font>
        <color rgb="FFFF0000"/>
      </font>
    </dxf>
    <dxf>
      <font>
        <color rgb="FFFF0000"/>
      </font>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rgb="FFFF0000"/>
      </font>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1"/>
      </font>
      <fill>
        <patternFill>
          <bgColor rgb="FFFFFF9B"/>
        </patternFill>
      </fill>
    </dxf>
    <dxf>
      <font>
        <color theme="0"/>
      </font>
      <fill>
        <patternFill>
          <bgColor theme="9"/>
        </patternFill>
      </fill>
    </dxf>
    <dxf>
      <font>
        <color theme="1"/>
      </font>
      <fill>
        <patternFill>
          <bgColor rgb="FFFFFF9B"/>
        </patternFill>
      </fill>
    </dxf>
    <dxf>
      <font>
        <color theme="0" tint="-4.9989318521683403E-2"/>
      </font>
      <fill>
        <patternFill>
          <bgColor rgb="FFF7F7F7"/>
        </patternFill>
      </fill>
    </dxf>
    <dxf>
      <font>
        <color theme="0" tint="-4.9989318521683403E-2"/>
      </font>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numFmt numFmtId="2" formatCode="0.00"/>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rgb="FFFF0000"/>
      </font>
    </dxf>
    <dxf>
      <font>
        <color theme="0" tint="-0.14996795556505021"/>
      </font>
    </dxf>
    <dxf>
      <font>
        <color theme="0" tint="-0.2499465926084170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color rgb="FF00B050"/>
      </font>
    </dxf>
    <dxf>
      <font>
        <color rgb="FF00B050"/>
      </font>
    </dxf>
    <dxf>
      <font>
        <color theme="0" tint="-0.24994659260841701"/>
      </font>
    </dxf>
    <dxf>
      <font>
        <color theme="0"/>
      </font>
      <fill>
        <patternFill>
          <bgColor rgb="FFFF0000"/>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rgb="FFBFBFBF"/>
      </font>
    </dxf>
    <dxf>
      <fill>
        <patternFill>
          <bgColor theme="9"/>
        </patternFill>
      </fill>
    </dxf>
    <dxf>
      <fill>
        <patternFill>
          <bgColor theme="9"/>
        </patternFill>
      </fill>
    </dxf>
    <dxf>
      <fill>
        <patternFill>
          <bgColor theme="9"/>
        </patternFill>
      </fill>
    </dxf>
    <dxf>
      <font>
        <color rgb="FFFF0000"/>
      </font>
    </dxf>
    <dxf>
      <font>
        <color rgb="FFFF0000"/>
      </font>
    </dxf>
    <dxf>
      <font>
        <color rgb="FFFF0000"/>
      </font>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rgb="FFFF0000"/>
      </font>
    </dxf>
    <dxf>
      <font>
        <color rgb="FFFF0000"/>
      </font>
    </dxf>
    <dxf>
      <font>
        <color theme="0" tint="-4.9989318521683403E-2"/>
      </font>
      <fill>
        <patternFill>
          <bgColor theme="0" tint="-4.9989318521683403E-2"/>
        </patternFill>
      </fill>
    </dxf>
    <dxf>
      <font>
        <color rgb="FFFF0000"/>
      </font>
    </dxf>
    <dxf>
      <font>
        <color rgb="FF00B050"/>
      </font>
    </dxf>
    <dxf>
      <font>
        <color rgb="FF00B050"/>
      </font>
    </dxf>
    <dxf>
      <font>
        <color rgb="FFFF0000"/>
      </font>
    </dxf>
    <dxf>
      <font>
        <color rgb="FFFF0000"/>
      </font>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rgb="FFFF0000"/>
      </font>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1"/>
      </font>
      <fill>
        <patternFill>
          <bgColor rgb="FFFFFF9B"/>
        </patternFill>
      </fill>
    </dxf>
    <dxf>
      <font>
        <color theme="0"/>
      </font>
      <fill>
        <patternFill>
          <bgColor theme="9"/>
        </patternFill>
      </fill>
    </dxf>
    <dxf>
      <font>
        <color theme="1"/>
      </font>
      <fill>
        <patternFill>
          <bgColor rgb="FFFFFF9B"/>
        </patternFill>
      </fill>
    </dxf>
    <dxf>
      <font>
        <color theme="0" tint="-4.9989318521683403E-2"/>
      </font>
      <fill>
        <patternFill>
          <bgColor rgb="FFF7F7F7"/>
        </patternFill>
      </fill>
    </dxf>
    <dxf>
      <font>
        <color theme="0" tint="-4.9989318521683403E-2"/>
      </font>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numFmt numFmtId="2" formatCode="0.00"/>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rgb="FFFF0000"/>
      </font>
    </dxf>
    <dxf>
      <font>
        <color theme="0" tint="-0.14996795556505021"/>
      </font>
    </dxf>
    <dxf>
      <font>
        <color theme="0" tint="-0.2499465926084170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color rgb="FF00B050"/>
      </font>
    </dxf>
    <dxf>
      <font>
        <color rgb="FF00B050"/>
      </font>
    </dxf>
    <dxf>
      <font>
        <color theme="0" tint="-0.24994659260841701"/>
      </font>
    </dxf>
    <dxf>
      <font>
        <color theme="0"/>
      </font>
      <fill>
        <patternFill>
          <bgColor rgb="FFFF0000"/>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rgb="FFBFBFBF"/>
      </font>
    </dxf>
    <dxf>
      <fill>
        <patternFill>
          <bgColor theme="9"/>
        </patternFill>
      </fill>
    </dxf>
    <dxf>
      <fill>
        <patternFill>
          <bgColor theme="9"/>
        </patternFill>
      </fill>
    </dxf>
    <dxf>
      <fill>
        <patternFill>
          <bgColor theme="9"/>
        </patternFill>
      </fill>
    </dxf>
    <dxf>
      <font>
        <color rgb="FFFF0000"/>
      </font>
    </dxf>
    <dxf>
      <font>
        <color rgb="FFFF0000"/>
      </font>
    </dxf>
    <dxf>
      <font>
        <color rgb="FFFF0000"/>
      </font>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rgb="FFFF0000"/>
      </font>
    </dxf>
    <dxf>
      <font>
        <color rgb="FFFF0000"/>
      </font>
    </dxf>
    <dxf>
      <font>
        <color theme="0" tint="-4.9989318521683403E-2"/>
      </font>
      <fill>
        <patternFill>
          <bgColor theme="0" tint="-4.9989318521683403E-2"/>
        </patternFill>
      </fill>
    </dxf>
    <dxf>
      <font>
        <color rgb="FFFF0000"/>
      </font>
    </dxf>
    <dxf>
      <font>
        <color rgb="FF00B050"/>
      </font>
    </dxf>
    <dxf>
      <font>
        <color rgb="FF00B050"/>
      </font>
    </dxf>
    <dxf>
      <font>
        <color rgb="FFFF0000"/>
      </font>
    </dxf>
    <dxf>
      <font>
        <color rgb="FFFF0000"/>
      </font>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rgb="FFFF0000"/>
      </font>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1"/>
      </font>
      <fill>
        <patternFill>
          <bgColor rgb="FFFFFF9B"/>
        </patternFill>
      </fill>
    </dxf>
    <dxf>
      <font>
        <color theme="0"/>
      </font>
      <fill>
        <patternFill>
          <bgColor theme="9"/>
        </patternFill>
      </fill>
    </dxf>
    <dxf>
      <font>
        <color theme="1"/>
      </font>
      <fill>
        <patternFill>
          <bgColor rgb="FFFFFF9B"/>
        </patternFill>
      </fill>
    </dxf>
    <dxf>
      <font>
        <color theme="0" tint="-4.9989318521683403E-2"/>
      </font>
      <fill>
        <patternFill>
          <bgColor rgb="FFF7F7F7"/>
        </patternFill>
      </fill>
    </dxf>
    <dxf>
      <font>
        <color theme="0" tint="-4.9989318521683403E-2"/>
      </font>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numFmt numFmtId="2" formatCode="0.00"/>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rgb="FFFF0000"/>
      </font>
    </dxf>
    <dxf>
      <font>
        <color theme="0" tint="-0.14996795556505021"/>
      </font>
    </dxf>
    <dxf>
      <font>
        <color theme="0" tint="-0.2499465926084170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color rgb="FF00B050"/>
      </font>
    </dxf>
    <dxf>
      <font>
        <color rgb="FF00B050"/>
      </font>
    </dxf>
    <dxf>
      <font>
        <color theme="0" tint="-0.24994659260841701"/>
      </font>
    </dxf>
    <dxf>
      <font>
        <color theme="0"/>
      </font>
      <fill>
        <patternFill>
          <bgColor rgb="FFFF0000"/>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rgb="FFBFBFBF"/>
      </font>
    </dxf>
    <dxf>
      <fill>
        <patternFill>
          <bgColor theme="9"/>
        </patternFill>
      </fill>
    </dxf>
    <dxf>
      <fill>
        <patternFill>
          <bgColor theme="9"/>
        </patternFill>
      </fill>
    </dxf>
    <dxf>
      <fill>
        <patternFill>
          <bgColor theme="9"/>
        </patternFill>
      </fill>
    </dxf>
    <dxf>
      <font>
        <color rgb="FFFF0000"/>
      </font>
    </dxf>
    <dxf>
      <font>
        <color rgb="FFFF0000"/>
      </font>
    </dxf>
    <dxf>
      <font>
        <color rgb="FFFF0000"/>
      </font>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rgb="FFFF0000"/>
      </font>
    </dxf>
    <dxf>
      <font>
        <color rgb="FFFF0000"/>
      </font>
    </dxf>
    <dxf>
      <font>
        <color theme="0" tint="-4.9989318521683403E-2"/>
      </font>
      <fill>
        <patternFill>
          <bgColor theme="0" tint="-4.9989318521683403E-2"/>
        </patternFill>
      </fill>
    </dxf>
    <dxf>
      <font>
        <color rgb="FFFF0000"/>
      </font>
    </dxf>
    <dxf>
      <font>
        <color rgb="FF00B050"/>
      </font>
    </dxf>
    <dxf>
      <font>
        <color rgb="FF00B050"/>
      </font>
    </dxf>
    <dxf>
      <font>
        <color rgb="FFFF0000"/>
      </font>
    </dxf>
    <dxf>
      <font>
        <color rgb="FFFF0000"/>
      </font>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rgb="FFFF0000"/>
      </font>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1"/>
      </font>
      <fill>
        <patternFill>
          <bgColor rgb="FFFFFF9B"/>
        </patternFill>
      </fill>
    </dxf>
    <dxf>
      <font>
        <color theme="0"/>
      </font>
      <fill>
        <patternFill>
          <bgColor theme="9"/>
        </patternFill>
      </fill>
    </dxf>
    <dxf>
      <font>
        <color theme="1"/>
      </font>
      <fill>
        <patternFill>
          <bgColor rgb="FFFFFF9B"/>
        </patternFill>
      </fill>
    </dxf>
    <dxf>
      <font>
        <color theme="0" tint="-4.9989318521683403E-2"/>
      </font>
      <fill>
        <patternFill>
          <bgColor rgb="FFF7F7F7"/>
        </patternFill>
      </fill>
    </dxf>
    <dxf>
      <font>
        <color theme="0" tint="-4.9989318521683403E-2"/>
      </font>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numFmt numFmtId="2" formatCode="0.00"/>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rgb="FFFF0000"/>
      </font>
    </dxf>
    <dxf>
      <font>
        <color theme="0" tint="-0.14996795556505021"/>
      </font>
    </dxf>
    <dxf>
      <font>
        <color theme="0" tint="-0.2499465926084170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color rgb="FF00B050"/>
      </font>
    </dxf>
    <dxf>
      <font>
        <color rgb="FF00B050"/>
      </font>
    </dxf>
    <dxf>
      <font>
        <color theme="0" tint="-0.24994659260841701"/>
      </font>
    </dxf>
    <dxf>
      <font>
        <color theme="0"/>
      </font>
      <fill>
        <patternFill>
          <bgColor rgb="FFFF0000"/>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rgb="FFBFBFBF"/>
      </font>
    </dxf>
    <dxf>
      <fill>
        <patternFill>
          <bgColor theme="9"/>
        </patternFill>
      </fill>
    </dxf>
    <dxf>
      <fill>
        <patternFill>
          <bgColor theme="9"/>
        </patternFill>
      </fill>
    </dxf>
    <dxf>
      <fill>
        <patternFill>
          <bgColor theme="9"/>
        </patternFill>
      </fill>
    </dxf>
    <dxf>
      <font>
        <color rgb="FFFF0000"/>
      </font>
    </dxf>
    <dxf>
      <font>
        <color rgb="FFFF0000"/>
      </font>
    </dxf>
    <dxf>
      <font>
        <color rgb="FFFF0000"/>
      </font>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rgb="FFFF0000"/>
      </font>
    </dxf>
    <dxf>
      <font>
        <color rgb="FFFF0000"/>
      </font>
    </dxf>
    <dxf>
      <font>
        <color theme="0" tint="-4.9989318521683403E-2"/>
      </font>
      <fill>
        <patternFill>
          <bgColor theme="0" tint="-4.9989318521683403E-2"/>
        </patternFill>
      </fill>
    </dxf>
    <dxf>
      <font>
        <color rgb="FFFF0000"/>
      </font>
    </dxf>
    <dxf>
      <font>
        <color rgb="FF00B050"/>
      </font>
    </dxf>
    <dxf>
      <font>
        <color rgb="FF00B050"/>
      </font>
    </dxf>
    <dxf>
      <font>
        <color rgb="FFFF0000"/>
      </font>
    </dxf>
    <dxf>
      <font>
        <color rgb="FFFF0000"/>
      </font>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rgb="FFFF0000"/>
      </font>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1"/>
      </font>
      <fill>
        <patternFill>
          <bgColor rgb="FFFFFF9B"/>
        </patternFill>
      </fill>
    </dxf>
    <dxf>
      <font>
        <color theme="0"/>
      </font>
      <fill>
        <patternFill>
          <bgColor theme="9"/>
        </patternFill>
      </fill>
    </dxf>
    <dxf>
      <font>
        <color theme="1"/>
      </font>
      <fill>
        <patternFill>
          <bgColor rgb="FFFFFF9B"/>
        </patternFill>
      </fill>
    </dxf>
    <dxf>
      <font>
        <color theme="0" tint="-4.9989318521683403E-2"/>
      </font>
      <fill>
        <patternFill>
          <bgColor rgb="FFF7F7F7"/>
        </patternFill>
      </fill>
    </dxf>
    <dxf>
      <font>
        <color theme="0" tint="-4.9989318521683403E-2"/>
      </font>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numFmt numFmtId="2" formatCode="0.00"/>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rgb="FFFF0000"/>
      </font>
    </dxf>
    <dxf>
      <font>
        <color theme="0" tint="-0.14996795556505021"/>
      </font>
    </dxf>
    <dxf>
      <font>
        <color theme="0" tint="-0.2499465926084170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color rgb="FF00B050"/>
      </font>
    </dxf>
    <dxf>
      <font>
        <color rgb="FF00B050"/>
      </font>
    </dxf>
    <dxf>
      <font>
        <color theme="0" tint="-0.24994659260841701"/>
      </font>
    </dxf>
    <dxf>
      <font>
        <color theme="0"/>
      </font>
      <fill>
        <patternFill>
          <bgColor rgb="FFFF0000"/>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rgb="FFBFBFBF"/>
      </font>
    </dxf>
    <dxf>
      <fill>
        <patternFill>
          <bgColor theme="9"/>
        </patternFill>
      </fill>
    </dxf>
    <dxf>
      <fill>
        <patternFill>
          <bgColor theme="9"/>
        </patternFill>
      </fill>
    </dxf>
    <dxf>
      <fill>
        <patternFill>
          <bgColor theme="9"/>
        </patternFill>
      </fill>
    </dxf>
    <dxf>
      <font>
        <color theme="0" tint="-4.9989318521683403E-2"/>
      </font>
      <fill>
        <patternFill>
          <bgColor theme="0" tint="-4.9989318521683403E-2"/>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1"/>
      </font>
      <fill>
        <patternFill>
          <bgColor rgb="FFFFFF9B"/>
        </patternFill>
      </fill>
    </dxf>
    <dxf>
      <font>
        <color theme="1"/>
      </font>
      <fill>
        <patternFill>
          <bgColor rgb="FFFFFF9B"/>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ont>
        <color theme="1"/>
      </font>
      <fill>
        <patternFill>
          <bgColor rgb="FFFFFF9B"/>
        </patternFill>
      </fill>
    </dxf>
    <dxf>
      <font>
        <color theme="1"/>
      </font>
      <fill>
        <patternFill>
          <bgColor rgb="FFFFFF9B"/>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1"/>
      </font>
      <fill>
        <patternFill>
          <bgColor rgb="FFFFFF9B"/>
        </patternFill>
      </fill>
    </dxf>
    <dxf>
      <font>
        <color theme="1"/>
      </font>
      <fill>
        <patternFill>
          <bgColor rgb="FFFFFF9B"/>
        </patternFill>
      </fill>
      <border>
        <vertical/>
        <horizontal/>
      </border>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1"/>
      </font>
      <fill>
        <patternFill>
          <bgColor rgb="FFFFFF9B"/>
        </patternFill>
      </fill>
      <border>
        <vertical/>
        <horizontal/>
      </border>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1"/>
      </font>
      <fill>
        <patternFill>
          <bgColor rgb="FFFFFF9B"/>
        </patternFill>
      </fill>
      <border>
        <vertical/>
        <horizontal/>
      </border>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ill>
        <patternFill>
          <bgColor theme="9"/>
        </patternFill>
      </fill>
    </dxf>
    <dxf>
      <font>
        <color theme="0"/>
      </font>
      <fill>
        <patternFill>
          <bgColor rgb="FFFF0000"/>
        </patternFill>
      </fill>
    </dxf>
    <dxf>
      <font>
        <color theme="0"/>
      </font>
      <fill>
        <patternFill>
          <bgColor rgb="FFFF0000"/>
        </patternFill>
      </fill>
    </dxf>
    <dxf>
      <fill>
        <patternFill>
          <bgColor rgb="FFFFFFC8"/>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1"/>
      </font>
      <fill>
        <patternFill>
          <bgColor rgb="FFFFFFC8"/>
        </patternFill>
      </fill>
    </dxf>
    <dxf>
      <font>
        <color theme="1"/>
      </font>
      <fill>
        <patternFill>
          <bgColor rgb="FFFFFFC8"/>
        </patternFill>
      </fill>
      <border>
        <vertical/>
        <horizontal/>
      </border>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b val="0"/>
        <i val="0"/>
        <color auto="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dxf>
    <dxf>
      <font>
        <color theme="4" tint="0.79998168889431442"/>
      </font>
    </dxf>
    <dxf>
      <font>
        <color rgb="FFFFEB9C"/>
      </font>
    </dxf>
    <dxf>
      <font>
        <color rgb="FFFFEB9C"/>
      </font>
    </dxf>
    <dxf>
      <font>
        <color theme="0" tint="-4.9989318521683403E-2"/>
      </font>
      <fill>
        <patternFill>
          <bgColor theme="0" tint="-4.9989318521683403E-2"/>
        </patternFill>
      </fill>
    </dxf>
    <dxf>
      <font>
        <color theme="4" tint="0.79998168889431442"/>
      </font>
    </dxf>
    <dxf>
      <font>
        <color rgb="FFFFEB9C"/>
      </font>
    </dxf>
    <dxf>
      <font>
        <color rgb="FFFFEB9C"/>
      </font>
    </dxf>
    <dxf>
      <font>
        <color theme="0" tint="-4.9989318521683403E-2"/>
      </font>
      <fill>
        <patternFill>
          <bgColor theme="0" tint="-4.9989318521683403E-2"/>
        </patternFill>
      </fill>
    </dxf>
    <dxf>
      <font>
        <color rgb="FFFFEB9C"/>
      </font>
    </dxf>
    <dxf>
      <font>
        <color rgb="FFFFEB9C"/>
      </font>
    </dxf>
    <dxf>
      <font>
        <color theme="0" tint="-4.9989318521683403E-2"/>
      </font>
      <fill>
        <patternFill>
          <bgColor theme="0" tint="-4.9989318521683403E-2"/>
        </patternFill>
      </fill>
    </dxf>
    <dxf>
      <font>
        <color rgb="FFFFEB9C"/>
      </font>
    </dxf>
    <dxf>
      <font>
        <color rgb="FFFFEB9C"/>
      </font>
    </dxf>
    <dxf>
      <font>
        <color theme="0" tint="-4.9989318521683403E-2"/>
      </font>
      <fill>
        <patternFill>
          <bgColor theme="0" tint="-4.9989318521683403E-2"/>
        </patternFill>
      </fill>
    </dxf>
    <dxf>
      <font>
        <color rgb="FFFFEB9C"/>
      </font>
    </dxf>
    <dxf>
      <font>
        <color rgb="FFFFEB9C"/>
      </font>
    </dxf>
    <dxf>
      <font>
        <color theme="0" tint="-4.9989318521683403E-2"/>
      </font>
      <fill>
        <patternFill>
          <bgColor theme="0" tint="-4.9989318521683403E-2"/>
        </patternFill>
      </fill>
    </dxf>
    <dxf>
      <font>
        <color rgb="FFFFEB9C"/>
      </font>
    </dxf>
    <dxf>
      <font>
        <color rgb="FFFFEB9C"/>
      </font>
    </dxf>
    <dxf>
      <font>
        <color theme="0" tint="-4.9989318521683403E-2"/>
      </font>
      <fill>
        <patternFill>
          <bgColor theme="0" tint="-4.9989318521683403E-2"/>
        </patternFill>
      </fill>
    </dxf>
    <dxf>
      <font>
        <color rgb="FFFFEB9C"/>
      </font>
    </dxf>
    <dxf>
      <font>
        <color rgb="FFFFEB9C"/>
      </font>
    </dxf>
    <dxf>
      <font>
        <color theme="0" tint="-4.9989318521683403E-2"/>
      </font>
      <fill>
        <patternFill>
          <bgColor theme="0" tint="-4.9989318521683403E-2"/>
        </patternFill>
      </fill>
    </dxf>
    <dxf>
      <font>
        <color rgb="FFFFEB9C"/>
      </font>
    </dxf>
    <dxf>
      <font>
        <color rgb="FFFFEB9C"/>
      </font>
    </dxf>
    <dxf>
      <font>
        <color theme="0" tint="-4.9989318521683403E-2"/>
      </font>
      <fill>
        <patternFill>
          <bgColor theme="0" tint="-4.9989318521683403E-2"/>
        </patternFill>
      </fill>
    </dxf>
    <dxf>
      <font>
        <color rgb="FFFFEB9C"/>
      </font>
    </dxf>
    <dxf>
      <font>
        <color rgb="FFFFEB9C"/>
      </font>
    </dxf>
    <dxf>
      <font>
        <color theme="0" tint="-4.9989318521683403E-2"/>
      </font>
      <fill>
        <patternFill>
          <bgColor theme="0" tint="-4.9989318521683403E-2"/>
        </patternFill>
      </fill>
    </dxf>
    <dxf>
      <font>
        <color rgb="FFFFEB9C"/>
      </font>
    </dxf>
    <dxf>
      <font>
        <color rgb="FFFFEB9C"/>
      </font>
    </dxf>
    <dxf>
      <font>
        <color theme="0" tint="-4.9989318521683403E-2"/>
      </font>
      <fill>
        <patternFill>
          <bgColor theme="0" tint="-4.9989318521683403E-2"/>
        </patternFill>
      </fill>
    </dxf>
    <dxf>
      <font>
        <color rgb="FFFFEB9C"/>
      </font>
    </dxf>
    <dxf>
      <font>
        <color rgb="FFFFEB9C"/>
      </font>
    </dxf>
    <dxf>
      <font>
        <color theme="0" tint="-4.9989318521683403E-2"/>
      </font>
      <fill>
        <patternFill>
          <bgColor theme="0" tint="-4.9989318521683403E-2"/>
        </patternFill>
      </fill>
    </dxf>
    <dxf>
      <font>
        <color theme="4" tint="0.79998168889431442"/>
      </font>
    </dxf>
    <dxf>
      <font>
        <color theme="4" tint="0.79998168889431442"/>
      </font>
    </dxf>
    <dxf>
      <font>
        <color theme="0" tint="-4.9989318521683403E-2"/>
      </font>
    </dxf>
    <dxf>
      <font>
        <color theme="4" tint="0.79998168889431442"/>
      </font>
    </dxf>
    <dxf>
      <font>
        <color theme="0"/>
      </font>
      <fill>
        <patternFill>
          <bgColor rgb="FFFF0000"/>
        </patternFill>
      </fill>
    </dxf>
    <dxf>
      <font>
        <b/>
        <i val="0"/>
      </font>
    </dxf>
    <dxf>
      <font>
        <color theme="0" tint="-4.9989318521683403E-2"/>
      </font>
    </dxf>
    <dxf>
      <font>
        <color theme="4" tint="0.79998168889431442"/>
      </font>
    </dxf>
    <dxf>
      <font>
        <color rgb="FFFF0000"/>
      </font>
      <fill>
        <patternFill>
          <bgColor theme="0"/>
        </patternFill>
      </fill>
    </dxf>
    <dxf>
      <font>
        <color theme="1"/>
      </font>
      <fill>
        <patternFill>
          <bgColor rgb="FFFFFF9B"/>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border>
        <left/>
        <right/>
        <top style="thin">
          <color theme="0" tint="-0.14996795556505021"/>
        </top>
        <bottom style="thin">
          <color theme="0" tint="-0.14996795556505021"/>
        </bottom>
        <vertical/>
        <horizontal/>
      </border>
    </dxf>
    <dxf>
      <font>
        <color theme="0" tint="-4.9989318521683403E-2"/>
      </font>
      <fill>
        <patternFill>
          <bgColor theme="0" tint="-4.9989318521683403E-2"/>
        </patternFill>
      </fill>
      <border>
        <left/>
        <right/>
        <top style="thin">
          <color theme="0" tint="-0.14996795556505021"/>
        </top>
        <bottom style="thin">
          <color theme="0" tint="-0.14996795556505021"/>
        </bottom>
        <vertical/>
        <horizontal/>
      </border>
    </dxf>
    <dxf>
      <font>
        <color theme="0"/>
      </font>
      <fill>
        <patternFill>
          <bgColor rgb="FFFF0000"/>
        </patternFill>
      </fill>
    </dxf>
    <dxf>
      <font>
        <color theme="0" tint="-4.9989318521683403E-2"/>
      </font>
      <fill>
        <patternFill>
          <bgColor theme="0" tint="-4.9989318521683403E-2"/>
        </patternFill>
      </fill>
      <border>
        <left/>
        <right/>
        <top style="thin">
          <color theme="0" tint="-0.14996795556505021"/>
        </top>
        <bottom style="thin">
          <color theme="0" tint="-0.14996795556505021"/>
        </bottom>
        <vertical/>
        <horizontal/>
      </border>
    </dxf>
    <dxf>
      <font>
        <color theme="0" tint="-4.9989318521683403E-2"/>
      </font>
      <fill>
        <patternFill>
          <bgColor theme="0" tint="-4.9989318521683403E-2"/>
        </patternFill>
      </fill>
      <border>
        <left/>
        <right/>
        <top style="thin">
          <color theme="0" tint="-0.14996795556505021"/>
        </top>
        <bottom style="thin">
          <color theme="0" tint="-0.14996795556505021"/>
        </bottom>
        <vertical/>
        <horizontal/>
      </border>
    </dxf>
    <dxf>
      <font>
        <color theme="0"/>
      </font>
      <fill>
        <patternFill>
          <bgColor rgb="FFFF0000"/>
        </patternFill>
      </fill>
    </dxf>
    <dxf>
      <font>
        <color theme="0" tint="-4.9989318521683403E-2"/>
      </font>
      <fill>
        <patternFill>
          <bgColor theme="0" tint="-4.9989318521683403E-2"/>
        </patternFill>
      </fill>
      <border>
        <left/>
        <right/>
        <top style="thin">
          <color theme="0" tint="-0.14996795556505021"/>
        </top>
        <bottom style="thin">
          <color theme="0" tint="-0.14996795556505021"/>
        </bottom>
        <vertical/>
        <horizontal/>
      </border>
    </dxf>
    <dxf>
      <font>
        <color theme="0" tint="-4.9989318521683403E-2"/>
      </font>
      <fill>
        <patternFill>
          <bgColor theme="0" tint="-4.9989318521683403E-2"/>
        </patternFill>
      </fill>
      <border>
        <left/>
        <right/>
        <top style="thin">
          <color theme="0" tint="-0.14996795556505021"/>
        </top>
        <bottom style="thin">
          <color theme="0" tint="-0.14996795556505021"/>
        </bottom>
        <vertical/>
        <horizontal/>
      </border>
    </dxf>
    <dxf>
      <font>
        <color theme="0"/>
      </font>
      <fill>
        <patternFill>
          <bgColor rgb="FFFF000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border>
        <left/>
        <right/>
        <top style="thin">
          <color theme="0" tint="-0.14996795556505021"/>
        </top>
        <bottom style="thin">
          <color theme="0" tint="-0.14996795556505021"/>
        </bottom>
        <vertical/>
        <horizontal/>
      </border>
    </dxf>
    <dxf>
      <font>
        <color theme="1"/>
      </font>
      <fill>
        <patternFill>
          <bgColor rgb="FFFFFF9B"/>
        </patternFill>
      </fill>
    </dxf>
    <dxf>
      <font>
        <color theme="1"/>
      </font>
      <fill>
        <patternFill>
          <bgColor rgb="FFFFFF9B"/>
        </patternFill>
      </fill>
    </dxf>
    <dxf>
      <font>
        <color theme="1"/>
      </font>
      <fill>
        <patternFill>
          <bgColor rgb="FFFFFF9B"/>
        </patternFill>
      </fill>
    </dxf>
    <dxf>
      <fill>
        <patternFill>
          <bgColor theme="9"/>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1"/>
      </font>
      <fill>
        <patternFill>
          <bgColor rgb="FFFFFF9B"/>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border>
        <left/>
        <right/>
        <top style="thin">
          <color theme="0" tint="-0.14996795556505021"/>
        </top>
        <bottom style="thin">
          <color theme="0" tint="-0.14996795556505021"/>
        </bottom>
        <vertical/>
        <horizontal/>
      </border>
    </dxf>
  </dxfs>
  <tableStyles count="1" defaultTableStyle="TableStyleMedium2" defaultPivotStyle="PivotStyleLight16">
    <tableStyle name="Invisible" pivot="0" table="0" count="0" xr9:uid="{6C3891FF-ED58-41A1-970F-12B2EAACA75C}"/>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275937"/>
      <rgbColor rgb="0039870C"/>
      <rgbColor rgb="00F7FBE1"/>
      <rgbColor rgb="00FFFF99"/>
      <rgbColor rgb="00333399"/>
      <rgbColor rgb="003366FF"/>
      <rgbColor rgb="00474B5D"/>
      <rgbColor rgb="00E0E0E0"/>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7F7F7"/>
      <color rgb="FFBFBFBF"/>
      <color rgb="FFFFFF9B"/>
      <color rgb="FFFFFFC8"/>
      <color rgb="FF026A68"/>
      <color rgb="FF039B97"/>
      <color rgb="FFE6E6E6"/>
      <color rgb="FF017559"/>
      <color rgb="FF006C50"/>
      <color rgb="FF3983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993829015647854E-2"/>
          <c:y val="0.15750972094537311"/>
          <c:w val="0.8825532113829283"/>
          <c:h val="0.57786930479843868"/>
        </c:manualLayout>
      </c:layout>
      <c:barChart>
        <c:barDir val="bar"/>
        <c:grouping val="stacked"/>
        <c:varyColors val="0"/>
        <c:ser>
          <c:idx val="1"/>
          <c:order val="0"/>
          <c:tx>
            <c:strRef>
              <c:f>resultaten!$E$148</c:f>
              <c:strCache>
                <c:ptCount val="1"/>
                <c:pt idx="0">
                  <c:v>locatie 1</c:v>
                </c:pt>
              </c:strCache>
            </c:strRef>
          </c:tx>
          <c:spPr>
            <a:solidFill>
              <a:schemeClr val="accent5"/>
            </a:solidFill>
            <a:ln w="25400">
              <a:noFill/>
            </a:ln>
          </c:spPr>
          <c:invertIfNegative val="0"/>
          <c:dLbls>
            <c:numFmt formatCode="#,##0" sourceLinked="0"/>
            <c:spPr>
              <a:noFill/>
              <a:ln>
                <a:noFill/>
              </a:ln>
              <a:effectLst/>
            </c:spPr>
            <c:txPr>
              <a:bodyPr/>
              <a:lstStyle/>
              <a:p>
                <a:pPr>
                  <a:defRPr sz="800">
                    <a:solidFill>
                      <a:schemeClr val="bg1"/>
                    </a:solidFill>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resultaten!$M$8:$R$8</c:f>
              <c:strCache>
                <c:ptCount val="6"/>
                <c:pt idx="0">
                  <c:v>variant 1</c:v>
                </c:pt>
                <c:pt idx="1">
                  <c:v>variant 2</c:v>
                </c:pt>
                <c:pt idx="2">
                  <c:v>variant 3</c:v>
                </c:pt>
                <c:pt idx="3">
                  <c:v>variant 4</c:v>
                </c:pt>
                <c:pt idx="4">
                  <c:v>variant 5</c:v>
                </c:pt>
                <c:pt idx="5">
                  <c:v>variant 6</c:v>
                </c:pt>
              </c:strCache>
            </c:strRef>
          </c:cat>
          <c:val>
            <c:numRef>
              <c:f>resultaten!$M$148:$R$148</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378C-4D36-B5AA-AEF49772145A}"/>
            </c:ext>
          </c:extLst>
        </c:ser>
        <c:ser>
          <c:idx val="2"/>
          <c:order val="1"/>
          <c:tx>
            <c:strRef>
              <c:f>resultaten!$E$149</c:f>
              <c:strCache>
                <c:ptCount val="1"/>
                <c:pt idx="0">
                  <c:v>locatie 2</c:v>
                </c:pt>
              </c:strCache>
            </c:strRef>
          </c:tx>
          <c:spPr>
            <a:solidFill>
              <a:schemeClr val="accent5">
                <a:lumMod val="75000"/>
              </a:schemeClr>
            </a:solidFill>
          </c:spPr>
          <c:invertIfNegative val="0"/>
          <c:dLbls>
            <c:numFmt formatCode="#,##0" sourceLinked="0"/>
            <c:spPr>
              <a:noFill/>
              <a:ln>
                <a:noFill/>
              </a:ln>
              <a:effectLst/>
            </c:spPr>
            <c:txPr>
              <a:bodyPr wrap="square" lIns="38100" tIns="19050" rIns="38100" bIns="19050" anchor="ctr">
                <a:spAutoFit/>
              </a:bodyPr>
              <a:lstStyle/>
              <a:p>
                <a:pPr>
                  <a:defRPr sz="800">
                    <a:solidFill>
                      <a:schemeClr val="bg1"/>
                    </a:solidFill>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resultaten!$M$8:$R$8</c:f>
              <c:strCache>
                <c:ptCount val="6"/>
                <c:pt idx="0">
                  <c:v>variant 1</c:v>
                </c:pt>
                <c:pt idx="1">
                  <c:v>variant 2</c:v>
                </c:pt>
                <c:pt idx="2">
                  <c:v>variant 3</c:v>
                </c:pt>
                <c:pt idx="3">
                  <c:v>variant 4</c:v>
                </c:pt>
                <c:pt idx="4">
                  <c:v>variant 5</c:v>
                </c:pt>
                <c:pt idx="5">
                  <c:v>variant 6</c:v>
                </c:pt>
              </c:strCache>
            </c:strRef>
          </c:cat>
          <c:val>
            <c:numRef>
              <c:f>resultaten!$M$149:$R$149</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378C-4D36-B5AA-AEF49772145A}"/>
            </c:ext>
          </c:extLst>
        </c:ser>
        <c:ser>
          <c:idx val="3"/>
          <c:order val="2"/>
          <c:tx>
            <c:strRef>
              <c:f>resultaten!$E$150</c:f>
              <c:strCache>
                <c:ptCount val="1"/>
                <c:pt idx="0">
                  <c:v>locatie 3</c:v>
                </c:pt>
              </c:strCache>
            </c:strRef>
          </c:tx>
          <c:spPr>
            <a:solidFill>
              <a:schemeClr val="accent5">
                <a:lumMod val="50000"/>
              </a:schemeClr>
            </a:solidFill>
          </c:spPr>
          <c:invertIfNegative val="0"/>
          <c:dLbls>
            <c:numFmt formatCode="#,##0" sourceLinked="0"/>
            <c:spPr>
              <a:noFill/>
              <a:ln>
                <a:noFill/>
              </a:ln>
              <a:effectLst/>
            </c:spPr>
            <c:txPr>
              <a:bodyPr wrap="square" lIns="38100" tIns="19050" rIns="38100" bIns="19050" anchor="ctr">
                <a:spAutoFit/>
              </a:bodyPr>
              <a:lstStyle/>
              <a:p>
                <a:pPr>
                  <a:defRPr sz="800">
                    <a:solidFill>
                      <a:schemeClr val="bg1"/>
                    </a:solidFill>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resultaten!$M$8:$R$8</c:f>
              <c:strCache>
                <c:ptCount val="6"/>
                <c:pt idx="0">
                  <c:v>variant 1</c:v>
                </c:pt>
                <c:pt idx="1">
                  <c:v>variant 2</c:v>
                </c:pt>
                <c:pt idx="2">
                  <c:v>variant 3</c:v>
                </c:pt>
                <c:pt idx="3">
                  <c:v>variant 4</c:v>
                </c:pt>
                <c:pt idx="4">
                  <c:v>variant 5</c:v>
                </c:pt>
                <c:pt idx="5">
                  <c:v>variant 6</c:v>
                </c:pt>
              </c:strCache>
            </c:strRef>
          </c:cat>
          <c:val>
            <c:numRef>
              <c:f>resultaten!$M$150:$R$150</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378C-4D36-B5AA-AEF49772145A}"/>
            </c:ext>
          </c:extLst>
        </c:ser>
        <c:ser>
          <c:idx val="0"/>
          <c:order val="3"/>
          <c:tx>
            <c:strRef>
              <c:f>resultaten!$E$151</c:f>
              <c:strCache>
                <c:ptCount val="1"/>
                <c:pt idx="0">
                  <c:v>locatie 4</c:v>
                </c:pt>
              </c:strCache>
            </c:strRef>
          </c:tx>
          <c:spPr>
            <a:solidFill>
              <a:schemeClr val="accent6">
                <a:lumMod val="75000"/>
              </a:schemeClr>
            </a:solidFill>
            <a:ln w="25400">
              <a:noFill/>
            </a:ln>
          </c:spPr>
          <c:invertIfNegative val="0"/>
          <c:dLbls>
            <c:numFmt formatCode="#,##0" sourceLinked="0"/>
            <c:spPr>
              <a:noFill/>
              <a:ln>
                <a:noFill/>
              </a:ln>
              <a:effectLst/>
            </c:spPr>
            <c:txPr>
              <a:bodyPr/>
              <a:lstStyle/>
              <a:p>
                <a:pPr>
                  <a:defRPr sz="800">
                    <a:solidFill>
                      <a:schemeClr val="bg1"/>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resultaten!$M$8:$R$8</c:f>
              <c:strCache>
                <c:ptCount val="6"/>
                <c:pt idx="0">
                  <c:v>variant 1</c:v>
                </c:pt>
                <c:pt idx="1">
                  <c:v>variant 2</c:v>
                </c:pt>
                <c:pt idx="2">
                  <c:v>variant 3</c:v>
                </c:pt>
                <c:pt idx="3">
                  <c:v>variant 4</c:v>
                </c:pt>
                <c:pt idx="4">
                  <c:v>variant 5</c:v>
                </c:pt>
                <c:pt idx="5">
                  <c:v>variant 6</c:v>
                </c:pt>
              </c:strCache>
            </c:strRef>
          </c:cat>
          <c:val>
            <c:numRef>
              <c:f>resultaten!$M$151:$R$151</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378C-4D36-B5AA-AEF49772145A}"/>
            </c:ext>
          </c:extLst>
        </c:ser>
        <c:dLbls>
          <c:showLegendKey val="0"/>
          <c:showVal val="0"/>
          <c:showCatName val="0"/>
          <c:showSerName val="0"/>
          <c:showPercent val="0"/>
          <c:showBubbleSize val="0"/>
        </c:dLbls>
        <c:gapWidth val="50"/>
        <c:overlap val="100"/>
        <c:axId val="127972096"/>
        <c:axId val="127973632"/>
      </c:barChart>
      <c:catAx>
        <c:axId val="127972096"/>
        <c:scaling>
          <c:orientation val="maxMin"/>
        </c:scaling>
        <c:delete val="0"/>
        <c:axPos val="l"/>
        <c:majorGridlines>
          <c:spPr>
            <a:ln>
              <a:solidFill>
                <a:schemeClr val="bg1">
                  <a:lumMod val="85000"/>
                </a:schemeClr>
              </a:solidFill>
            </a:ln>
          </c:spPr>
        </c:majorGridlines>
        <c:numFmt formatCode="General" sourceLinked="1"/>
        <c:majorTickMark val="none"/>
        <c:minorTickMark val="none"/>
        <c:tickLblPos val="nextTo"/>
        <c:spPr>
          <a:ln w="3175">
            <a:solidFill>
              <a:schemeClr val="bg1">
                <a:lumMod val="65000"/>
              </a:schemeClr>
            </a:solidFill>
            <a:prstDash val="solid"/>
          </a:ln>
        </c:spPr>
        <c:txPr>
          <a:bodyPr rot="0" vert="horz"/>
          <a:lstStyle/>
          <a:p>
            <a:pPr>
              <a:defRPr>
                <a:solidFill>
                  <a:schemeClr val="bg1">
                    <a:lumMod val="50000"/>
                  </a:schemeClr>
                </a:solidFill>
              </a:defRPr>
            </a:pPr>
            <a:endParaRPr lang="nl-NL"/>
          </a:p>
        </c:txPr>
        <c:crossAx val="127973632"/>
        <c:crosses val="autoZero"/>
        <c:auto val="1"/>
        <c:lblAlgn val="ctr"/>
        <c:lblOffset val="100"/>
        <c:noMultiLvlLbl val="0"/>
      </c:catAx>
      <c:valAx>
        <c:axId val="127973632"/>
        <c:scaling>
          <c:orientation val="minMax"/>
          <c:min val="0"/>
        </c:scaling>
        <c:delete val="0"/>
        <c:axPos val="t"/>
        <c:majorGridlines>
          <c:spPr>
            <a:ln w="3175" cmpd="sng">
              <a:solidFill>
                <a:schemeClr val="bg1">
                  <a:lumMod val="85000"/>
                </a:schemeClr>
              </a:solidFill>
              <a:prstDash val="solid"/>
            </a:ln>
          </c:spPr>
        </c:majorGridlines>
        <c:minorGridlines>
          <c:spPr>
            <a:ln>
              <a:solidFill>
                <a:schemeClr val="bg1">
                  <a:lumMod val="95000"/>
                </a:schemeClr>
              </a:solidFill>
            </a:ln>
          </c:spPr>
        </c:minorGridlines>
        <c:numFmt formatCode="#,##0" sourceLinked="0"/>
        <c:majorTickMark val="out"/>
        <c:minorTickMark val="none"/>
        <c:tickLblPos val="high"/>
        <c:spPr>
          <a:ln w="9525">
            <a:noFill/>
          </a:ln>
        </c:spPr>
        <c:txPr>
          <a:bodyPr rot="0" vert="horz"/>
          <a:lstStyle/>
          <a:p>
            <a:pPr>
              <a:defRPr sz="1000">
                <a:solidFill>
                  <a:schemeClr val="bg1">
                    <a:lumMod val="50000"/>
                  </a:schemeClr>
                </a:solidFill>
                <a:latin typeface="Calibri Light" panose="020F0302020204030204" pitchFamily="34" charset="0"/>
                <a:cs typeface="Calibri Light" panose="020F0302020204030204" pitchFamily="34" charset="0"/>
              </a:defRPr>
            </a:pPr>
            <a:endParaRPr lang="nl-NL"/>
          </a:p>
        </c:txPr>
        <c:crossAx val="127972096"/>
        <c:crosses val="autoZero"/>
        <c:crossBetween val="between"/>
      </c:valAx>
      <c:spPr>
        <a:ln>
          <a:solidFill>
            <a:schemeClr val="bg1">
              <a:lumMod val="65000"/>
            </a:schemeClr>
          </a:solidFill>
        </a:ln>
      </c:spPr>
    </c:plotArea>
    <c:legend>
      <c:legendPos val="b"/>
      <c:layout>
        <c:manualLayout>
          <c:xMode val="edge"/>
          <c:yMode val="edge"/>
          <c:x val="7.7141578676711217E-2"/>
          <c:y val="0.86850720583004049"/>
          <c:w val="0.90000000000000013"/>
          <c:h val="9.0641169853768286E-2"/>
        </c:manualLayout>
      </c:layout>
      <c:overlay val="0"/>
      <c:spPr>
        <a:solidFill>
          <a:schemeClr val="bg2"/>
        </a:solidFill>
        <a:effectLst>
          <a:outerShdw blurRad="50800" dist="38100" dir="2700000" algn="tl" rotWithShape="0">
            <a:prstClr val="black">
              <a:alpha val="40000"/>
            </a:prstClr>
          </a:outerShdw>
        </a:effectLst>
      </c:spPr>
      <c:txPr>
        <a:bodyPr/>
        <a:lstStyle/>
        <a:p>
          <a:pPr>
            <a:defRPr sz="1000">
              <a:latin typeface="Calibri Light" panose="020F0302020204030204" pitchFamily="34" charset="0"/>
              <a:cs typeface="Calibri Light" panose="020F0302020204030204" pitchFamily="34" charset="0"/>
            </a:defRPr>
          </a:pPr>
          <a:endParaRPr lang="nl-NL"/>
        </a:p>
      </c:txPr>
    </c:legend>
    <c:plotVisOnly val="0"/>
    <c:dispBlanksAs val="gap"/>
    <c:showDLblsOverMax val="0"/>
  </c:chart>
  <c:spPr>
    <a:solidFill>
      <a:schemeClr val="bg1">
        <a:lumMod val="95000"/>
      </a:schemeClr>
    </a:solidFill>
  </c:spPr>
  <c:txPr>
    <a:bodyPr/>
    <a:lstStyle/>
    <a:p>
      <a:pPr>
        <a:defRPr sz="1000" b="0" i="0" u="none" strike="noStrike" baseline="0">
          <a:solidFill>
            <a:srgbClr val="000000"/>
          </a:solidFill>
          <a:latin typeface="+mn-lt"/>
          <a:ea typeface="Verdana"/>
          <a:cs typeface="Verdana"/>
        </a:defRPr>
      </a:pPr>
      <a:endParaRPr lang="nl-NL"/>
    </a:p>
  </c:txPr>
  <c:printSettings>
    <c:headerFooter/>
    <c:pageMargins b="1" l="0.75" r="0.75" t="1" header="0.5" footer="0.5"/>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086347031048603E-2"/>
          <c:y val="0.15750972094537311"/>
          <c:w val="0.87916050570014626"/>
          <c:h val="0.57786930479843868"/>
        </c:manualLayout>
      </c:layout>
      <c:barChart>
        <c:barDir val="bar"/>
        <c:grouping val="stacked"/>
        <c:varyColors val="0"/>
        <c:ser>
          <c:idx val="1"/>
          <c:order val="0"/>
          <c:tx>
            <c:strRef>
              <c:f>resultaten!$E$78</c:f>
              <c:strCache>
                <c:ptCount val="1"/>
                <c:pt idx="0">
                  <c:v>locatie 1</c:v>
                </c:pt>
              </c:strCache>
            </c:strRef>
          </c:tx>
          <c:spPr>
            <a:solidFill>
              <a:schemeClr val="accent5"/>
            </a:solidFill>
            <a:ln w="25400">
              <a:noFill/>
            </a:ln>
          </c:spPr>
          <c:invertIfNegative val="0"/>
          <c:dLbls>
            <c:numFmt formatCode="#,##0" sourceLinked="0"/>
            <c:spPr>
              <a:noFill/>
              <a:ln>
                <a:noFill/>
              </a:ln>
              <a:effectLst/>
            </c:spPr>
            <c:txPr>
              <a:bodyPr/>
              <a:lstStyle/>
              <a:p>
                <a:pPr>
                  <a:defRPr sz="800">
                    <a:solidFill>
                      <a:schemeClr val="bg1"/>
                    </a:solidFill>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resultaten!$M$8:$R$8</c:f>
              <c:strCache>
                <c:ptCount val="6"/>
                <c:pt idx="0">
                  <c:v>variant 1</c:v>
                </c:pt>
                <c:pt idx="1">
                  <c:v>variant 2</c:v>
                </c:pt>
                <c:pt idx="2">
                  <c:v>variant 3</c:v>
                </c:pt>
                <c:pt idx="3">
                  <c:v>variant 4</c:v>
                </c:pt>
                <c:pt idx="4">
                  <c:v>variant 5</c:v>
                </c:pt>
                <c:pt idx="5">
                  <c:v>variant 6</c:v>
                </c:pt>
              </c:strCache>
            </c:strRef>
          </c:cat>
          <c:val>
            <c:numRef>
              <c:f>resultaten!$M$78:$R$78</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7DA7-4309-A1A1-24AD6C5A61F4}"/>
            </c:ext>
          </c:extLst>
        </c:ser>
        <c:ser>
          <c:idx val="2"/>
          <c:order val="1"/>
          <c:tx>
            <c:strRef>
              <c:f>resultaten!$E$79</c:f>
              <c:strCache>
                <c:ptCount val="1"/>
                <c:pt idx="0">
                  <c:v>locatie 2</c:v>
                </c:pt>
              </c:strCache>
            </c:strRef>
          </c:tx>
          <c:spPr>
            <a:solidFill>
              <a:schemeClr val="accent5">
                <a:lumMod val="75000"/>
              </a:schemeClr>
            </a:solidFill>
          </c:spPr>
          <c:invertIfNegative val="0"/>
          <c:dLbls>
            <c:numFmt formatCode="#,##0" sourceLinked="0"/>
            <c:spPr>
              <a:noFill/>
              <a:ln>
                <a:noFill/>
              </a:ln>
              <a:effectLst/>
            </c:spPr>
            <c:txPr>
              <a:bodyPr wrap="square" lIns="38100" tIns="19050" rIns="38100" bIns="19050" anchor="ctr">
                <a:spAutoFit/>
              </a:bodyPr>
              <a:lstStyle/>
              <a:p>
                <a:pPr>
                  <a:defRPr sz="800">
                    <a:solidFill>
                      <a:schemeClr val="bg1"/>
                    </a:solidFill>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resultaten!$M$8:$R$8</c:f>
              <c:strCache>
                <c:ptCount val="6"/>
                <c:pt idx="0">
                  <c:v>variant 1</c:v>
                </c:pt>
                <c:pt idx="1">
                  <c:v>variant 2</c:v>
                </c:pt>
                <c:pt idx="2">
                  <c:v>variant 3</c:v>
                </c:pt>
                <c:pt idx="3">
                  <c:v>variant 4</c:v>
                </c:pt>
                <c:pt idx="4">
                  <c:v>variant 5</c:v>
                </c:pt>
                <c:pt idx="5">
                  <c:v>variant 6</c:v>
                </c:pt>
              </c:strCache>
            </c:strRef>
          </c:cat>
          <c:val>
            <c:numRef>
              <c:f>resultaten!$M$79:$R$79</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7DA7-4309-A1A1-24AD6C5A61F4}"/>
            </c:ext>
          </c:extLst>
        </c:ser>
        <c:ser>
          <c:idx val="3"/>
          <c:order val="2"/>
          <c:tx>
            <c:strRef>
              <c:f>resultaten!$E$80</c:f>
              <c:strCache>
                <c:ptCount val="1"/>
                <c:pt idx="0">
                  <c:v>locatie 3</c:v>
                </c:pt>
              </c:strCache>
            </c:strRef>
          </c:tx>
          <c:spPr>
            <a:solidFill>
              <a:schemeClr val="accent5">
                <a:lumMod val="50000"/>
              </a:schemeClr>
            </a:solidFill>
          </c:spPr>
          <c:invertIfNegative val="0"/>
          <c:dLbls>
            <c:numFmt formatCode="#,##0" sourceLinked="0"/>
            <c:spPr>
              <a:noFill/>
              <a:ln>
                <a:noFill/>
              </a:ln>
              <a:effectLst/>
            </c:spPr>
            <c:txPr>
              <a:bodyPr wrap="square" lIns="38100" tIns="19050" rIns="38100" bIns="19050" anchor="ctr">
                <a:spAutoFit/>
              </a:bodyPr>
              <a:lstStyle/>
              <a:p>
                <a:pPr>
                  <a:defRPr sz="800">
                    <a:solidFill>
                      <a:schemeClr val="bg1"/>
                    </a:solidFill>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resultaten!$M$8:$R$8</c:f>
              <c:strCache>
                <c:ptCount val="6"/>
                <c:pt idx="0">
                  <c:v>variant 1</c:v>
                </c:pt>
                <c:pt idx="1">
                  <c:v>variant 2</c:v>
                </c:pt>
                <c:pt idx="2">
                  <c:v>variant 3</c:v>
                </c:pt>
                <c:pt idx="3">
                  <c:v>variant 4</c:v>
                </c:pt>
                <c:pt idx="4">
                  <c:v>variant 5</c:v>
                </c:pt>
                <c:pt idx="5">
                  <c:v>variant 6</c:v>
                </c:pt>
              </c:strCache>
            </c:strRef>
          </c:cat>
          <c:val>
            <c:numRef>
              <c:f>resultaten!$M$80:$R$80</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7DA7-4309-A1A1-24AD6C5A61F4}"/>
            </c:ext>
          </c:extLst>
        </c:ser>
        <c:ser>
          <c:idx val="0"/>
          <c:order val="3"/>
          <c:tx>
            <c:strRef>
              <c:f>resultaten!$E$81</c:f>
              <c:strCache>
                <c:ptCount val="1"/>
                <c:pt idx="0">
                  <c:v>locatie 4</c:v>
                </c:pt>
              </c:strCache>
            </c:strRef>
          </c:tx>
          <c:spPr>
            <a:solidFill>
              <a:schemeClr val="accent6">
                <a:lumMod val="75000"/>
              </a:schemeClr>
            </a:solidFill>
            <a:ln w="25400">
              <a:noFill/>
            </a:ln>
          </c:spPr>
          <c:invertIfNegative val="0"/>
          <c:dLbls>
            <c:numFmt formatCode="#,##0" sourceLinked="0"/>
            <c:spPr>
              <a:noFill/>
              <a:ln>
                <a:noFill/>
              </a:ln>
              <a:effectLst/>
            </c:spPr>
            <c:txPr>
              <a:bodyPr/>
              <a:lstStyle/>
              <a:p>
                <a:pPr>
                  <a:defRPr sz="800">
                    <a:solidFill>
                      <a:schemeClr val="bg1"/>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resultaten!$M$8:$R$8</c:f>
              <c:strCache>
                <c:ptCount val="6"/>
                <c:pt idx="0">
                  <c:v>variant 1</c:v>
                </c:pt>
                <c:pt idx="1">
                  <c:v>variant 2</c:v>
                </c:pt>
                <c:pt idx="2">
                  <c:v>variant 3</c:v>
                </c:pt>
                <c:pt idx="3">
                  <c:v>variant 4</c:v>
                </c:pt>
                <c:pt idx="4">
                  <c:v>variant 5</c:v>
                </c:pt>
                <c:pt idx="5">
                  <c:v>variant 6</c:v>
                </c:pt>
              </c:strCache>
            </c:strRef>
          </c:cat>
          <c:val>
            <c:numRef>
              <c:f>resultaten!$M$81:$R$81</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7DA7-4309-A1A1-24AD6C5A61F4}"/>
            </c:ext>
          </c:extLst>
        </c:ser>
        <c:dLbls>
          <c:showLegendKey val="0"/>
          <c:showVal val="0"/>
          <c:showCatName val="0"/>
          <c:showSerName val="0"/>
          <c:showPercent val="0"/>
          <c:showBubbleSize val="0"/>
        </c:dLbls>
        <c:gapWidth val="50"/>
        <c:overlap val="100"/>
        <c:axId val="127972096"/>
        <c:axId val="127973632"/>
      </c:barChart>
      <c:catAx>
        <c:axId val="127972096"/>
        <c:scaling>
          <c:orientation val="maxMin"/>
        </c:scaling>
        <c:delete val="0"/>
        <c:axPos val="l"/>
        <c:majorGridlines>
          <c:spPr>
            <a:ln>
              <a:solidFill>
                <a:schemeClr val="bg1">
                  <a:lumMod val="85000"/>
                </a:schemeClr>
              </a:solidFill>
            </a:ln>
          </c:spPr>
        </c:majorGridlines>
        <c:numFmt formatCode="General" sourceLinked="1"/>
        <c:majorTickMark val="none"/>
        <c:minorTickMark val="none"/>
        <c:tickLblPos val="nextTo"/>
        <c:spPr>
          <a:ln w="3175">
            <a:solidFill>
              <a:schemeClr val="bg1">
                <a:lumMod val="65000"/>
              </a:schemeClr>
            </a:solidFill>
            <a:prstDash val="solid"/>
          </a:ln>
        </c:spPr>
        <c:txPr>
          <a:bodyPr rot="0" vert="horz"/>
          <a:lstStyle/>
          <a:p>
            <a:pPr>
              <a:defRPr>
                <a:solidFill>
                  <a:schemeClr val="bg1">
                    <a:lumMod val="50000"/>
                  </a:schemeClr>
                </a:solidFill>
              </a:defRPr>
            </a:pPr>
            <a:endParaRPr lang="nl-NL"/>
          </a:p>
        </c:txPr>
        <c:crossAx val="127973632"/>
        <c:crosses val="autoZero"/>
        <c:auto val="1"/>
        <c:lblAlgn val="ctr"/>
        <c:lblOffset val="100"/>
        <c:noMultiLvlLbl val="0"/>
      </c:catAx>
      <c:valAx>
        <c:axId val="127973632"/>
        <c:scaling>
          <c:orientation val="minMax"/>
          <c:min val="0"/>
        </c:scaling>
        <c:delete val="0"/>
        <c:axPos val="t"/>
        <c:majorGridlines>
          <c:spPr>
            <a:ln w="3175" cmpd="sng">
              <a:solidFill>
                <a:schemeClr val="bg1">
                  <a:lumMod val="85000"/>
                </a:schemeClr>
              </a:solidFill>
              <a:prstDash val="solid"/>
            </a:ln>
          </c:spPr>
        </c:majorGridlines>
        <c:minorGridlines>
          <c:spPr>
            <a:ln>
              <a:solidFill>
                <a:schemeClr val="bg1">
                  <a:lumMod val="95000"/>
                </a:schemeClr>
              </a:solidFill>
            </a:ln>
          </c:spPr>
        </c:minorGridlines>
        <c:numFmt formatCode="#,##0" sourceLinked="0"/>
        <c:majorTickMark val="out"/>
        <c:minorTickMark val="none"/>
        <c:tickLblPos val="high"/>
        <c:spPr>
          <a:ln w="9525">
            <a:noFill/>
          </a:ln>
        </c:spPr>
        <c:txPr>
          <a:bodyPr rot="0" vert="horz"/>
          <a:lstStyle/>
          <a:p>
            <a:pPr>
              <a:defRPr sz="1000">
                <a:solidFill>
                  <a:schemeClr val="bg1">
                    <a:lumMod val="50000"/>
                  </a:schemeClr>
                </a:solidFill>
                <a:latin typeface="Calibri Light" panose="020F0302020204030204" pitchFamily="34" charset="0"/>
                <a:cs typeface="Calibri Light" panose="020F0302020204030204" pitchFamily="34" charset="0"/>
              </a:defRPr>
            </a:pPr>
            <a:endParaRPr lang="nl-NL"/>
          </a:p>
        </c:txPr>
        <c:crossAx val="127972096"/>
        <c:crosses val="autoZero"/>
        <c:crossBetween val="between"/>
      </c:valAx>
      <c:spPr>
        <a:ln>
          <a:solidFill>
            <a:schemeClr val="bg1">
              <a:lumMod val="65000"/>
            </a:schemeClr>
          </a:solidFill>
        </a:ln>
      </c:spPr>
    </c:plotArea>
    <c:legend>
      <c:legendPos val="b"/>
      <c:layout>
        <c:manualLayout>
          <c:xMode val="edge"/>
          <c:yMode val="edge"/>
          <c:x val="7.7141578676711217E-2"/>
          <c:y val="0.86850720583004049"/>
          <c:w val="0.90000000000000013"/>
          <c:h val="9.0641169853768286E-2"/>
        </c:manualLayout>
      </c:layout>
      <c:overlay val="0"/>
      <c:spPr>
        <a:solidFill>
          <a:schemeClr val="bg2"/>
        </a:solidFill>
        <a:effectLst>
          <a:outerShdw blurRad="50800" dist="38100" dir="2700000" algn="tl" rotWithShape="0">
            <a:prstClr val="black">
              <a:alpha val="40000"/>
            </a:prstClr>
          </a:outerShdw>
        </a:effectLst>
      </c:spPr>
      <c:txPr>
        <a:bodyPr/>
        <a:lstStyle/>
        <a:p>
          <a:pPr>
            <a:defRPr sz="1000">
              <a:latin typeface="Calibri Light" panose="020F0302020204030204" pitchFamily="34" charset="0"/>
              <a:cs typeface="Calibri Light" panose="020F0302020204030204" pitchFamily="34" charset="0"/>
            </a:defRPr>
          </a:pPr>
          <a:endParaRPr lang="nl-NL"/>
        </a:p>
      </c:txPr>
    </c:legend>
    <c:plotVisOnly val="0"/>
    <c:dispBlanksAs val="gap"/>
    <c:showDLblsOverMax val="0"/>
  </c:chart>
  <c:spPr>
    <a:solidFill>
      <a:schemeClr val="bg1">
        <a:lumMod val="95000"/>
      </a:schemeClr>
    </a:solidFill>
  </c:spPr>
  <c:txPr>
    <a:bodyPr/>
    <a:lstStyle/>
    <a:p>
      <a:pPr>
        <a:defRPr sz="1000" b="0" i="0" u="none" strike="noStrike" baseline="0">
          <a:solidFill>
            <a:srgbClr val="000000"/>
          </a:solidFill>
          <a:latin typeface="+mn-lt"/>
          <a:ea typeface="Verdana"/>
          <a:cs typeface="Verdana"/>
        </a:defRPr>
      </a:pPr>
      <a:endParaRPr lang="nl-NL"/>
    </a:p>
  </c:txPr>
  <c:printSettings>
    <c:headerFooter/>
    <c:pageMargins b="1" l="0.75" r="0.75" t="1" header="0.5" footer="0.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nl-NL" sz="1600">
                <a:solidFill>
                  <a:schemeClr val="bg1">
                    <a:lumMod val="50000"/>
                  </a:schemeClr>
                </a:solidFill>
              </a:rPr>
              <a:t>Indicatie</a:t>
            </a:r>
            <a:r>
              <a:rPr lang="nl-NL" sz="1600" baseline="0">
                <a:solidFill>
                  <a:schemeClr val="bg1">
                    <a:lumMod val="50000"/>
                  </a:schemeClr>
                </a:solidFill>
              </a:rPr>
              <a:t> w</a:t>
            </a:r>
            <a:r>
              <a:rPr lang="nl-NL" sz="1600">
                <a:solidFill>
                  <a:schemeClr val="bg1">
                    <a:lumMod val="50000"/>
                  </a:schemeClr>
                </a:solidFill>
              </a:rPr>
              <a:t>armtebehoefte </a:t>
            </a:r>
            <a:r>
              <a:rPr lang="nl-NL" sz="1600" b="0">
                <a:solidFill>
                  <a:schemeClr val="bg1">
                    <a:lumMod val="50000"/>
                  </a:schemeClr>
                </a:solidFill>
              </a:rPr>
              <a:t>kWh/m2</a:t>
            </a:r>
            <a:endParaRPr lang="nl-NL" sz="1600">
              <a:solidFill>
                <a:schemeClr val="bg1">
                  <a:lumMod val="50000"/>
                </a:schemeClr>
              </a:solidFill>
            </a:endParaRPr>
          </a:p>
        </c:rich>
      </c:tx>
      <c:layout>
        <c:manualLayout>
          <c:xMode val="edge"/>
          <c:yMode val="edge"/>
          <c:x val="0.35053785865720061"/>
          <c:y val="5.5512884400377507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view3D>
      <c:rotX val="0"/>
      <c:rotY val="40"/>
      <c:depthPercent val="60"/>
      <c:rAngAx val="0"/>
      <c:perspective val="9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636243209711778E-2"/>
          <c:y val="2.9993170488523693E-2"/>
          <c:w val="0.91396869176663653"/>
          <c:h val="0.83987962368769142"/>
        </c:manualLayout>
      </c:layout>
      <c:bar3DChart>
        <c:barDir val="col"/>
        <c:grouping val="standard"/>
        <c:varyColors val="0"/>
        <c:ser>
          <c:idx val="0"/>
          <c:order val="0"/>
          <c:tx>
            <c:strRef>
              <c:f>'Warmtebehoefte algemeen'!$B$11</c:f>
              <c:strCache>
                <c:ptCount val="1"/>
                <c:pt idx="0">
                  <c:v>0,50</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cat>
            <c:strRef>
              <c:f>'Warmtebehoefte algemeen'!$D$9:$K$9</c:f>
              <c:strCache>
                <c:ptCount val="8"/>
                <c:pt idx="0">
                  <c:v>t/m 1964</c:v>
                </c:pt>
                <c:pt idx="1">
                  <c:v>1965-1974</c:v>
                </c:pt>
                <c:pt idx="2">
                  <c:v>1975-1991</c:v>
                </c:pt>
                <c:pt idx="3">
                  <c:v>1992-2005</c:v>
                </c:pt>
                <c:pt idx="4">
                  <c:v>2006-2012</c:v>
                </c:pt>
                <c:pt idx="5">
                  <c:v>2013-2019</c:v>
                </c:pt>
                <c:pt idx="6">
                  <c:v>BENG</c:v>
                </c:pt>
                <c:pt idx="7">
                  <c:v>passief</c:v>
                </c:pt>
              </c:strCache>
            </c:strRef>
          </c:cat>
          <c:val>
            <c:numRef>
              <c:f>'Warmtebehoefte algemeen'!$D$11:$K$11</c:f>
              <c:numCache>
                <c:formatCode>0</c:formatCode>
                <c:ptCount val="8"/>
                <c:pt idx="0">
                  <c:v>89.15100874480251</c:v>
                </c:pt>
                <c:pt idx="1">
                  <c:v>60.662411384115579</c:v>
                </c:pt>
                <c:pt idx="2">
                  <c:v>51.896689119288837</c:v>
                </c:pt>
                <c:pt idx="3">
                  <c:v>47.513827986875455</c:v>
                </c:pt>
                <c:pt idx="4">
                  <c:v>42.035251571358742</c:v>
                </c:pt>
                <c:pt idx="5">
                  <c:v>40.939536288255397</c:v>
                </c:pt>
                <c:pt idx="6">
                  <c:v>39.843821005152051</c:v>
                </c:pt>
                <c:pt idx="7">
                  <c:v>37.652390438945368</c:v>
                </c:pt>
              </c:numCache>
            </c:numRef>
          </c:val>
          <c:extLst>
            <c:ext xmlns:c16="http://schemas.microsoft.com/office/drawing/2014/chart" uri="{C3380CC4-5D6E-409C-BE32-E72D297353CC}">
              <c16:uniqueId val="{00000000-4C73-472B-BD23-61EA90FAE709}"/>
            </c:ext>
          </c:extLst>
        </c:ser>
        <c:ser>
          <c:idx val="1"/>
          <c:order val="1"/>
          <c:tx>
            <c:strRef>
              <c:f>'Warmtebehoefte algemeen'!$B$12</c:f>
              <c:strCache>
                <c:ptCount val="1"/>
                <c:pt idx="0">
                  <c:v>0,75</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cat>
            <c:strRef>
              <c:f>'Warmtebehoefte algemeen'!$D$9:$K$9</c:f>
              <c:strCache>
                <c:ptCount val="8"/>
                <c:pt idx="0">
                  <c:v>t/m 1964</c:v>
                </c:pt>
                <c:pt idx="1">
                  <c:v>1965-1974</c:v>
                </c:pt>
                <c:pt idx="2">
                  <c:v>1975-1991</c:v>
                </c:pt>
                <c:pt idx="3">
                  <c:v>1992-2005</c:v>
                </c:pt>
                <c:pt idx="4">
                  <c:v>2006-2012</c:v>
                </c:pt>
                <c:pt idx="5">
                  <c:v>2013-2019</c:v>
                </c:pt>
                <c:pt idx="6">
                  <c:v>BENG</c:v>
                </c:pt>
                <c:pt idx="7">
                  <c:v>passief</c:v>
                </c:pt>
              </c:strCache>
            </c:strRef>
          </c:cat>
          <c:val>
            <c:numRef>
              <c:f>'Warmtebehoefte algemeen'!$D$12:$K$12</c:f>
              <c:numCache>
                <c:formatCode>0</c:formatCode>
                <c:ptCount val="8"/>
                <c:pt idx="0">
                  <c:v>118.54137884428442</c:v>
                </c:pt>
                <c:pt idx="1">
                  <c:v>75.634864076304481</c:v>
                </c:pt>
                <c:pt idx="2">
                  <c:v>62.432859532310658</c:v>
                </c:pt>
                <c:pt idx="3">
                  <c:v>55.83185726031374</c:v>
                </c:pt>
                <c:pt idx="4">
                  <c:v>47.580604420317599</c:v>
                </c:pt>
                <c:pt idx="5">
                  <c:v>45.930353852318362</c:v>
                </c:pt>
                <c:pt idx="6">
                  <c:v>44.280103284319139</c:v>
                </c:pt>
                <c:pt idx="7">
                  <c:v>40.97960214832068</c:v>
                </c:pt>
              </c:numCache>
            </c:numRef>
          </c:val>
          <c:extLst>
            <c:ext xmlns:c16="http://schemas.microsoft.com/office/drawing/2014/chart" uri="{C3380CC4-5D6E-409C-BE32-E72D297353CC}">
              <c16:uniqueId val="{00000001-4C73-472B-BD23-61EA90FAE709}"/>
            </c:ext>
          </c:extLst>
        </c:ser>
        <c:ser>
          <c:idx val="2"/>
          <c:order val="2"/>
          <c:tx>
            <c:strRef>
              <c:f>'Warmtebehoefte algemeen'!$B$13</c:f>
              <c:strCache>
                <c:ptCount val="1"/>
                <c:pt idx="0">
                  <c:v>1,00</c:v>
                </c:pt>
              </c:strCache>
            </c:strRef>
          </c:tx>
          <c:spPr>
            <a:solidFill>
              <a:schemeClr val="accent3">
                <a:alpha val="85000"/>
              </a:schemeClr>
            </a:solidFill>
            <a:ln w="9525" cap="flat" cmpd="sng" algn="ctr">
              <a:solidFill>
                <a:schemeClr val="accent3">
                  <a:lumMod val="75000"/>
                </a:schemeClr>
              </a:solidFill>
              <a:round/>
            </a:ln>
            <a:effectLst/>
            <a:sp3d contourW="9525">
              <a:contourClr>
                <a:schemeClr val="accent3">
                  <a:lumMod val="75000"/>
                </a:schemeClr>
              </a:contourClr>
            </a:sp3d>
          </c:spPr>
          <c:invertIfNegative val="0"/>
          <c:cat>
            <c:strRef>
              <c:f>'Warmtebehoefte algemeen'!$D$9:$K$9</c:f>
              <c:strCache>
                <c:ptCount val="8"/>
                <c:pt idx="0">
                  <c:v>t/m 1964</c:v>
                </c:pt>
                <c:pt idx="1">
                  <c:v>1965-1974</c:v>
                </c:pt>
                <c:pt idx="2">
                  <c:v>1975-1991</c:v>
                </c:pt>
                <c:pt idx="3">
                  <c:v>1992-2005</c:v>
                </c:pt>
                <c:pt idx="4">
                  <c:v>2006-2012</c:v>
                </c:pt>
                <c:pt idx="5">
                  <c:v>2013-2019</c:v>
                </c:pt>
                <c:pt idx="6">
                  <c:v>BENG</c:v>
                </c:pt>
                <c:pt idx="7">
                  <c:v>passief</c:v>
                </c:pt>
              </c:strCache>
            </c:strRef>
          </c:cat>
          <c:val>
            <c:numRef>
              <c:f>'Warmtebehoefte algemeen'!$D$13:$K$13</c:f>
              <c:numCache>
                <c:formatCode>0</c:formatCode>
                <c:ptCount val="8"/>
                <c:pt idx="0">
                  <c:v>148.03177681423065</c:v>
                </c:pt>
                <c:pt idx="1">
                  <c:v>90.65827436288086</c:v>
                </c:pt>
                <c:pt idx="2">
                  <c:v>73.004888993234772</c:v>
                </c:pt>
                <c:pt idx="3">
                  <c:v>64.178196308411714</c:v>
                </c:pt>
                <c:pt idx="4">
                  <c:v>53.144830452382919</c:v>
                </c:pt>
                <c:pt idx="5">
                  <c:v>50.938157281177155</c:v>
                </c:pt>
                <c:pt idx="6">
                  <c:v>48.73148410997139</c:v>
                </c:pt>
                <c:pt idx="7">
                  <c:v>44.318137767559875</c:v>
                </c:pt>
              </c:numCache>
            </c:numRef>
          </c:val>
          <c:extLst>
            <c:ext xmlns:c16="http://schemas.microsoft.com/office/drawing/2014/chart" uri="{C3380CC4-5D6E-409C-BE32-E72D297353CC}">
              <c16:uniqueId val="{00000002-4C73-472B-BD23-61EA90FAE709}"/>
            </c:ext>
          </c:extLst>
        </c:ser>
        <c:ser>
          <c:idx val="3"/>
          <c:order val="3"/>
          <c:tx>
            <c:strRef>
              <c:f>'Warmtebehoefte algemeen'!$B$14</c:f>
              <c:strCache>
                <c:ptCount val="1"/>
                <c:pt idx="0">
                  <c:v>1,50</c:v>
                </c:pt>
              </c:strCache>
            </c:strRef>
          </c:tx>
          <c:spPr>
            <a:solidFill>
              <a:schemeClr val="accent4">
                <a:alpha val="85000"/>
              </a:schemeClr>
            </a:solidFill>
            <a:ln w="9525" cap="flat" cmpd="sng" algn="ctr">
              <a:solidFill>
                <a:schemeClr val="accent4">
                  <a:lumMod val="75000"/>
                </a:schemeClr>
              </a:solidFill>
              <a:round/>
            </a:ln>
            <a:effectLst/>
            <a:sp3d contourW="9525">
              <a:contourClr>
                <a:schemeClr val="accent4">
                  <a:lumMod val="75000"/>
                </a:schemeClr>
              </a:contourClr>
            </a:sp3d>
          </c:spPr>
          <c:invertIfNegative val="0"/>
          <c:cat>
            <c:strRef>
              <c:f>'Warmtebehoefte algemeen'!$D$9:$K$9</c:f>
              <c:strCache>
                <c:ptCount val="8"/>
                <c:pt idx="0">
                  <c:v>t/m 1964</c:v>
                </c:pt>
                <c:pt idx="1">
                  <c:v>1965-1974</c:v>
                </c:pt>
                <c:pt idx="2">
                  <c:v>1975-1991</c:v>
                </c:pt>
                <c:pt idx="3">
                  <c:v>1992-2005</c:v>
                </c:pt>
                <c:pt idx="4">
                  <c:v>2006-2012</c:v>
                </c:pt>
                <c:pt idx="5">
                  <c:v>2013-2019</c:v>
                </c:pt>
                <c:pt idx="6">
                  <c:v>BENG</c:v>
                </c:pt>
                <c:pt idx="7">
                  <c:v>passief</c:v>
                </c:pt>
              </c:strCache>
            </c:strRef>
          </c:cat>
          <c:val>
            <c:numRef>
              <c:f>'Warmtebehoefte algemeen'!$D$14:$K$14</c:f>
              <c:numCache>
                <c:formatCode>0</c:formatCode>
                <c:ptCount val="8"/>
                <c:pt idx="0">
                  <c:v>207.22136939401938</c:v>
                </c:pt>
                <c:pt idx="1">
                  <c:v>120.81146303560342</c:v>
                </c:pt>
                <c:pt idx="2">
                  <c:v>94.223799540706196</c:v>
                </c:pt>
                <c:pt idx="3">
                  <c:v>80.929967793257589</c:v>
                </c:pt>
                <c:pt idx="4">
                  <c:v>64.312678108946827</c:v>
                </c:pt>
                <c:pt idx="5">
                  <c:v>60.989220172084671</c:v>
                </c:pt>
                <c:pt idx="6">
                  <c:v>57.665762235222523</c:v>
                </c:pt>
                <c:pt idx="7">
                  <c:v>51.01884636149822</c:v>
                </c:pt>
              </c:numCache>
            </c:numRef>
          </c:val>
          <c:extLst>
            <c:ext xmlns:c16="http://schemas.microsoft.com/office/drawing/2014/chart" uri="{C3380CC4-5D6E-409C-BE32-E72D297353CC}">
              <c16:uniqueId val="{00000003-4C73-472B-BD23-61EA90FAE709}"/>
            </c:ext>
          </c:extLst>
        </c:ser>
        <c:ser>
          <c:idx val="4"/>
          <c:order val="4"/>
          <c:tx>
            <c:strRef>
              <c:f>'Warmtebehoefte algemeen'!$B$15</c:f>
              <c:strCache>
                <c:ptCount val="1"/>
                <c:pt idx="0">
                  <c:v>2,00</c:v>
                </c:pt>
              </c:strCache>
            </c:strRef>
          </c:tx>
          <c:spPr>
            <a:solidFill>
              <a:schemeClr val="accent5">
                <a:alpha val="85000"/>
              </a:schemeClr>
            </a:solidFill>
            <a:ln w="9525" cap="flat" cmpd="sng" algn="ctr">
              <a:solidFill>
                <a:schemeClr val="accent5">
                  <a:lumMod val="75000"/>
                </a:schemeClr>
              </a:solidFill>
              <a:round/>
            </a:ln>
            <a:effectLst/>
            <a:sp3d contourW="9525">
              <a:contourClr>
                <a:schemeClr val="accent5">
                  <a:lumMod val="75000"/>
                </a:schemeClr>
              </a:contourClr>
            </a:sp3d>
          </c:spPr>
          <c:invertIfNegative val="0"/>
          <c:cat>
            <c:strRef>
              <c:f>'Warmtebehoefte algemeen'!$D$9:$K$9</c:f>
              <c:strCache>
                <c:ptCount val="8"/>
                <c:pt idx="0">
                  <c:v>t/m 1964</c:v>
                </c:pt>
                <c:pt idx="1">
                  <c:v>1965-1974</c:v>
                </c:pt>
                <c:pt idx="2">
                  <c:v>1975-1991</c:v>
                </c:pt>
                <c:pt idx="3">
                  <c:v>1992-2005</c:v>
                </c:pt>
                <c:pt idx="4">
                  <c:v>2006-2012</c:v>
                </c:pt>
                <c:pt idx="5">
                  <c:v>2013-2019</c:v>
                </c:pt>
                <c:pt idx="6">
                  <c:v>BENG</c:v>
                </c:pt>
                <c:pt idx="7">
                  <c:v>passief</c:v>
                </c:pt>
              </c:strCache>
            </c:strRef>
          </c:cat>
          <c:val>
            <c:numRef>
              <c:f>'Warmtebehoefte algemeen'!$D$15:$K$15</c:f>
              <c:numCache>
                <c:formatCode>0</c:formatCode>
                <c:ptCount val="8"/>
                <c:pt idx="0">
                  <c:v>266.61240921245684</c:v>
                </c:pt>
                <c:pt idx="1">
                  <c:v>151.06727577329798</c:v>
                </c:pt>
                <c:pt idx="2">
                  <c:v>115.51492702278756</c:v>
                </c:pt>
                <c:pt idx="3">
                  <c:v>97.738752647532351</c:v>
                </c:pt>
                <c:pt idx="4">
                  <c:v>75.518534678463325</c:v>
                </c:pt>
                <c:pt idx="5">
                  <c:v>71.074491084649523</c:v>
                </c:pt>
                <c:pt idx="6">
                  <c:v>66.630447490835721</c:v>
                </c:pt>
                <c:pt idx="7">
                  <c:v>57.742360303208116</c:v>
                </c:pt>
              </c:numCache>
            </c:numRef>
          </c:val>
          <c:extLst>
            <c:ext xmlns:c16="http://schemas.microsoft.com/office/drawing/2014/chart" uri="{C3380CC4-5D6E-409C-BE32-E72D297353CC}">
              <c16:uniqueId val="{00000004-4C73-472B-BD23-61EA90FAE709}"/>
            </c:ext>
          </c:extLst>
        </c:ser>
        <c:ser>
          <c:idx val="5"/>
          <c:order val="5"/>
          <c:tx>
            <c:strRef>
              <c:f>'Warmtebehoefte algemeen'!$B$16</c:f>
              <c:strCache>
                <c:ptCount val="1"/>
                <c:pt idx="0">
                  <c:v>2,50</c:v>
                </c:pt>
              </c:strCache>
            </c:strRef>
          </c:tx>
          <c:spPr>
            <a:solidFill>
              <a:schemeClr val="accent6">
                <a:alpha val="85000"/>
              </a:schemeClr>
            </a:solidFill>
            <a:ln w="9525" cap="flat" cmpd="sng" algn="ctr">
              <a:solidFill>
                <a:schemeClr val="accent6">
                  <a:lumMod val="75000"/>
                </a:schemeClr>
              </a:solidFill>
              <a:round/>
            </a:ln>
            <a:effectLst/>
            <a:sp3d contourW="9525">
              <a:contourClr>
                <a:schemeClr val="accent6">
                  <a:lumMod val="75000"/>
                </a:schemeClr>
              </a:contourClr>
            </a:sp3d>
          </c:spPr>
          <c:invertIfNegative val="0"/>
          <c:cat>
            <c:strRef>
              <c:f>'Warmtebehoefte algemeen'!$D$9:$K$9</c:f>
              <c:strCache>
                <c:ptCount val="8"/>
                <c:pt idx="0">
                  <c:v>t/m 1964</c:v>
                </c:pt>
                <c:pt idx="1">
                  <c:v>1965-1974</c:v>
                </c:pt>
                <c:pt idx="2">
                  <c:v>1975-1991</c:v>
                </c:pt>
                <c:pt idx="3">
                  <c:v>1992-2005</c:v>
                </c:pt>
                <c:pt idx="4">
                  <c:v>2006-2012</c:v>
                </c:pt>
                <c:pt idx="5">
                  <c:v>2013-2019</c:v>
                </c:pt>
                <c:pt idx="6">
                  <c:v>BENG</c:v>
                </c:pt>
                <c:pt idx="7">
                  <c:v>passief</c:v>
                </c:pt>
              </c:strCache>
            </c:strRef>
          </c:cat>
          <c:val>
            <c:numRef>
              <c:f>'Warmtebehoefte algemeen'!$D$16:$K$16</c:f>
              <c:numCache>
                <c:formatCode>0</c:formatCode>
                <c:ptCount val="8"/>
                <c:pt idx="0">
                  <c:v>326.15369490534545</c:v>
                </c:pt>
                <c:pt idx="1">
                  <c:v>181.39962886212803</c:v>
                </c:pt>
                <c:pt idx="2">
                  <c:v>136.85991623344574</c:v>
                </c:pt>
                <c:pt idx="3">
                  <c:v>114.59005991910459</c:v>
                </c:pt>
                <c:pt idx="4">
                  <c:v>86.752739526178161</c:v>
                </c:pt>
                <c:pt idx="5">
                  <c:v>81.185275447592872</c:v>
                </c:pt>
                <c:pt idx="6">
                  <c:v>75.617811369007597</c:v>
                </c:pt>
                <c:pt idx="7">
                  <c:v>64.48288321183702</c:v>
                </c:pt>
              </c:numCache>
            </c:numRef>
          </c:val>
          <c:extLst>
            <c:ext xmlns:c16="http://schemas.microsoft.com/office/drawing/2014/chart" uri="{C3380CC4-5D6E-409C-BE32-E72D297353CC}">
              <c16:uniqueId val="{00000005-4C73-472B-BD23-61EA90FAE709}"/>
            </c:ext>
          </c:extLst>
        </c:ser>
        <c:dLbls>
          <c:showLegendKey val="0"/>
          <c:showVal val="0"/>
          <c:showCatName val="0"/>
          <c:showSerName val="0"/>
          <c:showPercent val="0"/>
          <c:showBubbleSize val="0"/>
        </c:dLbls>
        <c:gapWidth val="65"/>
        <c:shape val="box"/>
        <c:axId val="744689824"/>
        <c:axId val="744690152"/>
        <c:axId val="656169536"/>
      </c:bar3DChart>
      <c:catAx>
        <c:axId val="74468982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744690152"/>
        <c:crosses val="autoZero"/>
        <c:auto val="1"/>
        <c:lblAlgn val="ctr"/>
        <c:lblOffset val="100"/>
        <c:noMultiLvlLbl val="0"/>
      </c:catAx>
      <c:valAx>
        <c:axId val="744690152"/>
        <c:scaling>
          <c:orientation val="minMax"/>
        </c:scaling>
        <c:delete val="0"/>
        <c:axPos val="l"/>
        <c:majorGridlines>
          <c:spPr>
            <a:ln w="6350" cap="flat" cmpd="sng" algn="ctr">
              <a:solidFill>
                <a:schemeClr val="bg1">
                  <a:lumMod val="7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744689824"/>
        <c:crosses val="autoZero"/>
        <c:crossBetween val="between"/>
      </c:valAx>
      <c:serAx>
        <c:axId val="656169536"/>
        <c:scaling>
          <c:orientation val="minMax"/>
        </c:scaling>
        <c:delete val="1"/>
        <c:axPos val="b"/>
        <c:majorTickMark val="out"/>
        <c:minorTickMark val="none"/>
        <c:tickLblPos val="nextTo"/>
        <c:crossAx val="744690152"/>
        <c:crosses val="autoZero"/>
      </c:serAx>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nl-NL" sz="1600">
                <a:solidFill>
                  <a:schemeClr val="bg1">
                    <a:lumMod val="50000"/>
                  </a:schemeClr>
                </a:solidFill>
              </a:rPr>
              <a:t>Indicatie</a:t>
            </a:r>
            <a:r>
              <a:rPr lang="nl-NL" sz="1600" baseline="0">
                <a:solidFill>
                  <a:schemeClr val="bg1">
                    <a:lumMod val="50000"/>
                  </a:schemeClr>
                </a:solidFill>
              </a:rPr>
              <a:t> k</a:t>
            </a:r>
            <a:r>
              <a:rPr lang="nl-NL" sz="1600">
                <a:solidFill>
                  <a:schemeClr val="bg1">
                    <a:lumMod val="50000"/>
                  </a:schemeClr>
                </a:solidFill>
              </a:rPr>
              <a:t>oudebehoefte </a:t>
            </a:r>
            <a:r>
              <a:rPr lang="nl-NL" sz="1600" b="0">
                <a:solidFill>
                  <a:schemeClr val="bg1">
                    <a:lumMod val="50000"/>
                  </a:schemeClr>
                </a:solidFill>
              </a:rPr>
              <a:t>kWh/m2</a:t>
            </a:r>
            <a:endParaRPr lang="nl-NL" sz="1600">
              <a:solidFill>
                <a:schemeClr val="bg1">
                  <a:lumMod val="50000"/>
                </a:schemeClr>
              </a:solidFill>
            </a:endParaRPr>
          </a:p>
        </c:rich>
      </c:tx>
      <c:layout>
        <c:manualLayout>
          <c:xMode val="edge"/>
          <c:yMode val="edge"/>
          <c:x val="0.3446918327760391"/>
          <c:y val="8.3327119016414403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view3D>
      <c:rotX val="0"/>
      <c:rotY val="140"/>
      <c:depthPercent val="60"/>
      <c:rAngAx val="0"/>
      <c:perspective val="9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5630881505665513E-3"/>
          <c:y val="2.9993170488523693E-2"/>
          <c:w val="0.91396869176663653"/>
          <c:h val="0.83987962368769142"/>
        </c:manualLayout>
      </c:layout>
      <c:bar3DChart>
        <c:barDir val="col"/>
        <c:grouping val="standard"/>
        <c:varyColors val="0"/>
        <c:ser>
          <c:idx val="0"/>
          <c:order val="0"/>
          <c:tx>
            <c:strRef>
              <c:f>'Warmtebehoefte algemeen'!$V$11</c:f>
              <c:strCache>
                <c:ptCount val="1"/>
                <c:pt idx="0">
                  <c:v>0,50</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cat>
            <c:strRef>
              <c:f>'Warmtebehoefte algemeen'!$W$9:$AD$9</c:f>
              <c:strCache>
                <c:ptCount val="8"/>
                <c:pt idx="0">
                  <c:v>t/m 1964</c:v>
                </c:pt>
                <c:pt idx="1">
                  <c:v>1965-1974</c:v>
                </c:pt>
                <c:pt idx="2">
                  <c:v>1975-1991</c:v>
                </c:pt>
                <c:pt idx="3">
                  <c:v>1992-2005</c:v>
                </c:pt>
                <c:pt idx="4">
                  <c:v>2006-2012</c:v>
                </c:pt>
                <c:pt idx="5">
                  <c:v>2013-2019</c:v>
                </c:pt>
                <c:pt idx="6">
                  <c:v>BENG</c:v>
                </c:pt>
                <c:pt idx="7">
                  <c:v>passief</c:v>
                </c:pt>
              </c:strCache>
            </c:strRef>
          </c:cat>
          <c:val>
            <c:numRef>
              <c:f>'Warmtebehoefte algemeen'!$W$11:$AD$11</c:f>
              <c:numCache>
                <c:formatCode>0.0</c:formatCode>
                <c:ptCount val="8"/>
                <c:pt idx="0">
                  <c:v>2.9537705092682414</c:v>
                </c:pt>
                <c:pt idx="1">
                  <c:v>3.6383355998234643</c:v>
                </c:pt>
                <c:pt idx="2">
                  <c:v>3.7062866093229783</c:v>
                </c:pt>
                <c:pt idx="3">
                  <c:v>3.7247474107185097</c:v>
                </c:pt>
                <c:pt idx="4">
                  <c:v>3.7373319122438797</c:v>
                </c:pt>
                <c:pt idx="5">
                  <c:v>3.7387678701021434</c:v>
                </c:pt>
                <c:pt idx="6">
                  <c:v>3.739917696136251</c:v>
                </c:pt>
                <c:pt idx="7">
                  <c:v>3.7414861224316232</c:v>
                </c:pt>
              </c:numCache>
            </c:numRef>
          </c:val>
          <c:extLst>
            <c:ext xmlns:c16="http://schemas.microsoft.com/office/drawing/2014/chart" uri="{C3380CC4-5D6E-409C-BE32-E72D297353CC}">
              <c16:uniqueId val="{00000000-EB12-4DF1-9A06-BF8B9A9AD314}"/>
            </c:ext>
          </c:extLst>
        </c:ser>
        <c:ser>
          <c:idx val="1"/>
          <c:order val="1"/>
          <c:tx>
            <c:strRef>
              <c:f>'Warmtebehoefte algemeen'!$V$12</c:f>
              <c:strCache>
                <c:ptCount val="1"/>
                <c:pt idx="0">
                  <c:v>0,75</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cat>
            <c:strRef>
              <c:f>'Warmtebehoefte algemeen'!$W$9:$AD$9</c:f>
              <c:strCache>
                <c:ptCount val="8"/>
                <c:pt idx="0">
                  <c:v>t/m 1964</c:v>
                </c:pt>
                <c:pt idx="1">
                  <c:v>1965-1974</c:v>
                </c:pt>
                <c:pt idx="2">
                  <c:v>1975-1991</c:v>
                </c:pt>
                <c:pt idx="3">
                  <c:v>1992-2005</c:v>
                </c:pt>
                <c:pt idx="4">
                  <c:v>2006-2012</c:v>
                </c:pt>
                <c:pt idx="5">
                  <c:v>2013-2019</c:v>
                </c:pt>
                <c:pt idx="6">
                  <c:v>BENG</c:v>
                </c:pt>
                <c:pt idx="7">
                  <c:v>passief</c:v>
                </c:pt>
              </c:strCache>
            </c:strRef>
          </c:cat>
          <c:val>
            <c:numRef>
              <c:f>'Warmtebehoefte algemeen'!$W$12:$AD$12</c:f>
              <c:numCache>
                <c:formatCode>0.0</c:formatCode>
                <c:ptCount val="8"/>
                <c:pt idx="0">
                  <c:v>2.3383337922436045</c:v>
                </c:pt>
                <c:pt idx="1">
                  <c:v>3.0228988827988275</c:v>
                </c:pt>
                <c:pt idx="2">
                  <c:v>3.0908498922983414</c:v>
                </c:pt>
                <c:pt idx="3">
                  <c:v>3.1093106936938728</c:v>
                </c:pt>
                <c:pt idx="4">
                  <c:v>3.1218951952192429</c:v>
                </c:pt>
                <c:pt idx="5">
                  <c:v>3.1233311530775065</c:v>
                </c:pt>
                <c:pt idx="6">
                  <c:v>3.1244809791116142</c:v>
                </c:pt>
                <c:pt idx="7">
                  <c:v>3.1260494054069863</c:v>
                </c:pt>
              </c:numCache>
            </c:numRef>
          </c:val>
          <c:extLst>
            <c:ext xmlns:c16="http://schemas.microsoft.com/office/drawing/2014/chart" uri="{C3380CC4-5D6E-409C-BE32-E72D297353CC}">
              <c16:uniqueId val="{00000001-EB12-4DF1-9A06-BF8B9A9AD314}"/>
            </c:ext>
          </c:extLst>
        </c:ser>
        <c:ser>
          <c:idx val="2"/>
          <c:order val="2"/>
          <c:tx>
            <c:strRef>
              <c:f>'Warmtebehoefte algemeen'!$V$13</c:f>
              <c:strCache>
                <c:ptCount val="1"/>
                <c:pt idx="0">
                  <c:v>1,00</c:v>
                </c:pt>
              </c:strCache>
            </c:strRef>
          </c:tx>
          <c:spPr>
            <a:solidFill>
              <a:schemeClr val="accent3">
                <a:alpha val="85000"/>
              </a:schemeClr>
            </a:solidFill>
            <a:ln w="9525" cap="flat" cmpd="sng" algn="ctr">
              <a:solidFill>
                <a:schemeClr val="accent3">
                  <a:lumMod val="75000"/>
                </a:schemeClr>
              </a:solidFill>
              <a:round/>
            </a:ln>
            <a:effectLst/>
            <a:sp3d contourW="9525">
              <a:contourClr>
                <a:schemeClr val="accent3">
                  <a:lumMod val="75000"/>
                </a:schemeClr>
              </a:contourClr>
            </a:sp3d>
          </c:spPr>
          <c:invertIfNegative val="0"/>
          <c:cat>
            <c:strRef>
              <c:f>'Warmtebehoefte algemeen'!$W$9:$AD$9</c:f>
              <c:strCache>
                <c:ptCount val="8"/>
                <c:pt idx="0">
                  <c:v>t/m 1964</c:v>
                </c:pt>
                <c:pt idx="1">
                  <c:v>1965-1974</c:v>
                </c:pt>
                <c:pt idx="2">
                  <c:v>1975-1991</c:v>
                </c:pt>
                <c:pt idx="3">
                  <c:v>1992-2005</c:v>
                </c:pt>
                <c:pt idx="4">
                  <c:v>2006-2012</c:v>
                </c:pt>
                <c:pt idx="5">
                  <c:v>2013-2019</c:v>
                </c:pt>
                <c:pt idx="6">
                  <c:v>BENG</c:v>
                </c:pt>
                <c:pt idx="7">
                  <c:v>passief</c:v>
                </c:pt>
              </c:strCache>
            </c:strRef>
          </c:cat>
          <c:val>
            <c:numRef>
              <c:f>'Warmtebehoefte algemeen'!$W$13:$AD$13</c:f>
              <c:numCache>
                <c:formatCode>0.0</c:formatCode>
                <c:ptCount val="8"/>
                <c:pt idx="0">
                  <c:v>1.7673198383288771</c:v>
                </c:pt>
                <c:pt idx="1">
                  <c:v>2.4518849288840991</c:v>
                </c:pt>
                <c:pt idx="2">
                  <c:v>2.5198359383836131</c:v>
                </c:pt>
                <c:pt idx="3">
                  <c:v>2.5382967397791445</c:v>
                </c:pt>
                <c:pt idx="4">
                  <c:v>2.5508812413045145</c:v>
                </c:pt>
                <c:pt idx="5">
                  <c:v>2.5523171991627782</c:v>
                </c:pt>
                <c:pt idx="6">
                  <c:v>2.5534670251968858</c:v>
                </c:pt>
                <c:pt idx="7">
                  <c:v>2.555035451492258</c:v>
                </c:pt>
              </c:numCache>
            </c:numRef>
          </c:val>
          <c:extLst>
            <c:ext xmlns:c16="http://schemas.microsoft.com/office/drawing/2014/chart" uri="{C3380CC4-5D6E-409C-BE32-E72D297353CC}">
              <c16:uniqueId val="{00000002-EB12-4DF1-9A06-BF8B9A9AD314}"/>
            </c:ext>
          </c:extLst>
        </c:ser>
        <c:ser>
          <c:idx val="3"/>
          <c:order val="3"/>
          <c:tx>
            <c:strRef>
              <c:f>'Warmtebehoefte algemeen'!$V$14</c:f>
              <c:strCache>
                <c:ptCount val="1"/>
                <c:pt idx="0">
                  <c:v>1,50</c:v>
                </c:pt>
              </c:strCache>
            </c:strRef>
          </c:tx>
          <c:spPr>
            <a:solidFill>
              <a:schemeClr val="accent4">
                <a:alpha val="85000"/>
              </a:schemeClr>
            </a:solidFill>
            <a:ln w="9525" cap="flat" cmpd="sng" algn="ctr">
              <a:solidFill>
                <a:schemeClr val="accent4">
                  <a:lumMod val="75000"/>
                </a:schemeClr>
              </a:solidFill>
              <a:round/>
            </a:ln>
            <a:effectLst/>
            <a:sp3d contourW="9525">
              <a:contourClr>
                <a:schemeClr val="accent4">
                  <a:lumMod val="75000"/>
                </a:schemeClr>
              </a:contourClr>
            </a:sp3d>
          </c:spPr>
          <c:invertIfNegative val="0"/>
          <c:cat>
            <c:strRef>
              <c:f>'Warmtebehoefte algemeen'!$W$9:$AD$9</c:f>
              <c:strCache>
                <c:ptCount val="8"/>
                <c:pt idx="0">
                  <c:v>t/m 1964</c:v>
                </c:pt>
                <c:pt idx="1">
                  <c:v>1965-1974</c:v>
                </c:pt>
                <c:pt idx="2">
                  <c:v>1975-1991</c:v>
                </c:pt>
                <c:pt idx="3">
                  <c:v>1992-2005</c:v>
                </c:pt>
                <c:pt idx="4">
                  <c:v>2006-2012</c:v>
                </c:pt>
                <c:pt idx="5">
                  <c:v>2013-2019</c:v>
                </c:pt>
                <c:pt idx="6">
                  <c:v>BENG</c:v>
                </c:pt>
                <c:pt idx="7">
                  <c:v>passief</c:v>
                </c:pt>
              </c:strCache>
            </c:strRef>
          </c:cat>
          <c:val>
            <c:numRef>
              <c:f>'Warmtebehoefte algemeen'!$W$14:$AD$14</c:f>
              <c:numCache>
                <c:formatCode>0.0</c:formatCode>
                <c:ptCount val="8"/>
                <c:pt idx="0">
                  <c:v>1</c:v>
                </c:pt>
                <c:pt idx="1">
                  <c:v>1.3950995417799472</c:v>
                </c:pt>
                <c:pt idx="2">
                  <c:v>1.463050551279462</c:v>
                </c:pt>
                <c:pt idx="3">
                  <c:v>1.4815113526749943</c:v>
                </c:pt>
                <c:pt idx="4">
                  <c:v>1.4940958542003635</c:v>
                </c:pt>
                <c:pt idx="5">
                  <c:v>1.4955318120586263</c:v>
                </c:pt>
                <c:pt idx="6">
                  <c:v>1.4966816380927348</c:v>
                </c:pt>
                <c:pt idx="7">
                  <c:v>1.4982500643881078</c:v>
                </c:pt>
              </c:numCache>
            </c:numRef>
          </c:val>
          <c:extLst>
            <c:ext xmlns:c16="http://schemas.microsoft.com/office/drawing/2014/chart" uri="{C3380CC4-5D6E-409C-BE32-E72D297353CC}">
              <c16:uniqueId val="{00000003-EB12-4DF1-9A06-BF8B9A9AD314}"/>
            </c:ext>
          </c:extLst>
        </c:ser>
        <c:ser>
          <c:idx val="4"/>
          <c:order val="4"/>
          <c:tx>
            <c:strRef>
              <c:f>'Warmtebehoefte algemeen'!$V$15</c:f>
              <c:strCache>
                <c:ptCount val="1"/>
                <c:pt idx="0">
                  <c:v>2,00</c:v>
                </c:pt>
              </c:strCache>
            </c:strRef>
          </c:tx>
          <c:spPr>
            <a:solidFill>
              <a:schemeClr val="accent5">
                <a:alpha val="85000"/>
              </a:schemeClr>
            </a:solidFill>
            <a:ln w="9525" cap="flat" cmpd="sng" algn="ctr">
              <a:solidFill>
                <a:schemeClr val="accent5">
                  <a:lumMod val="75000"/>
                </a:schemeClr>
              </a:solidFill>
              <a:round/>
            </a:ln>
            <a:effectLst/>
            <a:sp3d contourW="9525">
              <a:contourClr>
                <a:schemeClr val="accent5">
                  <a:lumMod val="75000"/>
                </a:schemeClr>
              </a:contourClr>
            </a:sp3d>
          </c:spPr>
          <c:invertIfNegative val="0"/>
          <c:cat>
            <c:strRef>
              <c:f>'Warmtebehoefte algemeen'!$W$9:$AD$9</c:f>
              <c:strCache>
                <c:ptCount val="8"/>
                <c:pt idx="0">
                  <c:v>t/m 1964</c:v>
                </c:pt>
                <c:pt idx="1">
                  <c:v>1965-1974</c:v>
                </c:pt>
                <c:pt idx="2">
                  <c:v>1975-1991</c:v>
                </c:pt>
                <c:pt idx="3">
                  <c:v>1992-2005</c:v>
                </c:pt>
                <c:pt idx="4">
                  <c:v>2006-2012</c:v>
                </c:pt>
                <c:pt idx="5">
                  <c:v>2013-2019</c:v>
                </c:pt>
                <c:pt idx="6">
                  <c:v>BENG</c:v>
                </c:pt>
                <c:pt idx="7">
                  <c:v>passief</c:v>
                </c:pt>
              </c:strCache>
            </c:strRef>
          </c:cat>
          <c:val>
            <c:numRef>
              <c:f>'Warmtebehoefte algemeen'!$W$15:$AD$15</c:f>
              <c:numCache>
                <c:formatCode>0.0</c:formatCode>
                <c:ptCount val="8"/>
                <c:pt idx="0">
                  <c:v>1</c:v>
                </c:pt>
                <c:pt idx="1">
                  <c:v>1</c:v>
                </c:pt>
                <c:pt idx="2">
                  <c:v>1</c:v>
                </c:pt>
                <c:pt idx="3">
                  <c:v>1</c:v>
                </c:pt>
                <c:pt idx="4">
                  <c:v>1</c:v>
                </c:pt>
                <c:pt idx="5">
                  <c:v>1</c:v>
                </c:pt>
                <c:pt idx="6">
                  <c:v>1</c:v>
                </c:pt>
                <c:pt idx="7">
                  <c:v>1</c:v>
                </c:pt>
              </c:numCache>
            </c:numRef>
          </c:val>
          <c:extLst>
            <c:ext xmlns:c16="http://schemas.microsoft.com/office/drawing/2014/chart" uri="{C3380CC4-5D6E-409C-BE32-E72D297353CC}">
              <c16:uniqueId val="{00000004-EB12-4DF1-9A06-BF8B9A9AD314}"/>
            </c:ext>
          </c:extLst>
        </c:ser>
        <c:ser>
          <c:idx val="5"/>
          <c:order val="5"/>
          <c:tx>
            <c:strRef>
              <c:f>'Warmtebehoefte algemeen'!$V$16</c:f>
              <c:strCache>
                <c:ptCount val="1"/>
                <c:pt idx="0">
                  <c:v>2,50</c:v>
                </c:pt>
              </c:strCache>
            </c:strRef>
          </c:tx>
          <c:spPr>
            <a:solidFill>
              <a:schemeClr val="accent6">
                <a:alpha val="85000"/>
              </a:schemeClr>
            </a:solidFill>
            <a:ln w="9525" cap="flat" cmpd="sng" algn="ctr">
              <a:solidFill>
                <a:schemeClr val="accent6">
                  <a:lumMod val="75000"/>
                </a:schemeClr>
              </a:solidFill>
              <a:round/>
            </a:ln>
            <a:effectLst/>
            <a:sp3d contourW="9525">
              <a:contourClr>
                <a:schemeClr val="accent6">
                  <a:lumMod val="75000"/>
                </a:schemeClr>
              </a:contourClr>
            </a:sp3d>
          </c:spPr>
          <c:invertIfNegative val="0"/>
          <c:cat>
            <c:strRef>
              <c:f>'Warmtebehoefte algemeen'!$W$9:$AD$9</c:f>
              <c:strCache>
                <c:ptCount val="8"/>
                <c:pt idx="0">
                  <c:v>t/m 1964</c:v>
                </c:pt>
                <c:pt idx="1">
                  <c:v>1965-1974</c:v>
                </c:pt>
                <c:pt idx="2">
                  <c:v>1975-1991</c:v>
                </c:pt>
                <c:pt idx="3">
                  <c:v>1992-2005</c:v>
                </c:pt>
                <c:pt idx="4">
                  <c:v>2006-2012</c:v>
                </c:pt>
                <c:pt idx="5">
                  <c:v>2013-2019</c:v>
                </c:pt>
                <c:pt idx="6">
                  <c:v>BENG</c:v>
                </c:pt>
                <c:pt idx="7">
                  <c:v>passief</c:v>
                </c:pt>
              </c:strCache>
            </c:strRef>
          </c:cat>
          <c:val>
            <c:numRef>
              <c:f>'Warmtebehoefte algemeen'!$W$16:$AD$16</c:f>
              <c:numCache>
                <c:formatCode>0.0</c:formatCode>
                <c:ptCount val="8"/>
                <c:pt idx="0">
                  <c:v>1</c:v>
                </c:pt>
                <c:pt idx="1">
                  <c:v>1</c:v>
                </c:pt>
                <c:pt idx="2">
                  <c:v>1</c:v>
                </c:pt>
                <c:pt idx="3">
                  <c:v>1</c:v>
                </c:pt>
                <c:pt idx="4">
                  <c:v>1</c:v>
                </c:pt>
                <c:pt idx="5">
                  <c:v>1</c:v>
                </c:pt>
                <c:pt idx="6">
                  <c:v>1</c:v>
                </c:pt>
                <c:pt idx="7">
                  <c:v>1</c:v>
                </c:pt>
              </c:numCache>
            </c:numRef>
          </c:val>
          <c:extLst>
            <c:ext xmlns:c16="http://schemas.microsoft.com/office/drawing/2014/chart" uri="{C3380CC4-5D6E-409C-BE32-E72D297353CC}">
              <c16:uniqueId val="{00000005-EB12-4DF1-9A06-BF8B9A9AD314}"/>
            </c:ext>
          </c:extLst>
        </c:ser>
        <c:dLbls>
          <c:showLegendKey val="0"/>
          <c:showVal val="0"/>
          <c:showCatName val="0"/>
          <c:showSerName val="0"/>
          <c:showPercent val="0"/>
          <c:showBubbleSize val="0"/>
        </c:dLbls>
        <c:gapWidth val="65"/>
        <c:shape val="box"/>
        <c:axId val="744689824"/>
        <c:axId val="744690152"/>
        <c:axId val="656169536"/>
      </c:bar3DChart>
      <c:catAx>
        <c:axId val="74468982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744690152"/>
        <c:crosses val="autoZero"/>
        <c:auto val="1"/>
        <c:lblAlgn val="ctr"/>
        <c:lblOffset val="100"/>
        <c:noMultiLvlLbl val="0"/>
      </c:catAx>
      <c:valAx>
        <c:axId val="744690152"/>
        <c:scaling>
          <c:orientation val="minMax"/>
        </c:scaling>
        <c:delete val="0"/>
        <c:axPos val="r"/>
        <c:majorGridlines>
          <c:spPr>
            <a:ln w="6350" cap="flat" cmpd="sng" algn="ctr">
              <a:solidFill>
                <a:schemeClr val="bg1">
                  <a:lumMod val="7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744689824"/>
        <c:crosses val="autoZero"/>
        <c:crossBetween val="between"/>
      </c:valAx>
      <c:serAx>
        <c:axId val="656169536"/>
        <c:scaling>
          <c:orientation val="minMax"/>
        </c:scaling>
        <c:delete val="1"/>
        <c:axPos val="b"/>
        <c:majorTickMark val="out"/>
        <c:minorTickMark val="none"/>
        <c:tickLblPos val="nextTo"/>
        <c:crossAx val="744690152"/>
        <c:crosses val="autoZero"/>
      </c:serAx>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nl-NL" sz="1600">
                <a:solidFill>
                  <a:schemeClr val="bg1">
                    <a:lumMod val="50000"/>
                  </a:schemeClr>
                </a:solidFill>
              </a:rPr>
              <a:t>Indicatie koudebehoefte </a:t>
            </a:r>
            <a:r>
              <a:rPr lang="nl-NL" sz="1600" b="0">
                <a:solidFill>
                  <a:schemeClr val="bg1">
                    <a:lumMod val="50000"/>
                  </a:schemeClr>
                </a:solidFill>
              </a:rPr>
              <a:t>kWh/m2</a:t>
            </a:r>
            <a:endParaRPr lang="nl-NL" sz="1600">
              <a:solidFill>
                <a:schemeClr val="bg1">
                  <a:lumMod val="50000"/>
                </a:schemeClr>
              </a:solidFill>
            </a:endParaRPr>
          </a:p>
        </c:rich>
      </c:tx>
      <c:layout>
        <c:manualLayout>
          <c:xMode val="edge"/>
          <c:yMode val="edge"/>
          <c:x val="0.31231088093470183"/>
          <c:y val="7.1692451959360387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view3D>
      <c:rotX val="0"/>
      <c:rotY val="140"/>
      <c:depthPercent val="60"/>
      <c:rAngAx val="0"/>
      <c:perspective val="9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5630881505665513E-3"/>
          <c:y val="2.9993170488523693E-2"/>
          <c:w val="0.91396869176663653"/>
          <c:h val="0.83987962368769142"/>
        </c:manualLayout>
      </c:layout>
      <c:bar3DChart>
        <c:barDir val="col"/>
        <c:grouping val="standard"/>
        <c:varyColors val="0"/>
        <c:ser>
          <c:idx val="0"/>
          <c:order val="0"/>
          <c:tx>
            <c:strRef>
              <c:f>'Warmtebehoefte algemeen'!$V$11</c:f>
              <c:strCache>
                <c:ptCount val="1"/>
                <c:pt idx="0">
                  <c:v>0,50</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cat>
            <c:strRef>
              <c:f>'Warmtebehoefte algemeen'!$AG$9:$AL$9</c:f>
              <c:strCache>
                <c:ptCount val="6"/>
                <c:pt idx="0">
                  <c:v>natuurlijk (A)</c:v>
                </c:pt>
                <c:pt idx="1">
                  <c:v>mech (B1)</c:v>
                </c:pt>
                <c:pt idx="2">
                  <c:v>mech (C1)</c:v>
                </c:pt>
                <c:pt idx="3">
                  <c:v>mech - CO2 (C4c)</c:v>
                </c:pt>
                <c:pt idx="4">
                  <c:v>balans (D1)</c:v>
                </c:pt>
                <c:pt idx="5">
                  <c:v>balans CO2 (D5a)</c:v>
                </c:pt>
              </c:strCache>
            </c:strRef>
          </c:cat>
          <c:val>
            <c:numRef>
              <c:f>'Warmtebehoefte algemeen'!$AG$11:$AL$11</c:f>
              <c:numCache>
                <c:formatCode>0.0</c:formatCode>
                <c:ptCount val="6"/>
                <c:pt idx="0">
                  <c:v>2.7027419778148101</c:v>
                </c:pt>
                <c:pt idx="1">
                  <c:v>3.1183392552545239</c:v>
                </c:pt>
                <c:pt idx="2">
                  <c:v>2.9537705092682414</c:v>
                </c:pt>
                <c:pt idx="3">
                  <c:v>3.9567331698566779</c:v>
                </c:pt>
                <c:pt idx="4">
                  <c:v>4.6389284198216103</c:v>
                </c:pt>
                <c:pt idx="5">
                  <c:v>4.6319335388284024</c:v>
                </c:pt>
              </c:numCache>
            </c:numRef>
          </c:val>
          <c:extLst>
            <c:ext xmlns:c16="http://schemas.microsoft.com/office/drawing/2014/chart" uri="{C3380CC4-5D6E-409C-BE32-E72D297353CC}">
              <c16:uniqueId val="{00000000-D70F-4FEE-A2DA-6CAF755AC361}"/>
            </c:ext>
          </c:extLst>
        </c:ser>
        <c:ser>
          <c:idx val="1"/>
          <c:order val="1"/>
          <c:tx>
            <c:strRef>
              <c:f>'Warmtebehoefte algemeen'!$V$12</c:f>
              <c:strCache>
                <c:ptCount val="1"/>
                <c:pt idx="0">
                  <c:v>0,75</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cat>
            <c:strRef>
              <c:f>'Warmtebehoefte algemeen'!$AG$9:$AL$9</c:f>
              <c:strCache>
                <c:ptCount val="6"/>
                <c:pt idx="0">
                  <c:v>natuurlijk (A)</c:v>
                </c:pt>
                <c:pt idx="1">
                  <c:v>mech (B1)</c:v>
                </c:pt>
                <c:pt idx="2">
                  <c:v>mech (C1)</c:v>
                </c:pt>
                <c:pt idx="3">
                  <c:v>mech - CO2 (C4c)</c:v>
                </c:pt>
                <c:pt idx="4">
                  <c:v>balans (D1)</c:v>
                </c:pt>
                <c:pt idx="5">
                  <c:v>balans CO2 (D5a)</c:v>
                </c:pt>
              </c:strCache>
            </c:strRef>
          </c:cat>
          <c:val>
            <c:numRef>
              <c:f>'Warmtebehoefte algemeen'!$AG$12:$AL$12</c:f>
              <c:numCache>
                <c:formatCode>0.0</c:formatCode>
                <c:ptCount val="6"/>
                <c:pt idx="0">
                  <c:v>2.1313914134889522</c:v>
                </c:pt>
                <c:pt idx="1">
                  <c:v>2.4019595270763041</c:v>
                </c:pt>
                <c:pt idx="2">
                  <c:v>2.3383337922436045</c:v>
                </c:pt>
                <c:pt idx="3">
                  <c:v>3.0792987889974786</c:v>
                </c:pt>
                <c:pt idx="4">
                  <c:v>3.2907806046646613</c:v>
                </c:pt>
                <c:pt idx="5">
                  <c:v>3.3993632228659578</c:v>
                </c:pt>
              </c:numCache>
            </c:numRef>
          </c:val>
          <c:extLst>
            <c:ext xmlns:c16="http://schemas.microsoft.com/office/drawing/2014/chart" uri="{C3380CC4-5D6E-409C-BE32-E72D297353CC}">
              <c16:uniqueId val="{00000001-D70F-4FEE-A2DA-6CAF755AC361}"/>
            </c:ext>
          </c:extLst>
        </c:ser>
        <c:ser>
          <c:idx val="2"/>
          <c:order val="2"/>
          <c:tx>
            <c:strRef>
              <c:f>'Warmtebehoefte algemeen'!$V$13</c:f>
              <c:strCache>
                <c:ptCount val="1"/>
                <c:pt idx="0">
                  <c:v>1,00</c:v>
                </c:pt>
              </c:strCache>
            </c:strRef>
          </c:tx>
          <c:spPr>
            <a:solidFill>
              <a:schemeClr val="accent3">
                <a:alpha val="85000"/>
              </a:schemeClr>
            </a:solidFill>
            <a:ln w="9525" cap="flat" cmpd="sng" algn="ctr">
              <a:solidFill>
                <a:schemeClr val="accent3">
                  <a:lumMod val="75000"/>
                </a:schemeClr>
              </a:solidFill>
              <a:round/>
            </a:ln>
            <a:effectLst/>
            <a:sp3d contourW="9525">
              <a:contourClr>
                <a:schemeClr val="accent3">
                  <a:lumMod val="75000"/>
                </a:schemeClr>
              </a:contourClr>
            </a:sp3d>
          </c:spPr>
          <c:invertIfNegative val="0"/>
          <c:cat>
            <c:strRef>
              <c:f>'Warmtebehoefte algemeen'!$AG$9:$AL$9</c:f>
              <c:strCache>
                <c:ptCount val="6"/>
                <c:pt idx="0">
                  <c:v>natuurlijk (A)</c:v>
                </c:pt>
                <c:pt idx="1">
                  <c:v>mech (B1)</c:v>
                </c:pt>
                <c:pt idx="2">
                  <c:v>mech (C1)</c:v>
                </c:pt>
                <c:pt idx="3">
                  <c:v>mech - CO2 (C4c)</c:v>
                </c:pt>
                <c:pt idx="4">
                  <c:v>balans (D1)</c:v>
                </c:pt>
                <c:pt idx="5">
                  <c:v>balans CO2 (D5a)</c:v>
                </c:pt>
              </c:strCache>
            </c:strRef>
          </c:cat>
          <c:val>
            <c:numRef>
              <c:f>'Warmtebehoefte algemeen'!$AG$13:$AL$13</c:f>
              <c:numCache>
                <c:formatCode>0.0</c:formatCode>
                <c:ptCount val="6"/>
                <c:pt idx="0">
                  <c:v>1.6030876901010025</c:v>
                </c:pt>
                <c:pt idx="1">
                  <c:v>1.7507685721123494</c:v>
                </c:pt>
                <c:pt idx="2">
                  <c:v>1.7673198383288771</c:v>
                </c:pt>
                <c:pt idx="3">
                  <c:v>2.3085269904511119</c:v>
                </c:pt>
                <c:pt idx="4">
                  <c:v>2.1658838187809089</c:v>
                </c:pt>
                <c:pt idx="5">
                  <c:v>2.3884199046151053</c:v>
                </c:pt>
              </c:numCache>
            </c:numRef>
          </c:val>
          <c:extLst>
            <c:ext xmlns:c16="http://schemas.microsoft.com/office/drawing/2014/chart" uri="{C3380CC4-5D6E-409C-BE32-E72D297353CC}">
              <c16:uniqueId val="{00000002-D70F-4FEE-A2DA-6CAF755AC361}"/>
            </c:ext>
          </c:extLst>
        </c:ser>
        <c:ser>
          <c:idx val="3"/>
          <c:order val="3"/>
          <c:tx>
            <c:strRef>
              <c:f>'Warmtebehoefte algemeen'!$V$14</c:f>
              <c:strCache>
                <c:ptCount val="1"/>
                <c:pt idx="0">
                  <c:v>1,50</c:v>
                </c:pt>
              </c:strCache>
            </c:strRef>
          </c:tx>
          <c:spPr>
            <a:solidFill>
              <a:schemeClr val="accent4">
                <a:alpha val="85000"/>
              </a:schemeClr>
            </a:solidFill>
            <a:ln w="9525" cap="flat" cmpd="sng" algn="ctr">
              <a:solidFill>
                <a:schemeClr val="accent4">
                  <a:lumMod val="75000"/>
                </a:schemeClr>
              </a:solidFill>
              <a:round/>
            </a:ln>
            <a:effectLst/>
            <a:sp3d contourW="9525">
              <a:contourClr>
                <a:schemeClr val="accent4">
                  <a:lumMod val="75000"/>
                </a:schemeClr>
              </a:contourClr>
            </a:sp3d>
          </c:spPr>
          <c:invertIfNegative val="0"/>
          <c:cat>
            <c:strRef>
              <c:f>'Warmtebehoefte algemeen'!$AG$9:$AL$9</c:f>
              <c:strCache>
                <c:ptCount val="6"/>
                <c:pt idx="0">
                  <c:v>natuurlijk (A)</c:v>
                </c:pt>
                <c:pt idx="1">
                  <c:v>mech (B1)</c:v>
                </c:pt>
                <c:pt idx="2">
                  <c:v>mech (C1)</c:v>
                </c:pt>
                <c:pt idx="3">
                  <c:v>mech - CO2 (C4c)</c:v>
                </c:pt>
                <c:pt idx="4">
                  <c:v>balans (D1)</c:v>
                </c:pt>
                <c:pt idx="5">
                  <c:v>balans CO2 (D5a)</c:v>
                </c:pt>
              </c:strCache>
            </c:strRef>
          </c:cat>
          <c:val>
            <c:numRef>
              <c:f>'Warmtebehoefte algemeen'!$AG$14:$AL$14</c:f>
              <c:numCache>
                <c:formatCode>0.0</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3-D70F-4FEE-A2DA-6CAF755AC361}"/>
            </c:ext>
          </c:extLst>
        </c:ser>
        <c:ser>
          <c:idx val="4"/>
          <c:order val="4"/>
          <c:tx>
            <c:strRef>
              <c:f>'Warmtebehoefte algemeen'!$V$15</c:f>
              <c:strCache>
                <c:ptCount val="1"/>
                <c:pt idx="0">
                  <c:v>2,00</c:v>
                </c:pt>
              </c:strCache>
            </c:strRef>
          </c:tx>
          <c:spPr>
            <a:solidFill>
              <a:schemeClr val="accent5">
                <a:alpha val="85000"/>
              </a:schemeClr>
            </a:solidFill>
            <a:ln w="9525" cap="flat" cmpd="sng" algn="ctr">
              <a:solidFill>
                <a:schemeClr val="accent5">
                  <a:lumMod val="75000"/>
                </a:schemeClr>
              </a:solidFill>
              <a:round/>
            </a:ln>
            <a:effectLst/>
            <a:sp3d contourW="9525">
              <a:contourClr>
                <a:schemeClr val="accent5">
                  <a:lumMod val="75000"/>
                </a:schemeClr>
              </a:contourClr>
            </a:sp3d>
          </c:spPr>
          <c:invertIfNegative val="0"/>
          <c:cat>
            <c:strRef>
              <c:f>'Warmtebehoefte algemeen'!$AG$9:$AL$9</c:f>
              <c:strCache>
                <c:ptCount val="6"/>
                <c:pt idx="0">
                  <c:v>natuurlijk (A)</c:v>
                </c:pt>
                <c:pt idx="1">
                  <c:v>mech (B1)</c:v>
                </c:pt>
                <c:pt idx="2">
                  <c:v>mech (C1)</c:v>
                </c:pt>
                <c:pt idx="3">
                  <c:v>mech - CO2 (C4c)</c:v>
                </c:pt>
                <c:pt idx="4">
                  <c:v>balans (D1)</c:v>
                </c:pt>
                <c:pt idx="5">
                  <c:v>balans CO2 (D5a)</c:v>
                </c:pt>
              </c:strCache>
            </c:strRef>
          </c:cat>
          <c:val>
            <c:numRef>
              <c:f>'Warmtebehoefte algemeen'!$AG$15:$AL$15</c:f>
              <c:numCache>
                <c:formatCode>0.0</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4-D70F-4FEE-A2DA-6CAF755AC361}"/>
            </c:ext>
          </c:extLst>
        </c:ser>
        <c:ser>
          <c:idx val="5"/>
          <c:order val="5"/>
          <c:tx>
            <c:strRef>
              <c:f>'Warmtebehoefte algemeen'!$V$16</c:f>
              <c:strCache>
                <c:ptCount val="1"/>
                <c:pt idx="0">
                  <c:v>2,50</c:v>
                </c:pt>
              </c:strCache>
            </c:strRef>
          </c:tx>
          <c:spPr>
            <a:solidFill>
              <a:schemeClr val="accent6">
                <a:alpha val="85000"/>
              </a:schemeClr>
            </a:solidFill>
            <a:ln w="9525" cap="flat" cmpd="sng" algn="ctr">
              <a:solidFill>
                <a:schemeClr val="accent6">
                  <a:lumMod val="75000"/>
                </a:schemeClr>
              </a:solidFill>
              <a:round/>
            </a:ln>
            <a:effectLst/>
            <a:sp3d contourW="9525">
              <a:contourClr>
                <a:schemeClr val="accent6">
                  <a:lumMod val="75000"/>
                </a:schemeClr>
              </a:contourClr>
            </a:sp3d>
          </c:spPr>
          <c:invertIfNegative val="0"/>
          <c:cat>
            <c:strRef>
              <c:f>'Warmtebehoefte algemeen'!$AG$9:$AL$9</c:f>
              <c:strCache>
                <c:ptCount val="6"/>
                <c:pt idx="0">
                  <c:v>natuurlijk (A)</c:v>
                </c:pt>
                <c:pt idx="1">
                  <c:v>mech (B1)</c:v>
                </c:pt>
                <c:pt idx="2">
                  <c:v>mech (C1)</c:v>
                </c:pt>
                <c:pt idx="3">
                  <c:v>mech - CO2 (C4c)</c:v>
                </c:pt>
                <c:pt idx="4">
                  <c:v>balans (D1)</c:v>
                </c:pt>
                <c:pt idx="5">
                  <c:v>balans CO2 (D5a)</c:v>
                </c:pt>
              </c:strCache>
            </c:strRef>
          </c:cat>
          <c:val>
            <c:numRef>
              <c:f>'Warmtebehoefte algemeen'!$AG$16:$AL$16</c:f>
              <c:numCache>
                <c:formatCode>0.0</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5-D70F-4FEE-A2DA-6CAF755AC361}"/>
            </c:ext>
          </c:extLst>
        </c:ser>
        <c:dLbls>
          <c:showLegendKey val="0"/>
          <c:showVal val="0"/>
          <c:showCatName val="0"/>
          <c:showSerName val="0"/>
          <c:showPercent val="0"/>
          <c:showBubbleSize val="0"/>
        </c:dLbls>
        <c:gapWidth val="65"/>
        <c:shape val="box"/>
        <c:axId val="744689824"/>
        <c:axId val="744690152"/>
        <c:axId val="656169536"/>
      </c:bar3DChart>
      <c:catAx>
        <c:axId val="74468982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744690152"/>
        <c:crosses val="autoZero"/>
        <c:auto val="1"/>
        <c:lblAlgn val="ctr"/>
        <c:lblOffset val="100"/>
        <c:noMultiLvlLbl val="0"/>
      </c:catAx>
      <c:valAx>
        <c:axId val="744690152"/>
        <c:scaling>
          <c:orientation val="minMax"/>
        </c:scaling>
        <c:delete val="0"/>
        <c:axPos val="r"/>
        <c:majorGridlines>
          <c:spPr>
            <a:ln w="6350" cap="flat" cmpd="sng" algn="ctr">
              <a:solidFill>
                <a:schemeClr val="bg1">
                  <a:lumMod val="7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744689824"/>
        <c:crosses val="autoZero"/>
        <c:crossBetween val="between"/>
      </c:valAx>
      <c:serAx>
        <c:axId val="656169536"/>
        <c:scaling>
          <c:orientation val="minMax"/>
        </c:scaling>
        <c:delete val="1"/>
        <c:axPos val="b"/>
        <c:majorTickMark val="out"/>
        <c:minorTickMark val="none"/>
        <c:tickLblPos val="nextTo"/>
        <c:crossAx val="744690152"/>
        <c:crosses val="autoZero"/>
      </c:serAx>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nl-NL" sz="1600">
                <a:solidFill>
                  <a:schemeClr val="bg1">
                    <a:lumMod val="50000"/>
                  </a:schemeClr>
                </a:solidFill>
              </a:rPr>
              <a:t>Indicatie</a:t>
            </a:r>
            <a:r>
              <a:rPr lang="nl-NL" sz="1600" baseline="0">
                <a:solidFill>
                  <a:schemeClr val="bg1">
                    <a:lumMod val="50000"/>
                  </a:schemeClr>
                </a:solidFill>
              </a:rPr>
              <a:t> w</a:t>
            </a:r>
            <a:r>
              <a:rPr lang="nl-NL" sz="1600">
                <a:solidFill>
                  <a:schemeClr val="bg1">
                    <a:lumMod val="50000"/>
                  </a:schemeClr>
                </a:solidFill>
              </a:rPr>
              <a:t>armtebehoefte </a:t>
            </a:r>
            <a:r>
              <a:rPr lang="nl-NL" sz="1600" b="0">
                <a:solidFill>
                  <a:schemeClr val="bg1">
                    <a:lumMod val="50000"/>
                  </a:schemeClr>
                </a:solidFill>
              </a:rPr>
              <a:t>kWh/m2</a:t>
            </a:r>
            <a:endParaRPr lang="nl-NL" sz="1600">
              <a:solidFill>
                <a:schemeClr val="bg1">
                  <a:lumMod val="50000"/>
                </a:schemeClr>
              </a:solidFill>
            </a:endParaRPr>
          </a:p>
        </c:rich>
      </c:tx>
      <c:layout>
        <c:manualLayout>
          <c:xMode val="edge"/>
          <c:yMode val="edge"/>
          <c:x val="0.34873117366667011"/>
          <c:y val="4.3769251022430726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view3D>
      <c:rotX val="20"/>
      <c:rotY val="40"/>
      <c:depthPercent val="60"/>
      <c:rAngAx val="0"/>
      <c:perspective val="9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8149293066924594E-2"/>
          <c:y val="0.11750335802142502"/>
          <c:w val="0.85073467351423993"/>
          <c:h val="0.73051381071624288"/>
        </c:manualLayout>
      </c:layout>
      <c:bar3DChart>
        <c:barDir val="col"/>
        <c:grouping val="standard"/>
        <c:varyColors val="0"/>
        <c:ser>
          <c:idx val="0"/>
          <c:order val="0"/>
          <c:tx>
            <c:strRef>
              <c:f>'Warmtebehoefte algemeen'!$M$11</c:f>
              <c:strCache>
                <c:ptCount val="1"/>
                <c:pt idx="0">
                  <c:v>0,50</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cat>
            <c:strRef>
              <c:f>'Warmtebehoefte algemeen'!$O$9:$T$9</c:f>
              <c:strCache>
                <c:ptCount val="6"/>
                <c:pt idx="0">
                  <c:v>natuurlijk (A)</c:v>
                </c:pt>
                <c:pt idx="1">
                  <c:v>mech (B1)</c:v>
                </c:pt>
                <c:pt idx="2">
                  <c:v>mech (C1)</c:v>
                </c:pt>
                <c:pt idx="3">
                  <c:v>mech - CO2 (C4c)</c:v>
                </c:pt>
                <c:pt idx="4">
                  <c:v>balans (D1)</c:v>
                </c:pt>
                <c:pt idx="5">
                  <c:v>balans CO2 (D5a)</c:v>
                </c:pt>
              </c:strCache>
            </c:strRef>
          </c:cat>
          <c:val>
            <c:numRef>
              <c:f>'Warmtebehoefte algemeen'!$O$11:$T$11</c:f>
              <c:numCache>
                <c:formatCode>0</c:formatCode>
                <c:ptCount val="6"/>
                <c:pt idx="0">
                  <c:v>49.485924786830481</c:v>
                </c:pt>
                <c:pt idx="1">
                  <c:v>37.97676217981931</c:v>
                </c:pt>
                <c:pt idx="2">
                  <c:v>39.843821005152051</c:v>
                </c:pt>
                <c:pt idx="3">
                  <c:v>25.62247169820418</c:v>
                </c:pt>
                <c:pt idx="4">
                  <c:v>21.260691585284953</c:v>
                </c:pt>
                <c:pt idx="5">
                  <c:v>10.611009942577299</c:v>
                </c:pt>
              </c:numCache>
            </c:numRef>
          </c:val>
          <c:extLst>
            <c:ext xmlns:c16="http://schemas.microsoft.com/office/drawing/2014/chart" uri="{C3380CC4-5D6E-409C-BE32-E72D297353CC}">
              <c16:uniqueId val="{00000000-352D-4688-8ECF-97E9F4D228EA}"/>
            </c:ext>
          </c:extLst>
        </c:ser>
        <c:ser>
          <c:idx val="1"/>
          <c:order val="1"/>
          <c:tx>
            <c:strRef>
              <c:f>'Warmtebehoefte algemeen'!$M$12</c:f>
              <c:strCache>
                <c:ptCount val="1"/>
                <c:pt idx="0">
                  <c:v>0,75</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cat>
            <c:strRef>
              <c:f>'Warmtebehoefte algemeen'!$O$9:$T$9</c:f>
              <c:strCache>
                <c:ptCount val="6"/>
                <c:pt idx="0">
                  <c:v>natuurlijk (A)</c:v>
                </c:pt>
                <c:pt idx="1">
                  <c:v>mech (B1)</c:v>
                </c:pt>
                <c:pt idx="2">
                  <c:v>mech (C1)</c:v>
                </c:pt>
                <c:pt idx="3">
                  <c:v>mech - CO2 (C4c)</c:v>
                </c:pt>
                <c:pt idx="4">
                  <c:v>balans (D1)</c:v>
                </c:pt>
                <c:pt idx="5">
                  <c:v>balans CO2 (D5a)</c:v>
                </c:pt>
              </c:strCache>
            </c:strRef>
          </c:cat>
          <c:val>
            <c:numRef>
              <c:f>'Warmtebehoefte algemeen'!$O$12:$T$12</c:f>
              <c:numCache>
                <c:formatCode>0</c:formatCode>
                <c:ptCount val="6"/>
                <c:pt idx="0">
                  <c:v>53.772494307420523</c:v>
                </c:pt>
                <c:pt idx="1">
                  <c:v>42.352494237923658</c:v>
                </c:pt>
                <c:pt idx="2">
                  <c:v>44.280103284319139</c:v>
                </c:pt>
                <c:pt idx="3">
                  <c:v>30.077323346734275</c:v>
                </c:pt>
                <c:pt idx="4">
                  <c:v>25.700479002657318</c:v>
                </c:pt>
                <c:pt idx="5">
                  <c:v>15.051965027624883</c:v>
                </c:pt>
              </c:numCache>
            </c:numRef>
          </c:val>
          <c:extLst>
            <c:ext xmlns:c16="http://schemas.microsoft.com/office/drawing/2014/chart" uri="{C3380CC4-5D6E-409C-BE32-E72D297353CC}">
              <c16:uniqueId val="{00000001-352D-4688-8ECF-97E9F4D228EA}"/>
            </c:ext>
          </c:extLst>
        </c:ser>
        <c:ser>
          <c:idx val="2"/>
          <c:order val="2"/>
          <c:tx>
            <c:strRef>
              <c:f>'Warmtebehoefte algemeen'!$M$13</c:f>
              <c:strCache>
                <c:ptCount val="1"/>
                <c:pt idx="0">
                  <c:v>1,00</c:v>
                </c:pt>
              </c:strCache>
            </c:strRef>
          </c:tx>
          <c:spPr>
            <a:solidFill>
              <a:schemeClr val="accent3">
                <a:alpha val="85000"/>
              </a:schemeClr>
            </a:solidFill>
            <a:ln w="9525" cap="flat" cmpd="sng" algn="ctr">
              <a:solidFill>
                <a:schemeClr val="accent3">
                  <a:lumMod val="75000"/>
                </a:schemeClr>
              </a:solidFill>
              <a:round/>
            </a:ln>
            <a:effectLst/>
            <a:sp3d contourW="9525">
              <a:contourClr>
                <a:schemeClr val="accent3">
                  <a:lumMod val="75000"/>
                </a:schemeClr>
              </a:contourClr>
            </a:sp3d>
          </c:spPr>
          <c:invertIfNegative val="0"/>
          <c:cat>
            <c:strRef>
              <c:f>'Warmtebehoefte algemeen'!$O$9:$T$9</c:f>
              <c:strCache>
                <c:ptCount val="6"/>
                <c:pt idx="0">
                  <c:v>natuurlijk (A)</c:v>
                </c:pt>
                <c:pt idx="1">
                  <c:v>mech (B1)</c:v>
                </c:pt>
                <c:pt idx="2">
                  <c:v>mech (C1)</c:v>
                </c:pt>
                <c:pt idx="3">
                  <c:v>mech - CO2 (C4c)</c:v>
                </c:pt>
                <c:pt idx="4">
                  <c:v>balans (D1)</c:v>
                </c:pt>
                <c:pt idx="5">
                  <c:v>balans CO2 (D5a)</c:v>
                </c:pt>
              </c:strCache>
            </c:strRef>
          </c:cat>
          <c:val>
            <c:numRef>
              <c:f>'Warmtebehoefte algemeen'!$O$13:$T$13</c:f>
              <c:numCache>
                <c:formatCode>0</c:formatCode>
                <c:ptCount val="6"/>
                <c:pt idx="0">
                  <c:v>57.804299026147447</c:v>
                </c:pt>
                <c:pt idx="1">
                  <c:v>46.496322316514735</c:v>
                </c:pt>
                <c:pt idx="2">
                  <c:v>48.73148410997139</c:v>
                </c:pt>
                <c:pt idx="3">
                  <c:v>34.593114092947417</c:v>
                </c:pt>
                <c:pt idx="4">
                  <c:v>30.231658547783045</c:v>
                </c:pt>
                <c:pt idx="5">
                  <c:v>19.286323368866817</c:v>
                </c:pt>
              </c:numCache>
            </c:numRef>
          </c:val>
          <c:extLst>
            <c:ext xmlns:c16="http://schemas.microsoft.com/office/drawing/2014/chart" uri="{C3380CC4-5D6E-409C-BE32-E72D297353CC}">
              <c16:uniqueId val="{00000002-352D-4688-8ECF-97E9F4D228EA}"/>
            </c:ext>
          </c:extLst>
        </c:ser>
        <c:ser>
          <c:idx val="3"/>
          <c:order val="3"/>
          <c:tx>
            <c:strRef>
              <c:f>'Warmtebehoefte algemeen'!$M$14</c:f>
              <c:strCache>
                <c:ptCount val="1"/>
                <c:pt idx="0">
                  <c:v>1,50</c:v>
                </c:pt>
              </c:strCache>
            </c:strRef>
          </c:tx>
          <c:spPr>
            <a:solidFill>
              <a:schemeClr val="accent4">
                <a:alpha val="85000"/>
              </a:schemeClr>
            </a:solidFill>
            <a:ln w="9525" cap="flat" cmpd="sng" algn="ctr">
              <a:solidFill>
                <a:schemeClr val="accent4">
                  <a:lumMod val="75000"/>
                </a:schemeClr>
              </a:solidFill>
              <a:round/>
            </a:ln>
            <a:effectLst/>
            <a:sp3d contourW="9525">
              <a:contourClr>
                <a:schemeClr val="accent4">
                  <a:lumMod val="75000"/>
                </a:schemeClr>
              </a:contourClr>
            </a:sp3d>
          </c:spPr>
          <c:invertIfNegative val="0"/>
          <c:cat>
            <c:strRef>
              <c:f>'Warmtebehoefte algemeen'!$O$9:$T$9</c:f>
              <c:strCache>
                <c:ptCount val="6"/>
                <c:pt idx="0">
                  <c:v>natuurlijk (A)</c:v>
                </c:pt>
                <c:pt idx="1">
                  <c:v>mech (B1)</c:v>
                </c:pt>
                <c:pt idx="2">
                  <c:v>mech (C1)</c:v>
                </c:pt>
                <c:pt idx="3">
                  <c:v>mech - CO2 (C4c)</c:v>
                </c:pt>
                <c:pt idx="4">
                  <c:v>balans (D1)</c:v>
                </c:pt>
                <c:pt idx="5">
                  <c:v>balans CO2 (D5a)</c:v>
                </c:pt>
              </c:strCache>
            </c:strRef>
          </c:cat>
          <c:val>
            <c:numRef>
              <c:f>'Warmtebehoefte algemeen'!$O$14:$T$14</c:f>
              <c:numCache>
                <c:formatCode>0</c:formatCode>
                <c:ptCount val="6"/>
                <c:pt idx="0">
                  <c:v>65.371834545413492</c:v>
                </c:pt>
                <c:pt idx="1">
                  <c:v>54.329102107848016</c:v>
                </c:pt>
                <c:pt idx="2">
                  <c:v>57.665762235222523</c:v>
                </c:pt>
                <c:pt idx="3">
                  <c:v>43.753303244058145</c:v>
                </c:pt>
                <c:pt idx="4">
                  <c:v>39.488311283830889</c:v>
                </c:pt>
                <c:pt idx="5">
                  <c:v>27.346826984034479</c:v>
                </c:pt>
              </c:numCache>
            </c:numRef>
          </c:val>
          <c:extLst>
            <c:ext xmlns:c16="http://schemas.microsoft.com/office/drawing/2014/chart" uri="{C3380CC4-5D6E-409C-BE32-E72D297353CC}">
              <c16:uniqueId val="{00000003-352D-4688-8ECF-97E9F4D228EA}"/>
            </c:ext>
          </c:extLst>
        </c:ser>
        <c:ser>
          <c:idx val="4"/>
          <c:order val="4"/>
          <c:tx>
            <c:strRef>
              <c:f>'Warmtebehoefte algemeen'!$M$15</c:f>
              <c:strCache>
                <c:ptCount val="1"/>
                <c:pt idx="0">
                  <c:v>2,00</c:v>
                </c:pt>
              </c:strCache>
            </c:strRef>
          </c:tx>
          <c:spPr>
            <a:solidFill>
              <a:schemeClr val="accent5">
                <a:alpha val="85000"/>
              </a:schemeClr>
            </a:solidFill>
            <a:ln w="9525" cap="flat" cmpd="sng" algn="ctr">
              <a:solidFill>
                <a:schemeClr val="accent5">
                  <a:lumMod val="75000"/>
                </a:schemeClr>
              </a:solidFill>
              <a:round/>
            </a:ln>
            <a:effectLst/>
            <a:sp3d contourW="9525">
              <a:contourClr>
                <a:schemeClr val="accent5">
                  <a:lumMod val="75000"/>
                </a:schemeClr>
              </a:contourClr>
            </a:sp3d>
          </c:spPr>
          <c:invertIfNegative val="0"/>
          <c:cat>
            <c:strRef>
              <c:f>'Warmtebehoefte algemeen'!$O$9:$T$9</c:f>
              <c:strCache>
                <c:ptCount val="6"/>
                <c:pt idx="0">
                  <c:v>natuurlijk (A)</c:v>
                </c:pt>
                <c:pt idx="1">
                  <c:v>mech (B1)</c:v>
                </c:pt>
                <c:pt idx="2">
                  <c:v>mech (C1)</c:v>
                </c:pt>
                <c:pt idx="3">
                  <c:v>mech - CO2 (C4c)</c:v>
                </c:pt>
                <c:pt idx="4">
                  <c:v>balans (D1)</c:v>
                </c:pt>
                <c:pt idx="5">
                  <c:v>balans CO2 (D5a)</c:v>
                </c:pt>
              </c:strCache>
            </c:strRef>
          </c:cat>
          <c:val>
            <c:numRef>
              <c:f>'Warmtebehoefte algemeen'!$O$15:$T$15</c:f>
              <c:numCache>
                <c:formatCode>0</c:formatCode>
                <c:ptCount val="6"/>
                <c:pt idx="0">
                  <c:v>72.489606756771607</c:v>
                </c:pt>
                <c:pt idx="1">
                  <c:v>61.74676214775662</c:v>
                </c:pt>
                <c:pt idx="2">
                  <c:v>66.630447490835721</c:v>
                </c:pt>
                <c:pt idx="3">
                  <c:v>53.038797052992635</c:v>
                </c:pt>
                <c:pt idx="4">
                  <c:v>48.935510347865325</c:v>
                </c:pt>
                <c:pt idx="5">
                  <c:v>35.032349594342591</c:v>
                </c:pt>
              </c:numCache>
            </c:numRef>
          </c:val>
          <c:extLst>
            <c:ext xmlns:c16="http://schemas.microsoft.com/office/drawing/2014/chart" uri="{C3380CC4-5D6E-409C-BE32-E72D297353CC}">
              <c16:uniqueId val="{00000004-352D-4688-8ECF-97E9F4D228EA}"/>
            </c:ext>
          </c:extLst>
        </c:ser>
        <c:ser>
          <c:idx val="5"/>
          <c:order val="5"/>
          <c:tx>
            <c:strRef>
              <c:f>'Warmtebehoefte algemeen'!$M$16</c:f>
              <c:strCache>
                <c:ptCount val="1"/>
                <c:pt idx="0">
                  <c:v>2,50</c:v>
                </c:pt>
              </c:strCache>
            </c:strRef>
          </c:tx>
          <c:spPr>
            <a:solidFill>
              <a:schemeClr val="accent6">
                <a:alpha val="85000"/>
              </a:schemeClr>
            </a:solidFill>
            <a:ln w="9525" cap="flat" cmpd="sng" algn="ctr">
              <a:solidFill>
                <a:schemeClr val="accent6">
                  <a:lumMod val="75000"/>
                </a:schemeClr>
              </a:solidFill>
              <a:round/>
            </a:ln>
            <a:effectLst/>
            <a:sp3d contourW="9525">
              <a:contourClr>
                <a:schemeClr val="accent6">
                  <a:lumMod val="75000"/>
                </a:schemeClr>
              </a:contourClr>
            </a:sp3d>
          </c:spPr>
          <c:invertIfNegative val="0"/>
          <c:cat>
            <c:strRef>
              <c:f>'Warmtebehoefte algemeen'!$O$9:$T$9</c:f>
              <c:strCache>
                <c:ptCount val="6"/>
                <c:pt idx="0">
                  <c:v>natuurlijk (A)</c:v>
                </c:pt>
                <c:pt idx="1">
                  <c:v>mech (B1)</c:v>
                </c:pt>
                <c:pt idx="2">
                  <c:v>mech (C1)</c:v>
                </c:pt>
                <c:pt idx="3">
                  <c:v>mech - CO2 (C4c)</c:v>
                </c:pt>
                <c:pt idx="4">
                  <c:v>balans (D1)</c:v>
                </c:pt>
                <c:pt idx="5">
                  <c:v>balans CO2 (D5a)</c:v>
                </c:pt>
              </c:strCache>
            </c:strRef>
          </c:cat>
          <c:val>
            <c:numRef>
              <c:f>'Warmtebehoefte algemeen'!$O$16:$T$16</c:f>
              <c:numCache>
                <c:formatCode>0</c:formatCode>
                <c:ptCount val="6"/>
                <c:pt idx="0">
                  <c:v>79.290606764107537</c:v>
                </c:pt>
                <c:pt idx="1">
                  <c:v>68.870276876620153</c:v>
                </c:pt>
                <c:pt idx="2">
                  <c:v>75.617811369007597</c:v>
                </c:pt>
                <c:pt idx="3">
                  <c:v>62.418593438769491</c:v>
                </c:pt>
                <c:pt idx="4">
                  <c:v>58.526975758716247</c:v>
                </c:pt>
                <c:pt idx="5">
                  <c:v>42.450558206495309</c:v>
                </c:pt>
              </c:numCache>
            </c:numRef>
          </c:val>
          <c:extLst>
            <c:ext xmlns:c16="http://schemas.microsoft.com/office/drawing/2014/chart" uri="{C3380CC4-5D6E-409C-BE32-E72D297353CC}">
              <c16:uniqueId val="{00000005-352D-4688-8ECF-97E9F4D228EA}"/>
            </c:ext>
          </c:extLst>
        </c:ser>
        <c:dLbls>
          <c:showLegendKey val="0"/>
          <c:showVal val="0"/>
          <c:showCatName val="0"/>
          <c:showSerName val="0"/>
          <c:showPercent val="0"/>
          <c:showBubbleSize val="0"/>
        </c:dLbls>
        <c:gapWidth val="65"/>
        <c:shape val="box"/>
        <c:axId val="744689824"/>
        <c:axId val="744690152"/>
        <c:axId val="656169536"/>
      </c:bar3DChart>
      <c:catAx>
        <c:axId val="74468982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1920000" spcFirstLastPara="1" vertOverflow="ellipsis"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744690152"/>
        <c:crosses val="autoZero"/>
        <c:auto val="1"/>
        <c:lblAlgn val="ctr"/>
        <c:lblOffset val="100"/>
        <c:noMultiLvlLbl val="0"/>
      </c:catAx>
      <c:valAx>
        <c:axId val="744690152"/>
        <c:scaling>
          <c:orientation val="minMax"/>
        </c:scaling>
        <c:delete val="0"/>
        <c:axPos val="l"/>
        <c:majorGridlines>
          <c:spPr>
            <a:ln w="6350" cap="flat" cmpd="sng" algn="ctr">
              <a:solidFill>
                <a:schemeClr val="bg1">
                  <a:lumMod val="7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744689824"/>
        <c:crosses val="autoZero"/>
        <c:crossBetween val="between"/>
      </c:valAx>
      <c:serAx>
        <c:axId val="656169536"/>
        <c:scaling>
          <c:orientation val="minMax"/>
        </c:scaling>
        <c:delete val="1"/>
        <c:axPos val="b"/>
        <c:majorTickMark val="out"/>
        <c:minorTickMark val="none"/>
        <c:tickLblPos val="nextTo"/>
        <c:crossAx val="744690152"/>
        <c:crosses val="autoZero"/>
      </c:serAx>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trlProps/ctrlProp1.xml><?xml version="1.0" encoding="utf-8"?>
<formControlPr xmlns="http://schemas.microsoft.com/office/spreadsheetml/2009/9/main" objectType="CheckBox" fmlaLink="$G$6" lockText="1"/>
</file>

<file path=xl/ctrlProps/ctrlProp2.xml><?xml version="1.0" encoding="utf-8"?>
<formControlPr xmlns="http://schemas.microsoft.com/office/spreadsheetml/2009/9/main" objectType="CheckBox" fmlaLink="$G$6" lockText="1"/>
</file>

<file path=xl/ctrlProps/ctrlProp3.xml><?xml version="1.0" encoding="utf-8"?>
<formControlPr xmlns="http://schemas.microsoft.com/office/spreadsheetml/2009/9/main" objectType="CheckBox" fmlaLink="$G$6" lockText="1"/>
</file>

<file path=xl/ctrlProps/ctrlProp4.xml><?xml version="1.0" encoding="utf-8"?>
<formControlPr xmlns="http://schemas.microsoft.com/office/spreadsheetml/2009/9/main" objectType="CheckBox" fmlaLink="$G$6" lockText="1"/>
</file>

<file path=xl/ctrlProps/ctrlProp5.xml><?xml version="1.0" encoding="utf-8"?>
<formControlPr xmlns="http://schemas.microsoft.com/office/spreadsheetml/2009/9/main" objectType="CheckBox" fmlaLink="$G$6" lockText="1"/>
</file>

<file path=xl/ctrlProps/ctrlProp6.xml><?xml version="1.0" encoding="utf-8"?>
<formControlPr xmlns="http://schemas.microsoft.com/office/spreadsheetml/2009/9/main" objectType="CheckBox" fmlaLink="$G$6" lockText="1"/>
</file>

<file path=xl/drawings/_rels/drawing1.xml.rels><?xml version="1.0" encoding="UTF-8" standalone="yes"?>
<Relationships xmlns="http://schemas.openxmlformats.org/package/2006/relationships"><Relationship Id="rId3" Type="http://schemas.openxmlformats.org/officeDocument/2006/relationships/hyperlink" Target="https://www.expertisecentrumwarmte.nl/" TargetMode="External"/><Relationship Id="rId2" Type="http://schemas.openxmlformats.org/officeDocument/2006/relationships/image" Target="../media/image1.png"/><Relationship Id="rId1" Type="http://schemas.openxmlformats.org/officeDocument/2006/relationships/hyperlink" Target="http://www.rvo.nl/subsidies-regelingen/uniforme-maatlat-gebouwde-omgeving-new" TargetMode="External"/><Relationship Id="rId5" Type="http://schemas.openxmlformats.org/officeDocument/2006/relationships/hyperlink" Target="#'woningen|utiliteit'!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8" Type="http://schemas.openxmlformats.org/officeDocument/2006/relationships/hyperlink" Target="#'variant 4'!A1"/><Relationship Id="rId3" Type="http://schemas.openxmlformats.org/officeDocument/2006/relationships/hyperlink" Target="#handleiding!A1"/><Relationship Id="rId7" Type="http://schemas.openxmlformats.org/officeDocument/2006/relationships/hyperlink" Target="#'variant 3'!A1"/><Relationship Id="rId12" Type="http://schemas.openxmlformats.org/officeDocument/2006/relationships/hyperlink" Target="#bibliotheek!A1"/><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variant 2'!A1"/><Relationship Id="rId11" Type="http://schemas.openxmlformats.org/officeDocument/2006/relationships/hyperlink" Target="#resultaten!A1"/><Relationship Id="rId5" Type="http://schemas.openxmlformats.org/officeDocument/2006/relationships/hyperlink" Target="#'variant 1'!A1"/><Relationship Id="rId10" Type="http://schemas.openxmlformats.org/officeDocument/2006/relationships/hyperlink" Target="#'variant 6'!A1"/><Relationship Id="rId4" Type="http://schemas.openxmlformats.org/officeDocument/2006/relationships/hyperlink" Target="#'woningen|utiliteit'!A1"/><Relationship Id="rId9" Type="http://schemas.openxmlformats.org/officeDocument/2006/relationships/hyperlink" Target="#'variant 5'!A1"/></Relationships>
</file>

<file path=xl/drawings/_rels/drawing13.xml.rels><?xml version="1.0" encoding="UTF-8" standalone="yes"?>
<Relationships xmlns="http://schemas.openxmlformats.org/package/2006/relationships"><Relationship Id="rId8" Type="http://schemas.openxmlformats.org/officeDocument/2006/relationships/hyperlink" Target="#'variant 6'!A1"/><Relationship Id="rId3" Type="http://schemas.openxmlformats.org/officeDocument/2006/relationships/hyperlink" Target="#'variant 1'!A1"/><Relationship Id="rId7" Type="http://schemas.openxmlformats.org/officeDocument/2006/relationships/hyperlink" Target="#'variant 5'!A1"/><Relationship Id="rId2" Type="http://schemas.openxmlformats.org/officeDocument/2006/relationships/hyperlink" Target="#'woningen|utiliteit'!A1"/><Relationship Id="rId1" Type="http://schemas.openxmlformats.org/officeDocument/2006/relationships/hyperlink" Target="#handleiding!A1"/><Relationship Id="rId6" Type="http://schemas.openxmlformats.org/officeDocument/2006/relationships/hyperlink" Target="#'variant 4'!A1"/><Relationship Id="rId5" Type="http://schemas.openxmlformats.org/officeDocument/2006/relationships/hyperlink" Target="#'variant 3'!A1"/><Relationship Id="rId10" Type="http://schemas.openxmlformats.org/officeDocument/2006/relationships/hyperlink" Target="#bibliotheek!A1"/><Relationship Id="rId4" Type="http://schemas.openxmlformats.org/officeDocument/2006/relationships/hyperlink" Target="#'variant 2'!A1"/><Relationship Id="rId9" Type="http://schemas.openxmlformats.org/officeDocument/2006/relationships/hyperlink" Target="#resultaten!A1"/></Relationships>
</file>

<file path=xl/drawings/_rels/drawing1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2.xml.rels><?xml version="1.0" encoding="UTF-8" standalone="yes"?>
<Relationships xmlns="http://schemas.openxmlformats.org/package/2006/relationships"><Relationship Id="rId8" Type="http://schemas.openxmlformats.org/officeDocument/2006/relationships/hyperlink" Target="#'variant 6'!A1"/><Relationship Id="rId3" Type="http://schemas.openxmlformats.org/officeDocument/2006/relationships/hyperlink" Target="#'variant 1'!A1"/><Relationship Id="rId7" Type="http://schemas.openxmlformats.org/officeDocument/2006/relationships/hyperlink" Target="#'variant 5'!A1"/><Relationship Id="rId2" Type="http://schemas.openxmlformats.org/officeDocument/2006/relationships/hyperlink" Target="#'woningen|utiliteit'!A1"/><Relationship Id="rId1" Type="http://schemas.openxmlformats.org/officeDocument/2006/relationships/hyperlink" Target="#handleiding!A1"/><Relationship Id="rId6" Type="http://schemas.openxmlformats.org/officeDocument/2006/relationships/hyperlink" Target="#'variant 4'!A1"/><Relationship Id="rId5" Type="http://schemas.openxmlformats.org/officeDocument/2006/relationships/hyperlink" Target="#'variant 3'!A1"/><Relationship Id="rId10" Type="http://schemas.openxmlformats.org/officeDocument/2006/relationships/hyperlink" Target="#bibliotheek!A1"/><Relationship Id="rId4" Type="http://schemas.openxmlformats.org/officeDocument/2006/relationships/hyperlink" Target="#'variant 2'!A1"/><Relationship Id="rId9" Type="http://schemas.openxmlformats.org/officeDocument/2006/relationships/hyperlink" Target="#resultaten!A1"/></Relationships>
</file>

<file path=xl/drawings/_rels/drawing3.xml.rels><?xml version="1.0" encoding="UTF-8" standalone="yes"?>
<Relationships xmlns="http://schemas.openxmlformats.org/package/2006/relationships"><Relationship Id="rId8" Type="http://schemas.openxmlformats.org/officeDocument/2006/relationships/hyperlink" Target="#'variant 6'!A1"/><Relationship Id="rId3" Type="http://schemas.openxmlformats.org/officeDocument/2006/relationships/hyperlink" Target="#'variant 1'!A1"/><Relationship Id="rId7" Type="http://schemas.openxmlformats.org/officeDocument/2006/relationships/hyperlink" Target="#'variant 5'!A1"/><Relationship Id="rId2" Type="http://schemas.openxmlformats.org/officeDocument/2006/relationships/hyperlink" Target="#'woningen|utiliteit'!A1"/><Relationship Id="rId1" Type="http://schemas.openxmlformats.org/officeDocument/2006/relationships/hyperlink" Target="#handleiding!A1"/><Relationship Id="rId6" Type="http://schemas.openxmlformats.org/officeDocument/2006/relationships/hyperlink" Target="#'variant 4'!A1"/><Relationship Id="rId5" Type="http://schemas.openxmlformats.org/officeDocument/2006/relationships/hyperlink" Target="#'variant 3'!A1"/><Relationship Id="rId10" Type="http://schemas.openxmlformats.org/officeDocument/2006/relationships/hyperlink" Target="#bibliotheek!A1"/><Relationship Id="rId4" Type="http://schemas.openxmlformats.org/officeDocument/2006/relationships/hyperlink" Target="#'variant 2'!A1"/><Relationship Id="rId9" Type="http://schemas.openxmlformats.org/officeDocument/2006/relationships/hyperlink" Target="#resultaten!A1"/></Relationships>
</file>

<file path=xl/drawings/_rels/drawing4.xml.rels><?xml version="1.0" encoding="UTF-8" standalone="yes"?>
<Relationships xmlns="http://schemas.openxmlformats.org/package/2006/relationships"><Relationship Id="rId8" Type="http://schemas.openxmlformats.org/officeDocument/2006/relationships/hyperlink" Target="#'variant 6'!A1"/><Relationship Id="rId3" Type="http://schemas.openxmlformats.org/officeDocument/2006/relationships/hyperlink" Target="#'variant 1'!A1"/><Relationship Id="rId7" Type="http://schemas.openxmlformats.org/officeDocument/2006/relationships/hyperlink" Target="#'variant 5'!A1"/><Relationship Id="rId2" Type="http://schemas.openxmlformats.org/officeDocument/2006/relationships/hyperlink" Target="#'woningen|utiliteit'!A1"/><Relationship Id="rId1" Type="http://schemas.openxmlformats.org/officeDocument/2006/relationships/hyperlink" Target="#handleiding!A1"/><Relationship Id="rId6" Type="http://schemas.openxmlformats.org/officeDocument/2006/relationships/hyperlink" Target="#'variant 4'!A1"/><Relationship Id="rId5" Type="http://schemas.openxmlformats.org/officeDocument/2006/relationships/hyperlink" Target="#'variant 3'!A1"/><Relationship Id="rId10" Type="http://schemas.openxmlformats.org/officeDocument/2006/relationships/hyperlink" Target="#bibliotheek!A1"/><Relationship Id="rId4" Type="http://schemas.openxmlformats.org/officeDocument/2006/relationships/hyperlink" Target="#'variant 2'!A1"/><Relationship Id="rId9" Type="http://schemas.openxmlformats.org/officeDocument/2006/relationships/hyperlink" Target="#resultaten!A1"/></Relationships>
</file>

<file path=xl/drawings/_rels/drawing5.xml.rels><?xml version="1.0" encoding="UTF-8" standalone="yes"?>
<Relationships xmlns="http://schemas.openxmlformats.org/package/2006/relationships"><Relationship Id="rId8" Type="http://schemas.openxmlformats.org/officeDocument/2006/relationships/hyperlink" Target="#'variant 6'!A1"/><Relationship Id="rId3" Type="http://schemas.openxmlformats.org/officeDocument/2006/relationships/hyperlink" Target="#'variant 1'!A1"/><Relationship Id="rId7" Type="http://schemas.openxmlformats.org/officeDocument/2006/relationships/hyperlink" Target="#'variant 5'!A1"/><Relationship Id="rId2" Type="http://schemas.openxmlformats.org/officeDocument/2006/relationships/hyperlink" Target="#'woningen|utiliteit'!A1"/><Relationship Id="rId1" Type="http://schemas.openxmlformats.org/officeDocument/2006/relationships/hyperlink" Target="#handleiding!A1"/><Relationship Id="rId6" Type="http://schemas.openxmlformats.org/officeDocument/2006/relationships/hyperlink" Target="#'variant 4'!A1"/><Relationship Id="rId5" Type="http://schemas.openxmlformats.org/officeDocument/2006/relationships/hyperlink" Target="#'variant 3'!A1"/><Relationship Id="rId10" Type="http://schemas.openxmlformats.org/officeDocument/2006/relationships/hyperlink" Target="#bibliotheek!A1"/><Relationship Id="rId4" Type="http://schemas.openxmlformats.org/officeDocument/2006/relationships/hyperlink" Target="#'variant 2'!A1"/><Relationship Id="rId9" Type="http://schemas.openxmlformats.org/officeDocument/2006/relationships/hyperlink" Target="#resultaten!A1"/></Relationships>
</file>

<file path=xl/drawings/_rels/drawing6.xml.rels><?xml version="1.0" encoding="UTF-8" standalone="yes"?>
<Relationships xmlns="http://schemas.openxmlformats.org/package/2006/relationships"><Relationship Id="rId8" Type="http://schemas.openxmlformats.org/officeDocument/2006/relationships/hyperlink" Target="#'variant 6'!A1"/><Relationship Id="rId3" Type="http://schemas.openxmlformats.org/officeDocument/2006/relationships/hyperlink" Target="#'variant 1'!A1"/><Relationship Id="rId7" Type="http://schemas.openxmlformats.org/officeDocument/2006/relationships/hyperlink" Target="#'variant 5'!A1"/><Relationship Id="rId2" Type="http://schemas.openxmlformats.org/officeDocument/2006/relationships/hyperlink" Target="#'woningen|utiliteit'!A1"/><Relationship Id="rId1" Type="http://schemas.openxmlformats.org/officeDocument/2006/relationships/hyperlink" Target="#handleiding!A1"/><Relationship Id="rId6" Type="http://schemas.openxmlformats.org/officeDocument/2006/relationships/hyperlink" Target="#'variant 4'!A1"/><Relationship Id="rId5" Type="http://schemas.openxmlformats.org/officeDocument/2006/relationships/hyperlink" Target="#'variant 3'!A1"/><Relationship Id="rId10" Type="http://schemas.openxmlformats.org/officeDocument/2006/relationships/hyperlink" Target="#bibliotheek!A1"/><Relationship Id="rId4" Type="http://schemas.openxmlformats.org/officeDocument/2006/relationships/hyperlink" Target="#'variant 2'!A1"/><Relationship Id="rId9" Type="http://schemas.openxmlformats.org/officeDocument/2006/relationships/hyperlink" Target="#resultaten!A1"/></Relationships>
</file>

<file path=xl/drawings/_rels/drawing7.xml.rels><?xml version="1.0" encoding="UTF-8" standalone="yes"?>
<Relationships xmlns="http://schemas.openxmlformats.org/package/2006/relationships"><Relationship Id="rId8" Type="http://schemas.openxmlformats.org/officeDocument/2006/relationships/hyperlink" Target="#'variant 6'!A1"/><Relationship Id="rId3" Type="http://schemas.openxmlformats.org/officeDocument/2006/relationships/hyperlink" Target="#'variant 1'!A1"/><Relationship Id="rId7" Type="http://schemas.openxmlformats.org/officeDocument/2006/relationships/hyperlink" Target="#'variant 5'!A1"/><Relationship Id="rId2" Type="http://schemas.openxmlformats.org/officeDocument/2006/relationships/hyperlink" Target="#'woningen|utiliteit'!A1"/><Relationship Id="rId1" Type="http://schemas.openxmlformats.org/officeDocument/2006/relationships/hyperlink" Target="#handleiding!A1"/><Relationship Id="rId6" Type="http://schemas.openxmlformats.org/officeDocument/2006/relationships/hyperlink" Target="#'variant 4'!A1"/><Relationship Id="rId5" Type="http://schemas.openxmlformats.org/officeDocument/2006/relationships/hyperlink" Target="#'variant 3'!A1"/><Relationship Id="rId10" Type="http://schemas.openxmlformats.org/officeDocument/2006/relationships/hyperlink" Target="#bibliotheek!A1"/><Relationship Id="rId4" Type="http://schemas.openxmlformats.org/officeDocument/2006/relationships/hyperlink" Target="#'variant 2'!A1"/><Relationship Id="rId9" Type="http://schemas.openxmlformats.org/officeDocument/2006/relationships/hyperlink" Target="#resultaten!A1"/></Relationships>
</file>

<file path=xl/drawings/_rels/drawing8.xml.rels><?xml version="1.0" encoding="UTF-8" standalone="yes"?>
<Relationships xmlns="http://schemas.openxmlformats.org/package/2006/relationships"><Relationship Id="rId8" Type="http://schemas.openxmlformats.org/officeDocument/2006/relationships/hyperlink" Target="#'variant 6'!A1"/><Relationship Id="rId3" Type="http://schemas.openxmlformats.org/officeDocument/2006/relationships/hyperlink" Target="#'variant 1'!A1"/><Relationship Id="rId7" Type="http://schemas.openxmlformats.org/officeDocument/2006/relationships/hyperlink" Target="#'variant 5'!A1"/><Relationship Id="rId2" Type="http://schemas.openxmlformats.org/officeDocument/2006/relationships/hyperlink" Target="#'woningen|utiliteit'!A1"/><Relationship Id="rId1" Type="http://schemas.openxmlformats.org/officeDocument/2006/relationships/hyperlink" Target="#handleiding!A1"/><Relationship Id="rId6" Type="http://schemas.openxmlformats.org/officeDocument/2006/relationships/hyperlink" Target="#'variant 4'!A1"/><Relationship Id="rId5" Type="http://schemas.openxmlformats.org/officeDocument/2006/relationships/hyperlink" Target="#'variant 3'!A1"/><Relationship Id="rId10" Type="http://schemas.openxmlformats.org/officeDocument/2006/relationships/hyperlink" Target="#bibliotheek!A1"/><Relationship Id="rId4" Type="http://schemas.openxmlformats.org/officeDocument/2006/relationships/hyperlink" Target="#'variant 2'!A1"/><Relationship Id="rId9" Type="http://schemas.openxmlformats.org/officeDocument/2006/relationships/hyperlink" Target="#resultaten!A1"/></Relationships>
</file>

<file path=xl/drawings/_rels/drawing9.xml.rels><?xml version="1.0" encoding="UTF-8" standalone="yes"?>
<Relationships xmlns="http://schemas.openxmlformats.org/package/2006/relationships"><Relationship Id="rId8" Type="http://schemas.openxmlformats.org/officeDocument/2006/relationships/hyperlink" Target="#'variant 6'!A1"/><Relationship Id="rId3" Type="http://schemas.openxmlformats.org/officeDocument/2006/relationships/hyperlink" Target="#'variant 1'!A1"/><Relationship Id="rId7" Type="http://schemas.openxmlformats.org/officeDocument/2006/relationships/hyperlink" Target="#'variant 5'!A1"/><Relationship Id="rId2" Type="http://schemas.openxmlformats.org/officeDocument/2006/relationships/hyperlink" Target="#'woningen|utiliteit'!A1"/><Relationship Id="rId1" Type="http://schemas.openxmlformats.org/officeDocument/2006/relationships/hyperlink" Target="#handleiding!A1"/><Relationship Id="rId6" Type="http://schemas.openxmlformats.org/officeDocument/2006/relationships/hyperlink" Target="#'variant 4'!A1"/><Relationship Id="rId5" Type="http://schemas.openxmlformats.org/officeDocument/2006/relationships/hyperlink" Target="#'variant 3'!A1"/><Relationship Id="rId10" Type="http://schemas.openxmlformats.org/officeDocument/2006/relationships/hyperlink" Target="#bibliotheek!A1"/><Relationship Id="rId4" Type="http://schemas.openxmlformats.org/officeDocument/2006/relationships/hyperlink" Target="#'variant 2'!A1"/><Relationship Id="rId9" Type="http://schemas.openxmlformats.org/officeDocument/2006/relationships/hyperlink" Target="#resultaten!A1"/></Relationships>
</file>

<file path=xl/drawings/drawing1.xml><?xml version="1.0" encoding="utf-8"?>
<xdr:wsDr xmlns:xdr="http://schemas.openxmlformats.org/drawingml/2006/spreadsheetDrawing" xmlns:a="http://schemas.openxmlformats.org/drawingml/2006/main">
  <xdr:twoCellAnchor editAs="oneCell">
    <xdr:from>
      <xdr:col>4</xdr:col>
      <xdr:colOff>2562225</xdr:colOff>
      <xdr:row>2</xdr:row>
      <xdr:rowOff>9071</xdr:rowOff>
    </xdr:from>
    <xdr:to>
      <xdr:col>4</xdr:col>
      <xdr:colOff>3943350</xdr:colOff>
      <xdr:row>5</xdr:row>
      <xdr:rowOff>0</xdr:rowOff>
    </xdr:to>
    <xdr:pic>
      <xdr:nvPicPr>
        <xdr:cNvPr id="890342" name="Afbeelding 1">
          <a:hlinkClick xmlns:r="http://schemas.openxmlformats.org/officeDocument/2006/relationships" r:id="rId1"/>
          <a:extLst>
            <a:ext uri="{FF2B5EF4-FFF2-40B4-BE49-F238E27FC236}">
              <a16:creationId xmlns:a16="http://schemas.microsoft.com/office/drawing/2014/main" id="{00000000-0008-0000-0000-0000E6950D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444" b="23858"/>
        <a:stretch/>
      </xdr:blipFill>
      <xdr:spPr bwMode="auto">
        <a:xfrm>
          <a:off x="2743200" y="275771"/>
          <a:ext cx="1381125" cy="657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47625</xdr:colOff>
      <xdr:row>2</xdr:row>
      <xdr:rowOff>9525</xdr:rowOff>
    </xdr:from>
    <xdr:to>
      <xdr:col>4</xdr:col>
      <xdr:colOff>2343150</xdr:colOff>
      <xdr:row>4</xdr:row>
      <xdr:rowOff>188923</xdr:rowOff>
    </xdr:to>
    <xdr:pic>
      <xdr:nvPicPr>
        <xdr:cNvPr id="3" name="Afbeelding 2" descr="Expertise Centrum Warmte logo">
          <a:hlinkClick xmlns:r="http://schemas.openxmlformats.org/officeDocument/2006/relationships" r:id="rId3"/>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8600" y="276225"/>
          <a:ext cx="2295525" cy="6556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5248275</xdr:colOff>
      <xdr:row>2</xdr:row>
      <xdr:rowOff>0</xdr:rowOff>
    </xdr:from>
    <xdr:to>
      <xdr:col>5</xdr:col>
      <xdr:colOff>0</xdr:colOff>
      <xdr:row>4</xdr:row>
      <xdr:rowOff>180974</xdr:rowOff>
    </xdr:to>
    <xdr:sp macro="" textlink="">
      <xdr:nvSpPr>
        <xdr:cNvPr id="4" name="Rectangle 3">
          <a:hlinkClick xmlns:r="http://schemas.openxmlformats.org/officeDocument/2006/relationships" r:id="rId5" tooltip="Naar de invoer van de woningen en utiliteitsgebouwen in het gebied."/>
          <a:extLst>
            <a:ext uri="{FF2B5EF4-FFF2-40B4-BE49-F238E27FC236}">
              <a16:creationId xmlns:a16="http://schemas.microsoft.com/office/drawing/2014/main" id="{00000000-0008-0000-0000-000004000000}"/>
            </a:ext>
          </a:extLst>
        </xdr:cNvPr>
        <xdr:cNvSpPr>
          <a:spLocks noChangeArrowheads="1"/>
        </xdr:cNvSpPr>
      </xdr:nvSpPr>
      <xdr:spPr bwMode="auto">
        <a:xfrm>
          <a:off x="5429250" y="466725"/>
          <a:ext cx="1581150" cy="647699"/>
        </a:xfrm>
        <a:prstGeom prst="rect">
          <a:avLst/>
        </a:prstGeom>
        <a:gradFill flip="none" rotWithShape="1">
          <a:gsLst>
            <a:gs pos="6000">
              <a:schemeClr val="bg1">
                <a:lumMod val="95000"/>
              </a:schemeClr>
            </a:gs>
            <a:gs pos="0">
              <a:schemeClr val="bg1"/>
            </a:gs>
            <a:gs pos="90036">
              <a:schemeClr val="bg1">
                <a:lumMod val="85000"/>
              </a:schemeClr>
            </a:gs>
            <a:gs pos="100000">
              <a:schemeClr val="bg1">
                <a:lumMod val="65000"/>
              </a:schemeClr>
            </a:gs>
          </a:gsLst>
          <a:lin ang="5400000" scaled="1"/>
          <a:tileRect/>
        </a:gradFill>
        <a:ln w="635">
          <a:solidFill>
            <a:schemeClr val="bg1">
              <a:lumMod val="65000"/>
            </a:schemeClr>
          </a:solidFill>
        </a:ln>
        <a:effectLst>
          <a:outerShdw blurRad="50800" dist="38100" dir="2700000" algn="tl" rotWithShape="0">
            <a:prstClr val="black">
              <a:alpha val="40000"/>
            </a:prstClr>
          </a:outerShdw>
        </a:effectLst>
      </xdr:spPr>
      <xdr:txBody>
        <a:bodyPr vertOverflow="clip" wrap="square" lIns="0" tIns="0" rIns="0" bIns="0" anchor="ctr" upright="1"/>
        <a:lstStyle/>
        <a:p>
          <a:pPr marL="0" indent="0" algn="ctr" rtl="0">
            <a:defRPr sz="1000"/>
          </a:pPr>
          <a:r>
            <a:rPr lang="nl-NL" sz="1000" b="0" i="0" u="none" strike="noStrike" baseline="0">
              <a:solidFill>
                <a:schemeClr val="tx2"/>
              </a:solidFill>
              <a:latin typeface="Calibri Light" panose="020F0302020204030204" pitchFamily="34" charset="0"/>
              <a:ea typeface="Verdana"/>
              <a:cs typeface="Calibri Light" panose="020F0302020204030204" pitchFamily="34" charset="0"/>
            </a:rPr>
            <a:t>Start met de</a:t>
          </a:r>
        </a:p>
        <a:p>
          <a:pPr marL="0" indent="0" algn="ctr" rtl="0">
            <a:defRPr sz="1000"/>
          </a:pPr>
          <a:r>
            <a:rPr lang="nl-NL" sz="1000" b="0" i="0" u="none" strike="noStrike" baseline="0">
              <a:solidFill>
                <a:schemeClr val="tx2"/>
              </a:solidFill>
              <a:latin typeface="Calibri Light" panose="020F0302020204030204" pitchFamily="34" charset="0"/>
              <a:ea typeface="Verdana"/>
              <a:cs typeface="Calibri Light" panose="020F0302020204030204" pitchFamily="34" charset="0"/>
            </a:rPr>
            <a:t>Uniforme Maatlat</a:t>
          </a:r>
        </a:p>
        <a:p>
          <a:pPr marL="0" indent="0" algn="ctr" rtl="0">
            <a:defRPr sz="1000"/>
          </a:pPr>
          <a:r>
            <a:rPr lang="nl-NL" sz="1000" b="0" i="0" u="none" strike="noStrike" baseline="0">
              <a:solidFill>
                <a:schemeClr val="tx2"/>
              </a:solidFill>
              <a:latin typeface="Calibri Light" panose="020F0302020204030204" pitchFamily="34" charset="0"/>
              <a:ea typeface="Verdana"/>
              <a:cs typeface="Calibri Light" panose="020F0302020204030204" pitchFamily="34" charset="0"/>
            </a:rPr>
            <a:t>Gebouwde Omgeving </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0</xdr:colOff>
      <xdr:row>244</xdr:row>
      <xdr:rowOff>0</xdr:rowOff>
    </xdr:from>
    <xdr:to>
      <xdr:col>18</xdr:col>
      <xdr:colOff>0</xdr:colOff>
      <xdr:row>245</xdr:row>
      <xdr:rowOff>0</xdr:rowOff>
    </xdr:to>
    <xdr:graphicFrame macro="">
      <xdr:nvGraphicFramePr>
        <xdr:cNvPr id="15" name="Grafiek 1554">
          <a:extLst>
            <a:ext uri="{FF2B5EF4-FFF2-40B4-BE49-F238E27FC236}">
              <a16:creationId xmlns:a16="http://schemas.microsoft.com/office/drawing/2014/main" id="{00000000-0008-0000-09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246</xdr:row>
      <xdr:rowOff>0</xdr:rowOff>
    </xdr:from>
    <xdr:to>
      <xdr:col>18</xdr:col>
      <xdr:colOff>0</xdr:colOff>
      <xdr:row>247</xdr:row>
      <xdr:rowOff>0</xdr:rowOff>
    </xdr:to>
    <xdr:graphicFrame macro="">
      <xdr:nvGraphicFramePr>
        <xdr:cNvPr id="18" name="Grafiek 1554">
          <a:extLst>
            <a:ext uri="{FF2B5EF4-FFF2-40B4-BE49-F238E27FC236}">
              <a16:creationId xmlns:a16="http://schemas.microsoft.com/office/drawing/2014/main" id="{00000000-0008-0000-09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4</xdr:col>
      <xdr:colOff>0</xdr:colOff>
      <xdr:row>7</xdr:row>
      <xdr:rowOff>28575</xdr:rowOff>
    </xdr:from>
    <xdr:to>
      <xdr:col>4</xdr:col>
      <xdr:colOff>216000</xdr:colOff>
      <xdr:row>7</xdr:row>
      <xdr:rowOff>226748</xdr:rowOff>
    </xdr:to>
    <xdr:sp macro="" textlink="">
      <xdr:nvSpPr>
        <xdr:cNvPr id="23" name="Rectangle 3">
          <a:hlinkClick xmlns:r="http://schemas.openxmlformats.org/officeDocument/2006/relationships" r:id="rId3" tooltip="Naar de handleiding"/>
          <a:extLst>
            <a:ext uri="{FF2B5EF4-FFF2-40B4-BE49-F238E27FC236}">
              <a16:creationId xmlns:a16="http://schemas.microsoft.com/office/drawing/2014/main" id="{00000000-0008-0000-0900-000017000000}"/>
            </a:ext>
          </a:extLst>
        </xdr:cNvPr>
        <xdr:cNvSpPr>
          <a:spLocks noChangeArrowheads="1"/>
        </xdr:cNvSpPr>
      </xdr:nvSpPr>
      <xdr:spPr bwMode="auto">
        <a:xfrm>
          <a:off x="581025" y="1590675"/>
          <a:ext cx="216000" cy="198173"/>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i</a:t>
          </a:r>
        </a:p>
      </xdr:txBody>
    </xdr:sp>
    <xdr:clientData/>
  </xdr:twoCellAnchor>
  <xdr:twoCellAnchor editAs="absolute">
    <xdr:from>
      <xdr:col>4</xdr:col>
      <xdr:colOff>238934</xdr:colOff>
      <xdr:row>7</xdr:row>
      <xdr:rowOff>28575</xdr:rowOff>
    </xdr:from>
    <xdr:to>
      <xdr:col>4</xdr:col>
      <xdr:colOff>1354934</xdr:colOff>
      <xdr:row>7</xdr:row>
      <xdr:rowOff>226575</xdr:rowOff>
    </xdr:to>
    <xdr:sp macro="" textlink="">
      <xdr:nvSpPr>
        <xdr:cNvPr id="24" name="Rectangle 3">
          <a:hlinkClick xmlns:r="http://schemas.openxmlformats.org/officeDocument/2006/relationships" r:id="rId4" tooltip="Naar de invoer van de woningen en utiliteitsgebouwen in het gebied."/>
          <a:extLst>
            <a:ext uri="{FF2B5EF4-FFF2-40B4-BE49-F238E27FC236}">
              <a16:creationId xmlns:a16="http://schemas.microsoft.com/office/drawing/2014/main" id="{00000000-0008-0000-0900-000018000000}"/>
            </a:ext>
          </a:extLst>
        </xdr:cNvPr>
        <xdr:cNvSpPr>
          <a:spLocks noChangeArrowheads="1"/>
        </xdr:cNvSpPr>
      </xdr:nvSpPr>
      <xdr:spPr bwMode="auto">
        <a:xfrm>
          <a:off x="819959" y="1590675"/>
          <a:ext cx="111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woningen|utiliteit</a:t>
          </a:r>
        </a:p>
      </xdr:txBody>
    </xdr:sp>
    <xdr:clientData/>
  </xdr:twoCellAnchor>
  <xdr:twoCellAnchor editAs="absolute">
    <xdr:from>
      <xdr:col>4</xdr:col>
      <xdr:colOff>1380966</xdr:colOff>
      <xdr:row>7</xdr:row>
      <xdr:rowOff>28575</xdr:rowOff>
    </xdr:from>
    <xdr:to>
      <xdr:col>4</xdr:col>
      <xdr:colOff>1812966</xdr:colOff>
      <xdr:row>7</xdr:row>
      <xdr:rowOff>226575</xdr:rowOff>
    </xdr:to>
    <xdr:sp macro="" textlink="">
      <xdr:nvSpPr>
        <xdr:cNvPr id="25" name="Rectangle 4">
          <a:hlinkClick xmlns:r="http://schemas.openxmlformats.org/officeDocument/2006/relationships" r:id="rId5" tooltip="Naar invoer installaties en berekening variant 1"/>
          <a:extLst>
            <a:ext uri="{FF2B5EF4-FFF2-40B4-BE49-F238E27FC236}">
              <a16:creationId xmlns:a16="http://schemas.microsoft.com/office/drawing/2014/main" id="{00000000-0008-0000-0900-000019000000}"/>
            </a:ext>
          </a:extLst>
        </xdr:cNvPr>
        <xdr:cNvSpPr>
          <a:spLocks noChangeArrowheads="1"/>
        </xdr:cNvSpPr>
      </xdr:nvSpPr>
      <xdr:spPr bwMode="auto">
        <a:xfrm>
          <a:off x="1961991" y="1590675"/>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var1</a:t>
          </a:r>
        </a:p>
      </xdr:txBody>
    </xdr:sp>
    <xdr:clientData/>
  </xdr:twoCellAnchor>
  <xdr:twoCellAnchor editAs="absolute">
    <xdr:from>
      <xdr:col>4</xdr:col>
      <xdr:colOff>1839883</xdr:colOff>
      <xdr:row>7</xdr:row>
      <xdr:rowOff>28575</xdr:rowOff>
    </xdr:from>
    <xdr:to>
      <xdr:col>5</xdr:col>
      <xdr:colOff>205766</xdr:colOff>
      <xdr:row>7</xdr:row>
      <xdr:rowOff>226575</xdr:rowOff>
    </xdr:to>
    <xdr:sp macro="" textlink="">
      <xdr:nvSpPr>
        <xdr:cNvPr id="26" name="Rectangle 8">
          <a:hlinkClick xmlns:r="http://schemas.openxmlformats.org/officeDocument/2006/relationships" r:id="rId6" tooltip="Naar invoer installaties en berekening variant 2."/>
          <a:extLst>
            <a:ext uri="{FF2B5EF4-FFF2-40B4-BE49-F238E27FC236}">
              <a16:creationId xmlns:a16="http://schemas.microsoft.com/office/drawing/2014/main" id="{00000000-0008-0000-0900-00001A000000}"/>
            </a:ext>
          </a:extLst>
        </xdr:cNvPr>
        <xdr:cNvSpPr>
          <a:spLocks noChangeArrowheads="1"/>
        </xdr:cNvSpPr>
      </xdr:nvSpPr>
      <xdr:spPr bwMode="auto">
        <a:xfrm>
          <a:off x="2420908" y="1590675"/>
          <a:ext cx="432808"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var2</a:t>
          </a:r>
        </a:p>
      </xdr:txBody>
    </xdr:sp>
    <xdr:clientData/>
  </xdr:twoCellAnchor>
  <xdr:twoCellAnchor editAs="absolute">
    <xdr:from>
      <xdr:col>5</xdr:col>
      <xdr:colOff>241975</xdr:colOff>
      <xdr:row>7</xdr:row>
      <xdr:rowOff>28575</xdr:rowOff>
    </xdr:from>
    <xdr:to>
      <xdr:col>5</xdr:col>
      <xdr:colOff>673975</xdr:colOff>
      <xdr:row>7</xdr:row>
      <xdr:rowOff>226575</xdr:rowOff>
    </xdr:to>
    <xdr:sp macro="" textlink="">
      <xdr:nvSpPr>
        <xdr:cNvPr id="27" name="Rectangle 9">
          <a:hlinkClick xmlns:r="http://schemas.openxmlformats.org/officeDocument/2006/relationships" r:id="rId7" tooltip="Naar invoer installaties en berekening variant 3."/>
          <a:extLst>
            <a:ext uri="{FF2B5EF4-FFF2-40B4-BE49-F238E27FC236}">
              <a16:creationId xmlns:a16="http://schemas.microsoft.com/office/drawing/2014/main" id="{00000000-0008-0000-0900-00001B000000}"/>
            </a:ext>
          </a:extLst>
        </xdr:cNvPr>
        <xdr:cNvSpPr>
          <a:spLocks noChangeArrowheads="1"/>
        </xdr:cNvSpPr>
      </xdr:nvSpPr>
      <xdr:spPr bwMode="auto">
        <a:xfrm>
          <a:off x="2889925" y="1590675"/>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var3</a:t>
          </a:r>
        </a:p>
      </xdr:txBody>
    </xdr:sp>
    <xdr:clientData/>
  </xdr:twoCellAnchor>
  <xdr:twoCellAnchor editAs="absolute">
    <xdr:from>
      <xdr:col>5</xdr:col>
      <xdr:colOff>705911</xdr:colOff>
      <xdr:row>7</xdr:row>
      <xdr:rowOff>28575</xdr:rowOff>
    </xdr:from>
    <xdr:to>
      <xdr:col>5</xdr:col>
      <xdr:colOff>1140293</xdr:colOff>
      <xdr:row>7</xdr:row>
      <xdr:rowOff>226575</xdr:rowOff>
    </xdr:to>
    <xdr:sp macro="" textlink="">
      <xdr:nvSpPr>
        <xdr:cNvPr id="28" name="Rectangle 10">
          <a:hlinkClick xmlns:r="http://schemas.openxmlformats.org/officeDocument/2006/relationships" r:id="rId8" tooltip="Naar invoer installaties en berekening variant 4."/>
          <a:extLst>
            <a:ext uri="{FF2B5EF4-FFF2-40B4-BE49-F238E27FC236}">
              <a16:creationId xmlns:a16="http://schemas.microsoft.com/office/drawing/2014/main" id="{00000000-0008-0000-0900-00001C000000}"/>
            </a:ext>
          </a:extLst>
        </xdr:cNvPr>
        <xdr:cNvSpPr>
          <a:spLocks noChangeArrowheads="1"/>
        </xdr:cNvSpPr>
      </xdr:nvSpPr>
      <xdr:spPr bwMode="auto">
        <a:xfrm>
          <a:off x="3353861" y="1590675"/>
          <a:ext cx="434382"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var4</a:t>
          </a:r>
        </a:p>
      </xdr:txBody>
    </xdr:sp>
    <xdr:clientData/>
  </xdr:twoCellAnchor>
  <xdr:twoCellAnchor editAs="absolute">
    <xdr:from>
      <xdr:col>5</xdr:col>
      <xdr:colOff>1168906</xdr:colOff>
      <xdr:row>7</xdr:row>
      <xdr:rowOff>28575</xdr:rowOff>
    </xdr:from>
    <xdr:to>
      <xdr:col>5</xdr:col>
      <xdr:colOff>1600906</xdr:colOff>
      <xdr:row>7</xdr:row>
      <xdr:rowOff>226575</xdr:rowOff>
    </xdr:to>
    <xdr:sp macro="" textlink="">
      <xdr:nvSpPr>
        <xdr:cNvPr id="29" name="Rectangle 11">
          <a:hlinkClick xmlns:r="http://schemas.openxmlformats.org/officeDocument/2006/relationships" r:id="rId9" tooltip="Naar invoer installaties en berekening variant 5."/>
          <a:extLst>
            <a:ext uri="{FF2B5EF4-FFF2-40B4-BE49-F238E27FC236}">
              <a16:creationId xmlns:a16="http://schemas.microsoft.com/office/drawing/2014/main" id="{00000000-0008-0000-0900-00001D000000}"/>
            </a:ext>
          </a:extLst>
        </xdr:cNvPr>
        <xdr:cNvSpPr>
          <a:spLocks noChangeArrowheads="1"/>
        </xdr:cNvSpPr>
      </xdr:nvSpPr>
      <xdr:spPr bwMode="auto">
        <a:xfrm>
          <a:off x="3816856" y="1590675"/>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var5</a:t>
          </a:r>
        </a:p>
      </xdr:txBody>
    </xdr:sp>
    <xdr:clientData/>
  </xdr:twoCellAnchor>
  <xdr:twoCellAnchor editAs="absolute">
    <xdr:from>
      <xdr:col>5</xdr:col>
      <xdr:colOff>1633173</xdr:colOff>
      <xdr:row>7</xdr:row>
      <xdr:rowOff>28575</xdr:rowOff>
    </xdr:from>
    <xdr:to>
      <xdr:col>6</xdr:col>
      <xdr:colOff>4309</xdr:colOff>
      <xdr:row>7</xdr:row>
      <xdr:rowOff>226575</xdr:rowOff>
    </xdr:to>
    <xdr:sp macro="" textlink="">
      <xdr:nvSpPr>
        <xdr:cNvPr id="30" name="Rectangle 7">
          <a:hlinkClick xmlns:r="http://schemas.openxmlformats.org/officeDocument/2006/relationships" r:id="rId10" tooltip="Naar invoer installaties en berekening variant 6."/>
          <a:extLst>
            <a:ext uri="{FF2B5EF4-FFF2-40B4-BE49-F238E27FC236}">
              <a16:creationId xmlns:a16="http://schemas.microsoft.com/office/drawing/2014/main" id="{00000000-0008-0000-0900-00001E000000}"/>
            </a:ext>
          </a:extLst>
        </xdr:cNvPr>
        <xdr:cNvSpPr>
          <a:spLocks noChangeArrowheads="1"/>
        </xdr:cNvSpPr>
      </xdr:nvSpPr>
      <xdr:spPr bwMode="auto">
        <a:xfrm>
          <a:off x="4281123" y="1590675"/>
          <a:ext cx="438061"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var6</a:t>
          </a:r>
        </a:p>
      </xdr:txBody>
    </xdr:sp>
    <xdr:clientData/>
  </xdr:twoCellAnchor>
  <xdr:twoCellAnchor editAs="absolute">
    <xdr:from>
      <xdr:col>6</xdr:col>
      <xdr:colOff>31959</xdr:colOff>
      <xdr:row>7</xdr:row>
      <xdr:rowOff>28575</xdr:rowOff>
    </xdr:from>
    <xdr:to>
      <xdr:col>6</xdr:col>
      <xdr:colOff>697959</xdr:colOff>
      <xdr:row>7</xdr:row>
      <xdr:rowOff>226575</xdr:rowOff>
    </xdr:to>
    <xdr:sp macro="" textlink="">
      <xdr:nvSpPr>
        <xdr:cNvPr id="31" name="Rectangle 5">
          <a:hlinkClick xmlns:r="http://schemas.openxmlformats.org/officeDocument/2006/relationships" r:id="rId11" tooltip="Naar het overzicht van de rekenresultaten van de referentie en de varianten."/>
          <a:extLst>
            <a:ext uri="{FF2B5EF4-FFF2-40B4-BE49-F238E27FC236}">
              <a16:creationId xmlns:a16="http://schemas.microsoft.com/office/drawing/2014/main" id="{00000000-0008-0000-0900-00001F000000}"/>
            </a:ext>
          </a:extLst>
        </xdr:cNvPr>
        <xdr:cNvSpPr>
          <a:spLocks noChangeArrowheads="1"/>
        </xdr:cNvSpPr>
      </xdr:nvSpPr>
      <xdr:spPr bwMode="auto">
        <a:xfrm>
          <a:off x="4746834" y="1590675"/>
          <a:ext cx="666000" cy="198000"/>
        </a:xfrm>
        <a:prstGeom prst="rect">
          <a:avLst/>
        </a:prstGeom>
        <a:gradFill>
          <a:gsLst>
            <a:gs pos="84000">
              <a:schemeClr val="accent1">
                <a:lumMod val="40000"/>
                <a:lumOff val="60000"/>
              </a:schemeClr>
            </a:gs>
            <a:gs pos="99000">
              <a:schemeClr val="accent1"/>
            </a:gs>
            <a:gs pos="16000">
              <a:schemeClr val="accent1">
                <a:lumMod val="20000"/>
                <a:lumOff val="80000"/>
              </a:schemeClr>
            </a:gs>
            <a:gs pos="0">
              <a:schemeClr val="bg1"/>
            </a:gs>
          </a:gsLst>
          <a:lin ang="5400000" scaled="1"/>
        </a:gradFill>
        <a:ln w="635">
          <a:solidFill>
            <a:schemeClr val="bg1">
              <a:lumMod val="65000"/>
            </a:schemeClr>
          </a:solidFill>
        </a:ln>
        <a:effectLst>
          <a:outerShdw blurRad="50800" dist="38100" dir="5400000" algn="t" rotWithShape="0">
            <a:schemeClr val="accent1">
              <a:lumMod val="60000"/>
              <a:lumOff val="4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tx1">
                  <a:lumMod val="65000"/>
                  <a:lumOff val="35000"/>
                </a:schemeClr>
              </a:solidFill>
              <a:latin typeface="Calibri Light" panose="020F0302020204030204" pitchFamily="34" charset="0"/>
              <a:ea typeface="Verdana"/>
              <a:cs typeface="Calibri Light" panose="020F0302020204030204" pitchFamily="34" charset="0"/>
            </a:rPr>
            <a:t>resultaten</a:t>
          </a:r>
        </a:p>
      </xdr:txBody>
    </xdr:sp>
    <xdr:clientData/>
  </xdr:twoCellAnchor>
  <xdr:twoCellAnchor editAs="absolute">
    <xdr:from>
      <xdr:col>6</xdr:col>
      <xdr:colOff>721863</xdr:colOff>
      <xdr:row>7</xdr:row>
      <xdr:rowOff>28575</xdr:rowOff>
    </xdr:from>
    <xdr:to>
      <xdr:col>7</xdr:col>
      <xdr:colOff>1178</xdr:colOff>
      <xdr:row>7</xdr:row>
      <xdr:rowOff>226575</xdr:rowOff>
    </xdr:to>
    <xdr:sp macro="" textlink="">
      <xdr:nvSpPr>
        <xdr:cNvPr id="34" name="Rectangle 6">
          <a:hlinkClick xmlns:r="http://schemas.openxmlformats.org/officeDocument/2006/relationships" r:id="rId12" tooltip="Naar de bibilotheek met gegevens van gebouwen en installaties."/>
          <a:extLst>
            <a:ext uri="{FF2B5EF4-FFF2-40B4-BE49-F238E27FC236}">
              <a16:creationId xmlns:a16="http://schemas.microsoft.com/office/drawing/2014/main" id="{00000000-0008-0000-0900-000022000000}"/>
            </a:ext>
          </a:extLst>
        </xdr:cNvPr>
        <xdr:cNvSpPr>
          <a:spLocks noChangeArrowheads="1"/>
        </xdr:cNvSpPr>
      </xdr:nvSpPr>
      <xdr:spPr bwMode="auto">
        <a:xfrm>
          <a:off x="5436738" y="1590675"/>
          <a:ext cx="73664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bibliotheek</a:t>
          </a: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0.08495</cdr:x>
      <cdr:y>0.04436</cdr:y>
    </cdr:from>
    <cdr:to>
      <cdr:x>0.54519</cdr:x>
      <cdr:y>0.12819</cdr:y>
    </cdr:to>
    <cdr:sp macro="" textlink="">
      <cdr:nvSpPr>
        <cdr:cNvPr id="317441" name="Text Box 1025"/>
        <cdr:cNvSpPr txBox="1">
          <a:spLocks xmlns:a="http://schemas.openxmlformats.org/drawingml/2006/main" noChangeArrowheads="1"/>
        </cdr:cNvSpPr>
      </cdr:nvSpPr>
      <cdr:spPr bwMode="auto">
        <a:xfrm xmlns:a="http://schemas.openxmlformats.org/drawingml/2006/main">
          <a:off x="635984" y="115350"/>
          <a:ext cx="3445656" cy="21798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22860" rIns="0" bIns="22860" anchor="ctr" upright="1"/>
        <a:lstStyle xmlns:a="http://schemas.openxmlformats.org/drawingml/2006/main"/>
        <a:p xmlns:a="http://schemas.openxmlformats.org/drawingml/2006/main">
          <a:pPr algn="l" rtl="0">
            <a:defRPr sz="1000"/>
          </a:pPr>
          <a:r>
            <a:rPr lang="nl-NL" sz="1200" b="1" i="0" u="none" strike="noStrike" baseline="0">
              <a:solidFill>
                <a:sysClr val="windowText" lastClr="000000"/>
              </a:solidFill>
              <a:latin typeface="+mn-lt"/>
              <a:ea typeface="Verdana"/>
              <a:cs typeface="Verdana"/>
            </a:rPr>
            <a:t>CO2 emissie </a:t>
          </a:r>
          <a:r>
            <a:rPr lang="nl-NL" sz="1200" b="0" i="1" u="none" strike="noStrike" baseline="0">
              <a:solidFill>
                <a:sysClr val="windowText" lastClr="000000"/>
              </a:solidFill>
              <a:latin typeface="+mn-lt"/>
              <a:ea typeface="Verdana"/>
              <a:cs typeface="Verdana"/>
            </a:rPr>
            <a:t>ton per jaar</a:t>
          </a:r>
          <a:endParaRPr lang="nl-NL" sz="1200" i="1">
            <a:solidFill>
              <a:sysClr val="windowText" lastClr="000000"/>
            </a:solidFill>
            <a:latin typeface="+mn-lt"/>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0.08495</cdr:x>
      <cdr:y>0.04436</cdr:y>
    </cdr:from>
    <cdr:to>
      <cdr:x>0.54519</cdr:x>
      <cdr:y>0.12819</cdr:y>
    </cdr:to>
    <cdr:sp macro="" textlink="">
      <cdr:nvSpPr>
        <cdr:cNvPr id="317441" name="Text Box 1025"/>
        <cdr:cNvSpPr txBox="1">
          <a:spLocks xmlns:a="http://schemas.openxmlformats.org/drawingml/2006/main" noChangeArrowheads="1"/>
        </cdr:cNvSpPr>
      </cdr:nvSpPr>
      <cdr:spPr bwMode="auto">
        <a:xfrm xmlns:a="http://schemas.openxmlformats.org/drawingml/2006/main">
          <a:off x="635984" y="115350"/>
          <a:ext cx="3445656" cy="21798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22860" rIns="0" bIns="22860" anchor="ctr" upright="1"/>
        <a:lstStyle xmlns:a="http://schemas.openxmlformats.org/drawingml/2006/main"/>
        <a:p xmlns:a="http://schemas.openxmlformats.org/drawingml/2006/main">
          <a:pPr algn="l" rtl="0">
            <a:defRPr sz="1000"/>
          </a:pPr>
          <a:r>
            <a:rPr lang="nl-NL" sz="1200" b="1" i="0" u="none" strike="noStrike" baseline="0">
              <a:solidFill>
                <a:sysClr val="windowText" lastClr="000000"/>
              </a:solidFill>
              <a:latin typeface="+mn-lt"/>
              <a:ea typeface="Verdana"/>
              <a:cs typeface="Verdana"/>
            </a:rPr>
            <a:t>Fossiel energiegebruik  </a:t>
          </a:r>
          <a:r>
            <a:rPr lang="nl-NL" sz="1200" b="0" i="1" u="none" strike="noStrike" baseline="0">
              <a:solidFill>
                <a:sysClr val="windowText" lastClr="000000"/>
              </a:solidFill>
              <a:latin typeface="+mn-lt"/>
              <a:ea typeface="Verdana"/>
              <a:cs typeface="Verdana"/>
            </a:rPr>
            <a:t>MWh per jaar</a:t>
          </a:r>
          <a:endParaRPr lang="nl-NL" sz="1200" i="1">
            <a:solidFill>
              <a:sysClr val="windowText" lastClr="000000"/>
            </a:solidFill>
            <a:latin typeface="+mn-lt"/>
          </a:endParaRPr>
        </a:p>
      </cdr:txBody>
    </cdr:sp>
  </cdr:relSizeAnchor>
</c:userShapes>
</file>

<file path=xl/drawings/drawing13.xml><?xml version="1.0" encoding="utf-8"?>
<xdr:wsDr xmlns:xdr="http://schemas.openxmlformats.org/drawingml/2006/spreadsheetDrawing" xmlns:a="http://schemas.openxmlformats.org/drawingml/2006/main">
  <xdr:twoCellAnchor editAs="absolute">
    <xdr:from>
      <xdr:col>4</xdr:col>
      <xdr:colOff>0</xdr:colOff>
      <xdr:row>7</xdr:row>
      <xdr:rowOff>15467</xdr:rowOff>
    </xdr:from>
    <xdr:to>
      <xdr:col>4</xdr:col>
      <xdr:colOff>212190</xdr:colOff>
      <xdr:row>7</xdr:row>
      <xdr:rowOff>209830</xdr:rowOff>
    </xdr:to>
    <xdr:sp macro="" textlink="">
      <xdr:nvSpPr>
        <xdr:cNvPr id="12" name="Rectangle 3">
          <a:hlinkClick xmlns:r="http://schemas.openxmlformats.org/officeDocument/2006/relationships" r:id="rId1" tooltip="Naar de handleiding"/>
          <a:extLst>
            <a:ext uri="{FF2B5EF4-FFF2-40B4-BE49-F238E27FC236}">
              <a16:creationId xmlns:a16="http://schemas.microsoft.com/office/drawing/2014/main" id="{00000000-0008-0000-0A00-00000C000000}"/>
            </a:ext>
          </a:extLst>
        </xdr:cNvPr>
        <xdr:cNvSpPr>
          <a:spLocks noChangeArrowheads="1"/>
        </xdr:cNvSpPr>
      </xdr:nvSpPr>
      <xdr:spPr bwMode="auto">
        <a:xfrm>
          <a:off x="571500" y="1576671"/>
          <a:ext cx="208380" cy="192458"/>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i</a:t>
          </a:r>
        </a:p>
      </xdr:txBody>
    </xdr:sp>
    <xdr:clientData/>
  </xdr:twoCellAnchor>
  <xdr:twoCellAnchor editAs="absolute">
    <xdr:from>
      <xdr:col>4</xdr:col>
      <xdr:colOff>248459</xdr:colOff>
      <xdr:row>7</xdr:row>
      <xdr:rowOff>15467</xdr:rowOff>
    </xdr:from>
    <xdr:to>
      <xdr:col>4</xdr:col>
      <xdr:colOff>1351124</xdr:colOff>
      <xdr:row>7</xdr:row>
      <xdr:rowOff>205847</xdr:rowOff>
    </xdr:to>
    <xdr:sp macro="" textlink="">
      <xdr:nvSpPr>
        <xdr:cNvPr id="13" name="Rectangle 3">
          <a:hlinkClick xmlns:r="http://schemas.openxmlformats.org/officeDocument/2006/relationships" r:id="rId2" tooltip="Naar de invoer van de woningen en utiliteitsgebouwen in het gebied."/>
          <a:extLst>
            <a:ext uri="{FF2B5EF4-FFF2-40B4-BE49-F238E27FC236}">
              <a16:creationId xmlns:a16="http://schemas.microsoft.com/office/drawing/2014/main" id="{00000000-0008-0000-0A00-00000D000000}"/>
            </a:ext>
          </a:extLst>
        </xdr:cNvPr>
        <xdr:cNvSpPr>
          <a:spLocks noChangeArrowheads="1"/>
        </xdr:cNvSpPr>
      </xdr:nvSpPr>
      <xdr:spPr bwMode="auto">
        <a:xfrm>
          <a:off x="816149" y="1576671"/>
          <a:ext cx="1110285" cy="19038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woningen|utiliteit</a:t>
          </a:r>
        </a:p>
      </xdr:txBody>
    </xdr:sp>
    <xdr:clientData/>
  </xdr:twoCellAnchor>
  <xdr:twoCellAnchor editAs="absolute">
    <xdr:from>
      <xdr:col>4</xdr:col>
      <xdr:colOff>1388586</xdr:colOff>
      <xdr:row>7</xdr:row>
      <xdr:rowOff>15467</xdr:rowOff>
    </xdr:from>
    <xdr:to>
      <xdr:col>4</xdr:col>
      <xdr:colOff>1809156</xdr:colOff>
      <xdr:row>7</xdr:row>
      <xdr:rowOff>205847</xdr:rowOff>
    </xdr:to>
    <xdr:sp macro="" textlink="">
      <xdr:nvSpPr>
        <xdr:cNvPr id="20" name="Rectangle 4">
          <a:hlinkClick xmlns:r="http://schemas.openxmlformats.org/officeDocument/2006/relationships" r:id="rId3" tooltip="Naar invoer installaties en berekening variant 1"/>
          <a:extLst>
            <a:ext uri="{FF2B5EF4-FFF2-40B4-BE49-F238E27FC236}">
              <a16:creationId xmlns:a16="http://schemas.microsoft.com/office/drawing/2014/main" id="{00000000-0008-0000-0A00-000014000000}"/>
            </a:ext>
          </a:extLst>
        </xdr:cNvPr>
        <xdr:cNvSpPr>
          <a:spLocks noChangeArrowheads="1"/>
        </xdr:cNvSpPr>
      </xdr:nvSpPr>
      <xdr:spPr bwMode="auto">
        <a:xfrm>
          <a:off x="1963896" y="1576671"/>
          <a:ext cx="420570" cy="19038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var1</a:t>
          </a:r>
        </a:p>
      </xdr:txBody>
    </xdr:sp>
    <xdr:clientData/>
  </xdr:twoCellAnchor>
  <xdr:twoCellAnchor editAs="absolute">
    <xdr:from>
      <xdr:col>4</xdr:col>
      <xdr:colOff>1849408</xdr:colOff>
      <xdr:row>7</xdr:row>
      <xdr:rowOff>15467</xdr:rowOff>
    </xdr:from>
    <xdr:to>
      <xdr:col>5</xdr:col>
      <xdr:colOff>173381</xdr:colOff>
      <xdr:row>7</xdr:row>
      <xdr:rowOff>205847</xdr:rowOff>
    </xdr:to>
    <xdr:sp macro="" textlink="">
      <xdr:nvSpPr>
        <xdr:cNvPr id="25" name="Rectangle 8">
          <a:hlinkClick xmlns:r="http://schemas.openxmlformats.org/officeDocument/2006/relationships" r:id="rId4" tooltip="Naar invoer installaties en berekening variant 2."/>
          <a:extLst>
            <a:ext uri="{FF2B5EF4-FFF2-40B4-BE49-F238E27FC236}">
              <a16:creationId xmlns:a16="http://schemas.microsoft.com/office/drawing/2014/main" id="{00000000-0008-0000-0A00-000019000000}"/>
            </a:ext>
          </a:extLst>
        </xdr:cNvPr>
        <xdr:cNvSpPr>
          <a:spLocks noChangeArrowheads="1"/>
        </xdr:cNvSpPr>
      </xdr:nvSpPr>
      <xdr:spPr bwMode="auto">
        <a:xfrm>
          <a:off x="2417098" y="1576671"/>
          <a:ext cx="419473" cy="19038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var2</a:t>
          </a:r>
        </a:p>
      </xdr:txBody>
    </xdr:sp>
    <xdr:clientData/>
  </xdr:twoCellAnchor>
  <xdr:twoCellAnchor editAs="absolute">
    <xdr:from>
      <xdr:col>5</xdr:col>
      <xdr:colOff>209590</xdr:colOff>
      <xdr:row>7</xdr:row>
      <xdr:rowOff>15467</xdr:rowOff>
    </xdr:from>
    <xdr:to>
      <xdr:col>5</xdr:col>
      <xdr:colOff>645400</xdr:colOff>
      <xdr:row>7</xdr:row>
      <xdr:rowOff>205847</xdr:rowOff>
    </xdr:to>
    <xdr:sp macro="" textlink="">
      <xdr:nvSpPr>
        <xdr:cNvPr id="26" name="Rectangle 9">
          <a:hlinkClick xmlns:r="http://schemas.openxmlformats.org/officeDocument/2006/relationships" r:id="rId5" tooltip="Naar invoer installaties en berekening variant 3."/>
          <a:extLst>
            <a:ext uri="{FF2B5EF4-FFF2-40B4-BE49-F238E27FC236}">
              <a16:creationId xmlns:a16="http://schemas.microsoft.com/office/drawing/2014/main" id="{00000000-0008-0000-0A00-00001A000000}"/>
            </a:ext>
          </a:extLst>
        </xdr:cNvPr>
        <xdr:cNvSpPr>
          <a:spLocks noChangeArrowheads="1"/>
        </xdr:cNvSpPr>
      </xdr:nvSpPr>
      <xdr:spPr bwMode="auto">
        <a:xfrm>
          <a:off x="2872780" y="1576671"/>
          <a:ext cx="439620" cy="19038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var3</a:t>
          </a:r>
        </a:p>
      </xdr:txBody>
    </xdr:sp>
    <xdr:clientData/>
  </xdr:twoCellAnchor>
  <xdr:twoCellAnchor editAs="absolute">
    <xdr:from>
      <xdr:col>5</xdr:col>
      <xdr:colOff>669716</xdr:colOff>
      <xdr:row>7</xdr:row>
      <xdr:rowOff>15467</xdr:rowOff>
    </xdr:from>
    <xdr:to>
      <xdr:col>5</xdr:col>
      <xdr:colOff>1125053</xdr:colOff>
      <xdr:row>7</xdr:row>
      <xdr:rowOff>205847</xdr:rowOff>
    </xdr:to>
    <xdr:sp macro="" textlink="">
      <xdr:nvSpPr>
        <xdr:cNvPr id="27" name="Rectangle 10">
          <a:hlinkClick xmlns:r="http://schemas.openxmlformats.org/officeDocument/2006/relationships" r:id="rId6" tooltip="Naar invoer installaties en berekening variant 4."/>
          <a:extLst>
            <a:ext uri="{FF2B5EF4-FFF2-40B4-BE49-F238E27FC236}">
              <a16:creationId xmlns:a16="http://schemas.microsoft.com/office/drawing/2014/main" id="{00000000-0008-0000-0A00-00001B000000}"/>
            </a:ext>
          </a:extLst>
        </xdr:cNvPr>
        <xdr:cNvSpPr>
          <a:spLocks noChangeArrowheads="1"/>
        </xdr:cNvSpPr>
      </xdr:nvSpPr>
      <xdr:spPr bwMode="auto">
        <a:xfrm>
          <a:off x="3332906" y="1576671"/>
          <a:ext cx="455337" cy="19038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var4</a:t>
          </a:r>
        </a:p>
      </xdr:txBody>
    </xdr:sp>
    <xdr:clientData/>
  </xdr:twoCellAnchor>
  <xdr:twoCellAnchor editAs="absolute">
    <xdr:from>
      <xdr:col>5</xdr:col>
      <xdr:colOff>1140331</xdr:colOff>
      <xdr:row>7</xdr:row>
      <xdr:rowOff>15467</xdr:rowOff>
    </xdr:from>
    <xdr:to>
      <xdr:col>5</xdr:col>
      <xdr:colOff>1581856</xdr:colOff>
      <xdr:row>7</xdr:row>
      <xdr:rowOff>205847</xdr:rowOff>
    </xdr:to>
    <xdr:sp macro="" textlink="">
      <xdr:nvSpPr>
        <xdr:cNvPr id="28" name="Rectangle 11">
          <a:hlinkClick xmlns:r="http://schemas.openxmlformats.org/officeDocument/2006/relationships" r:id="rId7" tooltip="Naar invoer installaties en berekening variant 5."/>
          <a:extLst>
            <a:ext uri="{FF2B5EF4-FFF2-40B4-BE49-F238E27FC236}">
              <a16:creationId xmlns:a16="http://schemas.microsoft.com/office/drawing/2014/main" id="{00000000-0008-0000-0A00-00001C000000}"/>
            </a:ext>
          </a:extLst>
        </xdr:cNvPr>
        <xdr:cNvSpPr>
          <a:spLocks noChangeArrowheads="1"/>
        </xdr:cNvSpPr>
      </xdr:nvSpPr>
      <xdr:spPr bwMode="auto">
        <a:xfrm>
          <a:off x="3807331" y="1576671"/>
          <a:ext cx="437715" cy="19038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var5</a:t>
          </a:r>
        </a:p>
      </xdr:txBody>
    </xdr:sp>
    <xdr:clientData/>
  </xdr:twoCellAnchor>
  <xdr:twoCellAnchor editAs="absolute">
    <xdr:from>
      <xdr:col>5</xdr:col>
      <xdr:colOff>1616028</xdr:colOff>
      <xdr:row>7</xdr:row>
      <xdr:rowOff>15467</xdr:rowOff>
    </xdr:from>
    <xdr:to>
      <xdr:col>5</xdr:col>
      <xdr:colOff>2040408</xdr:colOff>
      <xdr:row>7</xdr:row>
      <xdr:rowOff>205847</xdr:rowOff>
    </xdr:to>
    <xdr:sp macro="" textlink="">
      <xdr:nvSpPr>
        <xdr:cNvPr id="29" name="Rectangle 7">
          <a:hlinkClick xmlns:r="http://schemas.openxmlformats.org/officeDocument/2006/relationships" r:id="rId8" tooltip="Naar invoer installaties en berekening variant 6."/>
          <a:extLst>
            <a:ext uri="{FF2B5EF4-FFF2-40B4-BE49-F238E27FC236}">
              <a16:creationId xmlns:a16="http://schemas.microsoft.com/office/drawing/2014/main" id="{00000000-0008-0000-0A00-00001D000000}"/>
            </a:ext>
          </a:extLst>
        </xdr:cNvPr>
        <xdr:cNvSpPr>
          <a:spLocks noChangeArrowheads="1"/>
        </xdr:cNvSpPr>
      </xdr:nvSpPr>
      <xdr:spPr bwMode="auto">
        <a:xfrm>
          <a:off x="4286838" y="1576671"/>
          <a:ext cx="416760" cy="19038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var6</a:t>
          </a:r>
        </a:p>
      </xdr:txBody>
    </xdr:sp>
    <xdr:clientData/>
  </xdr:twoCellAnchor>
  <xdr:twoCellAnchor editAs="absolute">
    <xdr:from>
      <xdr:col>5</xdr:col>
      <xdr:colOff>2074119</xdr:colOff>
      <xdr:row>7</xdr:row>
      <xdr:rowOff>15467</xdr:rowOff>
    </xdr:from>
    <xdr:to>
      <xdr:col>6</xdr:col>
      <xdr:colOff>627474</xdr:colOff>
      <xdr:row>7</xdr:row>
      <xdr:rowOff>205847</xdr:rowOff>
    </xdr:to>
    <xdr:sp macro="" textlink="">
      <xdr:nvSpPr>
        <xdr:cNvPr id="30" name="Rectangle 5">
          <a:hlinkClick xmlns:r="http://schemas.openxmlformats.org/officeDocument/2006/relationships" r:id="rId9" tooltip="Naar het overzicht van de rekenresultaten van de referentie en de varianten."/>
          <a:extLst>
            <a:ext uri="{FF2B5EF4-FFF2-40B4-BE49-F238E27FC236}">
              <a16:creationId xmlns:a16="http://schemas.microsoft.com/office/drawing/2014/main" id="{00000000-0008-0000-0A00-00001E000000}"/>
            </a:ext>
          </a:extLst>
        </xdr:cNvPr>
        <xdr:cNvSpPr>
          <a:spLocks noChangeArrowheads="1"/>
        </xdr:cNvSpPr>
      </xdr:nvSpPr>
      <xdr:spPr bwMode="auto">
        <a:xfrm>
          <a:off x="4744929" y="1576671"/>
          <a:ext cx="648855" cy="19038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resultaten</a:t>
          </a:r>
        </a:p>
      </xdr:txBody>
    </xdr:sp>
    <xdr:clientData/>
  </xdr:twoCellAnchor>
  <xdr:twoCellAnchor editAs="absolute">
    <xdr:from>
      <xdr:col>6</xdr:col>
      <xdr:colOff>668523</xdr:colOff>
      <xdr:row>7</xdr:row>
      <xdr:rowOff>15467</xdr:rowOff>
    </xdr:from>
    <xdr:to>
      <xdr:col>7</xdr:col>
      <xdr:colOff>1178</xdr:colOff>
      <xdr:row>7</xdr:row>
      <xdr:rowOff>205847</xdr:rowOff>
    </xdr:to>
    <xdr:sp macro="" textlink="">
      <xdr:nvSpPr>
        <xdr:cNvPr id="31" name="Rectangle 6">
          <a:hlinkClick xmlns:r="http://schemas.openxmlformats.org/officeDocument/2006/relationships" r:id="rId10" tooltip="Naar de bibilotheek met gegevens van gebouwen en installaties."/>
          <a:extLst>
            <a:ext uri="{FF2B5EF4-FFF2-40B4-BE49-F238E27FC236}">
              <a16:creationId xmlns:a16="http://schemas.microsoft.com/office/drawing/2014/main" id="{00000000-0008-0000-0A00-00001F000000}"/>
            </a:ext>
          </a:extLst>
        </xdr:cNvPr>
        <xdr:cNvSpPr>
          <a:spLocks noChangeArrowheads="1"/>
        </xdr:cNvSpPr>
      </xdr:nvSpPr>
      <xdr:spPr bwMode="auto">
        <a:xfrm>
          <a:off x="5427213" y="1576671"/>
          <a:ext cx="737200" cy="190380"/>
        </a:xfrm>
        <a:prstGeom prst="rect">
          <a:avLst/>
        </a:prstGeom>
        <a:gradFill>
          <a:gsLst>
            <a:gs pos="84000">
              <a:schemeClr val="accent1">
                <a:lumMod val="40000"/>
                <a:lumOff val="60000"/>
              </a:schemeClr>
            </a:gs>
            <a:gs pos="99000">
              <a:schemeClr val="accent1"/>
            </a:gs>
            <a:gs pos="16000">
              <a:schemeClr val="accent1">
                <a:lumMod val="20000"/>
                <a:lumOff val="80000"/>
              </a:schemeClr>
            </a:gs>
            <a:gs pos="0">
              <a:schemeClr val="bg1"/>
            </a:gs>
          </a:gsLst>
          <a:lin ang="5400000" scaled="1"/>
        </a:gradFill>
        <a:ln w="635">
          <a:solidFill>
            <a:schemeClr val="bg1">
              <a:lumMod val="65000"/>
            </a:schemeClr>
          </a:solidFill>
        </a:ln>
        <a:effectLst>
          <a:outerShdw blurRad="50800" dist="38100" dir="5400000" algn="t" rotWithShape="0">
            <a:schemeClr val="accent1">
              <a:lumMod val="60000"/>
              <a:lumOff val="4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tx1">
                  <a:lumMod val="65000"/>
                  <a:lumOff val="35000"/>
                </a:schemeClr>
              </a:solidFill>
              <a:latin typeface="Calibri Light" panose="020F0302020204030204" pitchFamily="34" charset="0"/>
              <a:ea typeface="Verdana"/>
              <a:cs typeface="Calibri Light" panose="020F0302020204030204" pitchFamily="34" charset="0"/>
            </a:rPr>
            <a:t>bibliotheek</a:t>
          </a:r>
        </a:p>
      </xdr:txBody>
    </xdr:sp>
    <xdr:clientData/>
  </xdr:twoCellAnchor>
  <xdr:twoCellAnchor>
    <xdr:from>
      <xdr:col>23</xdr:col>
      <xdr:colOff>9525</xdr:colOff>
      <xdr:row>30</xdr:row>
      <xdr:rowOff>0</xdr:rowOff>
    </xdr:from>
    <xdr:to>
      <xdr:col>27</xdr:col>
      <xdr:colOff>0</xdr:colOff>
      <xdr:row>45</xdr:row>
      <xdr:rowOff>0</xdr:rowOff>
    </xdr:to>
    <xdr:sp macro="" textlink="">
      <xdr:nvSpPr>
        <xdr:cNvPr id="2" name="Tekstvak 1">
          <a:extLst>
            <a:ext uri="{FF2B5EF4-FFF2-40B4-BE49-F238E27FC236}">
              <a16:creationId xmlns:a16="http://schemas.microsoft.com/office/drawing/2014/main" id="{00000000-0008-0000-0A00-000002000000}"/>
            </a:ext>
          </a:extLst>
        </xdr:cNvPr>
        <xdr:cNvSpPr txBox="1"/>
      </xdr:nvSpPr>
      <xdr:spPr>
        <a:xfrm>
          <a:off x="18935700" y="6286500"/>
          <a:ext cx="3381375" cy="2857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l-NL" sz="1000" b="1"/>
            <a:t>Bepalen gemiddelde Rc-waarde (m2K/W)</a:t>
          </a:r>
        </a:p>
        <a:p>
          <a:pPr algn="l"/>
          <a:r>
            <a:rPr lang="nl-NL" sz="1000"/>
            <a:t>Als binnen een bouwdeel (bg vloer, gevel, dak) verschillende Rc-waarden voorkomen, moet de gemiddelde Rc-waarde hier worden ingevuld.</a:t>
          </a:r>
        </a:p>
        <a:p>
          <a:pPr algn="l"/>
          <a:endParaRPr lang="nl-NL" sz="1000"/>
        </a:p>
        <a:p>
          <a:pPr algn="l"/>
          <a:r>
            <a:rPr lang="nl-NL" sz="1000"/>
            <a:t>Bereken de gemiddelde Rc per bouwdeel niet als rekenkundig oppervlaktegewogen gemiddelde van de Rc-waarden, maar bepaal de gemiddelde Rc-waarde (R</a:t>
          </a:r>
          <a:r>
            <a:rPr lang="nl-NL" sz="1000" baseline="-25000"/>
            <a:t>c,gem</a:t>
          </a:r>
          <a:r>
            <a:rPr lang="nl-NL" sz="1000"/>
            <a:t>)</a:t>
          </a:r>
          <a:r>
            <a:rPr lang="nl-NL" sz="1000" baseline="0"/>
            <a:t> </a:t>
          </a:r>
          <a:r>
            <a:rPr lang="nl-NL" sz="1000"/>
            <a:t>via de gemiddelde oppervlaktegewogen warmtedoorgangscoëfficiënt U</a:t>
          </a:r>
        </a:p>
        <a:p>
          <a:pPr algn="l"/>
          <a:r>
            <a:rPr lang="nl-NL" sz="1000"/>
            <a:t>(U = 1/(R</a:t>
          </a:r>
          <a:r>
            <a:rPr lang="nl-NL" sz="1000" baseline="-25000"/>
            <a:t>c</a:t>
          </a:r>
          <a:r>
            <a:rPr lang="nl-NL" sz="1000"/>
            <a:t>+R</a:t>
          </a:r>
          <a:r>
            <a:rPr lang="nl-NL" sz="1000" baseline="-25000"/>
            <a:t>i+e</a:t>
          </a:r>
          <a:r>
            <a:rPr lang="nl-NL" sz="1000"/>
            <a:t>)</a:t>
          </a:r>
          <a:r>
            <a:rPr lang="nl-NL" sz="1000" baseline="0"/>
            <a:t> in </a:t>
          </a:r>
          <a:r>
            <a:rPr lang="nl-NL" sz="1000"/>
            <a:t>W/m2K).</a:t>
          </a:r>
        </a:p>
        <a:p>
          <a:pPr algn="l"/>
          <a:endParaRPr lang="nl-NL" sz="1000"/>
        </a:p>
        <a:p>
          <a:pPr algn="l"/>
          <a:r>
            <a:rPr lang="nl-NL" sz="1000"/>
            <a:t>R</a:t>
          </a:r>
          <a:r>
            <a:rPr lang="nl-NL" sz="1000" baseline="-25000"/>
            <a:t>c,gem </a:t>
          </a:r>
          <a:r>
            <a:rPr lang="nl-NL" sz="1000"/>
            <a:t>= 1 / </a:t>
          </a:r>
          <a:r>
            <a:rPr lang="nl-NL" sz="1000" b="1"/>
            <a:t>( </a:t>
          </a:r>
          <a:r>
            <a:rPr lang="nl-NL" sz="1000"/>
            <a:t>∑</a:t>
          </a:r>
          <a:r>
            <a:rPr lang="nl-NL" sz="1000" baseline="-25000"/>
            <a:t>(1-x)</a:t>
          </a:r>
          <a:r>
            <a:rPr lang="nl-NL" sz="1000"/>
            <a:t>( A</a:t>
          </a:r>
          <a:r>
            <a:rPr lang="nl-NL" sz="1000" baseline="-25000"/>
            <a:t>x</a:t>
          </a:r>
          <a:r>
            <a:rPr lang="nl-NL" sz="1000"/>
            <a:t>/(R</a:t>
          </a:r>
          <a:r>
            <a:rPr lang="nl-NL" sz="1000" baseline="-25000"/>
            <a:t>c,x</a:t>
          </a:r>
          <a:r>
            <a:rPr lang="nl-NL" sz="1000"/>
            <a:t>+R</a:t>
          </a:r>
          <a:r>
            <a:rPr lang="nl-NL" sz="1000" baseline="-25000"/>
            <a:t>i+e</a:t>
          </a:r>
          <a:r>
            <a:rPr lang="nl-NL" sz="1000"/>
            <a:t>) )  /  </a:t>
          </a:r>
          <a:r>
            <a:rPr lang="nl-NL" sz="1000">
              <a:solidFill>
                <a:schemeClr val="dk1"/>
              </a:solidFill>
              <a:effectLst/>
              <a:latin typeface="+mn-lt"/>
              <a:ea typeface="+mn-ea"/>
              <a:cs typeface="+mn-cs"/>
            </a:rPr>
            <a:t>∑</a:t>
          </a:r>
          <a:r>
            <a:rPr lang="nl-NL" sz="1000" baseline="-25000">
              <a:solidFill>
                <a:schemeClr val="dk1"/>
              </a:solidFill>
              <a:effectLst/>
              <a:latin typeface="+mn-lt"/>
              <a:ea typeface="+mn-ea"/>
              <a:cs typeface="+mn-cs"/>
            </a:rPr>
            <a:t>(1-x)</a:t>
          </a:r>
          <a:r>
            <a:rPr lang="nl-NL" sz="1000">
              <a:solidFill>
                <a:schemeClr val="dk1"/>
              </a:solidFill>
              <a:effectLst/>
              <a:latin typeface="+mn-lt"/>
              <a:ea typeface="+mn-ea"/>
              <a:cs typeface="+mn-cs"/>
            </a:rPr>
            <a:t>(A</a:t>
          </a:r>
          <a:r>
            <a:rPr lang="nl-NL" sz="1000" baseline="-25000">
              <a:solidFill>
                <a:schemeClr val="dk1"/>
              </a:solidFill>
              <a:effectLst/>
              <a:latin typeface="+mn-lt"/>
              <a:ea typeface="+mn-ea"/>
              <a:cs typeface="+mn-cs"/>
            </a:rPr>
            <a:t>x</a:t>
          </a:r>
          <a:r>
            <a:rPr lang="nl-NL" sz="1000">
              <a:solidFill>
                <a:schemeClr val="dk1"/>
              </a:solidFill>
              <a:effectLst/>
              <a:latin typeface="+mn-lt"/>
              <a:ea typeface="+mn-ea"/>
              <a:cs typeface="+mn-cs"/>
            </a:rPr>
            <a:t>) </a:t>
          </a:r>
          <a:r>
            <a:rPr lang="nl-NL" sz="1000" b="1">
              <a:solidFill>
                <a:schemeClr val="dk1"/>
              </a:solidFill>
              <a:effectLst/>
              <a:latin typeface="+mn-lt"/>
              <a:ea typeface="+mn-ea"/>
              <a:cs typeface="+mn-cs"/>
            </a:rPr>
            <a:t>)</a:t>
          </a:r>
          <a:r>
            <a:rPr lang="nl-NL" sz="1000">
              <a:solidFill>
                <a:schemeClr val="dk1"/>
              </a:solidFill>
              <a:effectLst/>
              <a:latin typeface="+mn-lt"/>
              <a:ea typeface="+mn-ea"/>
              <a:cs typeface="+mn-cs"/>
            </a:rPr>
            <a:t>   -   R</a:t>
          </a:r>
          <a:r>
            <a:rPr lang="nl-NL" sz="1000" baseline="-25000">
              <a:solidFill>
                <a:schemeClr val="dk1"/>
              </a:solidFill>
              <a:effectLst/>
              <a:latin typeface="+mn-lt"/>
              <a:ea typeface="+mn-ea"/>
              <a:cs typeface="+mn-cs"/>
            </a:rPr>
            <a:t>i+e</a:t>
          </a:r>
        </a:p>
        <a:p>
          <a:pPr algn="l"/>
          <a:endParaRPr lang="nl-NL" sz="1000">
            <a:solidFill>
              <a:schemeClr val="dk1"/>
            </a:solidFill>
            <a:effectLst/>
            <a:latin typeface="+mn-lt"/>
            <a:ea typeface="+mn-ea"/>
            <a:cs typeface="+mn-cs"/>
          </a:endParaRPr>
        </a:p>
        <a:p>
          <a:pPr algn="l"/>
          <a:r>
            <a:rPr lang="nl-NL" sz="1000">
              <a:solidFill>
                <a:schemeClr val="dk1"/>
              </a:solidFill>
              <a:effectLst/>
              <a:latin typeface="+mn-lt"/>
              <a:ea typeface="+mn-ea"/>
              <a:cs typeface="+mn-cs"/>
            </a:rPr>
            <a:t>waarbij:</a:t>
          </a:r>
        </a:p>
        <a:p>
          <a:pPr algn="l"/>
          <a:r>
            <a:rPr lang="nl-NL" sz="1000">
              <a:solidFill>
                <a:schemeClr val="dk1"/>
              </a:solidFill>
              <a:effectLst/>
              <a:latin typeface="+mn-lt"/>
              <a:ea typeface="+mn-ea"/>
              <a:cs typeface="+mn-cs"/>
            </a:rPr>
            <a:t>∑</a:t>
          </a:r>
          <a:r>
            <a:rPr lang="nl-NL" sz="1000" baseline="-25000">
              <a:solidFill>
                <a:schemeClr val="dk1"/>
              </a:solidFill>
              <a:effectLst/>
              <a:latin typeface="+mn-lt"/>
              <a:ea typeface="+mn-ea"/>
              <a:cs typeface="+mn-cs"/>
            </a:rPr>
            <a:t>(1-x)</a:t>
          </a:r>
          <a:r>
            <a:rPr lang="nl-NL" sz="1000">
              <a:solidFill>
                <a:schemeClr val="dk1"/>
              </a:solidFill>
              <a:effectLst/>
              <a:latin typeface="+mn-lt"/>
              <a:ea typeface="+mn-ea"/>
              <a:cs typeface="+mn-cs"/>
            </a:rPr>
            <a:t> = sommatie van alle bouwdelen 1 t/m x</a:t>
          </a:r>
        </a:p>
        <a:p>
          <a:pPr algn="l"/>
          <a:r>
            <a:rPr lang="nl-NL" sz="1000">
              <a:solidFill>
                <a:schemeClr val="dk1"/>
              </a:solidFill>
              <a:effectLst/>
              <a:latin typeface="+mn-lt"/>
              <a:ea typeface="+mn-ea"/>
              <a:cs typeface="+mn-cs"/>
            </a:rPr>
            <a:t>A</a:t>
          </a:r>
          <a:r>
            <a:rPr lang="nl-NL" sz="1000" baseline="-25000">
              <a:solidFill>
                <a:schemeClr val="dk1"/>
              </a:solidFill>
              <a:effectLst/>
              <a:latin typeface="+mn-lt"/>
              <a:ea typeface="+mn-ea"/>
              <a:cs typeface="+mn-cs"/>
            </a:rPr>
            <a:t>x</a:t>
          </a:r>
          <a:r>
            <a:rPr lang="nl-NL" sz="1000">
              <a:solidFill>
                <a:schemeClr val="dk1"/>
              </a:solidFill>
              <a:effectLst/>
              <a:latin typeface="+mn-lt"/>
              <a:ea typeface="+mn-ea"/>
              <a:cs typeface="+mn-cs"/>
            </a:rPr>
            <a:t> = oppervlakte van bouwdeel</a:t>
          </a:r>
          <a:r>
            <a:rPr lang="nl-NL" sz="1000" baseline="0">
              <a:solidFill>
                <a:schemeClr val="dk1"/>
              </a:solidFill>
              <a:effectLst/>
              <a:latin typeface="+mn-lt"/>
              <a:ea typeface="+mn-ea"/>
              <a:cs typeface="+mn-cs"/>
            </a:rPr>
            <a:t> x</a:t>
          </a:r>
        </a:p>
        <a:p>
          <a:pPr algn="l"/>
          <a:r>
            <a:rPr lang="nl-NL" sz="1000" baseline="0">
              <a:solidFill>
                <a:schemeClr val="dk1"/>
              </a:solidFill>
              <a:effectLst/>
              <a:latin typeface="+mn-lt"/>
              <a:ea typeface="+mn-ea"/>
              <a:cs typeface="+mn-cs"/>
            </a:rPr>
            <a:t>R</a:t>
          </a:r>
          <a:r>
            <a:rPr lang="nl-NL" sz="1000" baseline="-25000">
              <a:solidFill>
                <a:schemeClr val="dk1"/>
              </a:solidFill>
              <a:effectLst/>
              <a:latin typeface="+mn-lt"/>
              <a:ea typeface="+mn-ea"/>
              <a:cs typeface="+mn-cs"/>
            </a:rPr>
            <a:t>c,x </a:t>
          </a:r>
          <a:r>
            <a:rPr lang="nl-NL" sz="1000" baseline="0">
              <a:solidFill>
                <a:schemeClr val="dk1"/>
              </a:solidFill>
              <a:effectLst/>
              <a:latin typeface="+mn-lt"/>
              <a:ea typeface="+mn-ea"/>
              <a:cs typeface="+mn-cs"/>
            </a:rPr>
            <a:t>= Rc-waarde van bouwdeel x</a:t>
          </a:r>
        </a:p>
        <a:p>
          <a:pPr algn="l"/>
          <a:r>
            <a:rPr lang="nl-NL" sz="1000" baseline="0">
              <a:solidFill>
                <a:schemeClr val="dk1"/>
              </a:solidFill>
              <a:effectLst/>
              <a:latin typeface="+mn-lt"/>
              <a:ea typeface="+mn-ea"/>
              <a:cs typeface="+mn-cs"/>
            </a:rPr>
            <a:t>R</a:t>
          </a:r>
          <a:r>
            <a:rPr lang="nl-NL" sz="1000" baseline="-25000">
              <a:solidFill>
                <a:schemeClr val="dk1"/>
              </a:solidFill>
              <a:effectLst/>
              <a:latin typeface="+mn-lt"/>
              <a:ea typeface="+mn-ea"/>
              <a:cs typeface="+mn-cs"/>
            </a:rPr>
            <a:t>i+e </a:t>
          </a:r>
          <a:r>
            <a:rPr lang="nl-NL" sz="1000" baseline="0">
              <a:solidFill>
                <a:schemeClr val="dk1"/>
              </a:solidFill>
              <a:effectLst/>
              <a:latin typeface="+mn-lt"/>
              <a:ea typeface="+mn-ea"/>
              <a:cs typeface="+mn-cs"/>
            </a:rPr>
            <a:t>= overgangsweerstand binnen en buiten</a:t>
          </a:r>
          <a:endParaRPr lang="nl-NL" sz="10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xdr:colOff>
      <xdr:row>17</xdr:row>
      <xdr:rowOff>0</xdr:rowOff>
    </xdr:from>
    <xdr:to>
      <xdr:col>11</xdr:col>
      <xdr:colOff>0</xdr:colOff>
      <xdr:row>45</xdr:row>
      <xdr:rowOff>152402</xdr:rowOff>
    </xdr:to>
    <xdr:graphicFrame macro="">
      <xdr:nvGraphicFramePr>
        <xdr:cNvPr id="2" name="Grafiek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17</xdr:row>
      <xdr:rowOff>0</xdr:rowOff>
    </xdr:from>
    <xdr:to>
      <xdr:col>30</xdr:col>
      <xdr:colOff>0</xdr:colOff>
      <xdr:row>45</xdr:row>
      <xdr:rowOff>123827</xdr:rowOff>
    </xdr:to>
    <xdr:graphicFrame macro="">
      <xdr:nvGraphicFramePr>
        <xdr:cNvPr id="3" name="Grafiek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0</xdr:colOff>
      <xdr:row>17</xdr:row>
      <xdr:rowOff>0</xdr:rowOff>
    </xdr:from>
    <xdr:to>
      <xdr:col>38</xdr:col>
      <xdr:colOff>0</xdr:colOff>
      <xdr:row>45</xdr:row>
      <xdr:rowOff>123827</xdr:rowOff>
    </xdr:to>
    <xdr:graphicFrame macro="">
      <xdr:nvGraphicFramePr>
        <xdr:cNvPr id="4" name="Grafiek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xdr:colOff>
      <xdr:row>17</xdr:row>
      <xdr:rowOff>0</xdr:rowOff>
    </xdr:from>
    <xdr:to>
      <xdr:col>20</xdr:col>
      <xdr:colOff>0</xdr:colOff>
      <xdr:row>45</xdr:row>
      <xdr:rowOff>123827</xdr:rowOff>
    </xdr:to>
    <xdr:graphicFrame macro="">
      <xdr:nvGraphicFramePr>
        <xdr:cNvPr id="8" name="Grafiek 7">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absolute">
    <xdr:from>
      <xdr:col>4</xdr:col>
      <xdr:colOff>19050</xdr:colOff>
      <xdr:row>2</xdr:row>
      <xdr:rowOff>49650</xdr:rowOff>
    </xdr:from>
    <xdr:to>
      <xdr:col>4</xdr:col>
      <xdr:colOff>235050</xdr:colOff>
      <xdr:row>3</xdr:row>
      <xdr:rowOff>0</xdr:rowOff>
    </xdr:to>
    <xdr:sp macro="" textlink="">
      <xdr:nvSpPr>
        <xdr:cNvPr id="12" name="Rectangle 3">
          <a:hlinkClick xmlns:r="http://schemas.openxmlformats.org/officeDocument/2006/relationships" r:id="rId1" tooltip="Naar de handleiding"/>
          <a:extLst>
            <a:ext uri="{FF2B5EF4-FFF2-40B4-BE49-F238E27FC236}">
              <a16:creationId xmlns:a16="http://schemas.microsoft.com/office/drawing/2014/main" id="{00000000-0008-0000-0100-00000C000000}"/>
            </a:ext>
          </a:extLst>
        </xdr:cNvPr>
        <xdr:cNvSpPr>
          <a:spLocks noChangeArrowheads="1"/>
        </xdr:cNvSpPr>
      </xdr:nvSpPr>
      <xdr:spPr bwMode="auto">
        <a:xfrm>
          <a:off x="600075" y="611625"/>
          <a:ext cx="216000" cy="198000"/>
        </a:xfrm>
        <a:prstGeom prst="rect">
          <a:avLst/>
        </a:prstGeom>
        <a:gradFill>
          <a:gsLst>
            <a:gs pos="84000">
              <a:schemeClr val="accent3">
                <a:lumMod val="40000"/>
                <a:lumOff val="60000"/>
              </a:schemeClr>
            </a:gs>
            <a:gs pos="99000">
              <a:schemeClr val="accent3">
                <a:lumMod val="75000"/>
              </a:schemeClr>
            </a:gs>
            <a:gs pos="16000">
              <a:schemeClr val="accent3">
                <a:lumMod val="20000"/>
                <a:lumOff val="80000"/>
              </a:schemeClr>
            </a:gs>
            <a:gs pos="0">
              <a:schemeClr val="bg1"/>
            </a:gs>
          </a:gsLst>
          <a:lin ang="5400000" scaled="1"/>
        </a:gradFill>
        <a:ln w="635">
          <a:solidFill>
            <a:schemeClr val="bg1">
              <a:lumMod val="65000"/>
            </a:schemeClr>
          </a:solidFill>
        </a:ln>
        <a:effectLst>
          <a:outerShdw blurRad="50800" dist="38100" dir="5400000" algn="t" rotWithShape="0">
            <a:schemeClr val="accent3">
              <a:lumMod val="60000"/>
              <a:lumOff val="4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tx1">
                  <a:lumMod val="65000"/>
                  <a:lumOff val="35000"/>
                </a:schemeClr>
              </a:solidFill>
              <a:latin typeface="Calibri Light" panose="020F0302020204030204" pitchFamily="34" charset="0"/>
              <a:ea typeface="Verdana"/>
              <a:cs typeface="Calibri Light" panose="020F0302020204030204" pitchFamily="34" charset="0"/>
            </a:rPr>
            <a:t>i</a:t>
          </a:r>
        </a:p>
      </xdr:txBody>
    </xdr:sp>
    <xdr:clientData/>
  </xdr:twoCellAnchor>
  <xdr:twoCellAnchor editAs="absolute">
    <xdr:from>
      <xdr:col>4</xdr:col>
      <xdr:colOff>257984</xdr:colOff>
      <xdr:row>2</xdr:row>
      <xdr:rowOff>49477</xdr:rowOff>
    </xdr:from>
    <xdr:to>
      <xdr:col>4</xdr:col>
      <xdr:colOff>1373984</xdr:colOff>
      <xdr:row>2</xdr:row>
      <xdr:rowOff>247477</xdr:rowOff>
    </xdr:to>
    <xdr:sp macro="" textlink="">
      <xdr:nvSpPr>
        <xdr:cNvPr id="13" name="Rectangle 3">
          <a:hlinkClick xmlns:r="http://schemas.openxmlformats.org/officeDocument/2006/relationships" r:id="rId2" tooltip="Naar de invoer van de woningen en utiliteitsgebouwen in het gebied."/>
          <a:extLst>
            <a:ext uri="{FF2B5EF4-FFF2-40B4-BE49-F238E27FC236}">
              <a16:creationId xmlns:a16="http://schemas.microsoft.com/office/drawing/2014/main" id="{00000000-0008-0000-0100-00000D000000}"/>
            </a:ext>
          </a:extLst>
        </xdr:cNvPr>
        <xdr:cNvSpPr>
          <a:spLocks noChangeArrowheads="1"/>
        </xdr:cNvSpPr>
      </xdr:nvSpPr>
      <xdr:spPr bwMode="auto">
        <a:xfrm>
          <a:off x="839009" y="611452"/>
          <a:ext cx="111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woningen|utiliteit</a:t>
          </a:r>
        </a:p>
      </xdr:txBody>
    </xdr:sp>
    <xdr:clientData/>
  </xdr:twoCellAnchor>
  <xdr:twoCellAnchor editAs="absolute">
    <xdr:from>
      <xdr:col>4</xdr:col>
      <xdr:colOff>1400016</xdr:colOff>
      <xdr:row>2</xdr:row>
      <xdr:rowOff>49477</xdr:rowOff>
    </xdr:from>
    <xdr:to>
      <xdr:col>4</xdr:col>
      <xdr:colOff>1832016</xdr:colOff>
      <xdr:row>2</xdr:row>
      <xdr:rowOff>247477</xdr:rowOff>
    </xdr:to>
    <xdr:sp macro="" textlink="">
      <xdr:nvSpPr>
        <xdr:cNvPr id="14" name="Rectangle 4">
          <a:hlinkClick xmlns:r="http://schemas.openxmlformats.org/officeDocument/2006/relationships" r:id="rId3" tooltip="Naar invoer installaties en berekening variant 1"/>
          <a:extLst>
            <a:ext uri="{FF2B5EF4-FFF2-40B4-BE49-F238E27FC236}">
              <a16:creationId xmlns:a16="http://schemas.microsoft.com/office/drawing/2014/main" id="{00000000-0008-0000-0100-00000E000000}"/>
            </a:ext>
          </a:extLst>
        </xdr:cNvPr>
        <xdr:cNvSpPr>
          <a:spLocks noChangeArrowheads="1"/>
        </xdr:cNvSpPr>
      </xdr:nvSpPr>
      <xdr:spPr bwMode="auto">
        <a:xfrm>
          <a:off x="1981041" y="611452"/>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var1</a:t>
          </a:r>
        </a:p>
      </xdr:txBody>
    </xdr:sp>
    <xdr:clientData/>
  </xdr:twoCellAnchor>
  <xdr:twoCellAnchor editAs="absolute">
    <xdr:from>
      <xdr:col>4</xdr:col>
      <xdr:colOff>1858933</xdr:colOff>
      <xdr:row>2</xdr:row>
      <xdr:rowOff>49477</xdr:rowOff>
    </xdr:from>
    <xdr:to>
      <xdr:col>4</xdr:col>
      <xdr:colOff>2291741</xdr:colOff>
      <xdr:row>2</xdr:row>
      <xdr:rowOff>247477</xdr:rowOff>
    </xdr:to>
    <xdr:sp macro="" textlink="">
      <xdr:nvSpPr>
        <xdr:cNvPr id="15" name="Rectangle 8">
          <a:hlinkClick xmlns:r="http://schemas.openxmlformats.org/officeDocument/2006/relationships" r:id="rId4" tooltip="Naar invoer installaties en berekening variant 2."/>
          <a:extLst>
            <a:ext uri="{FF2B5EF4-FFF2-40B4-BE49-F238E27FC236}">
              <a16:creationId xmlns:a16="http://schemas.microsoft.com/office/drawing/2014/main" id="{00000000-0008-0000-0100-00000F000000}"/>
            </a:ext>
          </a:extLst>
        </xdr:cNvPr>
        <xdr:cNvSpPr>
          <a:spLocks noChangeArrowheads="1"/>
        </xdr:cNvSpPr>
      </xdr:nvSpPr>
      <xdr:spPr bwMode="auto">
        <a:xfrm>
          <a:off x="2439958" y="611452"/>
          <a:ext cx="432808"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var2</a:t>
          </a:r>
        </a:p>
      </xdr:txBody>
    </xdr:sp>
    <xdr:clientData/>
  </xdr:twoCellAnchor>
  <xdr:twoCellAnchor editAs="absolute">
    <xdr:from>
      <xdr:col>4</xdr:col>
      <xdr:colOff>2327950</xdr:colOff>
      <xdr:row>2</xdr:row>
      <xdr:rowOff>49477</xdr:rowOff>
    </xdr:from>
    <xdr:to>
      <xdr:col>4</xdr:col>
      <xdr:colOff>2759950</xdr:colOff>
      <xdr:row>2</xdr:row>
      <xdr:rowOff>247477</xdr:rowOff>
    </xdr:to>
    <xdr:sp macro="" textlink="">
      <xdr:nvSpPr>
        <xdr:cNvPr id="16" name="Rectangle 9">
          <a:hlinkClick xmlns:r="http://schemas.openxmlformats.org/officeDocument/2006/relationships" r:id="rId5" tooltip="Naar invoer installaties en berekening variant 3."/>
          <a:extLst>
            <a:ext uri="{FF2B5EF4-FFF2-40B4-BE49-F238E27FC236}">
              <a16:creationId xmlns:a16="http://schemas.microsoft.com/office/drawing/2014/main" id="{00000000-0008-0000-0100-000010000000}"/>
            </a:ext>
          </a:extLst>
        </xdr:cNvPr>
        <xdr:cNvSpPr>
          <a:spLocks noChangeArrowheads="1"/>
        </xdr:cNvSpPr>
      </xdr:nvSpPr>
      <xdr:spPr bwMode="auto">
        <a:xfrm>
          <a:off x="2908975" y="611452"/>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var3</a:t>
          </a:r>
        </a:p>
      </xdr:txBody>
    </xdr:sp>
    <xdr:clientData/>
  </xdr:twoCellAnchor>
  <xdr:twoCellAnchor editAs="absolute">
    <xdr:from>
      <xdr:col>4</xdr:col>
      <xdr:colOff>2791886</xdr:colOff>
      <xdr:row>2</xdr:row>
      <xdr:rowOff>49477</xdr:rowOff>
    </xdr:from>
    <xdr:to>
      <xdr:col>4</xdr:col>
      <xdr:colOff>3226268</xdr:colOff>
      <xdr:row>2</xdr:row>
      <xdr:rowOff>247477</xdr:rowOff>
    </xdr:to>
    <xdr:sp macro="" textlink="">
      <xdr:nvSpPr>
        <xdr:cNvPr id="17" name="Rectangle 10">
          <a:hlinkClick xmlns:r="http://schemas.openxmlformats.org/officeDocument/2006/relationships" r:id="rId6" tooltip="Naar invoer installaties en berekening variant 4."/>
          <a:extLst>
            <a:ext uri="{FF2B5EF4-FFF2-40B4-BE49-F238E27FC236}">
              <a16:creationId xmlns:a16="http://schemas.microsoft.com/office/drawing/2014/main" id="{00000000-0008-0000-0100-000011000000}"/>
            </a:ext>
          </a:extLst>
        </xdr:cNvPr>
        <xdr:cNvSpPr>
          <a:spLocks noChangeArrowheads="1"/>
        </xdr:cNvSpPr>
      </xdr:nvSpPr>
      <xdr:spPr bwMode="auto">
        <a:xfrm>
          <a:off x="3372911" y="611452"/>
          <a:ext cx="434382"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var4</a:t>
          </a:r>
        </a:p>
      </xdr:txBody>
    </xdr:sp>
    <xdr:clientData/>
  </xdr:twoCellAnchor>
  <xdr:twoCellAnchor editAs="absolute">
    <xdr:from>
      <xdr:col>4</xdr:col>
      <xdr:colOff>3254881</xdr:colOff>
      <xdr:row>2</xdr:row>
      <xdr:rowOff>49477</xdr:rowOff>
    </xdr:from>
    <xdr:to>
      <xdr:col>4</xdr:col>
      <xdr:colOff>3686881</xdr:colOff>
      <xdr:row>2</xdr:row>
      <xdr:rowOff>247477</xdr:rowOff>
    </xdr:to>
    <xdr:sp macro="" textlink="">
      <xdr:nvSpPr>
        <xdr:cNvPr id="18" name="Rectangle 11">
          <a:hlinkClick xmlns:r="http://schemas.openxmlformats.org/officeDocument/2006/relationships" r:id="rId7" tooltip="Naar invoer installaties en berekening variant 5."/>
          <a:extLst>
            <a:ext uri="{FF2B5EF4-FFF2-40B4-BE49-F238E27FC236}">
              <a16:creationId xmlns:a16="http://schemas.microsoft.com/office/drawing/2014/main" id="{00000000-0008-0000-0100-000012000000}"/>
            </a:ext>
          </a:extLst>
        </xdr:cNvPr>
        <xdr:cNvSpPr>
          <a:spLocks noChangeArrowheads="1"/>
        </xdr:cNvSpPr>
      </xdr:nvSpPr>
      <xdr:spPr bwMode="auto">
        <a:xfrm>
          <a:off x="3835906" y="611452"/>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var5</a:t>
          </a:r>
        </a:p>
      </xdr:txBody>
    </xdr:sp>
    <xdr:clientData/>
  </xdr:twoCellAnchor>
  <xdr:twoCellAnchor editAs="absolute">
    <xdr:from>
      <xdr:col>4</xdr:col>
      <xdr:colOff>3719148</xdr:colOff>
      <xdr:row>2</xdr:row>
      <xdr:rowOff>49477</xdr:rowOff>
    </xdr:from>
    <xdr:to>
      <xdr:col>4</xdr:col>
      <xdr:colOff>4151148</xdr:colOff>
      <xdr:row>2</xdr:row>
      <xdr:rowOff>247477</xdr:rowOff>
    </xdr:to>
    <xdr:sp macro="" textlink="">
      <xdr:nvSpPr>
        <xdr:cNvPr id="19" name="Rectangle 7">
          <a:hlinkClick xmlns:r="http://schemas.openxmlformats.org/officeDocument/2006/relationships" r:id="rId8" tooltip="Naar invoer installaties en berekening variant 6."/>
          <a:extLst>
            <a:ext uri="{FF2B5EF4-FFF2-40B4-BE49-F238E27FC236}">
              <a16:creationId xmlns:a16="http://schemas.microsoft.com/office/drawing/2014/main" id="{00000000-0008-0000-0100-000013000000}"/>
            </a:ext>
          </a:extLst>
        </xdr:cNvPr>
        <xdr:cNvSpPr>
          <a:spLocks noChangeArrowheads="1"/>
        </xdr:cNvSpPr>
      </xdr:nvSpPr>
      <xdr:spPr bwMode="auto">
        <a:xfrm>
          <a:off x="4300173" y="611452"/>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var6</a:t>
          </a:r>
        </a:p>
      </xdr:txBody>
    </xdr:sp>
    <xdr:clientData/>
  </xdr:twoCellAnchor>
  <xdr:twoCellAnchor editAs="absolute">
    <xdr:from>
      <xdr:col>4</xdr:col>
      <xdr:colOff>4184859</xdr:colOff>
      <xdr:row>2</xdr:row>
      <xdr:rowOff>49477</xdr:rowOff>
    </xdr:from>
    <xdr:to>
      <xdr:col>4</xdr:col>
      <xdr:colOff>4850859</xdr:colOff>
      <xdr:row>2</xdr:row>
      <xdr:rowOff>247477</xdr:rowOff>
    </xdr:to>
    <xdr:sp macro="" textlink="">
      <xdr:nvSpPr>
        <xdr:cNvPr id="20" name="Rectangle 5">
          <a:hlinkClick xmlns:r="http://schemas.openxmlformats.org/officeDocument/2006/relationships" r:id="rId9" tooltip="Naar het overzicht van de rekenresultaten van de referentie en de varianten."/>
          <a:extLst>
            <a:ext uri="{FF2B5EF4-FFF2-40B4-BE49-F238E27FC236}">
              <a16:creationId xmlns:a16="http://schemas.microsoft.com/office/drawing/2014/main" id="{00000000-0008-0000-0100-000014000000}"/>
            </a:ext>
          </a:extLst>
        </xdr:cNvPr>
        <xdr:cNvSpPr>
          <a:spLocks noChangeArrowheads="1"/>
        </xdr:cNvSpPr>
      </xdr:nvSpPr>
      <xdr:spPr bwMode="auto">
        <a:xfrm>
          <a:off x="4765884" y="611452"/>
          <a:ext cx="66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resultaten</a:t>
          </a:r>
        </a:p>
      </xdr:txBody>
    </xdr:sp>
    <xdr:clientData/>
  </xdr:twoCellAnchor>
  <xdr:twoCellAnchor editAs="absolute">
    <xdr:from>
      <xdr:col>4</xdr:col>
      <xdr:colOff>4874763</xdr:colOff>
      <xdr:row>2</xdr:row>
      <xdr:rowOff>49477</xdr:rowOff>
    </xdr:from>
    <xdr:to>
      <xdr:col>4</xdr:col>
      <xdr:colOff>5611403</xdr:colOff>
      <xdr:row>2</xdr:row>
      <xdr:rowOff>247477</xdr:rowOff>
    </xdr:to>
    <xdr:sp macro="" textlink="">
      <xdr:nvSpPr>
        <xdr:cNvPr id="21" name="Rectangle 6">
          <a:hlinkClick xmlns:r="http://schemas.openxmlformats.org/officeDocument/2006/relationships" r:id="rId10" tooltip="Naar de bibilotheek met gegevens van gebouwen en installaties."/>
          <a:extLst>
            <a:ext uri="{FF2B5EF4-FFF2-40B4-BE49-F238E27FC236}">
              <a16:creationId xmlns:a16="http://schemas.microsoft.com/office/drawing/2014/main" id="{00000000-0008-0000-0100-000015000000}"/>
            </a:ext>
          </a:extLst>
        </xdr:cNvPr>
        <xdr:cNvSpPr>
          <a:spLocks noChangeArrowheads="1"/>
        </xdr:cNvSpPr>
      </xdr:nvSpPr>
      <xdr:spPr bwMode="auto">
        <a:xfrm>
          <a:off x="5455788" y="611452"/>
          <a:ext cx="73664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bibliotheek</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0</xdr:colOff>
      <xdr:row>6</xdr:row>
      <xdr:rowOff>28748</xdr:rowOff>
    </xdr:from>
    <xdr:to>
      <xdr:col>4</xdr:col>
      <xdr:colOff>216000</xdr:colOff>
      <xdr:row>6</xdr:row>
      <xdr:rowOff>226748</xdr:rowOff>
    </xdr:to>
    <xdr:sp macro="" textlink="">
      <xdr:nvSpPr>
        <xdr:cNvPr id="21" name="Rectangle 3">
          <a:hlinkClick xmlns:r="http://schemas.openxmlformats.org/officeDocument/2006/relationships" r:id="rId1" tooltip="Naar de handleiding"/>
          <a:extLst>
            <a:ext uri="{FF2B5EF4-FFF2-40B4-BE49-F238E27FC236}">
              <a16:creationId xmlns:a16="http://schemas.microsoft.com/office/drawing/2014/main" id="{00000000-0008-0000-0200-000015000000}"/>
            </a:ext>
          </a:extLst>
        </xdr:cNvPr>
        <xdr:cNvSpPr>
          <a:spLocks noChangeArrowheads="1"/>
        </xdr:cNvSpPr>
      </xdr:nvSpPr>
      <xdr:spPr bwMode="auto">
        <a:xfrm>
          <a:off x="581025" y="1305098"/>
          <a:ext cx="21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i</a:t>
          </a:r>
        </a:p>
      </xdr:txBody>
    </xdr:sp>
    <xdr:clientData/>
  </xdr:twoCellAnchor>
  <xdr:twoCellAnchor editAs="absolute">
    <xdr:from>
      <xdr:col>4</xdr:col>
      <xdr:colOff>238934</xdr:colOff>
      <xdr:row>6</xdr:row>
      <xdr:rowOff>28575</xdr:rowOff>
    </xdr:from>
    <xdr:to>
      <xdr:col>4</xdr:col>
      <xdr:colOff>1354934</xdr:colOff>
      <xdr:row>6</xdr:row>
      <xdr:rowOff>226575</xdr:rowOff>
    </xdr:to>
    <xdr:sp macro="" textlink="">
      <xdr:nvSpPr>
        <xdr:cNvPr id="22" name="Rectangle 3">
          <a:hlinkClick xmlns:r="http://schemas.openxmlformats.org/officeDocument/2006/relationships" r:id="rId2" tooltip="Naar de invoer van de woningen en utiliteitsgebouwen in het gebied."/>
          <a:extLst>
            <a:ext uri="{FF2B5EF4-FFF2-40B4-BE49-F238E27FC236}">
              <a16:creationId xmlns:a16="http://schemas.microsoft.com/office/drawing/2014/main" id="{00000000-0008-0000-0200-000016000000}"/>
            </a:ext>
          </a:extLst>
        </xdr:cNvPr>
        <xdr:cNvSpPr>
          <a:spLocks noChangeArrowheads="1"/>
        </xdr:cNvSpPr>
      </xdr:nvSpPr>
      <xdr:spPr bwMode="auto">
        <a:xfrm>
          <a:off x="819959" y="1304925"/>
          <a:ext cx="1116000" cy="198000"/>
        </a:xfrm>
        <a:prstGeom prst="rect">
          <a:avLst/>
        </a:prstGeom>
        <a:gradFill>
          <a:gsLst>
            <a:gs pos="84000">
              <a:schemeClr val="accent3">
                <a:lumMod val="40000"/>
                <a:lumOff val="60000"/>
              </a:schemeClr>
            </a:gs>
            <a:gs pos="99000">
              <a:schemeClr val="accent3">
                <a:lumMod val="75000"/>
              </a:schemeClr>
            </a:gs>
            <a:gs pos="16000">
              <a:schemeClr val="accent3">
                <a:lumMod val="20000"/>
                <a:lumOff val="80000"/>
              </a:schemeClr>
            </a:gs>
            <a:gs pos="0">
              <a:schemeClr val="bg1"/>
            </a:gs>
          </a:gsLst>
          <a:lin ang="5400000" scaled="1"/>
        </a:gradFill>
        <a:ln w="635">
          <a:solidFill>
            <a:schemeClr val="bg1">
              <a:lumMod val="65000"/>
            </a:schemeClr>
          </a:solidFill>
        </a:ln>
        <a:effectLst>
          <a:outerShdw blurRad="50800" dist="38100" dir="5400000" algn="t" rotWithShape="0">
            <a:schemeClr val="accent3">
              <a:lumMod val="60000"/>
              <a:lumOff val="4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tx1">
                  <a:lumMod val="65000"/>
                  <a:lumOff val="35000"/>
                </a:schemeClr>
              </a:solidFill>
              <a:latin typeface="Calibri Light" panose="020F0302020204030204" pitchFamily="34" charset="0"/>
              <a:ea typeface="Verdana"/>
              <a:cs typeface="Calibri Light" panose="020F0302020204030204" pitchFamily="34" charset="0"/>
            </a:rPr>
            <a:t>woningen|utiliteit</a:t>
          </a:r>
        </a:p>
      </xdr:txBody>
    </xdr:sp>
    <xdr:clientData/>
  </xdr:twoCellAnchor>
  <xdr:twoCellAnchor editAs="absolute">
    <xdr:from>
      <xdr:col>4</xdr:col>
      <xdr:colOff>1380966</xdr:colOff>
      <xdr:row>6</xdr:row>
      <xdr:rowOff>28575</xdr:rowOff>
    </xdr:from>
    <xdr:to>
      <xdr:col>4</xdr:col>
      <xdr:colOff>1812966</xdr:colOff>
      <xdr:row>6</xdr:row>
      <xdr:rowOff>226575</xdr:rowOff>
    </xdr:to>
    <xdr:sp macro="" textlink="">
      <xdr:nvSpPr>
        <xdr:cNvPr id="23" name="Rectangle 4">
          <a:hlinkClick xmlns:r="http://schemas.openxmlformats.org/officeDocument/2006/relationships" r:id="rId3" tooltip="Naar invoer installaties en berekening variant 1"/>
          <a:extLst>
            <a:ext uri="{FF2B5EF4-FFF2-40B4-BE49-F238E27FC236}">
              <a16:creationId xmlns:a16="http://schemas.microsoft.com/office/drawing/2014/main" id="{00000000-0008-0000-0200-000017000000}"/>
            </a:ext>
          </a:extLst>
        </xdr:cNvPr>
        <xdr:cNvSpPr>
          <a:spLocks noChangeArrowheads="1"/>
        </xdr:cNvSpPr>
      </xdr:nvSpPr>
      <xdr:spPr bwMode="auto">
        <a:xfrm>
          <a:off x="1961991" y="1304925"/>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var1</a:t>
          </a:r>
        </a:p>
      </xdr:txBody>
    </xdr:sp>
    <xdr:clientData/>
  </xdr:twoCellAnchor>
  <xdr:twoCellAnchor editAs="absolute">
    <xdr:from>
      <xdr:col>4</xdr:col>
      <xdr:colOff>1839883</xdr:colOff>
      <xdr:row>6</xdr:row>
      <xdr:rowOff>28575</xdr:rowOff>
    </xdr:from>
    <xdr:to>
      <xdr:col>5</xdr:col>
      <xdr:colOff>167666</xdr:colOff>
      <xdr:row>6</xdr:row>
      <xdr:rowOff>226575</xdr:rowOff>
    </xdr:to>
    <xdr:sp macro="" textlink="">
      <xdr:nvSpPr>
        <xdr:cNvPr id="24" name="Rectangle 8">
          <a:hlinkClick xmlns:r="http://schemas.openxmlformats.org/officeDocument/2006/relationships" r:id="rId4" tooltip="Naar invoer installaties en berekening variant 2."/>
          <a:extLst>
            <a:ext uri="{FF2B5EF4-FFF2-40B4-BE49-F238E27FC236}">
              <a16:creationId xmlns:a16="http://schemas.microsoft.com/office/drawing/2014/main" id="{00000000-0008-0000-0200-000018000000}"/>
            </a:ext>
          </a:extLst>
        </xdr:cNvPr>
        <xdr:cNvSpPr>
          <a:spLocks noChangeArrowheads="1"/>
        </xdr:cNvSpPr>
      </xdr:nvSpPr>
      <xdr:spPr bwMode="auto">
        <a:xfrm>
          <a:off x="2420908" y="1304925"/>
          <a:ext cx="432808"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var2</a:t>
          </a:r>
        </a:p>
      </xdr:txBody>
    </xdr:sp>
    <xdr:clientData/>
  </xdr:twoCellAnchor>
  <xdr:twoCellAnchor editAs="absolute">
    <xdr:from>
      <xdr:col>5</xdr:col>
      <xdr:colOff>203875</xdr:colOff>
      <xdr:row>6</xdr:row>
      <xdr:rowOff>28575</xdr:rowOff>
    </xdr:from>
    <xdr:to>
      <xdr:col>5</xdr:col>
      <xdr:colOff>635875</xdr:colOff>
      <xdr:row>6</xdr:row>
      <xdr:rowOff>226575</xdr:rowOff>
    </xdr:to>
    <xdr:sp macro="" textlink="">
      <xdr:nvSpPr>
        <xdr:cNvPr id="25" name="Rectangle 9">
          <a:hlinkClick xmlns:r="http://schemas.openxmlformats.org/officeDocument/2006/relationships" r:id="rId5" tooltip="Naar invoer installaties en berekening variant 3."/>
          <a:extLst>
            <a:ext uri="{FF2B5EF4-FFF2-40B4-BE49-F238E27FC236}">
              <a16:creationId xmlns:a16="http://schemas.microsoft.com/office/drawing/2014/main" id="{00000000-0008-0000-0200-000019000000}"/>
            </a:ext>
          </a:extLst>
        </xdr:cNvPr>
        <xdr:cNvSpPr>
          <a:spLocks noChangeArrowheads="1"/>
        </xdr:cNvSpPr>
      </xdr:nvSpPr>
      <xdr:spPr bwMode="auto">
        <a:xfrm>
          <a:off x="2889925" y="1304925"/>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var3</a:t>
          </a:r>
        </a:p>
      </xdr:txBody>
    </xdr:sp>
    <xdr:clientData/>
  </xdr:twoCellAnchor>
  <xdr:twoCellAnchor editAs="absolute">
    <xdr:from>
      <xdr:col>5</xdr:col>
      <xdr:colOff>667811</xdr:colOff>
      <xdr:row>6</xdr:row>
      <xdr:rowOff>28575</xdr:rowOff>
    </xdr:from>
    <xdr:to>
      <xdr:col>5</xdr:col>
      <xdr:colOff>1102193</xdr:colOff>
      <xdr:row>6</xdr:row>
      <xdr:rowOff>226575</xdr:rowOff>
    </xdr:to>
    <xdr:sp macro="" textlink="">
      <xdr:nvSpPr>
        <xdr:cNvPr id="26" name="Rectangle 10">
          <a:hlinkClick xmlns:r="http://schemas.openxmlformats.org/officeDocument/2006/relationships" r:id="rId6" tooltip="Naar invoer installaties en berekening variant 4."/>
          <a:extLst>
            <a:ext uri="{FF2B5EF4-FFF2-40B4-BE49-F238E27FC236}">
              <a16:creationId xmlns:a16="http://schemas.microsoft.com/office/drawing/2014/main" id="{00000000-0008-0000-0200-00001A000000}"/>
            </a:ext>
          </a:extLst>
        </xdr:cNvPr>
        <xdr:cNvSpPr>
          <a:spLocks noChangeArrowheads="1"/>
        </xdr:cNvSpPr>
      </xdr:nvSpPr>
      <xdr:spPr bwMode="auto">
        <a:xfrm>
          <a:off x="3353861" y="1304925"/>
          <a:ext cx="434382"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var4</a:t>
          </a:r>
        </a:p>
      </xdr:txBody>
    </xdr:sp>
    <xdr:clientData/>
  </xdr:twoCellAnchor>
  <xdr:twoCellAnchor editAs="absolute">
    <xdr:from>
      <xdr:col>5</xdr:col>
      <xdr:colOff>1130806</xdr:colOff>
      <xdr:row>6</xdr:row>
      <xdr:rowOff>28575</xdr:rowOff>
    </xdr:from>
    <xdr:to>
      <xdr:col>5</xdr:col>
      <xdr:colOff>1562806</xdr:colOff>
      <xdr:row>6</xdr:row>
      <xdr:rowOff>226575</xdr:rowOff>
    </xdr:to>
    <xdr:sp macro="" textlink="">
      <xdr:nvSpPr>
        <xdr:cNvPr id="27" name="Rectangle 11">
          <a:hlinkClick xmlns:r="http://schemas.openxmlformats.org/officeDocument/2006/relationships" r:id="rId7" tooltip="Naar invoer installaties en berekening variant 5."/>
          <a:extLst>
            <a:ext uri="{FF2B5EF4-FFF2-40B4-BE49-F238E27FC236}">
              <a16:creationId xmlns:a16="http://schemas.microsoft.com/office/drawing/2014/main" id="{00000000-0008-0000-0200-00001B000000}"/>
            </a:ext>
          </a:extLst>
        </xdr:cNvPr>
        <xdr:cNvSpPr>
          <a:spLocks noChangeArrowheads="1"/>
        </xdr:cNvSpPr>
      </xdr:nvSpPr>
      <xdr:spPr bwMode="auto">
        <a:xfrm>
          <a:off x="3816856" y="1304925"/>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var5</a:t>
          </a:r>
        </a:p>
      </xdr:txBody>
    </xdr:sp>
    <xdr:clientData/>
  </xdr:twoCellAnchor>
  <xdr:twoCellAnchor editAs="absolute">
    <xdr:from>
      <xdr:col>5</xdr:col>
      <xdr:colOff>1595073</xdr:colOff>
      <xdr:row>6</xdr:row>
      <xdr:rowOff>28575</xdr:rowOff>
    </xdr:from>
    <xdr:to>
      <xdr:col>5</xdr:col>
      <xdr:colOff>2027073</xdr:colOff>
      <xdr:row>6</xdr:row>
      <xdr:rowOff>226575</xdr:rowOff>
    </xdr:to>
    <xdr:sp macro="" textlink="">
      <xdr:nvSpPr>
        <xdr:cNvPr id="28" name="Rectangle 7">
          <a:hlinkClick xmlns:r="http://schemas.openxmlformats.org/officeDocument/2006/relationships" r:id="rId8" tooltip="Naar invoer installaties en berekening variant 6."/>
          <a:extLst>
            <a:ext uri="{FF2B5EF4-FFF2-40B4-BE49-F238E27FC236}">
              <a16:creationId xmlns:a16="http://schemas.microsoft.com/office/drawing/2014/main" id="{00000000-0008-0000-0200-00001C000000}"/>
            </a:ext>
          </a:extLst>
        </xdr:cNvPr>
        <xdr:cNvSpPr>
          <a:spLocks noChangeArrowheads="1"/>
        </xdr:cNvSpPr>
      </xdr:nvSpPr>
      <xdr:spPr bwMode="auto">
        <a:xfrm>
          <a:off x="4281123" y="1304925"/>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var6</a:t>
          </a:r>
        </a:p>
      </xdr:txBody>
    </xdr:sp>
    <xdr:clientData/>
  </xdr:twoCellAnchor>
  <xdr:twoCellAnchor editAs="absolute">
    <xdr:from>
      <xdr:col>5</xdr:col>
      <xdr:colOff>2060784</xdr:colOff>
      <xdr:row>6</xdr:row>
      <xdr:rowOff>28575</xdr:rowOff>
    </xdr:from>
    <xdr:to>
      <xdr:col>6</xdr:col>
      <xdr:colOff>621759</xdr:colOff>
      <xdr:row>6</xdr:row>
      <xdr:rowOff>226575</xdr:rowOff>
    </xdr:to>
    <xdr:sp macro="" textlink="">
      <xdr:nvSpPr>
        <xdr:cNvPr id="29" name="Rectangle 5">
          <a:hlinkClick xmlns:r="http://schemas.openxmlformats.org/officeDocument/2006/relationships" r:id="rId9" tooltip="Naar het overzicht van de rekenresultaten van de referentie en de varianten."/>
          <a:extLst>
            <a:ext uri="{FF2B5EF4-FFF2-40B4-BE49-F238E27FC236}">
              <a16:creationId xmlns:a16="http://schemas.microsoft.com/office/drawing/2014/main" id="{00000000-0008-0000-0200-00001D000000}"/>
            </a:ext>
          </a:extLst>
        </xdr:cNvPr>
        <xdr:cNvSpPr>
          <a:spLocks noChangeArrowheads="1"/>
        </xdr:cNvSpPr>
      </xdr:nvSpPr>
      <xdr:spPr bwMode="auto">
        <a:xfrm>
          <a:off x="4746834" y="1304925"/>
          <a:ext cx="66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resultaten</a:t>
          </a:r>
        </a:p>
      </xdr:txBody>
    </xdr:sp>
    <xdr:clientData/>
  </xdr:twoCellAnchor>
  <xdr:twoCellAnchor editAs="absolute">
    <xdr:from>
      <xdr:col>6</xdr:col>
      <xdr:colOff>645663</xdr:colOff>
      <xdr:row>6</xdr:row>
      <xdr:rowOff>28575</xdr:rowOff>
    </xdr:from>
    <xdr:to>
      <xdr:col>7</xdr:col>
      <xdr:colOff>1178</xdr:colOff>
      <xdr:row>6</xdr:row>
      <xdr:rowOff>226575</xdr:rowOff>
    </xdr:to>
    <xdr:sp macro="" textlink="">
      <xdr:nvSpPr>
        <xdr:cNvPr id="30" name="Rectangle 6">
          <a:hlinkClick xmlns:r="http://schemas.openxmlformats.org/officeDocument/2006/relationships" r:id="rId10" tooltip="Naar de bibilotheek met gegevens van gebouwen en installaties."/>
          <a:extLst>
            <a:ext uri="{FF2B5EF4-FFF2-40B4-BE49-F238E27FC236}">
              <a16:creationId xmlns:a16="http://schemas.microsoft.com/office/drawing/2014/main" id="{00000000-0008-0000-0200-00001E000000}"/>
            </a:ext>
          </a:extLst>
        </xdr:cNvPr>
        <xdr:cNvSpPr>
          <a:spLocks noChangeArrowheads="1"/>
        </xdr:cNvSpPr>
      </xdr:nvSpPr>
      <xdr:spPr bwMode="auto">
        <a:xfrm>
          <a:off x="5436738" y="1304925"/>
          <a:ext cx="73664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bibliotheek</a:t>
          </a: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4</xdr:col>
      <xdr:colOff>3580</xdr:colOff>
      <xdr:row>7</xdr:row>
      <xdr:rowOff>22434</xdr:rowOff>
    </xdr:from>
    <xdr:to>
      <xdr:col>4</xdr:col>
      <xdr:colOff>216000</xdr:colOff>
      <xdr:row>7</xdr:row>
      <xdr:rowOff>220434</xdr:rowOff>
    </xdr:to>
    <xdr:sp macro="" textlink="">
      <xdr:nvSpPr>
        <xdr:cNvPr id="11" name="Handleiding">
          <a:hlinkClick xmlns:r="http://schemas.openxmlformats.org/officeDocument/2006/relationships" r:id="rId1" tooltip="Naar de handleiding"/>
          <a:extLst>
            <a:ext uri="{FF2B5EF4-FFF2-40B4-BE49-F238E27FC236}">
              <a16:creationId xmlns:a16="http://schemas.microsoft.com/office/drawing/2014/main" id="{00000000-0008-0000-0300-00000B000000}"/>
            </a:ext>
          </a:extLst>
        </xdr:cNvPr>
        <xdr:cNvSpPr>
          <a:spLocks noChangeArrowheads="1"/>
        </xdr:cNvSpPr>
      </xdr:nvSpPr>
      <xdr:spPr bwMode="auto">
        <a:xfrm>
          <a:off x="575080" y="1611748"/>
          <a:ext cx="21242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i</a:t>
          </a:r>
        </a:p>
      </xdr:txBody>
    </xdr:sp>
    <xdr:clientData/>
  </xdr:twoCellAnchor>
  <xdr:twoCellAnchor editAs="absolute">
    <xdr:from>
      <xdr:col>4</xdr:col>
      <xdr:colOff>238934</xdr:colOff>
      <xdr:row>7</xdr:row>
      <xdr:rowOff>22261</xdr:rowOff>
    </xdr:from>
    <xdr:to>
      <xdr:col>4</xdr:col>
      <xdr:colOff>1354934</xdr:colOff>
      <xdr:row>7</xdr:row>
      <xdr:rowOff>220261</xdr:rowOff>
    </xdr:to>
    <xdr:sp macro="" textlink="">
      <xdr:nvSpPr>
        <xdr:cNvPr id="12" name="Woning_Utiliteit">
          <a:hlinkClick xmlns:r="http://schemas.openxmlformats.org/officeDocument/2006/relationships" r:id="rId2" tooltip="Naar de invoer van de woningen en utiliteitsgebouwen in het gebied."/>
          <a:extLst>
            <a:ext uri="{FF2B5EF4-FFF2-40B4-BE49-F238E27FC236}">
              <a16:creationId xmlns:a16="http://schemas.microsoft.com/office/drawing/2014/main" id="{00000000-0008-0000-0300-00000C000000}"/>
            </a:ext>
          </a:extLst>
        </xdr:cNvPr>
        <xdr:cNvSpPr>
          <a:spLocks noChangeArrowheads="1"/>
        </xdr:cNvSpPr>
      </xdr:nvSpPr>
      <xdr:spPr bwMode="auto">
        <a:xfrm>
          <a:off x="810434" y="1611575"/>
          <a:ext cx="111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woningen|utiliteit</a:t>
          </a:r>
        </a:p>
      </xdr:txBody>
    </xdr:sp>
    <xdr:clientData/>
  </xdr:twoCellAnchor>
  <xdr:twoCellAnchor editAs="absolute">
    <xdr:from>
      <xdr:col>4</xdr:col>
      <xdr:colOff>1380966</xdr:colOff>
      <xdr:row>7</xdr:row>
      <xdr:rowOff>22261</xdr:rowOff>
    </xdr:from>
    <xdr:to>
      <xdr:col>5</xdr:col>
      <xdr:colOff>31791</xdr:colOff>
      <xdr:row>7</xdr:row>
      <xdr:rowOff>220261</xdr:rowOff>
    </xdr:to>
    <xdr:sp macro="" textlink="">
      <xdr:nvSpPr>
        <xdr:cNvPr id="13" name="Variant 1">
          <a:hlinkClick xmlns:r="http://schemas.openxmlformats.org/officeDocument/2006/relationships" r:id="rId3" tooltip="Naar invoer installaties en berekening variant 1"/>
          <a:extLst>
            <a:ext uri="{FF2B5EF4-FFF2-40B4-BE49-F238E27FC236}">
              <a16:creationId xmlns:a16="http://schemas.microsoft.com/office/drawing/2014/main" id="{00000000-0008-0000-0300-00000D000000}"/>
            </a:ext>
          </a:extLst>
        </xdr:cNvPr>
        <xdr:cNvSpPr>
          <a:spLocks noChangeArrowheads="1"/>
        </xdr:cNvSpPr>
      </xdr:nvSpPr>
      <xdr:spPr bwMode="auto">
        <a:xfrm>
          <a:off x="1952466" y="1611575"/>
          <a:ext cx="433361" cy="198000"/>
        </a:xfrm>
        <a:prstGeom prst="rect">
          <a:avLst/>
        </a:prstGeom>
        <a:gradFill>
          <a:gsLst>
            <a:gs pos="84000">
              <a:schemeClr val="accent1">
                <a:lumMod val="40000"/>
                <a:lumOff val="60000"/>
              </a:schemeClr>
            </a:gs>
            <a:gs pos="99000">
              <a:schemeClr val="accent1"/>
            </a:gs>
            <a:gs pos="16000">
              <a:schemeClr val="accent1">
                <a:lumMod val="20000"/>
                <a:lumOff val="80000"/>
              </a:schemeClr>
            </a:gs>
            <a:gs pos="0">
              <a:schemeClr val="bg1"/>
            </a:gs>
          </a:gsLst>
          <a:lin ang="5400000" scaled="1"/>
        </a:gradFill>
        <a:ln w="635">
          <a:solidFill>
            <a:schemeClr val="bg1">
              <a:lumMod val="65000"/>
            </a:schemeClr>
          </a:solidFill>
        </a:ln>
        <a:effectLst>
          <a:outerShdw blurRad="50800" dist="38100" dir="5400000" algn="t" rotWithShape="0">
            <a:schemeClr val="accent1">
              <a:lumMod val="60000"/>
              <a:lumOff val="4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tx1">
                  <a:lumMod val="65000"/>
                  <a:lumOff val="35000"/>
                </a:schemeClr>
              </a:solidFill>
              <a:latin typeface="Calibri Light" panose="020F0302020204030204" pitchFamily="34" charset="0"/>
              <a:ea typeface="Verdana"/>
              <a:cs typeface="Calibri Light" panose="020F0302020204030204" pitchFamily="34" charset="0"/>
            </a:rPr>
            <a:t>var1</a:t>
          </a:r>
        </a:p>
      </xdr:txBody>
    </xdr:sp>
    <xdr:clientData/>
  </xdr:twoCellAnchor>
  <xdr:twoCellAnchor editAs="absolute">
    <xdr:from>
      <xdr:col>5</xdr:col>
      <xdr:colOff>58708</xdr:colOff>
      <xdr:row>7</xdr:row>
      <xdr:rowOff>22261</xdr:rowOff>
    </xdr:from>
    <xdr:to>
      <xdr:col>5</xdr:col>
      <xdr:colOff>491516</xdr:colOff>
      <xdr:row>7</xdr:row>
      <xdr:rowOff>220261</xdr:rowOff>
    </xdr:to>
    <xdr:sp macro="" textlink="">
      <xdr:nvSpPr>
        <xdr:cNvPr id="14" name="Variant 2">
          <a:hlinkClick xmlns:r="http://schemas.openxmlformats.org/officeDocument/2006/relationships" r:id="rId4" tooltip="Naar invoer installaties en berekening variant 2."/>
          <a:extLst>
            <a:ext uri="{FF2B5EF4-FFF2-40B4-BE49-F238E27FC236}">
              <a16:creationId xmlns:a16="http://schemas.microsoft.com/office/drawing/2014/main" id="{00000000-0008-0000-0300-00000E000000}"/>
            </a:ext>
          </a:extLst>
        </xdr:cNvPr>
        <xdr:cNvSpPr>
          <a:spLocks noChangeArrowheads="1"/>
        </xdr:cNvSpPr>
      </xdr:nvSpPr>
      <xdr:spPr bwMode="auto">
        <a:xfrm>
          <a:off x="2412744" y="1611575"/>
          <a:ext cx="432808"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var2</a:t>
          </a:r>
        </a:p>
      </xdr:txBody>
    </xdr:sp>
    <xdr:clientData/>
  </xdr:twoCellAnchor>
  <xdr:twoCellAnchor editAs="absolute">
    <xdr:from>
      <xdr:col>5</xdr:col>
      <xdr:colOff>527725</xdr:colOff>
      <xdr:row>7</xdr:row>
      <xdr:rowOff>22261</xdr:rowOff>
    </xdr:from>
    <xdr:to>
      <xdr:col>5</xdr:col>
      <xdr:colOff>959725</xdr:colOff>
      <xdr:row>7</xdr:row>
      <xdr:rowOff>220261</xdr:rowOff>
    </xdr:to>
    <xdr:sp macro="" textlink="">
      <xdr:nvSpPr>
        <xdr:cNvPr id="15" name="Variant 3">
          <a:hlinkClick xmlns:r="http://schemas.openxmlformats.org/officeDocument/2006/relationships" r:id="rId5" tooltip="Naar invoer installaties en berekening variant 3."/>
          <a:extLst>
            <a:ext uri="{FF2B5EF4-FFF2-40B4-BE49-F238E27FC236}">
              <a16:creationId xmlns:a16="http://schemas.microsoft.com/office/drawing/2014/main" id="{00000000-0008-0000-0300-00000F000000}"/>
            </a:ext>
          </a:extLst>
        </xdr:cNvPr>
        <xdr:cNvSpPr>
          <a:spLocks noChangeArrowheads="1"/>
        </xdr:cNvSpPr>
      </xdr:nvSpPr>
      <xdr:spPr bwMode="auto">
        <a:xfrm>
          <a:off x="2881761" y="1611575"/>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var3</a:t>
          </a:r>
        </a:p>
      </xdr:txBody>
    </xdr:sp>
    <xdr:clientData/>
  </xdr:twoCellAnchor>
  <xdr:twoCellAnchor editAs="absolute">
    <xdr:from>
      <xdr:col>5</xdr:col>
      <xdr:colOff>991661</xdr:colOff>
      <xdr:row>7</xdr:row>
      <xdr:rowOff>22261</xdr:rowOff>
    </xdr:from>
    <xdr:to>
      <xdr:col>6</xdr:col>
      <xdr:colOff>244943</xdr:colOff>
      <xdr:row>7</xdr:row>
      <xdr:rowOff>220261</xdr:rowOff>
    </xdr:to>
    <xdr:sp macro="" textlink="">
      <xdr:nvSpPr>
        <xdr:cNvPr id="16" name="Variant 4">
          <a:hlinkClick xmlns:r="http://schemas.openxmlformats.org/officeDocument/2006/relationships" r:id="rId6" tooltip="Naar invoer installaties en berekening variant 4."/>
          <a:extLst>
            <a:ext uri="{FF2B5EF4-FFF2-40B4-BE49-F238E27FC236}">
              <a16:creationId xmlns:a16="http://schemas.microsoft.com/office/drawing/2014/main" id="{00000000-0008-0000-0300-000010000000}"/>
            </a:ext>
          </a:extLst>
        </xdr:cNvPr>
        <xdr:cNvSpPr>
          <a:spLocks noChangeArrowheads="1"/>
        </xdr:cNvSpPr>
      </xdr:nvSpPr>
      <xdr:spPr bwMode="auto">
        <a:xfrm>
          <a:off x="3345697" y="1611575"/>
          <a:ext cx="437103"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var4</a:t>
          </a:r>
        </a:p>
      </xdr:txBody>
    </xdr:sp>
    <xdr:clientData/>
  </xdr:twoCellAnchor>
  <xdr:twoCellAnchor editAs="absolute">
    <xdr:from>
      <xdr:col>6</xdr:col>
      <xdr:colOff>273556</xdr:colOff>
      <xdr:row>7</xdr:row>
      <xdr:rowOff>22261</xdr:rowOff>
    </xdr:from>
    <xdr:to>
      <xdr:col>6</xdr:col>
      <xdr:colOff>705556</xdr:colOff>
      <xdr:row>7</xdr:row>
      <xdr:rowOff>220261</xdr:rowOff>
    </xdr:to>
    <xdr:sp macro="" textlink="">
      <xdr:nvSpPr>
        <xdr:cNvPr id="17" name="Variant 5">
          <a:hlinkClick xmlns:r="http://schemas.openxmlformats.org/officeDocument/2006/relationships" r:id="rId7" tooltip="Naar invoer installaties en berekening variant 5."/>
          <a:extLst>
            <a:ext uri="{FF2B5EF4-FFF2-40B4-BE49-F238E27FC236}">
              <a16:creationId xmlns:a16="http://schemas.microsoft.com/office/drawing/2014/main" id="{00000000-0008-0000-0300-000011000000}"/>
            </a:ext>
          </a:extLst>
        </xdr:cNvPr>
        <xdr:cNvSpPr>
          <a:spLocks noChangeArrowheads="1"/>
        </xdr:cNvSpPr>
      </xdr:nvSpPr>
      <xdr:spPr bwMode="auto">
        <a:xfrm>
          <a:off x="3811413" y="1611575"/>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var5</a:t>
          </a:r>
        </a:p>
      </xdr:txBody>
    </xdr:sp>
    <xdr:clientData/>
  </xdr:twoCellAnchor>
  <xdr:twoCellAnchor editAs="absolute">
    <xdr:from>
      <xdr:col>6</xdr:col>
      <xdr:colOff>737823</xdr:colOff>
      <xdr:row>7</xdr:row>
      <xdr:rowOff>22261</xdr:rowOff>
    </xdr:from>
    <xdr:to>
      <xdr:col>6</xdr:col>
      <xdr:colOff>1169823</xdr:colOff>
      <xdr:row>7</xdr:row>
      <xdr:rowOff>220261</xdr:rowOff>
    </xdr:to>
    <xdr:sp macro="" textlink="">
      <xdr:nvSpPr>
        <xdr:cNvPr id="18" name="Variant 6">
          <a:hlinkClick xmlns:r="http://schemas.openxmlformats.org/officeDocument/2006/relationships" r:id="rId8" tooltip="Naar invoer installaties en berekening variant 6."/>
          <a:extLst>
            <a:ext uri="{FF2B5EF4-FFF2-40B4-BE49-F238E27FC236}">
              <a16:creationId xmlns:a16="http://schemas.microsoft.com/office/drawing/2014/main" id="{00000000-0008-0000-0300-000012000000}"/>
            </a:ext>
          </a:extLst>
        </xdr:cNvPr>
        <xdr:cNvSpPr>
          <a:spLocks noChangeArrowheads="1"/>
        </xdr:cNvSpPr>
      </xdr:nvSpPr>
      <xdr:spPr bwMode="auto">
        <a:xfrm>
          <a:off x="4275680" y="1611575"/>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var6</a:t>
          </a:r>
        </a:p>
      </xdr:txBody>
    </xdr:sp>
    <xdr:clientData/>
  </xdr:twoCellAnchor>
  <xdr:twoCellAnchor editAs="absolute">
    <xdr:from>
      <xdr:col>7</xdr:col>
      <xdr:colOff>22434</xdr:colOff>
      <xdr:row>7</xdr:row>
      <xdr:rowOff>22261</xdr:rowOff>
    </xdr:from>
    <xdr:to>
      <xdr:col>7</xdr:col>
      <xdr:colOff>688434</xdr:colOff>
      <xdr:row>7</xdr:row>
      <xdr:rowOff>220261</xdr:rowOff>
    </xdr:to>
    <xdr:sp macro="" textlink="">
      <xdr:nvSpPr>
        <xdr:cNvPr id="19" name="Resultaten">
          <a:hlinkClick xmlns:r="http://schemas.openxmlformats.org/officeDocument/2006/relationships" r:id="rId9" tooltip="Naar het overzicht van de rekenresultaten van de referentie en de varianten."/>
          <a:extLst>
            <a:ext uri="{FF2B5EF4-FFF2-40B4-BE49-F238E27FC236}">
              <a16:creationId xmlns:a16="http://schemas.microsoft.com/office/drawing/2014/main" id="{00000000-0008-0000-0300-000013000000}"/>
            </a:ext>
          </a:extLst>
        </xdr:cNvPr>
        <xdr:cNvSpPr>
          <a:spLocks noChangeArrowheads="1"/>
        </xdr:cNvSpPr>
      </xdr:nvSpPr>
      <xdr:spPr bwMode="auto">
        <a:xfrm>
          <a:off x="4744113" y="1611575"/>
          <a:ext cx="66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resultaten</a:t>
          </a:r>
        </a:p>
      </xdr:txBody>
    </xdr:sp>
    <xdr:clientData/>
  </xdr:twoCellAnchor>
  <xdr:twoCellAnchor editAs="absolute">
    <xdr:from>
      <xdr:col>7</xdr:col>
      <xdr:colOff>712338</xdr:colOff>
      <xdr:row>7</xdr:row>
      <xdr:rowOff>22261</xdr:rowOff>
    </xdr:from>
    <xdr:to>
      <xdr:col>8</xdr:col>
      <xdr:colOff>1178</xdr:colOff>
      <xdr:row>7</xdr:row>
      <xdr:rowOff>220261</xdr:rowOff>
    </xdr:to>
    <xdr:sp macro="" textlink="">
      <xdr:nvSpPr>
        <xdr:cNvPr id="29" name="Bibliotheek">
          <a:hlinkClick xmlns:r="http://schemas.openxmlformats.org/officeDocument/2006/relationships" r:id="rId10" tooltip="Naar de bibilotheek met gegevens van gebouwen en installaties."/>
          <a:extLst>
            <a:ext uri="{FF2B5EF4-FFF2-40B4-BE49-F238E27FC236}">
              <a16:creationId xmlns:a16="http://schemas.microsoft.com/office/drawing/2014/main" id="{00000000-0008-0000-0300-00001D000000}"/>
            </a:ext>
          </a:extLst>
        </xdr:cNvPr>
        <xdr:cNvSpPr>
          <a:spLocks noChangeArrowheads="1"/>
        </xdr:cNvSpPr>
      </xdr:nvSpPr>
      <xdr:spPr bwMode="auto">
        <a:xfrm>
          <a:off x="5434017" y="1611575"/>
          <a:ext cx="731197"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bibliotheek</a:t>
          </a:r>
        </a:p>
      </xdr:txBody>
    </xdr:sp>
    <xdr:clientData/>
  </xdr:twoCellAnchor>
  <mc:AlternateContent xmlns:mc="http://schemas.openxmlformats.org/markup-compatibility/2006">
    <mc:Choice xmlns:a14="http://schemas.microsoft.com/office/drawing/2010/main" Requires="a14">
      <xdr:twoCellAnchor editAs="oneCell">
        <xdr:from>
          <xdr:col>6</xdr:col>
          <xdr:colOff>66675</xdr:colOff>
          <xdr:row>5</xdr:row>
          <xdr:rowOff>0</xdr:rowOff>
        </xdr:from>
        <xdr:to>
          <xdr:col>6</xdr:col>
          <xdr:colOff>542925</xdr:colOff>
          <xdr:row>6</xdr:row>
          <xdr:rowOff>0</xdr:rowOff>
        </xdr:to>
        <xdr:sp macro="" textlink="">
          <xdr:nvSpPr>
            <xdr:cNvPr id="4123" name="Correctie_RV" hidden="1">
              <a:extLst>
                <a:ext uri="{63B3BB69-23CF-44E3-9099-C40C66FF867C}">
                  <a14:compatExt spid="_x0000_s4123"/>
                </a:ext>
                <a:ext uri="{FF2B5EF4-FFF2-40B4-BE49-F238E27FC236}">
                  <a16:creationId xmlns:a16="http://schemas.microsoft.com/office/drawing/2014/main" id="{00000000-0008-0000-0300-00001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absolute">
    <xdr:from>
      <xdr:col>4</xdr:col>
      <xdr:colOff>3580</xdr:colOff>
      <xdr:row>7</xdr:row>
      <xdr:rowOff>22434</xdr:rowOff>
    </xdr:from>
    <xdr:to>
      <xdr:col>4</xdr:col>
      <xdr:colOff>216000</xdr:colOff>
      <xdr:row>7</xdr:row>
      <xdr:rowOff>220434</xdr:rowOff>
    </xdr:to>
    <xdr:sp macro="" textlink="">
      <xdr:nvSpPr>
        <xdr:cNvPr id="2" name="Handleiding">
          <a:hlinkClick xmlns:r="http://schemas.openxmlformats.org/officeDocument/2006/relationships" r:id="rId1" tooltip="Naar de handleiding"/>
          <a:extLst>
            <a:ext uri="{FF2B5EF4-FFF2-40B4-BE49-F238E27FC236}">
              <a16:creationId xmlns:a16="http://schemas.microsoft.com/office/drawing/2014/main" id="{E80B9F71-BC8D-411B-A3DD-B5629AD0F3E8}"/>
            </a:ext>
          </a:extLst>
        </xdr:cNvPr>
        <xdr:cNvSpPr>
          <a:spLocks noChangeArrowheads="1"/>
        </xdr:cNvSpPr>
      </xdr:nvSpPr>
      <xdr:spPr bwMode="auto">
        <a:xfrm>
          <a:off x="584605" y="1584534"/>
          <a:ext cx="21242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i</a:t>
          </a:r>
        </a:p>
      </xdr:txBody>
    </xdr:sp>
    <xdr:clientData/>
  </xdr:twoCellAnchor>
  <xdr:twoCellAnchor editAs="absolute">
    <xdr:from>
      <xdr:col>4</xdr:col>
      <xdr:colOff>238934</xdr:colOff>
      <xdr:row>7</xdr:row>
      <xdr:rowOff>22261</xdr:rowOff>
    </xdr:from>
    <xdr:to>
      <xdr:col>4</xdr:col>
      <xdr:colOff>1354934</xdr:colOff>
      <xdr:row>7</xdr:row>
      <xdr:rowOff>220261</xdr:rowOff>
    </xdr:to>
    <xdr:sp macro="" textlink="">
      <xdr:nvSpPr>
        <xdr:cNvPr id="3" name="Woning_Utiliteit">
          <a:hlinkClick xmlns:r="http://schemas.openxmlformats.org/officeDocument/2006/relationships" r:id="rId2" tooltip="Naar de invoer van de woningen en utiliteitsgebouwen in het gebied."/>
          <a:extLst>
            <a:ext uri="{FF2B5EF4-FFF2-40B4-BE49-F238E27FC236}">
              <a16:creationId xmlns:a16="http://schemas.microsoft.com/office/drawing/2014/main" id="{EEF03F7F-DF4C-4C5E-BA64-CE240EF9975D}"/>
            </a:ext>
          </a:extLst>
        </xdr:cNvPr>
        <xdr:cNvSpPr>
          <a:spLocks noChangeArrowheads="1"/>
        </xdr:cNvSpPr>
      </xdr:nvSpPr>
      <xdr:spPr bwMode="auto">
        <a:xfrm>
          <a:off x="819959" y="1584361"/>
          <a:ext cx="111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woningen|utiliteit</a:t>
          </a:r>
        </a:p>
      </xdr:txBody>
    </xdr:sp>
    <xdr:clientData/>
  </xdr:twoCellAnchor>
  <xdr:twoCellAnchor editAs="absolute">
    <xdr:from>
      <xdr:col>4</xdr:col>
      <xdr:colOff>1380966</xdr:colOff>
      <xdr:row>7</xdr:row>
      <xdr:rowOff>22261</xdr:rowOff>
    </xdr:from>
    <xdr:to>
      <xdr:col>5</xdr:col>
      <xdr:colOff>31791</xdr:colOff>
      <xdr:row>7</xdr:row>
      <xdr:rowOff>220261</xdr:rowOff>
    </xdr:to>
    <xdr:sp macro="" textlink="">
      <xdr:nvSpPr>
        <xdr:cNvPr id="4" name="Variant 1">
          <a:hlinkClick xmlns:r="http://schemas.openxmlformats.org/officeDocument/2006/relationships" r:id="rId3" tooltip="Naar invoer installaties en berekening variant 1"/>
          <a:extLst>
            <a:ext uri="{FF2B5EF4-FFF2-40B4-BE49-F238E27FC236}">
              <a16:creationId xmlns:a16="http://schemas.microsoft.com/office/drawing/2014/main" id="{C3FF6627-7BAC-4DCC-9F14-14C41CE5AD8C}"/>
            </a:ext>
          </a:extLst>
        </xdr:cNvPr>
        <xdr:cNvSpPr>
          <a:spLocks noChangeArrowheads="1"/>
        </xdr:cNvSpPr>
      </xdr:nvSpPr>
      <xdr:spPr bwMode="auto">
        <a:xfrm>
          <a:off x="1961991"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var1</a:t>
          </a:r>
        </a:p>
      </xdr:txBody>
    </xdr:sp>
    <xdr:clientData/>
  </xdr:twoCellAnchor>
  <xdr:twoCellAnchor editAs="absolute">
    <xdr:from>
      <xdr:col>5</xdr:col>
      <xdr:colOff>58708</xdr:colOff>
      <xdr:row>7</xdr:row>
      <xdr:rowOff>22261</xdr:rowOff>
    </xdr:from>
    <xdr:to>
      <xdr:col>5</xdr:col>
      <xdr:colOff>491516</xdr:colOff>
      <xdr:row>7</xdr:row>
      <xdr:rowOff>220261</xdr:rowOff>
    </xdr:to>
    <xdr:sp macro="" textlink="">
      <xdr:nvSpPr>
        <xdr:cNvPr id="5" name="Variant 2">
          <a:hlinkClick xmlns:r="http://schemas.openxmlformats.org/officeDocument/2006/relationships" r:id="rId4" tooltip="Naar invoer installaties en berekening variant 2."/>
          <a:extLst>
            <a:ext uri="{FF2B5EF4-FFF2-40B4-BE49-F238E27FC236}">
              <a16:creationId xmlns:a16="http://schemas.microsoft.com/office/drawing/2014/main" id="{4431E67D-CC1C-4240-8933-9B2A4EB1B896}"/>
            </a:ext>
          </a:extLst>
        </xdr:cNvPr>
        <xdr:cNvSpPr>
          <a:spLocks noChangeArrowheads="1"/>
        </xdr:cNvSpPr>
      </xdr:nvSpPr>
      <xdr:spPr bwMode="auto">
        <a:xfrm>
          <a:off x="2420908" y="1584361"/>
          <a:ext cx="432808" cy="198000"/>
        </a:xfrm>
        <a:prstGeom prst="rect">
          <a:avLst/>
        </a:prstGeom>
        <a:gradFill>
          <a:gsLst>
            <a:gs pos="84000">
              <a:schemeClr val="accent1">
                <a:lumMod val="40000"/>
                <a:lumOff val="60000"/>
              </a:schemeClr>
            </a:gs>
            <a:gs pos="99000">
              <a:schemeClr val="accent1"/>
            </a:gs>
            <a:gs pos="16000">
              <a:schemeClr val="accent1">
                <a:lumMod val="20000"/>
                <a:lumOff val="80000"/>
              </a:schemeClr>
            </a:gs>
            <a:gs pos="0">
              <a:schemeClr val="bg1"/>
            </a:gs>
          </a:gsLst>
          <a:lin ang="5400000" scaled="1"/>
        </a:gradFill>
        <a:ln w="635">
          <a:solidFill>
            <a:schemeClr val="bg1">
              <a:lumMod val="65000"/>
            </a:schemeClr>
          </a:solidFill>
        </a:ln>
        <a:effectLst>
          <a:outerShdw blurRad="50800" dist="38100" dir="5400000" algn="t" rotWithShape="0">
            <a:schemeClr val="accent1">
              <a:lumMod val="60000"/>
              <a:lumOff val="4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tx1">
                  <a:lumMod val="65000"/>
                  <a:lumOff val="35000"/>
                </a:schemeClr>
              </a:solidFill>
              <a:latin typeface="Calibri Light" panose="020F0302020204030204" pitchFamily="34" charset="0"/>
              <a:ea typeface="Verdana"/>
              <a:cs typeface="Calibri Light" panose="020F0302020204030204" pitchFamily="34" charset="0"/>
            </a:rPr>
            <a:t>var2</a:t>
          </a:r>
        </a:p>
      </xdr:txBody>
    </xdr:sp>
    <xdr:clientData/>
  </xdr:twoCellAnchor>
  <xdr:twoCellAnchor editAs="absolute">
    <xdr:from>
      <xdr:col>5</xdr:col>
      <xdr:colOff>527725</xdr:colOff>
      <xdr:row>7</xdr:row>
      <xdr:rowOff>22261</xdr:rowOff>
    </xdr:from>
    <xdr:to>
      <xdr:col>5</xdr:col>
      <xdr:colOff>959725</xdr:colOff>
      <xdr:row>7</xdr:row>
      <xdr:rowOff>220261</xdr:rowOff>
    </xdr:to>
    <xdr:sp macro="" textlink="">
      <xdr:nvSpPr>
        <xdr:cNvPr id="6" name="Variant 3">
          <a:hlinkClick xmlns:r="http://schemas.openxmlformats.org/officeDocument/2006/relationships" r:id="rId5" tooltip="Naar invoer installaties en berekening variant 3."/>
          <a:extLst>
            <a:ext uri="{FF2B5EF4-FFF2-40B4-BE49-F238E27FC236}">
              <a16:creationId xmlns:a16="http://schemas.microsoft.com/office/drawing/2014/main" id="{725CC637-8559-4D94-8E5A-9533DDCC8ABE}"/>
            </a:ext>
          </a:extLst>
        </xdr:cNvPr>
        <xdr:cNvSpPr>
          <a:spLocks noChangeArrowheads="1"/>
        </xdr:cNvSpPr>
      </xdr:nvSpPr>
      <xdr:spPr bwMode="auto">
        <a:xfrm>
          <a:off x="2889925"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var3</a:t>
          </a:r>
        </a:p>
      </xdr:txBody>
    </xdr:sp>
    <xdr:clientData/>
  </xdr:twoCellAnchor>
  <xdr:twoCellAnchor editAs="absolute">
    <xdr:from>
      <xdr:col>5</xdr:col>
      <xdr:colOff>991661</xdr:colOff>
      <xdr:row>7</xdr:row>
      <xdr:rowOff>22261</xdr:rowOff>
    </xdr:from>
    <xdr:to>
      <xdr:col>6</xdr:col>
      <xdr:colOff>244943</xdr:colOff>
      <xdr:row>7</xdr:row>
      <xdr:rowOff>220261</xdr:rowOff>
    </xdr:to>
    <xdr:sp macro="" textlink="">
      <xdr:nvSpPr>
        <xdr:cNvPr id="7" name="Variant 4">
          <a:hlinkClick xmlns:r="http://schemas.openxmlformats.org/officeDocument/2006/relationships" r:id="rId6" tooltip="Naar invoer installaties en berekening variant 4."/>
          <a:extLst>
            <a:ext uri="{FF2B5EF4-FFF2-40B4-BE49-F238E27FC236}">
              <a16:creationId xmlns:a16="http://schemas.microsoft.com/office/drawing/2014/main" id="{67E54007-9908-4C05-B351-2200F237CBF4}"/>
            </a:ext>
          </a:extLst>
        </xdr:cNvPr>
        <xdr:cNvSpPr>
          <a:spLocks noChangeArrowheads="1"/>
        </xdr:cNvSpPr>
      </xdr:nvSpPr>
      <xdr:spPr bwMode="auto">
        <a:xfrm>
          <a:off x="3353861" y="1584361"/>
          <a:ext cx="434382"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var4</a:t>
          </a:r>
        </a:p>
      </xdr:txBody>
    </xdr:sp>
    <xdr:clientData/>
  </xdr:twoCellAnchor>
  <xdr:twoCellAnchor editAs="absolute">
    <xdr:from>
      <xdr:col>6</xdr:col>
      <xdr:colOff>273556</xdr:colOff>
      <xdr:row>7</xdr:row>
      <xdr:rowOff>22261</xdr:rowOff>
    </xdr:from>
    <xdr:to>
      <xdr:col>6</xdr:col>
      <xdr:colOff>705556</xdr:colOff>
      <xdr:row>7</xdr:row>
      <xdr:rowOff>220261</xdr:rowOff>
    </xdr:to>
    <xdr:sp macro="" textlink="">
      <xdr:nvSpPr>
        <xdr:cNvPr id="8" name="Variant 5">
          <a:hlinkClick xmlns:r="http://schemas.openxmlformats.org/officeDocument/2006/relationships" r:id="rId7" tooltip="Naar invoer installaties en berekening variant 5."/>
          <a:extLst>
            <a:ext uri="{FF2B5EF4-FFF2-40B4-BE49-F238E27FC236}">
              <a16:creationId xmlns:a16="http://schemas.microsoft.com/office/drawing/2014/main" id="{BCC29C63-78A8-4659-B14A-668A6F3D4EC6}"/>
            </a:ext>
          </a:extLst>
        </xdr:cNvPr>
        <xdr:cNvSpPr>
          <a:spLocks noChangeArrowheads="1"/>
        </xdr:cNvSpPr>
      </xdr:nvSpPr>
      <xdr:spPr bwMode="auto">
        <a:xfrm>
          <a:off x="3816856"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var5</a:t>
          </a:r>
        </a:p>
      </xdr:txBody>
    </xdr:sp>
    <xdr:clientData/>
  </xdr:twoCellAnchor>
  <xdr:twoCellAnchor editAs="absolute">
    <xdr:from>
      <xdr:col>6</xdr:col>
      <xdr:colOff>737823</xdr:colOff>
      <xdr:row>7</xdr:row>
      <xdr:rowOff>22261</xdr:rowOff>
    </xdr:from>
    <xdr:to>
      <xdr:col>6</xdr:col>
      <xdr:colOff>1169823</xdr:colOff>
      <xdr:row>7</xdr:row>
      <xdr:rowOff>220261</xdr:rowOff>
    </xdr:to>
    <xdr:sp macro="" textlink="">
      <xdr:nvSpPr>
        <xdr:cNvPr id="9" name="Variant 6">
          <a:hlinkClick xmlns:r="http://schemas.openxmlformats.org/officeDocument/2006/relationships" r:id="rId8" tooltip="Naar invoer installaties en berekening variant 6."/>
          <a:extLst>
            <a:ext uri="{FF2B5EF4-FFF2-40B4-BE49-F238E27FC236}">
              <a16:creationId xmlns:a16="http://schemas.microsoft.com/office/drawing/2014/main" id="{0DF6FDA6-04DC-495B-BC68-7E6903F220A2}"/>
            </a:ext>
          </a:extLst>
        </xdr:cNvPr>
        <xdr:cNvSpPr>
          <a:spLocks noChangeArrowheads="1"/>
        </xdr:cNvSpPr>
      </xdr:nvSpPr>
      <xdr:spPr bwMode="auto">
        <a:xfrm>
          <a:off x="4281123"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var6</a:t>
          </a:r>
        </a:p>
      </xdr:txBody>
    </xdr:sp>
    <xdr:clientData/>
  </xdr:twoCellAnchor>
  <xdr:twoCellAnchor editAs="absolute">
    <xdr:from>
      <xdr:col>7</xdr:col>
      <xdr:colOff>22434</xdr:colOff>
      <xdr:row>7</xdr:row>
      <xdr:rowOff>22261</xdr:rowOff>
    </xdr:from>
    <xdr:to>
      <xdr:col>7</xdr:col>
      <xdr:colOff>688434</xdr:colOff>
      <xdr:row>7</xdr:row>
      <xdr:rowOff>220261</xdr:rowOff>
    </xdr:to>
    <xdr:sp macro="" textlink="">
      <xdr:nvSpPr>
        <xdr:cNvPr id="10" name="Resultaten">
          <a:hlinkClick xmlns:r="http://schemas.openxmlformats.org/officeDocument/2006/relationships" r:id="rId9" tooltip="Naar het overzicht van de rekenresultaten van de referentie en de varianten."/>
          <a:extLst>
            <a:ext uri="{FF2B5EF4-FFF2-40B4-BE49-F238E27FC236}">
              <a16:creationId xmlns:a16="http://schemas.microsoft.com/office/drawing/2014/main" id="{9AFB26EF-C6C0-4027-B32B-01A9764169BE}"/>
            </a:ext>
          </a:extLst>
        </xdr:cNvPr>
        <xdr:cNvSpPr>
          <a:spLocks noChangeArrowheads="1"/>
        </xdr:cNvSpPr>
      </xdr:nvSpPr>
      <xdr:spPr bwMode="auto">
        <a:xfrm>
          <a:off x="4746834" y="1584361"/>
          <a:ext cx="66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resultaten</a:t>
          </a:r>
        </a:p>
      </xdr:txBody>
    </xdr:sp>
    <xdr:clientData/>
  </xdr:twoCellAnchor>
  <xdr:twoCellAnchor editAs="absolute">
    <xdr:from>
      <xdr:col>7</xdr:col>
      <xdr:colOff>712338</xdr:colOff>
      <xdr:row>7</xdr:row>
      <xdr:rowOff>22261</xdr:rowOff>
    </xdr:from>
    <xdr:to>
      <xdr:col>8</xdr:col>
      <xdr:colOff>1178</xdr:colOff>
      <xdr:row>7</xdr:row>
      <xdr:rowOff>220261</xdr:rowOff>
    </xdr:to>
    <xdr:sp macro="" textlink="">
      <xdr:nvSpPr>
        <xdr:cNvPr id="11" name="Bibliotheek">
          <a:hlinkClick xmlns:r="http://schemas.openxmlformats.org/officeDocument/2006/relationships" r:id="rId10" tooltip="Naar de bibilotheek met gegevens van gebouwen en installaties."/>
          <a:extLst>
            <a:ext uri="{FF2B5EF4-FFF2-40B4-BE49-F238E27FC236}">
              <a16:creationId xmlns:a16="http://schemas.microsoft.com/office/drawing/2014/main" id="{F8A91045-6DE0-4208-8357-38BFEA6980E9}"/>
            </a:ext>
          </a:extLst>
        </xdr:cNvPr>
        <xdr:cNvSpPr>
          <a:spLocks noChangeArrowheads="1"/>
        </xdr:cNvSpPr>
      </xdr:nvSpPr>
      <xdr:spPr bwMode="auto">
        <a:xfrm>
          <a:off x="5436738" y="1584361"/>
          <a:ext cx="73664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bibliotheek</a:t>
          </a:r>
        </a:p>
      </xdr:txBody>
    </xdr:sp>
    <xdr:clientData/>
  </xdr:twoCellAnchor>
  <mc:AlternateContent xmlns:mc="http://schemas.openxmlformats.org/markup-compatibility/2006">
    <mc:Choice xmlns:a14="http://schemas.microsoft.com/office/drawing/2010/main" Requires="a14">
      <xdr:twoCellAnchor editAs="oneCell">
        <xdr:from>
          <xdr:col>6</xdr:col>
          <xdr:colOff>66675</xdr:colOff>
          <xdr:row>5</xdr:row>
          <xdr:rowOff>0</xdr:rowOff>
        </xdr:from>
        <xdr:to>
          <xdr:col>6</xdr:col>
          <xdr:colOff>542925</xdr:colOff>
          <xdr:row>6</xdr:row>
          <xdr:rowOff>0</xdr:rowOff>
        </xdr:to>
        <xdr:sp macro="" textlink="">
          <xdr:nvSpPr>
            <xdr:cNvPr id="560129" name="Correctie_RV" hidden="1">
              <a:extLst>
                <a:ext uri="{63B3BB69-23CF-44E3-9099-C40C66FF867C}">
                  <a14:compatExt spid="_x0000_s560129"/>
                </a:ext>
                <a:ext uri="{FF2B5EF4-FFF2-40B4-BE49-F238E27FC236}">
                  <a16:creationId xmlns:a16="http://schemas.microsoft.com/office/drawing/2014/main" id="{EED0C736-95EF-4778-B15D-75557C2AAF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absolute">
    <xdr:from>
      <xdr:col>4</xdr:col>
      <xdr:colOff>3580</xdr:colOff>
      <xdr:row>7</xdr:row>
      <xdr:rowOff>22434</xdr:rowOff>
    </xdr:from>
    <xdr:to>
      <xdr:col>4</xdr:col>
      <xdr:colOff>216000</xdr:colOff>
      <xdr:row>7</xdr:row>
      <xdr:rowOff>220434</xdr:rowOff>
    </xdr:to>
    <xdr:sp macro="" textlink="">
      <xdr:nvSpPr>
        <xdr:cNvPr id="2" name="Handleiding">
          <a:hlinkClick xmlns:r="http://schemas.openxmlformats.org/officeDocument/2006/relationships" r:id="rId1" tooltip="Naar de handleiding"/>
          <a:extLst>
            <a:ext uri="{FF2B5EF4-FFF2-40B4-BE49-F238E27FC236}">
              <a16:creationId xmlns:a16="http://schemas.microsoft.com/office/drawing/2014/main" id="{76E74F19-A8C2-4BBD-9E6A-336871445A09}"/>
            </a:ext>
          </a:extLst>
        </xdr:cNvPr>
        <xdr:cNvSpPr>
          <a:spLocks noChangeArrowheads="1"/>
        </xdr:cNvSpPr>
      </xdr:nvSpPr>
      <xdr:spPr bwMode="auto">
        <a:xfrm>
          <a:off x="584605" y="1584534"/>
          <a:ext cx="21242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i</a:t>
          </a:r>
        </a:p>
      </xdr:txBody>
    </xdr:sp>
    <xdr:clientData/>
  </xdr:twoCellAnchor>
  <xdr:twoCellAnchor editAs="absolute">
    <xdr:from>
      <xdr:col>4</xdr:col>
      <xdr:colOff>238934</xdr:colOff>
      <xdr:row>7</xdr:row>
      <xdr:rowOff>22261</xdr:rowOff>
    </xdr:from>
    <xdr:to>
      <xdr:col>4</xdr:col>
      <xdr:colOff>1354934</xdr:colOff>
      <xdr:row>7</xdr:row>
      <xdr:rowOff>220261</xdr:rowOff>
    </xdr:to>
    <xdr:sp macro="" textlink="">
      <xdr:nvSpPr>
        <xdr:cNvPr id="3" name="Woning_Utiliteit">
          <a:hlinkClick xmlns:r="http://schemas.openxmlformats.org/officeDocument/2006/relationships" r:id="rId2" tooltip="Naar de invoer van de woningen en utiliteitsgebouwen in het gebied."/>
          <a:extLst>
            <a:ext uri="{FF2B5EF4-FFF2-40B4-BE49-F238E27FC236}">
              <a16:creationId xmlns:a16="http://schemas.microsoft.com/office/drawing/2014/main" id="{F47A84A2-65AC-4B78-9DE6-EE16FF21542D}"/>
            </a:ext>
          </a:extLst>
        </xdr:cNvPr>
        <xdr:cNvSpPr>
          <a:spLocks noChangeArrowheads="1"/>
        </xdr:cNvSpPr>
      </xdr:nvSpPr>
      <xdr:spPr bwMode="auto">
        <a:xfrm>
          <a:off x="819959" y="1584361"/>
          <a:ext cx="111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woningen|utiliteit</a:t>
          </a:r>
        </a:p>
      </xdr:txBody>
    </xdr:sp>
    <xdr:clientData/>
  </xdr:twoCellAnchor>
  <xdr:twoCellAnchor editAs="absolute">
    <xdr:from>
      <xdr:col>4</xdr:col>
      <xdr:colOff>1380966</xdr:colOff>
      <xdr:row>7</xdr:row>
      <xdr:rowOff>22261</xdr:rowOff>
    </xdr:from>
    <xdr:to>
      <xdr:col>5</xdr:col>
      <xdr:colOff>31791</xdr:colOff>
      <xdr:row>7</xdr:row>
      <xdr:rowOff>220261</xdr:rowOff>
    </xdr:to>
    <xdr:sp macro="" textlink="">
      <xdr:nvSpPr>
        <xdr:cNvPr id="4" name="Variant 1">
          <a:hlinkClick xmlns:r="http://schemas.openxmlformats.org/officeDocument/2006/relationships" r:id="rId3" tooltip="Naar invoer installaties en berekening variant 1"/>
          <a:extLst>
            <a:ext uri="{FF2B5EF4-FFF2-40B4-BE49-F238E27FC236}">
              <a16:creationId xmlns:a16="http://schemas.microsoft.com/office/drawing/2014/main" id="{44D47F48-A23D-4774-BB2E-64D776EC40BE}"/>
            </a:ext>
          </a:extLst>
        </xdr:cNvPr>
        <xdr:cNvSpPr>
          <a:spLocks noChangeArrowheads="1"/>
        </xdr:cNvSpPr>
      </xdr:nvSpPr>
      <xdr:spPr bwMode="auto">
        <a:xfrm>
          <a:off x="1961991"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var1</a:t>
          </a:r>
        </a:p>
      </xdr:txBody>
    </xdr:sp>
    <xdr:clientData/>
  </xdr:twoCellAnchor>
  <xdr:twoCellAnchor editAs="absolute">
    <xdr:from>
      <xdr:col>5</xdr:col>
      <xdr:colOff>58708</xdr:colOff>
      <xdr:row>7</xdr:row>
      <xdr:rowOff>22261</xdr:rowOff>
    </xdr:from>
    <xdr:to>
      <xdr:col>5</xdr:col>
      <xdr:colOff>491516</xdr:colOff>
      <xdr:row>7</xdr:row>
      <xdr:rowOff>220261</xdr:rowOff>
    </xdr:to>
    <xdr:sp macro="" textlink="">
      <xdr:nvSpPr>
        <xdr:cNvPr id="5" name="Variant 2">
          <a:hlinkClick xmlns:r="http://schemas.openxmlformats.org/officeDocument/2006/relationships" r:id="rId4" tooltip="Naar invoer installaties en berekening variant 2."/>
          <a:extLst>
            <a:ext uri="{FF2B5EF4-FFF2-40B4-BE49-F238E27FC236}">
              <a16:creationId xmlns:a16="http://schemas.microsoft.com/office/drawing/2014/main" id="{84F4860D-2041-4BC8-B787-3290CDB8B4A0}"/>
            </a:ext>
          </a:extLst>
        </xdr:cNvPr>
        <xdr:cNvSpPr>
          <a:spLocks noChangeArrowheads="1"/>
        </xdr:cNvSpPr>
      </xdr:nvSpPr>
      <xdr:spPr bwMode="auto">
        <a:xfrm>
          <a:off x="2420908" y="1584361"/>
          <a:ext cx="432808"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var2</a:t>
          </a:r>
        </a:p>
      </xdr:txBody>
    </xdr:sp>
    <xdr:clientData/>
  </xdr:twoCellAnchor>
  <xdr:twoCellAnchor editAs="absolute">
    <xdr:from>
      <xdr:col>5</xdr:col>
      <xdr:colOff>527725</xdr:colOff>
      <xdr:row>7</xdr:row>
      <xdr:rowOff>22261</xdr:rowOff>
    </xdr:from>
    <xdr:to>
      <xdr:col>5</xdr:col>
      <xdr:colOff>959725</xdr:colOff>
      <xdr:row>7</xdr:row>
      <xdr:rowOff>220261</xdr:rowOff>
    </xdr:to>
    <xdr:sp macro="" textlink="">
      <xdr:nvSpPr>
        <xdr:cNvPr id="6" name="Variant 3">
          <a:hlinkClick xmlns:r="http://schemas.openxmlformats.org/officeDocument/2006/relationships" r:id="rId5" tooltip="Naar invoer installaties en berekening variant 3."/>
          <a:extLst>
            <a:ext uri="{FF2B5EF4-FFF2-40B4-BE49-F238E27FC236}">
              <a16:creationId xmlns:a16="http://schemas.microsoft.com/office/drawing/2014/main" id="{18920DA8-74D9-44C2-8753-67E03853054D}"/>
            </a:ext>
          </a:extLst>
        </xdr:cNvPr>
        <xdr:cNvSpPr>
          <a:spLocks noChangeArrowheads="1"/>
        </xdr:cNvSpPr>
      </xdr:nvSpPr>
      <xdr:spPr bwMode="auto">
        <a:xfrm>
          <a:off x="2889925" y="1584361"/>
          <a:ext cx="432000" cy="198000"/>
        </a:xfrm>
        <a:prstGeom prst="rect">
          <a:avLst/>
        </a:prstGeom>
        <a:gradFill>
          <a:gsLst>
            <a:gs pos="84000">
              <a:schemeClr val="accent1">
                <a:lumMod val="40000"/>
                <a:lumOff val="60000"/>
              </a:schemeClr>
            </a:gs>
            <a:gs pos="99000">
              <a:schemeClr val="accent1"/>
            </a:gs>
            <a:gs pos="16000">
              <a:schemeClr val="accent1">
                <a:lumMod val="20000"/>
                <a:lumOff val="80000"/>
              </a:schemeClr>
            </a:gs>
            <a:gs pos="0">
              <a:schemeClr val="bg1"/>
            </a:gs>
          </a:gsLst>
          <a:lin ang="5400000" scaled="1"/>
        </a:gradFill>
        <a:ln w="635">
          <a:solidFill>
            <a:schemeClr val="bg1">
              <a:lumMod val="65000"/>
            </a:schemeClr>
          </a:solidFill>
        </a:ln>
        <a:effectLst>
          <a:outerShdw blurRad="50800" dist="38100" dir="5400000" algn="t" rotWithShape="0">
            <a:schemeClr val="accent1">
              <a:lumMod val="60000"/>
              <a:lumOff val="4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tx1">
                  <a:lumMod val="65000"/>
                  <a:lumOff val="35000"/>
                </a:schemeClr>
              </a:solidFill>
              <a:latin typeface="Calibri Light" panose="020F0302020204030204" pitchFamily="34" charset="0"/>
              <a:ea typeface="Verdana"/>
              <a:cs typeface="Calibri Light" panose="020F0302020204030204" pitchFamily="34" charset="0"/>
            </a:rPr>
            <a:t>var3</a:t>
          </a:r>
        </a:p>
      </xdr:txBody>
    </xdr:sp>
    <xdr:clientData/>
  </xdr:twoCellAnchor>
  <xdr:twoCellAnchor editAs="absolute">
    <xdr:from>
      <xdr:col>5</xdr:col>
      <xdr:colOff>991661</xdr:colOff>
      <xdr:row>7</xdr:row>
      <xdr:rowOff>22261</xdr:rowOff>
    </xdr:from>
    <xdr:to>
      <xdr:col>6</xdr:col>
      <xdr:colOff>244943</xdr:colOff>
      <xdr:row>7</xdr:row>
      <xdr:rowOff>220261</xdr:rowOff>
    </xdr:to>
    <xdr:sp macro="" textlink="">
      <xdr:nvSpPr>
        <xdr:cNvPr id="7" name="Variant 4">
          <a:hlinkClick xmlns:r="http://schemas.openxmlformats.org/officeDocument/2006/relationships" r:id="rId6" tooltip="Naar invoer installaties en berekening variant 4."/>
          <a:extLst>
            <a:ext uri="{FF2B5EF4-FFF2-40B4-BE49-F238E27FC236}">
              <a16:creationId xmlns:a16="http://schemas.microsoft.com/office/drawing/2014/main" id="{C0074812-5C3C-40EC-BED6-5DD82930500A}"/>
            </a:ext>
          </a:extLst>
        </xdr:cNvPr>
        <xdr:cNvSpPr>
          <a:spLocks noChangeArrowheads="1"/>
        </xdr:cNvSpPr>
      </xdr:nvSpPr>
      <xdr:spPr bwMode="auto">
        <a:xfrm>
          <a:off x="3353861" y="1584361"/>
          <a:ext cx="434382"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var4</a:t>
          </a:r>
        </a:p>
      </xdr:txBody>
    </xdr:sp>
    <xdr:clientData/>
  </xdr:twoCellAnchor>
  <xdr:twoCellAnchor editAs="absolute">
    <xdr:from>
      <xdr:col>6</xdr:col>
      <xdr:colOff>273556</xdr:colOff>
      <xdr:row>7</xdr:row>
      <xdr:rowOff>22261</xdr:rowOff>
    </xdr:from>
    <xdr:to>
      <xdr:col>6</xdr:col>
      <xdr:colOff>705556</xdr:colOff>
      <xdr:row>7</xdr:row>
      <xdr:rowOff>220261</xdr:rowOff>
    </xdr:to>
    <xdr:sp macro="" textlink="">
      <xdr:nvSpPr>
        <xdr:cNvPr id="8" name="Variant 5">
          <a:hlinkClick xmlns:r="http://schemas.openxmlformats.org/officeDocument/2006/relationships" r:id="rId7" tooltip="Naar invoer installaties en berekening variant 5."/>
          <a:extLst>
            <a:ext uri="{FF2B5EF4-FFF2-40B4-BE49-F238E27FC236}">
              <a16:creationId xmlns:a16="http://schemas.microsoft.com/office/drawing/2014/main" id="{37FBC267-3B4E-47C4-B021-0932E541ABFE}"/>
            </a:ext>
          </a:extLst>
        </xdr:cNvPr>
        <xdr:cNvSpPr>
          <a:spLocks noChangeArrowheads="1"/>
        </xdr:cNvSpPr>
      </xdr:nvSpPr>
      <xdr:spPr bwMode="auto">
        <a:xfrm>
          <a:off x="3816856"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var5</a:t>
          </a:r>
        </a:p>
      </xdr:txBody>
    </xdr:sp>
    <xdr:clientData/>
  </xdr:twoCellAnchor>
  <xdr:twoCellAnchor editAs="absolute">
    <xdr:from>
      <xdr:col>6</xdr:col>
      <xdr:colOff>737823</xdr:colOff>
      <xdr:row>7</xdr:row>
      <xdr:rowOff>22261</xdr:rowOff>
    </xdr:from>
    <xdr:to>
      <xdr:col>6</xdr:col>
      <xdr:colOff>1169823</xdr:colOff>
      <xdr:row>7</xdr:row>
      <xdr:rowOff>220261</xdr:rowOff>
    </xdr:to>
    <xdr:sp macro="" textlink="">
      <xdr:nvSpPr>
        <xdr:cNvPr id="9" name="Variant 6">
          <a:hlinkClick xmlns:r="http://schemas.openxmlformats.org/officeDocument/2006/relationships" r:id="rId8" tooltip="Naar invoer installaties en berekening variant 6."/>
          <a:extLst>
            <a:ext uri="{FF2B5EF4-FFF2-40B4-BE49-F238E27FC236}">
              <a16:creationId xmlns:a16="http://schemas.microsoft.com/office/drawing/2014/main" id="{1D32EE20-8123-4E93-BC6B-36E901BDD3BD}"/>
            </a:ext>
          </a:extLst>
        </xdr:cNvPr>
        <xdr:cNvSpPr>
          <a:spLocks noChangeArrowheads="1"/>
        </xdr:cNvSpPr>
      </xdr:nvSpPr>
      <xdr:spPr bwMode="auto">
        <a:xfrm>
          <a:off x="4281123"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var6</a:t>
          </a:r>
        </a:p>
      </xdr:txBody>
    </xdr:sp>
    <xdr:clientData/>
  </xdr:twoCellAnchor>
  <xdr:twoCellAnchor editAs="absolute">
    <xdr:from>
      <xdr:col>7</xdr:col>
      <xdr:colOff>22434</xdr:colOff>
      <xdr:row>7</xdr:row>
      <xdr:rowOff>22261</xdr:rowOff>
    </xdr:from>
    <xdr:to>
      <xdr:col>7</xdr:col>
      <xdr:colOff>688434</xdr:colOff>
      <xdr:row>7</xdr:row>
      <xdr:rowOff>220261</xdr:rowOff>
    </xdr:to>
    <xdr:sp macro="" textlink="">
      <xdr:nvSpPr>
        <xdr:cNvPr id="10" name="Resultaten">
          <a:hlinkClick xmlns:r="http://schemas.openxmlformats.org/officeDocument/2006/relationships" r:id="rId9" tooltip="Naar het overzicht van de rekenresultaten van de referentie en de varianten."/>
          <a:extLst>
            <a:ext uri="{FF2B5EF4-FFF2-40B4-BE49-F238E27FC236}">
              <a16:creationId xmlns:a16="http://schemas.microsoft.com/office/drawing/2014/main" id="{D80004DC-E5AE-4226-8FE5-11774478CD25}"/>
            </a:ext>
          </a:extLst>
        </xdr:cNvPr>
        <xdr:cNvSpPr>
          <a:spLocks noChangeArrowheads="1"/>
        </xdr:cNvSpPr>
      </xdr:nvSpPr>
      <xdr:spPr bwMode="auto">
        <a:xfrm>
          <a:off x="4746834" y="1584361"/>
          <a:ext cx="66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resultaten</a:t>
          </a:r>
        </a:p>
      </xdr:txBody>
    </xdr:sp>
    <xdr:clientData/>
  </xdr:twoCellAnchor>
  <xdr:twoCellAnchor editAs="absolute">
    <xdr:from>
      <xdr:col>7</xdr:col>
      <xdr:colOff>712338</xdr:colOff>
      <xdr:row>7</xdr:row>
      <xdr:rowOff>22261</xdr:rowOff>
    </xdr:from>
    <xdr:to>
      <xdr:col>8</xdr:col>
      <xdr:colOff>1178</xdr:colOff>
      <xdr:row>7</xdr:row>
      <xdr:rowOff>220261</xdr:rowOff>
    </xdr:to>
    <xdr:sp macro="" textlink="">
      <xdr:nvSpPr>
        <xdr:cNvPr id="11" name="Bibliotheek">
          <a:hlinkClick xmlns:r="http://schemas.openxmlformats.org/officeDocument/2006/relationships" r:id="rId10" tooltip="Naar de bibilotheek met gegevens van gebouwen en installaties."/>
          <a:extLst>
            <a:ext uri="{FF2B5EF4-FFF2-40B4-BE49-F238E27FC236}">
              <a16:creationId xmlns:a16="http://schemas.microsoft.com/office/drawing/2014/main" id="{303DD1FB-BC1A-4933-91CA-E2EF2B1F2A46}"/>
            </a:ext>
          </a:extLst>
        </xdr:cNvPr>
        <xdr:cNvSpPr>
          <a:spLocks noChangeArrowheads="1"/>
        </xdr:cNvSpPr>
      </xdr:nvSpPr>
      <xdr:spPr bwMode="auto">
        <a:xfrm>
          <a:off x="5436738" y="1584361"/>
          <a:ext cx="73664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bibliotheek</a:t>
          </a:r>
        </a:p>
      </xdr:txBody>
    </xdr:sp>
    <xdr:clientData/>
  </xdr:twoCellAnchor>
  <mc:AlternateContent xmlns:mc="http://schemas.openxmlformats.org/markup-compatibility/2006">
    <mc:Choice xmlns:a14="http://schemas.microsoft.com/office/drawing/2010/main" Requires="a14">
      <xdr:twoCellAnchor editAs="oneCell">
        <xdr:from>
          <xdr:col>6</xdr:col>
          <xdr:colOff>66675</xdr:colOff>
          <xdr:row>5</xdr:row>
          <xdr:rowOff>0</xdr:rowOff>
        </xdr:from>
        <xdr:to>
          <xdr:col>6</xdr:col>
          <xdr:colOff>542925</xdr:colOff>
          <xdr:row>6</xdr:row>
          <xdr:rowOff>0</xdr:rowOff>
        </xdr:to>
        <xdr:sp macro="" textlink="">
          <xdr:nvSpPr>
            <xdr:cNvPr id="561153" name="Correctie_RV" hidden="1">
              <a:extLst>
                <a:ext uri="{63B3BB69-23CF-44E3-9099-C40C66FF867C}">
                  <a14:compatExt spid="_x0000_s561153"/>
                </a:ext>
                <a:ext uri="{FF2B5EF4-FFF2-40B4-BE49-F238E27FC236}">
                  <a16:creationId xmlns:a16="http://schemas.microsoft.com/office/drawing/2014/main" id="{2D834DA7-61B0-44C6-A949-8376BB2A6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absolute">
    <xdr:from>
      <xdr:col>4</xdr:col>
      <xdr:colOff>3580</xdr:colOff>
      <xdr:row>7</xdr:row>
      <xdr:rowOff>22434</xdr:rowOff>
    </xdr:from>
    <xdr:to>
      <xdr:col>4</xdr:col>
      <xdr:colOff>216000</xdr:colOff>
      <xdr:row>7</xdr:row>
      <xdr:rowOff>220434</xdr:rowOff>
    </xdr:to>
    <xdr:sp macro="" textlink="">
      <xdr:nvSpPr>
        <xdr:cNvPr id="2" name="Handleiding">
          <a:hlinkClick xmlns:r="http://schemas.openxmlformats.org/officeDocument/2006/relationships" r:id="rId1" tooltip="Naar de handleiding"/>
          <a:extLst>
            <a:ext uri="{FF2B5EF4-FFF2-40B4-BE49-F238E27FC236}">
              <a16:creationId xmlns:a16="http://schemas.microsoft.com/office/drawing/2014/main" id="{4609D836-2CB7-480B-9B7B-8CD97F2A7501}"/>
            </a:ext>
          </a:extLst>
        </xdr:cNvPr>
        <xdr:cNvSpPr>
          <a:spLocks noChangeArrowheads="1"/>
        </xdr:cNvSpPr>
      </xdr:nvSpPr>
      <xdr:spPr bwMode="auto">
        <a:xfrm>
          <a:off x="584605" y="1584534"/>
          <a:ext cx="21242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i</a:t>
          </a:r>
        </a:p>
      </xdr:txBody>
    </xdr:sp>
    <xdr:clientData/>
  </xdr:twoCellAnchor>
  <xdr:twoCellAnchor editAs="absolute">
    <xdr:from>
      <xdr:col>4</xdr:col>
      <xdr:colOff>238934</xdr:colOff>
      <xdr:row>7</xdr:row>
      <xdr:rowOff>22261</xdr:rowOff>
    </xdr:from>
    <xdr:to>
      <xdr:col>4</xdr:col>
      <xdr:colOff>1354934</xdr:colOff>
      <xdr:row>7</xdr:row>
      <xdr:rowOff>220261</xdr:rowOff>
    </xdr:to>
    <xdr:sp macro="" textlink="">
      <xdr:nvSpPr>
        <xdr:cNvPr id="3" name="Woning_Utiliteit">
          <a:hlinkClick xmlns:r="http://schemas.openxmlformats.org/officeDocument/2006/relationships" r:id="rId2" tooltip="Naar de invoer van de woningen en utiliteitsgebouwen in het gebied."/>
          <a:extLst>
            <a:ext uri="{FF2B5EF4-FFF2-40B4-BE49-F238E27FC236}">
              <a16:creationId xmlns:a16="http://schemas.microsoft.com/office/drawing/2014/main" id="{FD680DDA-5674-481B-AD8E-0321AFD0B492}"/>
            </a:ext>
          </a:extLst>
        </xdr:cNvPr>
        <xdr:cNvSpPr>
          <a:spLocks noChangeArrowheads="1"/>
        </xdr:cNvSpPr>
      </xdr:nvSpPr>
      <xdr:spPr bwMode="auto">
        <a:xfrm>
          <a:off x="819959" y="1584361"/>
          <a:ext cx="111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woningen|utiliteit</a:t>
          </a:r>
        </a:p>
      </xdr:txBody>
    </xdr:sp>
    <xdr:clientData/>
  </xdr:twoCellAnchor>
  <xdr:twoCellAnchor editAs="absolute">
    <xdr:from>
      <xdr:col>4</xdr:col>
      <xdr:colOff>1380966</xdr:colOff>
      <xdr:row>7</xdr:row>
      <xdr:rowOff>22261</xdr:rowOff>
    </xdr:from>
    <xdr:to>
      <xdr:col>5</xdr:col>
      <xdr:colOff>31791</xdr:colOff>
      <xdr:row>7</xdr:row>
      <xdr:rowOff>220261</xdr:rowOff>
    </xdr:to>
    <xdr:sp macro="" textlink="">
      <xdr:nvSpPr>
        <xdr:cNvPr id="4" name="Variant 1">
          <a:hlinkClick xmlns:r="http://schemas.openxmlformats.org/officeDocument/2006/relationships" r:id="rId3" tooltip="Naar invoer installaties en berekening variant 1"/>
          <a:extLst>
            <a:ext uri="{FF2B5EF4-FFF2-40B4-BE49-F238E27FC236}">
              <a16:creationId xmlns:a16="http://schemas.microsoft.com/office/drawing/2014/main" id="{11D4A125-D250-4EAB-818B-4DA97ACD8FA5}"/>
            </a:ext>
          </a:extLst>
        </xdr:cNvPr>
        <xdr:cNvSpPr>
          <a:spLocks noChangeArrowheads="1"/>
        </xdr:cNvSpPr>
      </xdr:nvSpPr>
      <xdr:spPr bwMode="auto">
        <a:xfrm>
          <a:off x="1961991"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var1</a:t>
          </a:r>
        </a:p>
      </xdr:txBody>
    </xdr:sp>
    <xdr:clientData/>
  </xdr:twoCellAnchor>
  <xdr:twoCellAnchor editAs="absolute">
    <xdr:from>
      <xdr:col>5</xdr:col>
      <xdr:colOff>58708</xdr:colOff>
      <xdr:row>7</xdr:row>
      <xdr:rowOff>22261</xdr:rowOff>
    </xdr:from>
    <xdr:to>
      <xdr:col>5</xdr:col>
      <xdr:colOff>491516</xdr:colOff>
      <xdr:row>7</xdr:row>
      <xdr:rowOff>220261</xdr:rowOff>
    </xdr:to>
    <xdr:sp macro="" textlink="">
      <xdr:nvSpPr>
        <xdr:cNvPr id="5" name="Variant 2">
          <a:hlinkClick xmlns:r="http://schemas.openxmlformats.org/officeDocument/2006/relationships" r:id="rId4" tooltip="Naar invoer installaties en berekening variant 2."/>
          <a:extLst>
            <a:ext uri="{FF2B5EF4-FFF2-40B4-BE49-F238E27FC236}">
              <a16:creationId xmlns:a16="http://schemas.microsoft.com/office/drawing/2014/main" id="{B18AF246-E732-4000-B1E7-BD4374723B4B}"/>
            </a:ext>
          </a:extLst>
        </xdr:cNvPr>
        <xdr:cNvSpPr>
          <a:spLocks noChangeArrowheads="1"/>
        </xdr:cNvSpPr>
      </xdr:nvSpPr>
      <xdr:spPr bwMode="auto">
        <a:xfrm>
          <a:off x="2420908" y="1584361"/>
          <a:ext cx="432808"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var2</a:t>
          </a:r>
        </a:p>
      </xdr:txBody>
    </xdr:sp>
    <xdr:clientData/>
  </xdr:twoCellAnchor>
  <xdr:twoCellAnchor editAs="absolute">
    <xdr:from>
      <xdr:col>5</xdr:col>
      <xdr:colOff>527725</xdr:colOff>
      <xdr:row>7</xdr:row>
      <xdr:rowOff>22261</xdr:rowOff>
    </xdr:from>
    <xdr:to>
      <xdr:col>5</xdr:col>
      <xdr:colOff>959725</xdr:colOff>
      <xdr:row>7</xdr:row>
      <xdr:rowOff>220261</xdr:rowOff>
    </xdr:to>
    <xdr:sp macro="" textlink="">
      <xdr:nvSpPr>
        <xdr:cNvPr id="6" name="Variant 3">
          <a:hlinkClick xmlns:r="http://schemas.openxmlformats.org/officeDocument/2006/relationships" r:id="rId5" tooltip="Naar invoer installaties en berekening variant 3."/>
          <a:extLst>
            <a:ext uri="{FF2B5EF4-FFF2-40B4-BE49-F238E27FC236}">
              <a16:creationId xmlns:a16="http://schemas.microsoft.com/office/drawing/2014/main" id="{CA0BAC79-73D9-4B70-A7D7-54DD3FEB1BBF}"/>
            </a:ext>
          </a:extLst>
        </xdr:cNvPr>
        <xdr:cNvSpPr>
          <a:spLocks noChangeArrowheads="1"/>
        </xdr:cNvSpPr>
      </xdr:nvSpPr>
      <xdr:spPr bwMode="auto">
        <a:xfrm>
          <a:off x="2889925"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var3</a:t>
          </a:r>
        </a:p>
      </xdr:txBody>
    </xdr:sp>
    <xdr:clientData/>
  </xdr:twoCellAnchor>
  <xdr:twoCellAnchor editAs="absolute">
    <xdr:from>
      <xdr:col>5</xdr:col>
      <xdr:colOff>991661</xdr:colOff>
      <xdr:row>7</xdr:row>
      <xdr:rowOff>22261</xdr:rowOff>
    </xdr:from>
    <xdr:to>
      <xdr:col>6</xdr:col>
      <xdr:colOff>244943</xdr:colOff>
      <xdr:row>7</xdr:row>
      <xdr:rowOff>220261</xdr:rowOff>
    </xdr:to>
    <xdr:sp macro="" textlink="">
      <xdr:nvSpPr>
        <xdr:cNvPr id="7" name="Variant 4">
          <a:hlinkClick xmlns:r="http://schemas.openxmlformats.org/officeDocument/2006/relationships" r:id="rId6" tooltip="Naar invoer installaties en berekening variant 4."/>
          <a:extLst>
            <a:ext uri="{FF2B5EF4-FFF2-40B4-BE49-F238E27FC236}">
              <a16:creationId xmlns:a16="http://schemas.microsoft.com/office/drawing/2014/main" id="{CD611DCE-2689-420C-A651-B828E357A484}"/>
            </a:ext>
          </a:extLst>
        </xdr:cNvPr>
        <xdr:cNvSpPr>
          <a:spLocks noChangeArrowheads="1"/>
        </xdr:cNvSpPr>
      </xdr:nvSpPr>
      <xdr:spPr bwMode="auto">
        <a:xfrm>
          <a:off x="3353861" y="1584361"/>
          <a:ext cx="434382" cy="198000"/>
        </a:xfrm>
        <a:prstGeom prst="rect">
          <a:avLst/>
        </a:prstGeom>
        <a:gradFill>
          <a:gsLst>
            <a:gs pos="84000">
              <a:schemeClr val="accent1">
                <a:lumMod val="40000"/>
                <a:lumOff val="60000"/>
              </a:schemeClr>
            </a:gs>
            <a:gs pos="99000">
              <a:schemeClr val="accent1"/>
            </a:gs>
            <a:gs pos="16000">
              <a:schemeClr val="accent1">
                <a:lumMod val="20000"/>
                <a:lumOff val="80000"/>
              </a:schemeClr>
            </a:gs>
            <a:gs pos="0">
              <a:schemeClr val="bg1"/>
            </a:gs>
          </a:gsLst>
          <a:lin ang="5400000" scaled="1"/>
        </a:gradFill>
        <a:ln w="635">
          <a:solidFill>
            <a:schemeClr val="bg1">
              <a:lumMod val="65000"/>
            </a:schemeClr>
          </a:solidFill>
        </a:ln>
        <a:effectLst>
          <a:outerShdw blurRad="50800" dist="38100" dir="5400000" algn="t" rotWithShape="0">
            <a:schemeClr val="accent1">
              <a:lumMod val="60000"/>
              <a:lumOff val="4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tx1">
                  <a:lumMod val="65000"/>
                  <a:lumOff val="35000"/>
                </a:schemeClr>
              </a:solidFill>
              <a:latin typeface="Calibri Light" panose="020F0302020204030204" pitchFamily="34" charset="0"/>
              <a:ea typeface="Verdana"/>
              <a:cs typeface="Calibri Light" panose="020F0302020204030204" pitchFamily="34" charset="0"/>
            </a:rPr>
            <a:t>var4</a:t>
          </a:r>
        </a:p>
      </xdr:txBody>
    </xdr:sp>
    <xdr:clientData/>
  </xdr:twoCellAnchor>
  <xdr:twoCellAnchor editAs="absolute">
    <xdr:from>
      <xdr:col>6</xdr:col>
      <xdr:colOff>273556</xdr:colOff>
      <xdr:row>7</xdr:row>
      <xdr:rowOff>22261</xdr:rowOff>
    </xdr:from>
    <xdr:to>
      <xdr:col>6</xdr:col>
      <xdr:colOff>705556</xdr:colOff>
      <xdr:row>7</xdr:row>
      <xdr:rowOff>220261</xdr:rowOff>
    </xdr:to>
    <xdr:sp macro="" textlink="">
      <xdr:nvSpPr>
        <xdr:cNvPr id="8" name="Variant 5">
          <a:hlinkClick xmlns:r="http://schemas.openxmlformats.org/officeDocument/2006/relationships" r:id="rId7" tooltip="Naar invoer installaties en berekening variant 5."/>
          <a:extLst>
            <a:ext uri="{FF2B5EF4-FFF2-40B4-BE49-F238E27FC236}">
              <a16:creationId xmlns:a16="http://schemas.microsoft.com/office/drawing/2014/main" id="{CE624248-AF5C-4E3B-9D9D-0FE0B2B834C7}"/>
            </a:ext>
          </a:extLst>
        </xdr:cNvPr>
        <xdr:cNvSpPr>
          <a:spLocks noChangeArrowheads="1"/>
        </xdr:cNvSpPr>
      </xdr:nvSpPr>
      <xdr:spPr bwMode="auto">
        <a:xfrm>
          <a:off x="3816856"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var5</a:t>
          </a:r>
        </a:p>
      </xdr:txBody>
    </xdr:sp>
    <xdr:clientData/>
  </xdr:twoCellAnchor>
  <xdr:twoCellAnchor editAs="absolute">
    <xdr:from>
      <xdr:col>6</xdr:col>
      <xdr:colOff>737823</xdr:colOff>
      <xdr:row>7</xdr:row>
      <xdr:rowOff>22261</xdr:rowOff>
    </xdr:from>
    <xdr:to>
      <xdr:col>6</xdr:col>
      <xdr:colOff>1169823</xdr:colOff>
      <xdr:row>7</xdr:row>
      <xdr:rowOff>220261</xdr:rowOff>
    </xdr:to>
    <xdr:sp macro="" textlink="">
      <xdr:nvSpPr>
        <xdr:cNvPr id="9" name="Variant 6">
          <a:hlinkClick xmlns:r="http://schemas.openxmlformats.org/officeDocument/2006/relationships" r:id="rId8" tooltip="Naar invoer installaties en berekening variant 6."/>
          <a:extLst>
            <a:ext uri="{FF2B5EF4-FFF2-40B4-BE49-F238E27FC236}">
              <a16:creationId xmlns:a16="http://schemas.microsoft.com/office/drawing/2014/main" id="{3B8B76FC-9D3E-43A0-B95D-19C33A821BDF}"/>
            </a:ext>
          </a:extLst>
        </xdr:cNvPr>
        <xdr:cNvSpPr>
          <a:spLocks noChangeArrowheads="1"/>
        </xdr:cNvSpPr>
      </xdr:nvSpPr>
      <xdr:spPr bwMode="auto">
        <a:xfrm>
          <a:off x="4281123"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var6</a:t>
          </a:r>
        </a:p>
      </xdr:txBody>
    </xdr:sp>
    <xdr:clientData/>
  </xdr:twoCellAnchor>
  <xdr:twoCellAnchor editAs="absolute">
    <xdr:from>
      <xdr:col>7</xdr:col>
      <xdr:colOff>22434</xdr:colOff>
      <xdr:row>7</xdr:row>
      <xdr:rowOff>22261</xdr:rowOff>
    </xdr:from>
    <xdr:to>
      <xdr:col>7</xdr:col>
      <xdr:colOff>688434</xdr:colOff>
      <xdr:row>7</xdr:row>
      <xdr:rowOff>220261</xdr:rowOff>
    </xdr:to>
    <xdr:sp macro="" textlink="">
      <xdr:nvSpPr>
        <xdr:cNvPr id="10" name="Resultaten">
          <a:hlinkClick xmlns:r="http://schemas.openxmlformats.org/officeDocument/2006/relationships" r:id="rId9" tooltip="Naar het overzicht van de rekenresultaten van de referentie en de varianten."/>
          <a:extLst>
            <a:ext uri="{FF2B5EF4-FFF2-40B4-BE49-F238E27FC236}">
              <a16:creationId xmlns:a16="http://schemas.microsoft.com/office/drawing/2014/main" id="{A6068BA7-14F5-43D2-AEFF-76469F68B167}"/>
            </a:ext>
          </a:extLst>
        </xdr:cNvPr>
        <xdr:cNvSpPr>
          <a:spLocks noChangeArrowheads="1"/>
        </xdr:cNvSpPr>
      </xdr:nvSpPr>
      <xdr:spPr bwMode="auto">
        <a:xfrm>
          <a:off x="4746834" y="1584361"/>
          <a:ext cx="66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resultaten</a:t>
          </a:r>
        </a:p>
      </xdr:txBody>
    </xdr:sp>
    <xdr:clientData/>
  </xdr:twoCellAnchor>
  <xdr:twoCellAnchor editAs="absolute">
    <xdr:from>
      <xdr:col>7</xdr:col>
      <xdr:colOff>712338</xdr:colOff>
      <xdr:row>7</xdr:row>
      <xdr:rowOff>22261</xdr:rowOff>
    </xdr:from>
    <xdr:to>
      <xdr:col>8</xdr:col>
      <xdr:colOff>1178</xdr:colOff>
      <xdr:row>7</xdr:row>
      <xdr:rowOff>220261</xdr:rowOff>
    </xdr:to>
    <xdr:sp macro="" textlink="">
      <xdr:nvSpPr>
        <xdr:cNvPr id="11" name="Bibliotheek">
          <a:hlinkClick xmlns:r="http://schemas.openxmlformats.org/officeDocument/2006/relationships" r:id="rId10" tooltip="Naar de bibilotheek met gegevens van gebouwen en installaties."/>
          <a:extLst>
            <a:ext uri="{FF2B5EF4-FFF2-40B4-BE49-F238E27FC236}">
              <a16:creationId xmlns:a16="http://schemas.microsoft.com/office/drawing/2014/main" id="{B4CD9D74-065C-41CC-BFCB-087A605C8119}"/>
            </a:ext>
          </a:extLst>
        </xdr:cNvPr>
        <xdr:cNvSpPr>
          <a:spLocks noChangeArrowheads="1"/>
        </xdr:cNvSpPr>
      </xdr:nvSpPr>
      <xdr:spPr bwMode="auto">
        <a:xfrm>
          <a:off x="5436738" y="1584361"/>
          <a:ext cx="73664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bibliotheek</a:t>
          </a:r>
        </a:p>
      </xdr:txBody>
    </xdr:sp>
    <xdr:clientData/>
  </xdr:twoCellAnchor>
  <mc:AlternateContent xmlns:mc="http://schemas.openxmlformats.org/markup-compatibility/2006">
    <mc:Choice xmlns:a14="http://schemas.microsoft.com/office/drawing/2010/main" Requires="a14">
      <xdr:twoCellAnchor editAs="oneCell">
        <xdr:from>
          <xdr:col>6</xdr:col>
          <xdr:colOff>66675</xdr:colOff>
          <xdr:row>5</xdr:row>
          <xdr:rowOff>0</xdr:rowOff>
        </xdr:from>
        <xdr:to>
          <xdr:col>6</xdr:col>
          <xdr:colOff>542925</xdr:colOff>
          <xdr:row>6</xdr:row>
          <xdr:rowOff>0</xdr:rowOff>
        </xdr:to>
        <xdr:sp macro="" textlink="">
          <xdr:nvSpPr>
            <xdr:cNvPr id="562177" name="Correctie_RV" hidden="1">
              <a:extLst>
                <a:ext uri="{63B3BB69-23CF-44E3-9099-C40C66FF867C}">
                  <a14:compatExt spid="_x0000_s562177"/>
                </a:ext>
                <a:ext uri="{FF2B5EF4-FFF2-40B4-BE49-F238E27FC236}">
                  <a16:creationId xmlns:a16="http://schemas.microsoft.com/office/drawing/2014/main" id="{6DB218E8-F663-41CC-A7E6-447D39B043C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absolute">
    <xdr:from>
      <xdr:col>4</xdr:col>
      <xdr:colOff>3580</xdr:colOff>
      <xdr:row>7</xdr:row>
      <xdr:rowOff>22434</xdr:rowOff>
    </xdr:from>
    <xdr:to>
      <xdr:col>4</xdr:col>
      <xdr:colOff>216000</xdr:colOff>
      <xdr:row>7</xdr:row>
      <xdr:rowOff>220434</xdr:rowOff>
    </xdr:to>
    <xdr:sp macro="" textlink="">
      <xdr:nvSpPr>
        <xdr:cNvPr id="2" name="Handleiding">
          <a:hlinkClick xmlns:r="http://schemas.openxmlformats.org/officeDocument/2006/relationships" r:id="rId1" tooltip="Naar de handleiding"/>
          <a:extLst>
            <a:ext uri="{FF2B5EF4-FFF2-40B4-BE49-F238E27FC236}">
              <a16:creationId xmlns:a16="http://schemas.microsoft.com/office/drawing/2014/main" id="{88CB7A33-4A51-4A4D-8944-D68A91B4E7C9}"/>
            </a:ext>
          </a:extLst>
        </xdr:cNvPr>
        <xdr:cNvSpPr>
          <a:spLocks noChangeArrowheads="1"/>
        </xdr:cNvSpPr>
      </xdr:nvSpPr>
      <xdr:spPr bwMode="auto">
        <a:xfrm>
          <a:off x="584605" y="1584534"/>
          <a:ext cx="21242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i</a:t>
          </a:r>
        </a:p>
      </xdr:txBody>
    </xdr:sp>
    <xdr:clientData/>
  </xdr:twoCellAnchor>
  <xdr:twoCellAnchor editAs="absolute">
    <xdr:from>
      <xdr:col>4</xdr:col>
      <xdr:colOff>238934</xdr:colOff>
      <xdr:row>7</xdr:row>
      <xdr:rowOff>22261</xdr:rowOff>
    </xdr:from>
    <xdr:to>
      <xdr:col>4</xdr:col>
      <xdr:colOff>1354934</xdr:colOff>
      <xdr:row>7</xdr:row>
      <xdr:rowOff>220261</xdr:rowOff>
    </xdr:to>
    <xdr:sp macro="" textlink="">
      <xdr:nvSpPr>
        <xdr:cNvPr id="3" name="Woning_Utiliteit">
          <a:hlinkClick xmlns:r="http://schemas.openxmlformats.org/officeDocument/2006/relationships" r:id="rId2" tooltip="Naar de invoer van de woningen en utiliteitsgebouwen in het gebied."/>
          <a:extLst>
            <a:ext uri="{FF2B5EF4-FFF2-40B4-BE49-F238E27FC236}">
              <a16:creationId xmlns:a16="http://schemas.microsoft.com/office/drawing/2014/main" id="{6B58C6A1-1E7C-4046-93DF-5077FAC38599}"/>
            </a:ext>
          </a:extLst>
        </xdr:cNvPr>
        <xdr:cNvSpPr>
          <a:spLocks noChangeArrowheads="1"/>
        </xdr:cNvSpPr>
      </xdr:nvSpPr>
      <xdr:spPr bwMode="auto">
        <a:xfrm>
          <a:off x="819959" y="1584361"/>
          <a:ext cx="111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woningen|utiliteit</a:t>
          </a:r>
        </a:p>
      </xdr:txBody>
    </xdr:sp>
    <xdr:clientData/>
  </xdr:twoCellAnchor>
  <xdr:twoCellAnchor editAs="absolute">
    <xdr:from>
      <xdr:col>4</xdr:col>
      <xdr:colOff>1380966</xdr:colOff>
      <xdr:row>7</xdr:row>
      <xdr:rowOff>22261</xdr:rowOff>
    </xdr:from>
    <xdr:to>
      <xdr:col>5</xdr:col>
      <xdr:colOff>31791</xdr:colOff>
      <xdr:row>7</xdr:row>
      <xdr:rowOff>220261</xdr:rowOff>
    </xdr:to>
    <xdr:sp macro="" textlink="">
      <xdr:nvSpPr>
        <xdr:cNvPr id="4" name="Variant 1">
          <a:hlinkClick xmlns:r="http://schemas.openxmlformats.org/officeDocument/2006/relationships" r:id="rId3" tooltip="Naar invoer installaties en berekening variant 1"/>
          <a:extLst>
            <a:ext uri="{FF2B5EF4-FFF2-40B4-BE49-F238E27FC236}">
              <a16:creationId xmlns:a16="http://schemas.microsoft.com/office/drawing/2014/main" id="{0215357D-0414-4D96-976E-3D5D6E159A71}"/>
            </a:ext>
          </a:extLst>
        </xdr:cNvPr>
        <xdr:cNvSpPr>
          <a:spLocks noChangeArrowheads="1"/>
        </xdr:cNvSpPr>
      </xdr:nvSpPr>
      <xdr:spPr bwMode="auto">
        <a:xfrm>
          <a:off x="1961991"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var1</a:t>
          </a:r>
        </a:p>
      </xdr:txBody>
    </xdr:sp>
    <xdr:clientData/>
  </xdr:twoCellAnchor>
  <xdr:twoCellAnchor editAs="absolute">
    <xdr:from>
      <xdr:col>5</xdr:col>
      <xdr:colOff>58708</xdr:colOff>
      <xdr:row>7</xdr:row>
      <xdr:rowOff>22261</xdr:rowOff>
    </xdr:from>
    <xdr:to>
      <xdr:col>5</xdr:col>
      <xdr:colOff>491516</xdr:colOff>
      <xdr:row>7</xdr:row>
      <xdr:rowOff>220261</xdr:rowOff>
    </xdr:to>
    <xdr:sp macro="" textlink="">
      <xdr:nvSpPr>
        <xdr:cNvPr id="5" name="Variant 2">
          <a:hlinkClick xmlns:r="http://schemas.openxmlformats.org/officeDocument/2006/relationships" r:id="rId4" tooltip="Naar invoer installaties en berekening variant 2."/>
          <a:extLst>
            <a:ext uri="{FF2B5EF4-FFF2-40B4-BE49-F238E27FC236}">
              <a16:creationId xmlns:a16="http://schemas.microsoft.com/office/drawing/2014/main" id="{FD2CCEEB-143C-4A0E-B1C7-0A02C76BEC79}"/>
            </a:ext>
          </a:extLst>
        </xdr:cNvPr>
        <xdr:cNvSpPr>
          <a:spLocks noChangeArrowheads="1"/>
        </xdr:cNvSpPr>
      </xdr:nvSpPr>
      <xdr:spPr bwMode="auto">
        <a:xfrm>
          <a:off x="2420908" y="1584361"/>
          <a:ext cx="432808"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var2</a:t>
          </a:r>
        </a:p>
      </xdr:txBody>
    </xdr:sp>
    <xdr:clientData/>
  </xdr:twoCellAnchor>
  <xdr:twoCellAnchor editAs="absolute">
    <xdr:from>
      <xdr:col>5</xdr:col>
      <xdr:colOff>527725</xdr:colOff>
      <xdr:row>7</xdr:row>
      <xdr:rowOff>22261</xdr:rowOff>
    </xdr:from>
    <xdr:to>
      <xdr:col>5</xdr:col>
      <xdr:colOff>959725</xdr:colOff>
      <xdr:row>7</xdr:row>
      <xdr:rowOff>220261</xdr:rowOff>
    </xdr:to>
    <xdr:sp macro="" textlink="">
      <xdr:nvSpPr>
        <xdr:cNvPr id="6" name="Variant 3">
          <a:hlinkClick xmlns:r="http://schemas.openxmlformats.org/officeDocument/2006/relationships" r:id="rId5" tooltip="Naar invoer installaties en berekening variant 3."/>
          <a:extLst>
            <a:ext uri="{FF2B5EF4-FFF2-40B4-BE49-F238E27FC236}">
              <a16:creationId xmlns:a16="http://schemas.microsoft.com/office/drawing/2014/main" id="{BDD749E7-1F50-4E0F-9D26-0C68328FF24E}"/>
            </a:ext>
          </a:extLst>
        </xdr:cNvPr>
        <xdr:cNvSpPr>
          <a:spLocks noChangeArrowheads="1"/>
        </xdr:cNvSpPr>
      </xdr:nvSpPr>
      <xdr:spPr bwMode="auto">
        <a:xfrm>
          <a:off x="2889925"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var3</a:t>
          </a:r>
        </a:p>
      </xdr:txBody>
    </xdr:sp>
    <xdr:clientData/>
  </xdr:twoCellAnchor>
  <xdr:twoCellAnchor editAs="absolute">
    <xdr:from>
      <xdr:col>5</xdr:col>
      <xdr:colOff>991661</xdr:colOff>
      <xdr:row>7</xdr:row>
      <xdr:rowOff>22261</xdr:rowOff>
    </xdr:from>
    <xdr:to>
      <xdr:col>6</xdr:col>
      <xdr:colOff>244943</xdr:colOff>
      <xdr:row>7</xdr:row>
      <xdr:rowOff>220261</xdr:rowOff>
    </xdr:to>
    <xdr:sp macro="" textlink="">
      <xdr:nvSpPr>
        <xdr:cNvPr id="7" name="Variant 4">
          <a:hlinkClick xmlns:r="http://schemas.openxmlformats.org/officeDocument/2006/relationships" r:id="rId6" tooltip="Naar invoer installaties en berekening variant 4."/>
          <a:extLst>
            <a:ext uri="{FF2B5EF4-FFF2-40B4-BE49-F238E27FC236}">
              <a16:creationId xmlns:a16="http://schemas.microsoft.com/office/drawing/2014/main" id="{398DE01A-16F6-41CD-AD00-02E711615866}"/>
            </a:ext>
          </a:extLst>
        </xdr:cNvPr>
        <xdr:cNvSpPr>
          <a:spLocks noChangeArrowheads="1"/>
        </xdr:cNvSpPr>
      </xdr:nvSpPr>
      <xdr:spPr bwMode="auto">
        <a:xfrm>
          <a:off x="3353861" y="1584361"/>
          <a:ext cx="434382"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var4</a:t>
          </a:r>
        </a:p>
      </xdr:txBody>
    </xdr:sp>
    <xdr:clientData/>
  </xdr:twoCellAnchor>
  <xdr:twoCellAnchor editAs="absolute">
    <xdr:from>
      <xdr:col>6</xdr:col>
      <xdr:colOff>273556</xdr:colOff>
      <xdr:row>7</xdr:row>
      <xdr:rowOff>22261</xdr:rowOff>
    </xdr:from>
    <xdr:to>
      <xdr:col>6</xdr:col>
      <xdr:colOff>705556</xdr:colOff>
      <xdr:row>7</xdr:row>
      <xdr:rowOff>220261</xdr:rowOff>
    </xdr:to>
    <xdr:sp macro="" textlink="">
      <xdr:nvSpPr>
        <xdr:cNvPr id="8" name="Variant 5">
          <a:hlinkClick xmlns:r="http://schemas.openxmlformats.org/officeDocument/2006/relationships" r:id="rId7" tooltip="Naar invoer installaties en berekening variant 5."/>
          <a:extLst>
            <a:ext uri="{FF2B5EF4-FFF2-40B4-BE49-F238E27FC236}">
              <a16:creationId xmlns:a16="http://schemas.microsoft.com/office/drawing/2014/main" id="{01130DFD-A3DC-4850-A184-AD33E9E4AFF5}"/>
            </a:ext>
          </a:extLst>
        </xdr:cNvPr>
        <xdr:cNvSpPr>
          <a:spLocks noChangeArrowheads="1"/>
        </xdr:cNvSpPr>
      </xdr:nvSpPr>
      <xdr:spPr bwMode="auto">
        <a:xfrm>
          <a:off x="3816856" y="1584361"/>
          <a:ext cx="432000" cy="198000"/>
        </a:xfrm>
        <a:prstGeom prst="rect">
          <a:avLst/>
        </a:prstGeom>
        <a:gradFill>
          <a:gsLst>
            <a:gs pos="84000">
              <a:schemeClr val="accent1">
                <a:lumMod val="40000"/>
                <a:lumOff val="60000"/>
              </a:schemeClr>
            </a:gs>
            <a:gs pos="99000">
              <a:schemeClr val="accent1"/>
            </a:gs>
            <a:gs pos="16000">
              <a:schemeClr val="accent1">
                <a:lumMod val="20000"/>
                <a:lumOff val="80000"/>
              </a:schemeClr>
            </a:gs>
            <a:gs pos="0">
              <a:schemeClr val="bg1"/>
            </a:gs>
          </a:gsLst>
          <a:lin ang="5400000" scaled="1"/>
        </a:gradFill>
        <a:ln w="635">
          <a:solidFill>
            <a:schemeClr val="bg1">
              <a:lumMod val="65000"/>
            </a:schemeClr>
          </a:solidFill>
        </a:ln>
        <a:effectLst>
          <a:outerShdw blurRad="50800" dist="38100" dir="5400000" algn="t" rotWithShape="0">
            <a:schemeClr val="accent1">
              <a:lumMod val="60000"/>
              <a:lumOff val="4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tx1">
                  <a:lumMod val="65000"/>
                  <a:lumOff val="35000"/>
                </a:schemeClr>
              </a:solidFill>
              <a:latin typeface="Calibri Light" panose="020F0302020204030204" pitchFamily="34" charset="0"/>
              <a:ea typeface="Verdana"/>
              <a:cs typeface="Calibri Light" panose="020F0302020204030204" pitchFamily="34" charset="0"/>
            </a:rPr>
            <a:t>var5</a:t>
          </a:r>
        </a:p>
      </xdr:txBody>
    </xdr:sp>
    <xdr:clientData/>
  </xdr:twoCellAnchor>
  <xdr:twoCellAnchor editAs="absolute">
    <xdr:from>
      <xdr:col>6</xdr:col>
      <xdr:colOff>737823</xdr:colOff>
      <xdr:row>7</xdr:row>
      <xdr:rowOff>22261</xdr:rowOff>
    </xdr:from>
    <xdr:to>
      <xdr:col>6</xdr:col>
      <xdr:colOff>1169823</xdr:colOff>
      <xdr:row>7</xdr:row>
      <xdr:rowOff>220261</xdr:rowOff>
    </xdr:to>
    <xdr:sp macro="" textlink="">
      <xdr:nvSpPr>
        <xdr:cNvPr id="9" name="Variant 6">
          <a:hlinkClick xmlns:r="http://schemas.openxmlformats.org/officeDocument/2006/relationships" r:id="rId8" tooltip="Naar invoer installaties en berekening variant 6."/>
          <a:extLst>
            <a:ext uri="{FF2B5EF4-FFF2-40B4-BE49-F238E27FC236}">
              <a16:creationId xmlns:a16="http://schemas.microsoft.com/office/drawing/2014/main" id="{B51D706B-7D07-47D0-BDD6-B16EBCACA482}"/>
            </a:ext>
          </a:extLst>
        </xdr:cNvPr>
        <xdr:cNvSpPr>
          <a:spLocks noChangeArrowheads="1"/>
        </xdr:cNvSpPr>
      </xdr:nvSpPr>
      <xdr:spPr bwMode="auto">
        <a:xfrm>
          <a:off x="4281123"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var6</a:t>
          </a:r>
        </a:p>
      </xdr:txBody>
    </xdr:sp>
    <xdr:clientData/>
  </xdr:twoCellAnchor>
  <xdr:twoCellAnchor editAs="absolute">
    <xdr:from>
      <xdr:col>7</xdr:col>
      <xdr:colOff>22434</xdr:colOff>
      <xdr:row>7</xdr:row>
      <xdr:rowOff>22261</xdr:rowOff>
    </xdr:from>
    <xdr:to>
      <xdr:col>7</xdr:col>
      <xdr:colOff>688434</xdr:colOff>
      <xdr:row>7</xdr:row>
      <xdr:rowOff>220261</xdr:rowOff>
    </xdr:to>
    <xdr:sp macro="" textlink="">
      <xdr:nvSpPr>
        <xdr:cNvPr id="10" name="Resultaten">
          <a:hlinkClick xmlns:r="http://schemas.openxmlformats.org/officeDocument/2006/relationships" r:id="rId9" tooltip="Naar het overzicht van de rekenresultaten van de referentie en de varianten."/>
          <a:extLst>
            <a:ext uri="{FF2B5EF4-FFF2-40B4-BE49-F238E27FC236}">
              <a16:creationId xmlns:a16="http://schemas.microsoft.com/office/drawing/2014/main" id="{EE0501C7-92D7-4E65-AD29-8B5E8A0B5F31}"/>
            </a:ext>
          </a:extLst>
        </xdr:cNvPr>
        <xdr:cNvSpPr>
          <a:spLocks noChangeArrowheads="1"/>
        </xdr:cNvSpPr>
      </xdr:nvSpPr>
      <xdr:spPr bwMode="auto">
        <a:xfrm>
          <a:off x="4746834" y="1584361"/>
          <a:ext cx="66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resultaten</a:t>
          </a:r>
        </a:p>
      </xdr:txBody>
    </xdr:sp>
    <xdr:clientData/>
  </xdr:twoCellAnchor>
  <xdr:twoCellAnchor editAs="absolute">
    <xdr:from>
      <xdr:col>7</xdr:col>
      <xdr:colOff>712338</xdr:colOff>
      <xdr:row>7</xdr:row>
      <xdr:rowOff>22261</xdr:rowOff>
    </xdr:from>
    <xdr:to>
      <xdr:col>8</xdr:col>
      <xdr:colOff>1178</xdr:colOff>
      <xdr:row>7</xdr:row>
      <xdr:rowOff>220261</xdr:rowOff>
    </xdr:to>
    <xdr:sp macro="" textlink="">
      <xdr:nvSpPr>
        <xdr:cNvPr id="11" name="Bibliotheek">
          <a:hlinkClick xmlns:r="http://schemas.openxmlformats.org/officeDocument/2006/relationships" r:id="rId10" tooltip="Naar de bibilotheek met gegevens van gebouwen en installaties."/>
          <a:extLst>
            <a:ext uri="{FF2B5EF4-FFF2-40B4-BE49-F238E27FC236}">
              <a16:creationId xmlns:a16="http://schemas.microsoft.com/office/drawing/2014/main" id="{48D13AE6-0826-419B-BBD3-69A2E445A757}"/>
            </a:ext>
          </a:extLst>
        </xdr:cNvPr>
        <xdr:cNvSpPr>
          <a:spLocks noChangeArrowheads="1"/>
        </xdr:cNvSpPr>
      </xdr:nvSpPr>
      <xdr:spPr bwMode="auto">
        <a:xfrm>
          <a:off x="5436738" y="1584361"/>
          <a:ext cx="73664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bibliotheek</a:t>
          </a:r>
        </a:p>
      </xdr:txBody>
    </xdr:sp>
    <xdr:clientData/>
  </xdr:twoCellAnchor>
  <mc:AlternateContent xmlns:mc="http://schemas.openxmlformats.org/markup-compatibility/2006">
    <mc:Choice xmlns:a14="http://schemas.microsoft.com/office/drawing/2010/main" Requires="a14">
      <xdr:twoCellAnchor editAs="oneCell">
        <xdr:from>
          <xdr:col>6</xdr:col>
          <xdr:colOff>66675</xdr:colOff>
          <xdr:row>5</xdr:row>
          <xdr:rowOff>0</xdr:rowOff>
        </xdr:from>
        <xdr:to>
          <xdr:col>6</xdr:col>
          <xdr:colOff>542925</xdr:colOff>
          <xdr:row>6</xdr:row>
          <xdr:rowOff>0</xdr:rowOff>
        </xdr:to>
        <xdr:sp macro="" textlink="">
          <xdr:nvSpPr>
            <xdr:cNvPr id="563201" name="Correctie_RV" hidden="1">
              <a:extLst>
                <a:ext uri="{63B3BB69-23CF-44E3-9099-C40C66FF867C}">
                  <a14:compatExt spid="_x0000_s563201"/>
                </a:ext>
                <a:ext uri="{FF2B5EF4-FFF2-40B4-BE49-F238E27FC236}">
                  <a16:creationId xmlns:a16="http://schemas.microsoft.com/office/drawing/2014/main" id="{CD37FA46-C8C0-4EA1-AD24-F861FB91E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absolute">
    <xdr:from>
      <xdr:col>4</xdr:col>
      <xdr:colOff>3580</xdr:colOff>
      <xdr:row>7</xdr:row>
      <xdr:rowOff>22434</xdr:rowOff>
    </xdr:from>
    <xdr:to>
      <xdr:col>4</xdr:col>
      <xdr:colOff>216000</xdr:colOff>
      <xdr:row>7</xdr:row>
      <xdr:rowOff>220434</xdr:rowOff>
    </xdr:to>
    <xdr:sp macro="" textlink="">
      <xdr:nvSpPr>
        <xdr:cNvPr id="2" name="Handleiding">
          <a:hlinkClick xmlns:r="http://schemas.openxmlformats.org/officeDocument/2006/relationships" r:id="rId1" tooltip="Naar de handleiding"/>
          <a:extLst>
            <a:ext uri="{FF2B5EF4-FFF2-40B4-BE49-F238E27FC236}">
              <a16:creationId xmlns:a16="http://schemas.microsoft.com/office/drawing/2014/main" id="{470FBB5A-6FA0-4D62-B01D-BCA03D16CBD8}"/>
            </a:ext>
          </a:extLst>
        </xdr:cNvPr>
        <xdr:cNvSpPr>
          <a:spLocks noChangeArrowheads="1"/>
        </xdr:cNvSpPr>
      </xdr:nvSpPr>
      <xdr:spPr bwMode="auto">
        <a:xfrm>
          <a:off x="584605" y="1584534"/>
          <a:ext cx="21242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i</a:t>
          </a:r>
        </a:p>
      </xdr:txBody>
    </xdr:sp>
    <xdr:clientData/>
  </xdr:twoCellAnchor>
  <xdr:twoCellAnchor editAs="absolute">
    <xdr:from>
      <xdr:col>4</xdr:col>
      <xdr:colOff>238934</xdr:colOff>
      <xdr:row>7</xdr:row>
      <xdr:rowOff>22261</xdr:rowOff>
    </xdr:from>
    <xdr:to>
      <xdr:col>4</xdr:col>
      <xdr:colOff>1354934</xdr:colOff>
      <xdr:row>7</xdr:row>
      <xdr:rowOff>220261</xdr:rowOff>
    </xdr:to>
    <xdr:sp macro="" textlink="">
      <xdr:nvSpPr>
        <xdr:cNvPr id="3" name="Woning_Utiliteit">
          <a:hlinkClick xmlns:r="http://schemas.openxmlformats.org/officeDocument/2006/relationships" r:id="rId2" tooltip="Naar de invoer van de woningen en utiliteitsgebouwen in het gebied."/>
          <a:extLst>
            <a:ext uri="{FF2B5EF4-FFF2-40B4-BE49-F238E27FC236}">
              <a16:creationId xmlns:a16="http://schemas.microsoft.com/office/drawing/2014/main" id="{AE32DB97-01F9-4549-A833-4EAE5BA81771}"/>
            </a:ext>
          </a:extLst>
        </xdr:cNvPr>
        <xdr:cNvSpPr>
          <a:spLocks noChangeArrowheads="1"/>
        </xdr:cNvSpPr>
      </xdr:nvSpPr>
      <xdr:spPr bwMode="auto">
        <a:xfrm>
          <a:off x="819959" y="1584361"/>
          <a:ext cx="111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woningen|utiliteit</a:t>
          </a:r>
        </a:p>
      </xdr:txBody>
    </xdr:sp>
    <xdr:clientData/>
  </xdr:twoCellAnchor>
  <xdr:twoCellAnchor editAs="absolute">
    <xdr:from>
      <xdr:col>4</xdr:col>
      <xdr:colOff>1380966</xdr:colOff>
      <xdr:row>7</xdr:row>
      <xdr:rowOff>22261</xdr:rowOff>
    </xdr:from>
    <xdr:to>
      <xdr:col>5</xdr:col>
      <xdr:colOff>31791</xdr:colOff>
      <xdr:row>7</xdr:row>
      <xdr:rowOff>220261</xdr:rowOff>
    </xdr:to>
    <xdr:sp macro="" textlink="">
      <xdr:nvSpPr>
        <xdr:cNvPr id="4" name="Variant 1">
          <a:hlinkClick xmlns:r="http://schemas.openxmlformats.org/officeDocument/2006/relationships" r:id="rId3" tooltip="Naar invoer installaties en berekening variant 1"/>
          <a:extLst>
            <a:ext uri="{FF2B5EF4-FFF2-40B4-BE49-F238E27FC236}">
              <a16:creationId xmlns:a16="http://schemas.microsoft.com/office/drawing/2014/main" id="{24C9AD39-4B74-446A-9BE2-8A0440A4D768}"/>
            </a:ext>
          </a:extLst>
        </xdr:cNvPr>
        <xdr:cNvSpPr>
          <a:spLocks noChangeArrowheads="1"/>
        </xdr:cNvSpPr>
      </xdr:nvSpPr>
      <xdr:spPr bwMode="auto">
        <a:xfrm>
          <a:off x="1961991"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var1</a:t>
          </a:r>
        </a:p>
      </xdr:txBody>
    </xdr:sp>
    <xdr:clientData/>
  </xdr:twoCellAnchor>
  <xdr:twoCellAnchor editAs="absolute">
    <xdr:from>
      <xdr:col>5</xdr:col>
      <xdr:colOff>58708</xdr:colOff>
      <xdr:row>7</xdr:row>
      <xdr:rowOff>22261</xdr:rowOff>
    </xdr:from>
    <xdr:to>
      <xdr:col>5</xdr:col>
      <xdr:colOff>491516</xdr:colOff>
      <xdr:row>7</xdr:row>
      <xdr:rowOff>220261</xdr:rowOff>
    </xdr:to>
    <xdr:sp macro="" textlink="">
      <xdr:nvSpPr>
        <xdr:cNvPr id="5" name="Variant 2">
          <a:hlinkClick xmlns:r="http://schemas.openxmlformats.org/officeDocument/2006/relationships" r:id="rId4" tooltip="Naar invoer installaties en berekening variant 2."/>
          <a:extLst>
            <a:ext uri="{FF2B5EF4-FFF2-40B4-BE49-F238E27FC236}">
              <a16:creationId xmlns:a16="http://schemas.microsoft.com/office/drawing/2014/main" id="{DBFB41DA-4A7E-4E07-B64F-AA2F7216F12F}"/>
            </a:ext>
          </a:extLst>
        </xdr:cNvPr>
        <xdr:cNvSpPr>
          <a:spLocks noChangeArrowheads="1"/>
        </xdr:cNvSpPr>
      </xdr:nvSpPr>
      <xdr:spPr bwMode="auto">
        <a:xfrm>
          <a:off x="2420908" y="1584361"/>
          <a:ext cx="432808"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var2</a:t>
          </a:r>
        </a:p>
      </xdr:txBody>
    </xdr:sp>
    <xdr:clientData/>
  </xdr:twoCellAnchor>
  <xdr:twoCellAnchor editAs="absolute">
    <xdr:from>
      <xdr:col>5</xdr:col>
      <xdr:colOff>527725</xdr:colOff>
      <xdr:row>7</xdr:row>
      <xdr:rowOff>22261</xdr:rowOff>
    </xdr:from>
    <xdr:to>
      <xdr:col>5</xdr:col>
      <xdr:colOff>959725</xdr:colOff>
      <xdr:row>7</xdr:row>
      <xdr:rowOff>220261</xdr:rowOff>
    </xdr:to>
    <xdr:sp macro="" textlink="">
      <xdr:nvSpPr>
        <xdr:cNvPr id="6" name="Variant 3">
          <a:hlinkClick xmlns:r="http://schemas.openxmlformats.org/officeDocument/2006/relationships" r:id="rId5" tooltip="Naar invoer installaties en berekening variant 3."/>
          <a:extLst>
            <a:ext uri="{FF2B5EF4-FFF2-40B4-BE49-F238E27FC236}">
              <a16:creationId xmlns:a16="http://schemas.microsoft.com/office/drawing/2014/main" id="{E039C944-8F81-4B12-AB6D-3ACC91B79C9F}"/>
            </a:ext>
          </a:extLst>
        </xdr:cNvPr>
        <xdr:cNvSpPr>
          <a:spLocks noChangeArrowheads="1"/>
        </xdr:cNvSpPr>
      </xdr:nvSpPr>
      <xdr:spPr bwMode="auto">
        <a:xfrm>
          <a:off x="2889925"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var3</a:t>
          </a:r>
        </a:p>
      </xdr:txBody>
    </xdr:sp>
    <xdr:clientData/>
  </xdr:twoCellAnchor>
  <xdr:twoCellAnchor editAs="absolute">
    <xdr:from>
      <xdr:col>5</xdr:col>
      <xdr:colOff>991661</xdr:colOff>
      <xdr:row>7</xdr:row>
      <xdr:rowOff>22261</xdr:rowOff>
    </xdr:from>
    <xdr:to>
      <xdr:col>6</xdr:col>
      <xdr:colOff>244943</xdr:colOff>
      <xdr:row>7</xdr:row>
      <xdr:rowOff>220261</xdr:rowOff>
    </xdr:to>
    <xdr:sp macro="" textlink="">
      <xdr:nvSpPr>
        <xdr:cNvPr id="7" name="Variant 4">
          <a:hlinkClick xmlns:r="http://schemas.openxmlformats.org/officeDocument/2006/relationships" r:id="rId6" tooltip="Naar invoer installaties en berekening variant 4."/>
          <a:extLst>
            <a:ext uri="{FF2B5EF4-FFF2-40B4-BE49-F238E27FC236}">
              <a16:creationId xmlns:a16="http://schemas.microsoft.com/office/drawing/2014/main" id="{96071D5E-FB24-4F40-97CD-9BDD0A3DA40E}"/>
            </a:ext>
          </a:extLst>
        </xdr:cNvPr>
        <xdr:cNvSpPr>
          <a:spLocks noChangeArrowheads="1"/>
        </xdr:cNvSpPr>
      </xdr:nvSpPr>
      <xdr:spPr bwMode="auto">
        <a:xfrm>
          <a:off x="3353861" y="1584361"/>
          <a:ext cx="434382"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var4</a:t>
          </a:r>
        </a:p>
      </xdr:txBody>
    </xdr:sp>
    <xdr:clientData/>
  </xdr:twoCellAnchor>
  <xdr:twoCellAnchor editAs="absolute">
    <xdr:from>
      <xdr:col>6</xdr:col>
      <xdr:colOff>273556</xdr:colOff>
      <xdr:row>7</xdr:row>
      <xdr:rowOff>22261</xdr:rowOff>
    </xdr:from>
    <xdr:to>
      <xdr:col>6</xdr:col>
      <xdr:colOff>705556</xdr:colOff>
      <xdr:row>7</xdr:row>
      <xdr:rowOff>220261</xdr:rowOff>
    </xdr:to>
    <xdr:sp macro="" textlink="">
      <xdr:nvSpPr>
        <xdr:cNvPr id="8" name="Variant 5">
          <a:hlinkClick xmlns:r="http://schemas.openxmlformats.org/officeDocument/2006/relationships" r:id="rId7" tooltip="Naar invoer installaties en berekening variant 5."/>
          <a:extLst>
            <a:ext uri="{FF2B5EF4-FFF2-40B4-BE49-F238E27FC236}">
              <a16:creationId xmlns:a16="http://schemas.microsoft.com/office/drawing/2014/main" id="{B5A76C23-F57D-4751-B0DC-765C195A7681}"/>
            </a:ext>
          </a:extLst>
        </xdr:cNvPr>
        <xdr:cNvSpPr>
          <a:spLocks noChangeArrowheads="1"/>
        </xdr:cNvSpPr>
      </xdr:nvSpPr>
      <xdr:spPr bwMode="auto">
        <a:xfrm>
          <a:off x="3816856"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var5</a:t>
          </a:r>
        </a:p>
      </xdr:txBody>
    </xdr:sp>
    <xdr:clientData/>
  </xdr:twoCellAnchor>
  <xdr:twoCellAnchor editAs="absolute">
    <xdr:from>
      <xdr:col>6</xdr:col>
      <xdr:colOff>737823</xdr:colOff>
      <xdr:row>7</xdr:row>
      <xdr:rowOff>22261</xdr:rowOff>
    </xdr:from>
    <xdr:to>
      <xdr:col>6</xdr:col>
      <xdr:colOff>1169823</xdr:colOff>
      <xdr:row>7</xdr:row>
      <xdr:rowOff>220261</xdr:rowOff>
    </xdr:to>
    <xdr:sp macro="" textlink="">
      <xdr:nvSpPr>
        <xdr:cNvPr id="9" name="Variant 6">
          <a:hlinkClick xmlns:r="http://schemas.openxmlformats.org/officeDocument/2006/relationships" r:id="rId8" tooltip="Naar invoer installaties en berekening variant 6."/>
          <a:extLst>
            <a:ext uri="{FF2B5EF4-FFF2-40B4-BE49-F238E27FC236}">
              <a16:creationId xmlns:a16="http://schemas.microsoft.com/office/drawing/2014/main" id="{29AB5E37-F2E1-4BA9-AC6F-DD065C99B6D5}"/>
            </a:ext>
          </a:extLst>
        </xdr:cNvPr>
        <xdr:cNvSpPr>
          <a:spLocks noChangeArrowheads="1"/>
        </xdr:cNvSpPr>
      </xdr:nvSpPr>
      <xdr:spPr bwMode="auto">
        <a:xfrm>
          <a:off x="4281123" y="1584361"/>
          <a:ext cx="432000" cy="198000"/>
        </a:xfrm>
        <a:prstGeom prst="rect">
          <a:avLst/>
        </a:prstGeom>
        <a:gradFill>
          <a:gsLst>
            <a:gs pos="84000">
              <a:schemeClr val="accent1">
                <a:lumMod val="40000"/>
                <a:lumOff val="60000"/>
              </a:schemeClr>
            </a:gs>
            <a:gs pos="99000">
              <a:schemeClr val="accent1"/>
            </a:gs>
            <a:gs pos="16000">
              <a:schemeClr val="accent1">
                <a:lumMod val="20000"/>
                <a:lumOff val="80000"/>
              </a:schemeClr>
            </a:gs>
            <a:gs pos="0">
              <a:schemeClr val="bg1"/>
            </a:gs>
          </a:gsLst>
          <a:lin ang="5400000" scaled="1"/>
        </a:gradFill>
        <a:ln w="635">
          <a:solidFill>
            <a:schemeClr val="bg1">
              <a:lumMod val="65000"/>
            </a:schemeClr>
          </a:solidFill>
        </a:ln>
        <a:effectLst>
          <a:outerShdw blurRad="50800" dist="38100" dir="5400000" algn="t" rotWithShape="0">
            <a:schemeClr val="accent1">
              <a:lumMod val="60000"/>
              <a:lumOff val="4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tx1">
                  <a:lumMod val="65000"/>
                  <a:lumOff val="35000"/>
                </a:schemeClr>
              </a:solidFill>
              <a:latin typeface="Calibri Light" panose="020F0302020204030204" pitchFamily="34" charset="0"/>
              <a:ea typeface="Verdana"/>
              <a:cs typeface="Calibri Light" panose="020F0302020204030204" pitchFamily="34" charset="0"/>
            </a:rPr>
            <a:t>var6</a:t>
          </a:r>
        </a:p>
      </xdr:txBody>
    </xdr:sp>
    <xdr:clientData/>
  </xdr:twoCellAnchor>
  <xdr:twoCellAnchor editAs="absolute">
    <xdr:from>
      <xdr:col>7</xdr:col>
      <xdr:colOff>22434</xdr:colOff>
      <xdr:row>7</xdr:row>
      <xdr:rowOff>22261</xdr:rowOff>
    </xdr:from>
    <xdr:to>
      <xdr:col>7</xdr:col>
      <xdr:colOff>688434</xdr:colOff>
      <xdr:row>7</xdr:row>
      <xdr:rowOff>220261</xdr:rowOff>
    </xdr:to>
    <xdr:sp macro="" textlink="">
      <xdr:nvSpPr>
        <xdr:cNvPr id="10" name="Resultaten">
          <a:hlinkClick xmlns:r="http://schemas.openxmlformats.org/officeDocument/2006/relationships" r:id="rId9" tooltip="Naar het overzicht van de rekenresultaten van de referentie en de varianten."/>
          <a:extLst>
            <a:ext uri="{FF2B5EF4-FFF2-40B4-BE49-F238E27FC236}">
              <a16:creationId xmlns:a16="http://schemas.microsoft.com/office/drawing/2014/main" id="{A515803A-F0A0-417F-88A3-042A8BB6510E}"/>
            </a:ext>
          </a:extLst>
        </xdr:cNvPr>
        <xdr:cNvSpPr>
          <a:spLocks noChangeArrowheads="1"/>
        </xdr:cNvSpPr>
      </xdr:nvSpPr>
      <xdr:spPr bwMode="auto">
        <a:xfrm>
          <a:off x="4746834" y="1584361"/>
          <a:ext cx="66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resultaten</a:t>
          </a:r>
        </a:p>
      </xdr:txBody>
    </xdr:sp>
    <xdr:clientData/>
  </xdr:twoCellAnchor>
  <xdr:twoCellAnchor editAs="absolute">
    <xdr:from>
      <xdr:col>7</xdr:col>
      <xdr:colOff>712338</xdr:colOff>
      <xdr:row>7</xdr:row>
      <xdr:rowOff>22261</xdr:rowOff>
    </xdr:from>
    <xdr:to>
      <xdr:col>8</xdr:col>
      <xdr:colOff>1178</xdr:colOff>
      <xdr:row>7</xdr:row>
      <xdr:rowOff>220261</xdr:rowOff>
    </xdr:to>
    <xdr:sp macro="" textlink="">
      <xdr:nvSpPr>
        <xdr:cNvPr id="11" name="Bibliotheek">
          <a:hlinkClick xmlns:r="http://schemas.openxmlformats.org/officeDocument/2006/relationships" r:id="rId10" tooltip="Naar de bibilotheek met gegevens van gebouwen en installaties."/>
          <a:extLst>
            <a:ext uri="{FF2B5EF4-FFF2-40B4-BE49-F238E27FC236}">
              <a16:creationId xmlns:a16="http://schemas.microsoft.com/office/drawing/2014/main" id="{6AD70622-7AF6-460E-8F95-D04EFD9EB9D3}"/>
            </a:ext>
          </a:extLst>
        </xdr:cNvPr>
        <xdr:cNvSpPr>
          <a:spLocks noChangeArrowheads="1"/>
        </xdr:cNvSpPr>
      </xdr:nvSpPr>
      <xdr:spPr bwMode="auto">
        <a:xfrm>
          <a:off x="5436738" y="1584361"/>
          <a:ext cx="73664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bibliotheek</a:t>
          </a:r>
        </a:p>
      </xdr:txBody>
    </xdr:sp>
    <xdr:clientData/>
  </xdr:twoCellAnchor>
  <mc:AlternateContent xmlns:mc="http://schemas.openxmlformats.org/markup-compatibility/2006">
    <mc:Choice xmlns:a14="http://schemas.microsoft.com/office/drawing/2010/main" Requires="a14">
      <xdr:twoCellAnchor editAs="oneCell">
        <xdr:from>
          <xdr:col>6</xdr:col>
          <xdr:colOff>66675</xdr:colOff>
          <xdr:row>5</xdr:row>
          <xdr:rowOff>0</xdr:rowOff>
        </xdr:from>
        <xdr:to>
          <xdr:col>6</xdr:col>
          <xdr:colOff>542925</xdr:colOff>
          <xdr:row>6</xdr:row>
          <xdr:rowOff>0</xdr:rowOff>
        </xdr:to>
        <xdr:sp macro="" textlink="">
          <xdr:nvSpPr>
            <xdr:cNvPr id="564225" name="Correctie_RV" hidden="1">
              <a:extLst>
                <a:ext uri="{63B3BB69-23CF-44E3-9099-C40C66FF867C}">
                  <a14:compatExt spid="_x0000_s564225"/>
                </a:ext>
                <a:ext uri="{FF2B5EF4-FFF2-40B4-BE49-F238E27FC236}">
                  <a16:creationId xmlns:a16="http://schemas.microsoft.com/office/drawing/2014/main" id="{3972CB3A-3D74-456D-BDA1-F82EC084CD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person displayName="Faye Best" id="{F8ACC99C-6C6A-4B4F-A548-D9D40A529777}" userId="S::best@w-e.nl::2524b93f-c9f6-420e-93a7-742785e10415" providerId="AD"/>
</personList>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Y254" dT="2021-10-27T11:21:12.19" personId="{F8ACC99C-6C6A-4B4F-A548-D9D40A529777}" id="{21ED3BEB-DB43-4312-8D9F-CC84F4BFAE0E}">
    <text>in pdf staat forfaitair</text>
  </threadedComment>
  <threadedComment ref="Z254" dT="2021-10-27T11:21:38.56" personId="{F8ACC99C-6C6A-4B4F-A548-D9D40A529777}" id="{C46A0D3D-9F6B-4622-B9E6-EE8A3362C03B}">
    <text>in pdf staat forfaitair</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expertisecentrumwarmte.nl/themas/technische+oplossingen/de+uniforme+maatlat+gebouwde+omgeving/default.aspx" TargetMode="External"/><Relationship Id="rId1" Type="http://schemas.openxmlformats.org/officeDocument/2006/relationships/hyperlink" Target="https://www.expertisecentrumwarmte.nl/"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s://bcrg.nl/nl/verklaringenregister/emg-verklaringen/?declaration_type=EMG" TargetMode="External"/><Relationship Id="rId13" Type="http://schemas.openxmlformats.org/officeDocument/2006/relationships/printerSettings" Target="../printerSettings/printerSettings11.bin"/><Relationship Id="rId3" Type="http://schemas.openxmlformats.org/officeDocument/2006/relationships/hyperlink" Target="https://www.pbl.nl/publicaties/klimaat-en-energieverkenning-2022" TargetMode="External"/><Relationship Id="rId7" Type="http://schemas.openxmlformats.org/officeDocument/2006/relationships/hyperlink" Target="https://zoek.officielebekendmakingen.nl/stb-2019-501.html" TargetMode="External"/><Relationship Id="rId12" Type="http://schemas.openxmlformats.org/officeDocument/2006/relationships/hyperlink" Target="https://www.rvo.nl/onderwerpen/renovatiestandaard" TargetMode="External"/><Relationship Id="rId17" Type="http://schemas.microsoft.com/office/2017/10/relationships/threadedComment" Target="../threadedComments/threadedComment1.xml"/><Relationship Id="rId2" Type="http://schemas.openxmlformats.org/officeDocument/2006/relationships/hyperlink" Target="https://opendata.cbs.nl/statline/" TargetMode="External"/><Relationship Id="rId16" Type="http://schemas.openxmlformats.org/officeDocument/2006/relationships/comments" Target="../comments1.xml"/><Relationship Id="rId1" Type="http://schemas.openxmlformats.org/officeDocument/2006/relationships/hyperlink" Target="https://opendata.cbs.nl/statline/" TargetMode="External"/><Relationship Id="rId6" Type="http://schemas.openxmlformats.org/officeDocument/2006/relationships/hyperlink" Target="https://www.rvo.nl/onderwerpen/duurzaam-ondernemen/gebouwen/wetten-en-regels/standaard-en-streefwaarden-voor-woningisolatie" TargetMode="External"/><Relationship Id="rId11" Type="http://schemas.openxmlformats.org/officeDocument/2006/relationships/hyperlink" Target="http://www.installatiemonitor.nl/" TargetMode="External"/><Relationship Id="rId5" Type="http://schemas.openxmlformats.org/officeDocument/2006/relationships/hyperlink" Target="https://wetten.overheid.nl/BWBR0020921/2021-07-01" TargetMode="External"/><Relationship Id="rId15" Type="http://schemas.openxmlformats.org/officeDocument/2006/relationships/vmlDrawing" Target="../drawings/vmlDrawing7.vml"/><Relationship Id="rId10" Type="http://schemas.openxmlformats.org/officeDocument/2006/relationships/hyperlink" Target="http://www.installatiemonitor.nl/" TargetMode="External"/><Relationship Id="rId4" Type="http://schemas.openxmlformats.org/officeDocument/2006/relationships/hyperlink" Target="https://www.internetconsultatie.nl/wijzigingwarmteregeling/document/1311" TargetMode="External"/><Relationship Id="rId9" Type="http://schemas.openxmlformats.org/officeDocument/2006/relationships/hyperlink" Target="https://www.pbl.nl/publicaties/klimaat-en-energieverkenning-2022" TargetMode="External"/><Relationship Id="rId14" Type="http://schemas.openxmlformats.org/officeDocument/2006/relationships/drawing" Target="../drawings/drawing13.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rvo.nl/sites/default/files/2019/06/Protocol-Uniforme-Maatlat-Gebouwde-Omgeving-UMGO-4.3.1-19%20juni-2019.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zoek.officielebekendmakingen.nl/stb-2019-501.html"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zoek.officielebekendmakingen.nl/stb-2019-501.html" TargetMode="External"/><Relationship Id="rId5" Type="http://schemas.openxmlformats.org/officeDocument/2006/relationships/ctrlProp" Target="../ctrlProps/ctrlProp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zoek.officielebekendmakingen.nl/stb-2019-501.html" TargetMode="External"/><Relationship Id="rId5" Type="http://schemas.openxmlformats.org/officeDocument/2006/relationships/ctrlProp" Target="../ctrlProps/ctrlProp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zoek.officielebekendmakingen.nl/stb-2019-501.html" TargetMode="External"/><Relationship Id="rId5" Type="http://schemas.openxmlformats.org/officeDocument/2006/relationships/ctrlProp" Target="../ctrlProps/ctrlProp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zoek.officielebekendmakingen.nl/stb-2019-501.html" TargetMode="External"/><Relationship Id="rId5" Type="http://schemas.openxmlformats.org/officeDocument/2006/relationships/ctrlProp" Target="../ctrlProps/ctrlProp5.xml"/><Relationship Id="rId4"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zoek.officielebekendmakingen.nl/stb-2019-501.html" TargetMode="External"/><Relationship Id="rId5" Type="http://schemas.openxmlformats.org/officeDocument/2006/relationships/ctrlProp" Target="../ctrlProps/ctrlProp6.xml"/><Relationship Id="rId4"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0070C0"/>
    <outlinePr showOutlineSymbols="0"/>
  </sheetPr>
  <dimension ref="D1:BH50"/>
  <sheetViews>
    <sheetView showGridLines="0" showRowColHeaders="0" tabSelected="1" zoomScaleNormal="100" workbookViewId="0">
      <pane ySplit="8" topLeftCell="A9" activePane="bottomLeft" state="frozen"/>
      <selection activeCell="L19" sqref="L19"/>
      <selection pane="bottomLeft" activeCell="E9" sqref="E9"/>
    </sheetView>
  </sheetViews>
  <sheetFormatPr defaultRowHeight="10.5" customHeight="1" x14ac:dyDescent="0.2"/>
  <cols>
    <col min="1" max="1" width="0.5703125" customWidth="1"/>
    <col min="2" max="4" width="2.7109375" customWidth="1"/>
    <col min="5" max="5" width="102.42578125" style="38" customWidth="1"/>
    <col min="6" max="6" width="9.140625" style="276" customWidth="1"/>
    <col min="7" max="8" width="9.140625" customWidth="1"/>
  </cols>
  <sheetData>
    <row r="1" spans="4:60" s="832" customFormat="1" ht="21" x14ac:dyDescent="0.2">
      <c r="D1" s="826"/>
      <c r="E1" s="829" t="str">
        <f>disclaimer!$E$7&amp;" - "&amp;"versie "&amp;TEXT(disclaimer!$E$8,"d mmm jjjj")</f>
        <v>Uniforme Maatlat Gebouwde Omgeving 5.04 - versie 5 apr 2023</v>
      </c>
      <c r="F1" s="830"/>
      <c r="G1" s="830"/>
      <c r="H1" s="829"/>
      <c r="I1" s="830"/>
      <c r="J1" s="828"/>
      <c r="K1" s="831"/>
      <c r="L1" s="831"/>
      <c r="M1" s="831"/>
      <c r="N1" s="831"/>
      <c r="O1" s="835"/>
      <c r="P1" s="831"/>
      <c r="Q1" s="831"/>
      <c r="R1" s="831"/>
      <c r="S1" s="831"/>
      <c r="T1" s="831"/>
      <c r="U1" s="831"/>
      <c r="V1" s="831"/>
      <c r="W1" s="831"/>
      <c r="X1" s="831"/>
      <c r="Y1" s="831"/>
      <c r="Z1" s="831"/>
      <c r="AA1" s="835"/>
      <c r="AB1" s="831"/>
      <c r="AC1" s="831"/>
      <c r="AD1" s="831"/>
      <c r="AE1" s="831"/>
      <c r="AF1" s="831"/>
      <c r="AG1" s="831"/>
      <c r="AH1" s="831"/>
      <c r="AI1" s="831"/>
      <c r="AJ1" s="831"/>
      <c r="AK1" s="831"/>
      <c r="AL1" s="831"/>
      <c r="AM1" s="835"/>
      <c r="AN1" s="831"/>
      <c r="AO1" s="831"/>
      <c r="AP1" s="831"/>
      <c r="AQ1" s="831"/>
      <c r="AR1" s="831"/>
      <c r="AS1" s="831"/>
      <c r="AT1" s="831"/>
      <c r="AU1" s="831"/>
      <c r="AV1" s="831"/>
      <c r="AW1" s="831"/>
      <c r="AX1" s="831"/>
      <c r="AY1" s="831"/>
      <c r="AZ1" s="831"/>
      <c r="BA1" s="831"/>
      <c r="BB1" s="831"/>
      <c r="BC1" s="831"/>
      <c r="BD1" s="831"/>
      <c r="BE1" s="831"/>
      <c r="BF1" s="831"/>
      <c r="BG1" s="831"/>
      <c r="BH1" s="831"/>
    </row>
    <row r="2" spans="4:60" ht="15.75" x14ac:dyDescent="0.2">
      <c r="D2" s="55"/>
      <c r="E2" s="662"/>
    </row>
    <row r="3" spans="4:60" ht="15.75" x14ac:dyDescent="0.25">
      <c r="D3" s="53"/>
      <c r="E3" s="54"/>
    </row>
    <row r="4" spans="4:60" ht="21" x14ac:dyDescent="0.2">
      <c r="D4" s="55"/>
      <c r="E4" s="661"/>
    </row>
    <row r="5" spans="4:60" ht="15.75" x14ac:dyDescent="0.2">
      <c r="D5" s="55"/>
      <c r="E5" s="662"/>
    </row>
    <row r="6" spans="4:60" ht="15.75" x14ac:dyDescent="0.2">
      <c r="D6" s="55"/>
      <c r="E6" s="662"/>
    </row>
    <row r="7" spans="4:60" ht="21" x14ac:dyDescent="0.2">
      <c r="D7" s="55"/>
      <c r="E7" s="493" t="s">
        <v>1137</v>
      </c>
    </row>
    <row r="8" spans="4:60" ht="12.75" x14ac:dyDescent="0.2">
      <c r="D8" s="57"/>
      <c r="E8" s="785">
        <v>45021</v>
      </c>
    </row>
    <row r="9" spans="4:60" ht="204" x14ac:dyDescent="0.2">
      <c r="D9" s="55"/>
      <c r="E9" s="804" t="s">
        <v>0</v>
      </c>
      <c r="F9" s="738"/>
    </row>
    <row r="10" spans="4:60" ht="15.75" x14ac:dyDescent="0.2">
      <c r="D10" s="53"/>
      <c r="E10" s="805" t="s">
        <v>1</v>
      </c>
    </row>
    <row r="11" spans="4:60" ht="15.75" x14ac:dyDescent="0.2">
      <c r="D11" s="53"/>
      <c r="E11" s="805" t="s">
        <v>2</v>
      </c>
    </row>
    <row r="12" spans="4:60" ht="15.75" x14ac:dyDescent="0.25">
      <c r="D12" s="53"/>
      <c r="E12" s="786"/>
    </row>
    <row r="13" spans="4:60" ht="21" x14ac:dyDescent="0.2">
      <c r="D13" s="53"/>
      <c r="E13" s="787" t="s">
        <v>1138</v>
      </c>
    </row>
    <row r="14" spans="4:60" ht="12.75" x14ac:dyDescent="0.2">
      <c r="D14" s="57"/>
      <c r="E14" s="788" t="s">
        <v>1139</v>
      </c>
    </row>
    <row r="15" spans="4:60" ht="15.75" x14ac:dyDescent="0.2">
      <c r="D15" s="53"/>
      <c r="E15" s="666" t="s">
        <v>1196</v>
      </c>
    </row>
    <row r="16" spans="4:60" ht="15.75" x14ac:dyDescent="0.2">
      <c r="D16" s="53"/>
      <c r="E16" s="666" t="s">
        <v>1140</v>
      </c>
    </row>
    <row r="17" spans="4:5" ht="15.75" x14ac:dyDescent="0.2">
      <c r="D17" s="53"/>
      <c r="E17" s="666" t="s">
        <v>1141</v>
      </c>
    </row>
    <row r="18" spans="4:5" ht="15.75" x14ac:dyDescent="0.2">
      <c r="D18" s="53"/>
      <c r="E18" s="666" t="s">
        <v>1197</v>
      </c>
    </row>
    <row r="19" spans="4:5" ht="12.75" x14ac:dyDescent="0.2">
      <c r="D19" s="57"/>
      <c r="E19" s="788" t="s">
        <v>13</v>
      </c>
    </row>
    <row r="20" spans="4:5" ht="15.75" x14ac:dyDescent="0.2">
      <c r="D20" s="53"/>
      <c r="E20" s="666" t="s">
        <v>1092</v>
      </c>
    </row>
    <row r="21" spans="4:5" ht="15.75" x14ac:dyDescent="0.2">
      <c r="D21" s="53"/>
      <c r="E21" s="666" t="s">
        <v>1201</v>
      </c>
    </row>
    <row r="22" spans="4:5" ht="15.75" x14ac:dyDescent="0.2">
      <c r="D22" s="53"/>
      <c r="E22" s="666" t="s">
        <v>1141</v>
      </c>
    </row>
    <row r="23" spans="4:5" ht="15.75" x14ac:dyDescent="0.25">
      <c r="D23" s="53"/>
      <c r="E23" s="786"/>
    </row>
    <row r="24" spans="4:5" ht="21" x14ac:dyDescent="0.2">
      <c r="D24" s="53"/>
      <c r="E24" s="787" t="s">
        <v>1091</v>
      </c>
    </row>
    <row r="25" spans="4:5" ht="12.75" x14ac:dyDescent="0.2">
      <c r="D25" s="57"/>
      <c r="E25" s="788" t="s">
        <v>13</v>
      </c>
    </row>
    <row r="26" spans="4:5" ht="15.75" x14ac:dyDescent="0.2">
      <c r="D26" s="53"/>
      <c r="E26" s="666" t="s">
        <v>1092</v>
      </c>
    </row>
    <row r="27" spans="4:5" ht="15.75" x14ac:dyDescent="0.25">
      <c r="D27" s="53"/>
      <c r="E27" s="786"/>
    </row>
    <row r="28" spans="4:5" ht="21" x14ac:dyDescent="0.2">
      <c r="D28" s="53"/>
      <c r="E28" s="787" t="s">
        <v>3</v>
      </c>
    </row>
    <row r="29" spans="4:5" ht="12.75" x14ac:dyDescent="0.2">
      <c r="D29" s="57"/>
      <c r="E29" s="788" t="s">
        <v>4</v>
      </c>
    </row>
    <row r="30" spans="4:5" ht="25.5" x14ac:dyDescent="0.2">
      <c r="D30" s="53"/>
      <c r="E30" s="666" t="s">
        <v>5</v>
      </c>
    </row>
    <row r="31" spans="4:5" ht="15.75" x14ac:dyDescent="0.2">
      <c r="D31" s="53"/>
      <c r="E31" s="975" t="s">
        <v>6</v>
      </c>
    </row>
    <row r="32" spans="4:5" ht="51" x14ac:dyDescent="0.2">
      <c r="D32" s="53"/>
      <c r="E32" s="975" t="s">
        <v>7</v>
      </c>
    </row>
    <row r="33" spans="4:5" ht="15.75" x14ac:dyDescent="0.2">
      <c r="D33" s="53"/>
      <c r="E33" s="975" t="s">
        <v>8</v>
      </c>
    </row>
    <row r="34" spans="4:5" ht="15.75" x14ac:dyDescent="0.2">
      <c r="D34" s="53"/>
      <c r="E34" s="975" t="s">
        <v>9</v>
      </c>
    </row>
    <row r="35" spans="4:5" ht="15.75" x14ac:dyDescent="0.2">
      <c r="D35" s="53"/>
      <c r="E35" s="975" t="s">
        <v>10</v>
      </c>
    </row>
    <row r="36" spans="4:5" ht="63.75" x14ac:dyDescent="0.2">
      <c r="D36" s="53"/>
      <c r="E36" s="975" t="s">
        <v>11</v>
      </c>
    </row>
    <row r="37" spans="4:5" ht="15.75" x14ac:dyDescent="0.25">
      <c r="D37" s="53"/>
      <c r="E37" s="786"/>
    </row>
    <row r="38" spans="4:5" ht="21" x14ac:dyDescent="0.2">
      <c r="D38" s="53"/>
      <c r="E38" s="787" t="s">
        <v>12</v>
      </c>
    </row>
    <row r="39" spans="4:5" ht="12.75" x14ac:dyDescent="0.2">
      <c r="D39" s="57"/>
      <c r="E39" s="788" t="s">
        <v>13</v>
      </c>
    </row>
    <row r="40" spans="4:5" ht="51" x14ac:dyDescent="0.2">
      <c r="D40" s="53"/>
      <c r="E40" s="666" t="s">
        <v>14</v>
      </c>
    </row>
    <row r="41" spans="4:5" ht="15.75" x14ac:dyDescent="0.2">
      <c r="D41" s="53"/>
      <c r="E41" s="666" t="s">
        <v>15</v>
      </c>
    </row>
    <row r="42" spans="4:5" ht="15.75" x14ac:dyDescent="0.2">
      <c r="D42" s="53"/>
      <c r="E42" s="666" t="s">
        <v>16</v>
      </c>
    </row>
    <row r="43" spans="4:5" ht="15.75" x14ac:dyDescent="0.2">
      <c r="D43" s="53"/>
      <c r="E43" s="666" t="s">
        <v>17</v>
      </c>
    </row>
    <row r="44" spans="4:5" ht="15.75" x14ac:dyDescent="0.25">
      <c r="D44" s="53"/>
      <c r="E44" s="786"/>
    </row>
    <row r="45" spans="4:5" ht="21" x14ac:dyDescent="0.2">
      <c r="D45" s="53"/>
      <c r="E45" s="787" t="s">
        <v>18</v>
      </c>
    </row>
    <row r="46" spans="4:5" ht="12.75" x14ac:dyDescent="0.2">
      <c r="D46" s="57"/>
      <c r="E46" s="788" t="s">
        <v>19</v>
      </c>
    </row>
    <row r="47" spans="4:5" ht="15.75" x14ac:dyDescent="0.2">
      <c r="D47" s="53"/>
      <c r="E47" s="806" t="s">
        <v>20</v>
      </c>
    </row>
    <row r="48" spans="4:5" ht="15.75" x14ac:dyDescent="0.2">
      <c r="D48" s="56"/>
      <c r="E48" s="803"/>
    </row>
    <row r="49" spans="4:5" ht="21" x14ac:dyDescent="0.2">
      <c r="D49" s="57"/>
      <c r="E49" s="787" t="s">
        <v>21</v>
      </c>
    </row>
    <row r="50" spans="4:5" ht="38.25" x14ac:dyDescent="0.2">
      <c r="D50" s="56"/>
      <c r="E50" s="665" t="s">
        <v>22</v>
      </c>
    </row>
  </sheetData>
  <sheetProtection algorithmName="SHA-512" hashValue="vMnNq2ivTltNH+1wWKU8Sk35jFgW45i5OQH/eu+R9UQW/S+6Q3L5I8oUZCX1a6FkiSWdWcWpNM1MD1xdOMcs8A==" saltValue="TViTOCITjT3Pq5LeGo2DRg==" spinCount="100000" sheet="1" objects="1" scenarios="1" formatColumns="0" selectLockedCells="1" autoFilter="0" selectUnlockedCells="1"/>
  <phoneticPr fontId="0" type="noConversion"/>
  <hyperlinks>
    <hyperlink ref="E10" r:id="rId1" tooltip="Naar de website van ECW" display="&gt;&gt; Website Expertisecentrum Warmte (https://www.expertisecentrumwarmte.nl/) " xr:uid="{00000000-0004-0000-0000-000002000000}"/>
    <hyperlink ref="E11" r:id="rId2" tooltip="Naar de website van UMGO" xr:uid="{00000000-0004-0000-0000-000003000000}"/>
    <hyperlink ref="E47" location="'wijzigingen 5.0'!A1" tooltip="naar tabblad met wijzigingen in UMGO 5.0 t.o.v. UMGO 4.3.2" display="&gt;&gt; Zie apart tabblad 'wijzigingen 5.0'" xr:uid="{CA896F1B-4477-4650-A3A3-C0E94D7D3815}"/>
  </hyperlinks>
  <pageMargins left="0.74803149606299213" right="0.74803149606299213" top="0.39370078740157483" bottom="0.39370078740157483" header="0.51181102362204722" footer="0.51181102362204722"/>
  <pageSetup paperSize="9" fitToHeight="2"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8" filterMode="1">
    <tabColor theme="6" tint="-0.249977111117893"/>
    <pageSetUpPr fitToPage="1"/>
  </sheetPr>
  <dimension ref="A1:BG248"/>
  <sheetViews>
    <sheetView showGridLines="0" showRowColHeaders="0" zoomScaleNormal="100" workbookViewId="0">
      <pane xSplit="11" ySplit="14" topLeftCell="L15" activePane="bottomRight" state="frozen"/>
      <selection pane="topRight" activeCell="L1" sqref="L1"/>
      <selection pane="bottomLeft" activeCell="A15" sqref="A15"/>
      <selection pane="bottomRight" activeCell="F6" sqref="F6:G6"/>
    </sheetView>
  </sheetViews>
  <sheetFormatPr defaultColWidth="12.7109375" defaultRowHeight="15.75" x14ac:dyDescent="0.2"/>
  <cols>
    <col min="1" max="1" width="0.5703125" style="1001" customWidth="1"/>
    <col min="2" max="2" width="2.7109375" style="794" customWidth="1"/>
    <col min="3" max="3" width="2.7109375" style="61" customWidth="1"/>
    <col min="4" max="4" width="2.7109375" customWidth="1"/>
    <col min="5" max="6" width="31" customWidth="1"/>
    <col min="7" max="7" width="21.85546875" customWidth="1"/>
    <col min="8" max="8" width="0.85546875" customWidth="1"/>
    <col min="9" max="11" width="26.85546875" hidden="1" customWidth="1"/>
    <col min="12" max="12" width="0.85546875" customWidth="1"/>
    <col min="13" max="18" width="18.7109375" customWidth="1"/>
    <col min="19" max="19" width="1.28515625" customWidth="1"/>
  </cols>
  <sheetData>
    <row r="1" spans="1:34" s="647" customFormat="1" ht="21" x14ac:dyDescent="0.2">
      <c r="A1" s="993" t="s">
        <v>89</v>
      </c>
      <c r="B1" s="826"/>
      <c r="C1" s="826"/>
      <c r="D1" s="827"/>
      <c r="E1" s="829" t="str">
        <f>disclaimer!$E$7&amp;" - "&amp;"versie "&amp;TEXT(disclaimer!$E$8,"d mmm jjjj")</f>
        <v>Uniforme Maatlat Gebouwde Omgeving 5.04 - versie 5 apr 2023</v>
      </c>
      <c r="F1" s="830"/>
      <c r="G1" s="830"/>
      <c r="H1" s="829"/>
      <c r="I1" s="830"/>
      <c r="J1" s="828"/>
      <c r="K1" s="831"/>
      <c r="L1" s="831"/>
      <c r="M1" s="831"/>
      <c r="N1" s="831"/>
      <c r="O1" s="835"/>
      <c r="P1" s="831"/>
      <c r="Q1" s="831"/>
      <c r="R1" s="831"/>
      <c r="S1" s="831"/>
      <c r="T1" s="831"/>
      <c r="U1" s="831"/>
      <c r="V1" s="831"/>
      <c r="W1" s="831"/>
      <c r="X1" s="831"/>
      <c r="Y1" s="831"/>
      <c r="Z1" s="831"/>
      <c r="AA1" s="835"/>
      <c r="AB1" s="831"/>
      <c r="AC1" s="831"/>
      <c r="AD1" s="831"/>
      <c r="AE1" s="831"/>
      <c r="AF1" s="831"/>
      <c r="AG1" s="831"/>
      <c r="AH1" s="831"/>
    </row>
    <row r="2" spans="1:34" ht="23.25" x14ac:dyDescent="0.2">
      <c r="A2" s="994" t="s">
        <v>89</v>
      </c>
      <c r="B2" s="62"/>
      <c r="C2" s="672"/>
      <c r="D2" s="63"/>
      <c r="E2" s="59" t="s">
        <v>365</v>
      </c>
      <c r="G2" s="746"/>
      <c r="H2" s="60"/>
      <c r="I2" s="77"/>
      <c r="J2" s="77"/>
      <c r="K2" s="77"/>
      <c r="L2" s="60"/>
      <c r="M2" s="4"/>
      <c r="N2" s="11"/>
      <c r="O2" s="4"/>
      <c r="P2" s="9"/>
      <c r="Q2" s="9"/>
      <c r="R2" s="9"/>
      <c r="S2" s="4"/>
      <c r="T2" s="4"/>
    </row>
    <row r="3" spans="1:34" ht="15.75" customHeight="1" x14ac:dyDescent="0.2">
      <c r="A3" s="994" t="s">
        <v>89</v>
      </c>
      <c r="B3" s="792"/>
      <c r="C3" s="673"/>
      <c r="D3" s="64"/>
      <c r="E3" s="1068" t="str">
        <f>"project: "&amp;IF('woningen|utiliteit'!$F$3="","",'woningen|utiliteit'!$F$3)</f>
        <v xml:space="preserve">project: </v>
      </c>
      <c r="F3" s="1069"/>
      <c r="G3" s="1080"/>
      <c r="H3" s="5"/>
      <c r="I3" s="71"/>
      <c r="J3" s="71"/>
      <c r="K3" s="71"/>
      <c r="L3" s="5"/>
      <c r="M3" s="5"/>
      <c r="N3" s="16"/>
      <c r="O3" s="5"/>
      <c r="P3" s="16"/>
      <c r="Q3" s="16"/>
      <c r="R3" s="16"/>
      <c r="S3" s="16"/>
    </row>
    <row r="4" spans="1:34" ht="15.75" customHeight="1" x14ac:dyDescent="0.2">
      <c r="A4" s="994" t="s">
        <v>89</v>
      </c>
      <c r="B4" s="792"/>
      <c r="C4" s="674"/>
      <c r="D4" s="64"/>
      <c r="E4" s="865" t="s">
        <v>54</v>
      </c>
      <c r="F4" s="1073" t="str">
        <f>IF('woningen|utiliteit'!$F$4="","",'woningen|utiliteit'!$F$4)</f>
        <v/>
      </c>
      <c r="G4" s="1074"/>
      <c r="H4" s="4"/>
      <c r="I4" s="71"/>
      <c r="J4" s="71"/>
      <c r="K4" s="71"/>
      <c r="L4" s="4"/>
      <c r="M4" s="4"/>
      <c r="N4" s="9"/>
      <c r="O4" s="4"/>
      <c r="P4" s="9"/>
      <c r="Q4" s="9"/>
      <c r="R4" s="9"/>
      <c r="S4" s="9"/>
      <c r="T4" s="4"/>
    </row>
    <row r="5" spans="1:34" ht="15.75" customHeight="1" x14ac:dyDescent="0.2">
      <c r="A5" s="994" t="s">
        <v>89</v>
      </c>
      <c r="B5" s="1079" t="s">
        <v>53</v>
      </c>
      <c r="C5" s="674"/>
      <c r="D5" s="747" t="s">
        <v>50</v>
      </c>
      <c r="E5" s="872" t="s">
        <v>366</v>
      </c>
      <c r="F5" s="1077" t="s">
        <v>367</v>
      </c>
      <c r="G5" s="1078"/>
      <c r="H5" s="4"/>
      <c r="I5" s="71"/>
      <c r="J5" s="71"/>
      <c r="K5" s="71"/>
      <c r="L5" s="4"/>
      <c r="M5" s="4"/>
      <c r="N5" s="9"/>
      <c r="O5" s="4"/>
      <c r="P5" s="9"/>
      <c r="Q5" s="9"/>
      <c r="R5" s="9"/>
      <c r="S5" s="9"/>
      <c r="T5" s="4"/>
    </row>
    <row r="6" spans="1:34" ht="15.75" customHeight="1" x14ac:dyDescent="0.2">
      <c r="A6" s="994" t="s">
        <v>89</v>
      </c>
      <c r="B6" s="1079"/>
      <c r="C6" s="674"/>
      <c r="D6" s="747"/>
      <c r="E6" s="866" t="s">
        <v>55</v>
      </c>
      <c r="F6" s="1075"/>
      <c r="G6" s="1076"/>
      <c r="H6" s="4"/>
      <c r="I6" s="71"/>
      <c r="J6" s="71"/>
      <c r="K6" s="71"/>
      <c r="L6" s="4"/>
      <c r="M6" s="4"/>
      <c r="N6" s="4"/>
      <c r="O6" s="4"/>
      <c r="P6" s="9"/>
      <c r="Q6" s="9"/>
      <c r="R6" s="9"/>
      <c r="S6" s="9"/>
      <c r="T6" s="4"/>
    </row>
    <row r="7" spans="1:34" s="1007" customFormat="1" x14ac:dyDescent="0.2">
      <c r="A7" s="1002" t="s">
        <v>89</v>
      </c>
      <c r="B7" s="1079"/>
      <c r="C7" s="1003"/>
      <c r="D7" s="1004"/>
      <c r="E7" s="1005"/>
      <c r="F7" s="1005"/>
      <c r="G7" s="1005"/>
      <c r="H7" s="1005"/>
      <c r="I7" s="1006"/>
      <c r="J7" s="1006"/>
      <c r="K7" s="1006"/>
      <c r="L7" s="1005"/>
      <c r="N7" s="1005"/>
      <c r="O7" s="1005"/>
      <c r="P7" s="1005"/>
      <c r="Q7" s="1005"/>
      <c r="R7" s="1005"/>
      <c r="S7" s="1008"/>
      <c r="T7" s="1008"/>
    </row>
    <row r="8" spans="1:34" ht="21" x14ac:dyDescent="0.2">
      <c r="A8" s="996" t="s">
        <v>89</v>
      </c>
      <c r="B8" s="793"/>
      <c r="C8" s="675"/>
      <c r="D8" s="754" t="s">
        <v>50</v>
      </c>
      <c r="E8" s="652"/>
      <c r="F8" s="33"/>
      <c r="G8" s="33"/>
      <c r="H8" s="33"/>
      <c r="I8" s="81" t="s">
        <v>368</v>
      </c>
      <c r="J8" s="78"/>
      <c r="K8" s="78"/>
      <c r="L8" s="33"/>
      <c r="M8" s="873" t="s">
        <v>367</v>
      </c>
      <c r="N8" s="873" t="s">
        <v>369</v>
      </c>
      <c r="O8" s="873" t="s">
        <v>370</v>
      </c>
      <c r="P8" s="873" t="s">
        <v>371</v>
      </c>
      <c r="Q8" s="873" t="s">
        <v>372</v>
      </c>
      <c r="R8" s="873" t="s">
        <v>373</v>
      </c>
      <c r="S8" s="4"/>
      <c r="T8" s="4"/>
    </row>
    <row r="9" spans="1:34" s="682" customFormat="1" ht="5.25" hidden="1" x14ac:dyDescent="0.2">
      <c r="A9" s="995" t="s">
        <v>89</v>
      </c>
      <c r="B9" s="807"/>
      <c r="C9" s="755"/>
      <c r="D9" s="679"/>
      <c r="E9" s="680"/>
      <c r="F9" s="680"/>
      <c r="G9" s="680"/>
      <c r="H9" s="680"/>
      <c r="I9" s="646"/>
      <c r="J9" s="646"/>
      <c r="K9" s="646"/>
      <c r="L9" s="680"/>
      <c r="M9" s="680"/>
      <c r="N9" s="680"/>
      <c r="O9" s="680"/>
      <c r="P9" s="680"/>
      <c r="Q9" s="680"/>
      <c r="R9" s="680"/>
      <c r="S9" s="679"/>
      <c r="T9" s="679"/>
    </row>
    <row r="10" spans="1:34" ht="21" x14ac:dyDescent="0.2">
      <c r="A10" s="994" t="s">
        <v>89</v>
      </c>
      <c r="B10" s="808" t="s">
        <v>374</v>
      </c>
      <c r="C10" s="676"/>
      <c r="D10" s="66"/>
      <c r="E10" s="215" t="s">
        <v>375</v>
      </c>
      <c r="F10" s="215"/>
      <c r="G10" s="215"/>
      <c r="H10" s="4"/>
      <c r="I10" s="626"/>
      <c r="J10" s="626"/>
      <c r="K10" s="626"/>
      <c r="M10" s="641"/>
      <c r="N10" s="641"/>
      <c r="O10" s="641"/>
      <c r="P10" s="641"/>
      <c r="Q10" s="641"/>
      <c r="R10" s="641"/>
      <c r="T10" s="4"/>
    </row>
    <row r="11" spans="1:34" ht="14.25" x14ac:dyDescent="0.2">
      <c r="A11" s="994" t="s">
        <v>89</v>
      </c>
      <c r="B11" s="808" t="s">
        <v>374</v>
      </c>
      <c r="C11" s="676"/>
      <c r="D11" s="66"/>
      <c r="E11" s="182" t="s">
        <v>92</v>
      </c>
      <c r="F11" s="182"/>
      <c r="G11" s="182" t="s">
        <v>70</v>
      </c>
      <c r="H11" s="82"/>
      <c r="I11" s="627">
        <f>'variant 1'!$H$3</f>
        <v>0</v>
      </c>
      <c r="J11" s="627">
        <f ca="1">ROW(INDIRECT(RIGHT((_xlfn.FORMULATEXT($I11)),LEN(_xlfn.FORMULATEXT($I11))-1)))</f>
        <v>3</v>
      </c>
      <c r="K11" s="627">
        <f ca="1">COLUMN(INDIRECT(RIGHT((_xlfn.FORMULATEXT($I11)),LEN(_xlfn.FORMULATEXT($I11))-1)))</f>
        <v>8</v>
      </c>
      <c r="L11" s="82"/>
      <c r="M11" s="185">
        <f t="shared" ref="M11:R11" ca="1" si="0">_xlfn.SINGLE(IFERROR(_xlfn.SINGLE(INDIRECT(ADDRESS($J11,$K11,,,M$8))),""))</f>
        <v>0</v>
      </c>
      <c r="N11" s="185">
        <f t="shared" ca="1" si="0"/>
        <v>0</v>
      </c>
      <c r="O11" s="185">
        <f t="shared" ca="1" si="0"/>
        <v>0</v>
      </c>
      <c r="P11" s="185">
        <f t="shared" ca="1" si="0"/>
        <v>0</v>
      </c>
      <c r="Q11" s="185">
        <f t="shared" ca="1" si="0"/>
        <v>0</v>
      </c>
      <c r="R11" s="185">
        <f t="shared" ca="1" si="0"/>
        <v>0</v>
      </c>
      <c r="S11" s="5"/>
      <c r="T11" s="5"/>
    </row>
    <row r="12" spans="1:34" ht="14.25" x14ac:dyDescent="0.2">
      <c r="A12" s="994" t="s">
        <v>89</v>
      </c>
      <c r="B12" s="808" t="s">
        <v>374</v>
      </c>
      <c r="C12" s="676"/>
      <c r="D12" s="66"/>
      <c r="E12" s="220" t="s">
        <v>376</v>
      </c>
      <c r="F12" s="220"/>
      <c r="G12" s="220" t="s">
        <v>70</v>
      </c>
      <c r="H12" s="33"/>
      <c r="I12" s="627" t="str">
        <f>'variant 1'!$F$5</f>
        <v>NTA8800</v>
      </c>
      <c r="J12" s="627">
        <f t="shared" ref="J12:J28" ca="1" si="1">ROW(INDIRECT(RIGHT((_xlfn.FORMULATEXT($I12)),LEN(_xlfn.FORMULATEXT($I12))-1)))</f>
        <v>5</v>
      </c>
      <c r="K12" s="627">
        <f t="shared" ref="K12:K28" ca="1" si="2">COLUMN(INDIRECT(RIGHT((_xlfn.FORMULATEXT($I12)),LEN(_xlfn.FORMULATEXT($I12))-1)))</f>
        <v>6</v>
      </c>
      <c r="L12" s="33"/>
      <c r="M12" s="628" t="str">
        <f t="shared" ref="M12:R12" ca="1" si="3">IFERROR(INDIRECT(ADDRESS($J12,$K12,,,M$8)),0)</f>
        <v>NTA8800</v>
      </c>
      <c r="N12" s="628" t="str">
        <f t="shared" ca="1" si="3"/>
        <v>NTA8800</v>
      </c>
      <c r="O12" s="628" t="str">
        <f t="shared" ca="1" si="3"/>
        <v>NTA8800</v>
      </c>
      <c r="P12" s="628" t="str">
        <f t="shared" ca="1" si="3"/>
        <v>NTA8800</v>
      </c>
      <c r="Q12" s="628" t="str">
        <f t="shared" ca="1" si="3"/>
        <v>NTA8800</v>
      </c>
      <c r="R12" s="628" t="str">
        <f t="shared" ca="1" si="3"/>
        <v>NTA8800</v>
      </c>
      <c r="S12" s="6"/>
      <c r="T12" s="4"/>
    </row>
    <row r="13" spans="1:34" ht="14.25" x14ac:dyDescent="0.2">
      <c r="A13" s="994" t="s">
        <v>89</v>
      </c>
      <c r="B13" s="808" t="s">
        <v>374</v>
      </c>
      <c r="C13" s="676"/>
      <c r="D13" s="66"/>
      <c r="E13" s="220" t="s">
        <v>283</v>
      </c>
      <c r="F13" s="220"/>
      <c r="G13" s="220" t="s">
        <v>70</v>
      </c>
      <c r="H13" s="33"/>
      <c r="I13" s="631" t="e">
        <f>'variant 1'!#REF!</f>
        <v>#REF!</v>
      </c>
      <c r="J13" s="627" t="e">
        <f t="shared" ca="1" si="1"/>
        <v>#REF!</v>
      </c>
      <c r="K13" s="627" t="e">
        <f t="shared" ca="1" si="2"/>
        <v>#REF!</v>
      </c>
      <c r="L13" s="33"/>
      <c r="M13" s="628" cm="1">
        <f t="array" aca="1" ref="M13" ca="1">_xlfn.SINGLE(IFERROR(INDIRECT(ADDRESS($J13,$K13,,,M$8)),0))</f>
        <v>0</v>
      </c>
      <c r="N13" s="628" cm="1">
        <f t="array" aca="1" ref="N13" ca="1">_xlfn.SINGLE(IFERROR(INDIRECT(ADDRESS($J13,$K13,,,N$8)),0))</f>
        <v>0</v>
      </c>
      <c r="O13" s="628" cm="1">
        <f t="array" aca="1" ref="O13" ca="1">_xlfn.SINGLE(IFERROR(INDIRECT(ADDRESS($J13,$K13,,,O$8)),0))</f>
        <v>0</v>
      </c>
      <c r="P13" s="628" cm="1">
        <f t="array" aca="1" ref="P13" ca="1">_xlfn.SINGLE(IFERROR(INDIRECT(ADDRESS($J13,$K13,,,P$8)),0))</f>
        <v>0</v>
      </c>
      <c r="Q13" s="628" cm="1">
        <f t="array" aca="1" ref="Q13" ca="1">_xlfn.SINGLE(IFERROR(INDIRECT(ADDRESS($J13,$K13,,,Q$8)),0))</f>
        <v>0</v>
      </c>
      <c r="R13" s="628" cm="1">
        <f t="array" aca="1" ref="R13" ca="1">_xlfn.SINGLE(IFERROR(INDIRECT(ADDRESS($J13,$K13,,,R$8)),0))</f>
        <v>0</v>
      </c>
      <c r="S13" s="6"/>
      <c r="T13" s="4"/>
    </row>
    <row r="14" spans="1:34" ht="14.25" x14ac:dyDescent="0.2">
      <c r="A14" s="994" t="s">
        <v>89</v>
      </c>
      <c r="B14" s="808" t="s">
        <v>374</v>
      </c>
      <c r="C14" s="676"/>
      <c r="D14" s="66"/>
      <c r="E14" s="220" t="s">
        <v>377</v>
      </c>
      <c r="F14" s="220"/>
      <c r="G14" s="220" t="s">
        <v>70</v>
      </c>
      <c r="H14" s="33"/>
      <c r="I14" s="631" t="str">
        <f>'variant 1'!F2</f>
        <v/>
      </c>
      <c r="J14" s="627">
        <f t="shared" ca="1" si="1"/>
        <v>2</v>
      </c>
      <c r="K14" s="627">
        <f t="shared" ca="1" si="2"/>
        <v>6</v>
      </c>
      <c r="L14" s="33"/>
      <c r="M14" s="628" t="str" cm="1">
        <f t="array" aca="1" ref="M14" ca="1">IF(M8="","",IFERROR(IF(INDIRECT(ADDRESS($J14,$K14,,,M$8))="","ja","nee"),"nee"))</f>
        <v>ja</v>
      </c>
      <c r="N14" s="628" t="str" cm="1">
        <f t="array" aca="1" ref="N14" ca="1">IF(N8="","",IFERROR(IF(INDIRECT(ADDRESS($J14,$K14,,,N$8))="","ja","nee"),"nee"))</f>
        <v>ja</v>
      </c>
      <c r="O14" s="628" t="str" cm="1">
        <f t="array" aca="1" ref="O14" ca="1">IF(O8="","",IFERROR(IF(INDIRECT(ADDRESS($J14,$K14,,,O$8))="","ja","nee"),"nee"))</f>
        <v>ja</v>
      </c>
      <c r="P14" s="628" t="str" cm="1">
        <f t="array" aca="1" ref="P14" ca="1">IF(P8="","",IFERROR(IF(INDIRECT(ADDRESS($J14,$K14,,,P$8))="","ja","nee"),"nee"))</f>
        <v>ja</v>
      </c>
      <c r="Q14" s="628" t="str" cm="1">
        <f t="array" aca="1" ref="Q14" ca="1">IF(Q8="","",IFERROR(IF(INDIRECT(ADDRESS($J14,$K14,,,Q$8))="","ja","nee"),"nee"))</f>
        <v>ja</v>
      </c>
      <c r="R14" s="628" t="str" cm="1">
        <f t="array" aca="1" ref="R14" ca="1">IF(R8="","",IFERROR(IF(INDIRECT(ADDRESS($J14,$K14,,,R$8))="","ja","nee"),"nee"))</f>
        <v>ja</v>
      </c>
      <c r="S14" s="6"/>
      <c r="T14" s="4"/>
    </row>
    <row r="15" spans="1:34" s="992" customFormat="1" ht="5.25" x14ac:dyDescent="0.2">
      <c r="A15" s="997" t="s">
        <v>89</v>
      </c>
      <c r="B15" s="988" t="s">
        <v>374</v>
      </c>
      <c r="C15" s="989"/>
      <c r="D15" s="990"/>
      <c r="E15" s="991"/>
      <c r="F15" s="991"/>
      <c r="G15" s="991"/>
      <c r="H15" s="991"/>
      <c r="I15" s="1018"/>
      <c r="J15" s="1019"/>
      <c r="K15" s="1019"/>
      <c r="L15" s="991"/>
      <c r="M15" s="991"/>
      <c r="N15" s="991"/>
      <c r="O15" s="991"/>
      <c r="P15" s="991"/>
      <c r="Q15" s="991"/>
      <c r="R15" s="991"/>
      <c r="S15" s="990"/>
      <c r="T15" s="990"/>
    </row>
    <row r="16" spans="1:34" s="992" customFormat="1" ht="5.25" hidden="1" x14ac:dyDescent="0.2">
      <c r="A16" s="997"/>
      <c r="B16" s="988"/>
      <c r="C16" s="989"/>
      <c r="D16" s="990"/>
      <c r="E16" s="991"/>
      <c r="F16" s="991"/>
      <c r="G16" s="991"/>
      <c r="H16" s="991"/>
      <c r="I16" s="1018"/>
      <c r="J16" s="1019"/>
      <c r="K16" s="1019"/>
      <c r="L16" s="991"/>
      <c r="M16" s="991"/>
      <c r="N16" s="991"/>
      <c r="O16" s="991"/>
      <c r="P16" s="991"/>
      <c r="Q16" s="991"/>
      <c r="R16" s="991"/>
      <c r="S16" s="990"/>
      <c r="T16" s="990"/>
    </row>
    <row r="17" spans="1:20" ht="21" hidden="1" x14ac:dyDescent="0.2">
      <c r="A17" s="994" t="s">
        <v>89</v>
      </c>
      <c r="B17" s="808" t="s">
        <v>378</v>
      </c>
      <c r="C17" s="676"/>
      <c r="D17" s="66"/>
      <c r="E17" s="215" t="s">
        <v>379</v>
      </c>
      <c r="F17" s="215"/>
      <c r="G17" s="215"/>
      <c r="H17" s="4"/>
      <c r="I17" s="626"/>
      <c r="J17" s="626"/>
      <c r="K17" s="626"/>
      <c r="L17" s="33"/>
      <c r="M17" s="641"/>
      <c r="N17" s="641"/>
      <c r="O17" s="641"/>
      <c r="P17" s="641"/>
      <c r="Q17" s="641"/>
      <c r="R17" s="641"/>
      <c r="S17" s="4"/>
      <c r="T17" s="4"/>
    </row>
    <row r="18" spans="1:20" ht="14.25" hidden="1" x14ac:dyDescent="0.2">
      <c r="A18" s="994" t="s">
        <v>89</v>
      </c>
      <c r="B18" s="808" t="s">
        <v>378</v>
      </c>
      <c r="C18" s="676"/>
      <c r="D18" s="66"/>
      <c r="E18" s="630" t="str">
        <f>"locatie 1"&amp;IF('woningen|utiliteit'!$L$17="","",": "&amp;'woningen|utiliteit'!$L$17)</f>
        <v>locatie 1</v>
      </c>
      <c r="F18" s="182"/>
      <c r="G18" s="182" t="s">
        <v>70</v>
      </c>
      <c r="H18" s="82"/>
      <c r="I18" s="631">
        <f>'variant 1'!$M$24</f>
        <v>0</v>
      </c>
      <c r="J18" s="627">
        <f t="shared" ca="1" si="1"/>
        <v>24</v>
      </c>
      <c r="K18" s="627">
        <f t="shared" ca="1" si="2"/>
        <v>13</v>
      </c>
      <c r="L18" s="82"/>
      <c r="M18" s="185">
        <f t="shared" ref="M18:R21" ca="1" si="4">IFERROR(INDIRECT(ADDRESS($J18,$K18,,,M$8)),0)</f>
        <v>0</v>
      </c>
      <c r="N18" s="185">
        <f t="shared" ca="1" si="4"/>
        <v>0</v>
      </c>
      <c r="O18" s="185">
        <f t="shared" ca="1" si="4"/>
        <v>0</v>
      </c>
      <c r="P18" s="185">
        <f t="shared" ca="1" si="4"/>
        <v>0</v>
      </c>
      <c r="Q18" s="185">
        <f t="shared" ca="1" si="4"/>
        <v>0</v>
      </c>
      <c r="R18" s="185">
        <f t="shared" ca="1" si="4"/>
        <v>0</v>
      </c>
      <c r="S18" s="5"/>
      <c r="T18" s="5"/>
    </row>
    <row r="19" spans="1:20" ht="14.25" hidden="1" x14ac:dyDescent="0.2">
      <c r="A19" s="994" t="s">
        <v>89</v>
      </c>
      <c r="B19" s="808" t="s">
        <v>378</v>
      </c>
      <c r="C19" s="676"/>
      <c r="D19" s="66"/>
      <c r="E19" s="630" t="str">
        <f>"locatie 2"&amp;IF('woningen|utiliteit'!$L$31="","",": "&amp;'woningen|utiliteit'!$L$31)</f>
        <v>locatie 2</v>
      </c>
      <c r="F19" s="182"/>
      <c r="G19" s="182" t="s">
        <v>70</v>
      </c>
      <c r="H19" s="82"/>
      <c r="I19" s="631">
        <f>'variant 1'!$Y$24</f>
        <v>0</v>
      </c>
      <c r="J19" s="627">
        <f t="shared" ca="1" si="1"/>
        <v>24</v>
      </c>
      <c r="K19" s="627">
        <f t="shared" ca="1" si="2"/>
        <v>25</v>
      </c>
      <c r="L19" s="82"/>
      <c r="M19" s="185">
        <f t="shared" ca="1" si="4"/>
        <v>0</v>
      </c>
      <c r="N19" s="185">
        <f t="shared" ca="1" si="4"/>
        <v>0</v>
      </c>
      <c r="O19" s="185">
        <f t="shared" ca="1" si="4"/>
        <v>0</v>
      </c>
      <c r="P19" s="185">
        <f t="shared" ca="1" si="4"/>
        <v>0</v>
      </c>
      <c r="Q19" s="185">
        <f t="shared" ca="1" si="4"/>
        <v>0</v>
      </c>
      <c r="R19" s="185">
        <f t="shared" ca="1" si="4"/>
        <v>0</v>
      </c>
      <c r="S19" s="5"/>
      <c r="T19" s="5"/>
    </row>
    <row r="20" spans="1:20" ht="14.25" hidden="1" x14ac:dyDescent="0.2">
      <c r="A20" s="994" t="s">
        <v>89</v>
      </c>
      <c r="B20" s="808" t="s">
        <v>378</v>
      </c>
      <c r="C20" s="676"/>
      <c r="D20" s="66"/>
      <c r="E20" s="630" t="str">
        <f>"locatie 3"&amp;IF('woningen|utiliteit'!$L$45="","",": "&amp;'woningen|utiliteit'!$L$45)</f>
        <v>locatie 3</v>
      </c>
      <c r="F20" s="182"/>
      <c r="G20" s="182" t="s">
        <v>70</v>
      </c>
      <c r="H20" s="82"/>
      <c r="I20" s="631">
        <f>'variant 1'!$AK$24</f>
        <v>0</v>
      </c>
      <c r="J20" s="627">
        <f t="shared" ca="1" si="1"/>
        <v>24</v>
      </c>
      <c r="K20" s="627">
        <f t="shared" ca="1" si="2"/>
        <v>37</v>
      </c>
      <c r="L20" s="82"/>
      <c r="M20" s="185">
        <f t="shared" ca="1" si="4"/>
        <v>0</v>
      </c>
      <c r="N20" s="185">
        <f t="shared" ca="1" si="4"/>
        <v>0</v>
      </c>
      <c r="O20" s="185">
        <f t="shared" ca="1" si="4"/>
        <v>0</v>
      </c>
      <c r="P20" s="185">
        <f t="shared" ca="1" si="4"/>
        <v>0</v>
      </c>
      <c r="Q20" s="185">
        <f t="shared" ca="1" si="4"/>
        <v>0</v>
      </c>
      <c r="R20" s="185">
        <f t="shared" ca="1" si="4"/>
        <v>0</v>
      </c>
      <c r="S20" s="5"/>
      <c r="T20" s="5"/>
    </row>
    <row r="21" spans="1:20" ht="14.25" hidden="1" x14ac:dyDescent="0.2">
      <c r="A21" s="994" t="s">
        <v>89</v>
      </c>
      <c r="B21" s="808" t="s">
        <v>378</v>
      </c>
      <c r="C21" s="676"/>
      <c r="D21" s="66"/>
      <c r="E21" s="630" t="str">
        <f>"locatie 4"&amp;IF('woningen|utiliteit'!$L$59="","",": "&amp;'woningen|utiliteit'!$L$59)</f>
        <v>locatie 4</v>
      </c>
      <c r="F21" s="182"/>
      <c r="G21" s="182" t="s">
        <v>70</v>
      </c>
      <c r="H21" s="82"/>
      <c r="I21" s="631">
        <f>'variant 1'!$AW$24</f>
        <v>0</v>
      </c>
      <c r="J21" s="627">
        <f t="shared" ca="1" si="1"/>
        <v>24</v>
      </c>
      <c r="K21" s="627">
        <f t="shared" ca="1" si="2"/>
        <v>49</v>
      </c>
      <c r="L21" s="82"/>
      <c r="M21" s="185">
        <f t="shared" ca="1" si="4"/>
        <v>0</v>
      </c>
      <c r="N21" s="185">
        <f t="shared" ca="1" si="4"/>
        <v>0</v>
      </c>
      <c r="O21" s="185">
        <f t="shared" ca="1" si="4"/>
        <v>0</v>
      </c>
      <c r="P21" s="185">
        <f t="shared" ca="1" si="4"/>
        <v>0</v>
      </c>
      <c r="Q21" s="185">
        <f t="shared" ca="1" si="4"/>
        <v>0</v>
      </c>
      <c r="R21" s="185">
        <f t="shared" ca="1" si="4"/>
        <v>0</v>
      </c>
      <c r="S21" s="5"/>
      <c r="T21" s="5"/>
    </row>
    <row r="22" spans="1:20" ht="15" hidden="1" x14ac:dyDescent="0.2">
      <c r="A22" s="994" t="s">
        <v>89</v>
      </c>
      <c r="B22" s="808" t="s">
        <v>378</v>
      </c>
      <c r="C22" s="676"/>
      <c r="D22" s="66"/>
      <c r="E22" s="182" t="s">
        <v>258</v>
      </c>
      <c r="F22" s="182"/>
      <c r="G22" s="182" t="s">
        <v>70</v>
      </c>
      <c r="H22" s="82"/>
      <c r="I22" s="631">
        <f>SUM(I18:I21)</f>
        <v>0</v>
      </c>
      <c r="J22" s="78"/>
      <c r="K22" s="78"/>
      <c r="L22" s="82"/>
      <c r="M22" s="223">
        <f t="shared" ref="M22:R22" ca="1" si="5">SUM(M18:M21)</f>
        <v>0</v>
      </c>
      <c r="N22" s="223">
        <f t="shared" ca="1" si="5"/>
        <v>0</v>
      </c>
      <c r="O22" s="223">
        <f t="shared" ca="1" si="5"/>
        <v>0</v>
      </c>
      <c r="P22" s="223">
        <f t="shared" ca="1" si="5"/>
        <v>0</v>
      </c>
      <c r="Q22" s="223">
        <f t="shared" ca="1" si="5"/>
        <v>0</v>
      </c>
      <c r="R22" s="223">
        <f t="shared" ca="1" si="5"/>
        <v>0</v>
      </c>
      <c r="S22" s="5"/>
      <c r="T22" s="5"/>
    </row>
    <row r="23" spans="1:20" ht="15" hidden="1" x14ac:dyDescent="0.2">
      <c r="A23" s="994" t="s">
        <v>89</v>
      </c>
      <c r="B23" s="808" t="s">
        <v>378</v>
      </c>
      <c r="C23" s="9"/>
      <c r="D23" s="757"/>
      <c r="E23" s="33"/>
      <c r="F23" s="33"/>
      <c r="G23" s="33"/>
      <c r="H23" s="33"/>
      <c r="I23" s="81"/>
      <c r="J23" s="78"/>
      <c r="K23" s="78"/>
      <c r="L23" s="33"/>
      <c r="M23" s="33"/>
      <c r="N23" s="33"/>
      <c r="O23" s="33"/>
      <c r="P23" s="33"/>
      <c r="Q23" s="33"/>
      <c r="R23" s="33"/>
      <c r="S23" s="4"/>
      <c r="T23" s="4"/>
    </row>
    <row r="24" spans="1:20" ht="21" hidden="1" x14ac:dyDescent="0.2">
      <c r="A24" s="994" t="s">
        <v>89</v>
      </c>
      <c r="B24" s="808" t="s">
        <v>378</v>
      </c>
      <c r="C24" s="676"/>
      <c r="D24" s="66"/>
      <c r="E24" s="215" t="s">
        <v>380</v>
      </c>
      <c r="F24" s="215"/>
      <c r="G24" s="215"/>
      <c r="H24" s="4"/>
      <c r="I24" s="626"/>
      <c r="J24" s="626"/>
      <c r="K24" s="626"/>
      <c r="L24" s="33"/>
      <c r="M24" s="641"/>
      <c r="N24" s="641"/>
      <c r="O24" s="641"/>
      <c r="P24" s="641"/>
      <c r="Q24" s="641"/>
      <c r="R24" s="641"/>
      <c r="S24" s="4"/>
      <c r="T24" s="4"/>
    </row>
    <row r="25" spans="1:20" ht="14.25" hidden="1" x14ac:dyDescent="0.2">
      <c r="A25" s="994" t="s">
        <v>89</v>
      </c>
      <c r="B25" s="808" t="s">
        <v>378</v>
      </c>
      <c r="C25" s="676"/>
      <c r="D25" s="66"/>
      <c r="E25" s="630" t="str">
        <f>"locatie 1"&amp;IF('woningen|utiliteit'!$L$17="","",": "&amp;'woningen|utiliteit'!$L$17)</f>
        <v>locatie 1</v>
      </c>
      <c r="F25" s="220"/>
      <c r="G25" s="220" t="s">
        <v>136</v>
      </c>
      <c r="H25" s="33"/>
      <c r="I25" s="631">
        <f>'variant 1'!$M$31</f>
        <v>0</v>
      </c>
      <c r="J25" s="627">
        <f t="shared" ca="1" si="1"/>
        <v>31</v>
      </c>
      <c r="K25" s="627">
        <f t="shared" ca="1" si="2"/>
        <v>13</v>
      </c>
      <c r="L25" s="33"/>
      <c r="M25" s="185" t="str">
        <f t="shared" ref="M25:R28" ca="1" si="6">IF(M18=0,"",IFERROR(INDIRECT(ADDRESS($J25,$K25,,,M$8)),0))</f>
        <v/>
      </c>
      <c r="N25" s="185" t="str">
        <f t="shared" ca="1" si="6"/>
        <v/>
      </c>
      <c r="O25" s="185" t="str">
        <f t="shared" ca="1" si="6"/>
        <v/>
      </c>
      <c r="P25" s="185" t="str">
        <f t="shared" ca="1" si="6"/>
        <v/>
      </c>
      <c r="Q25" s="185" t="str">
        <f t="shared" ca="1" si="6"/>
        <v/>
      </c>
      <c r="R25" s="185" t="str">
        <f t="shared" ca="1" si="6"/>
        <v/>
      </c>
      <c r="S25" s="6"/>
      <c r="T25" s="4"/>
    </row>
    <row r="26" spans="1:20" ht="14.25" hidden="1" x14ac:dyDescent="0.2">
      <c r="A26" s="994" t="s">
        <v>89</v>
      </c>
      <c r="B26" s="808" t="s">
        <v>378</v>
      </c>
      <c r="C26" s="676"/>
      <c r="D26" s="66"/>
      <c r="E26" s="630" t="str">
        <f>"locatie 2"&amp;IF('woningen|utiliteit'!$L$31="","",": "&amp;'woningen|utiliteit'!$L$31)</f>
        <v>locatie 2</v>
      </c>
      <c r="F26" s="220"/>
      <c r="G26" s="220" t="s">
        <v>136</v>
      </c>
      <c r="H26" s="33"/>
      <c r="I26" s="631">
        <f>'variant 1'!$Y$31</f>
        <v>0</v>
      </c>
      <c r="J26" s="627">
        <f t="shared" ca="1" si="1"/>
        <v>31</v>
      </c>
      <c r="K26" s="627">
        <f t="shared" ca="1" si="2"/>
        <v>25</v>
      </c>
      <c r="L26" s="33"/>
      <c r="M26" s="185" t="str">
        <f t="shared" ca="1" si="6"/>
        <v/>
      </c>
      <c r="N26" s="185" t="str">
        <f t="shared" ca="1" si="6"/>
        <v/>
      </c>
      <c r="O26" s="185" t="str">
        <f t="shared" ca="1" si="6"/>
        <v/>
      </c>
      <c r="P26" s="185" t="str">
        <f t="shared" ca="1" si="6"/>
        <v/>
      </c>
      <c r="Q26" s="185" t="str">
        <f t="shared" ca="1" si="6"/>
        <v/>
      </c>
      <c r="R26" s="185" t="str">
        <f t="shared" ca="1" si="6"/>
        <v/>
      </c>
      <c r="S26" s="6"/>
      <c r="T26" s="4"/>
    </row>
    <row r="27" spans="1:20" ht="14.25" hidden="1" x14ac:dyDescent="0.2">
      <c r="A27" s="994" t="s">
        <v>89</v>
      </c>
      <c r="B27" s="808" t="s">
        <v>378</v>
      </c>
      <c r="C27" s="676"/>
      <c r="D27" s="66"/>
      <c r="E27" s="630" t="str">
        <f>"locatie 3"&amp;IF('woningen|utiliteit'!$L$45="","",": "&amp;'woningen|utiliteit'!$L$45)</f>
        <v>locatie 3</v>
      </c>
      <c r="F27" s="220"/>
      <c r="G27" s="220" t="s">
        <v>136</v>
      </c>
      <c r="H27" s="33"/>
      <c r="I27" s="631">
        <f>'variant 1'!$AK$31</f>
        <v>0</v>
      </c>
      <c r="J27" s="627">
        <f t="shared" ca="1" si="1"/>
        <v>31</v>
      </c>
      <c r="K27" s="627">
        <f t="shared" ca="1" si="2"/>
        <v>37</v>
      </c>
      <c r="L27" s="33"/>
      <c r="M27" s="185" t="str">
        <f t="shared" ca="1" si="6"/>
        <v/>
      </c>
      <c r="N27" s="185" t="str">
        <f t="shared" ca="1" si="6"/>
        <v/>
      </c>
      <c r="O27" s="185" t="str">
        <f t="shared" ca="1" si="6"/>
        <v/>
      </c>
      <c r="P27" s="185" t="str">
        <f t="shared" ca="1" si="6"/>
        <v/>
      </c>
      <c r="Q27" s="185" t="str">
        <f t="shared" ca="1" si="6"/>
        <v/>
      </c>
      <c r="R27" s="185" t="str">
        <f t="shared" ca="1" si="6"/>
        <v/>
      </c>
      <c r="S27" s="6"/>
      <c r="T27" s="4"/>
    </row>
    <row r="28" spans="1:20" ht="14.25" hidden="1" x14ac:dyDescent="0.2">
      <c r="A28" s="994" t="s">
        <v>89</v>
      </c>
      <c r="B28" s="808" t="s">
        <v>378</v>
      </c>
      <c r="C28" s="676"/>
      <c r="D28" s="66"/>
      <c r="E28" s="630" t="str">
        <f>"locatie 4"&amp;IF('woningen|utiliteit'!$L$59="","",": "&amp;'woningen|utiliteit'!$L$59)</f>
        <v>locatie 4</v>
      </c>
      <c r="F28" s="220"/>
      <c r="G28" s="220" t="s">
        <v>136</v>
      </c>
      <c r="H28" s="33"/>
      <c r="I28" s="631">
        <f>'variant 1'!$AW$31</f>
        <v>0</v>
      </c>
      <c r="J28" s="627">
        <f t="shared" ca="1" si="1"/>
        <v>31</v>
      </c>
      <c r="K28" s="627">
        <f t="shared" ca="1" si="2"/>
        <v>49</v>
      </c>
      <c r="L28" s="33"/>
      <c r="M28" s="185" t="str">
        <f t="shared" ca="1" si="6"/>
        <v/>
      </c>
      <c r="N28" s="185" t="str">
        <f t="shared" ca="1" si="6"/>
        <v/>
      </c>
      <c r="O28" s="185" t="str">
        <f t="shared" ca="1" si="6"/>
        <v/>
      </c>
      <c r="P28" s="185" t="str">
        <f t="shared" ca="1" si="6"/>
        <v/>
      </c>
      <c r="Q28" s="185" t="str">
        <f t="shared" ca="1" si="6"/>
        <v/>
      </c>
      <c r="R28" s="185" t="str">
        <f t="shared" ca="1" si="6"/>
        <v/>
      </c>
      <c r="S28" s="6"/>
      <c r="T28" s="4"/>
    </row>
    <row r="29" spans="1:20" ht="15" hidden="1" x14ac:dyDescent="0.2">
      <c r="A29" s="994" t="s">
        <v>89</v>
      </c>
      <c r="B29" s="808" t="s">
        <v>378</v>
      </c>
      <c r="C29" s="676"/>
      <c r="D29" s="66"/>
      <c r="E29" s="182" t="s">
        <v>258</v>
      </c>
      <c r="F29" s="220"/>
      <c r="G29" s="220" t="s">
        <v>136</v>
      </c>
      <c r="H29" s="33"/>
      <c r="I29" s="78"/>
      <c r="J29" s="78"/>
      <c r="K29" s="78"/>
      <c r="L29" s="82"/>
      <c r="M29" s="223">
        <f t="shared" ref="M29:R29" ca="1" si="7">SUM(M25:M28)</f>
        <v>0</v>
      </c>
      <c r="N29" s="223">
        <f t="shared" ca="1" si="7"/>
        <v>0</v>
      </c>
      <c r="O29" s="223">
        <f t="shared" ca="1" si="7"/>
        <v>0</v>
      </c>
      <c r="P29" s="223">
        <f t="shared" ca="1" si="7"/>
        <v>0</v>
      </c>
      <c r="Q29" s="223">
        <f t="shared" ca="1" si="7"/>
        <v>0</v>
      </c>
      <c r="R29" s="223">
        <f t="shared" ca="1" si="7"/>
        <v>0</v>
      </c>
      <c r="S29" s="6"/>
      <c r="T29" s="4"/>
    </row>
    <row r="30" spans="1:20" ht="15" hidden="1" x14ac:dyDescent="0.2">
      <c r="A30" s="994" t="s">
        <v>89</v>
      </c>
      <c r="B30" s="808" t="s">
        <v>381</v>
      </c>
      <c r="C30" s="676"/>
      <c r="D30" s="66"/>
      <c r="E30" s="33"/>
      <c r="F30" s="33"/>
      <c r="G30" s="33"/>
      <c r="H30" s="33"/>
      <c r="I30" s="83" t="s">
        <v>382</v>
      </c>
      <c r="J30" s="78"/>
      <c r="K30" s="78"/>
      <c r="L30" s="33"/>
      <c r="M30" s="33"/>
      <c r="N30" s="33"/>
      <c r="O30" s="33"/>
      <c r="P30" s="33"/>
      <c r="Q30" s="33"/>
      <c r="R30" s="33"/>
      <c r="S30" s="4"/>
      <c r="T30" s="4"/>
    </row>
    <row r="31" spans="1:20" ht="21" hidden="1" x14ac:dyDescent="0.2">
      <c r="A31" s="994" t="s">
        <v>89</v>
      </c>
      <c r="B31" s="808" t="s">
        <v>381</v>
      </c>
      <c r="C31" s="676"/>
      <c r="D31" s="66"/>
      <c r="E31" s="215" t="s">
        <v>383</v>
      </c>
      <c r="F31" s="215"/>
      <c r="G31" s="215"/>
      <c r="H31" s="4"/>
      <c r="I31" s="626">
        <f>'variant 1'!$O$32</f>
        <v>0</v>
      </c>
      <c r="J31" s="626">
        <f ca="1">ROW(INDIRECT(RIGHT((_xlfn.FORMULATEXT($I31)),LEN(_xlfn.FORMULATEXT($I31))-1)))</f>
        <v>32</v>
      </c>
      <c r="K31" s="626">
        <f ca="1">COLUMN(INDIRECT(RIGHT((_xlfn.FORMULATEXT($I31)),LEN(_xlfn.FORMULATEXT($I31))-1)))</f>
        <v>15</v>
      </c>
      <c r="L31" s="33"/>
      <c r="M31" s="641"/>
      <c r="N31" s="641"/>
      <c r="O31" s="641"/>
      <c r="P31" s="641"/>
      <c r="Q31" s="641"/>
      <c r="R31" s="641"/>
      <c r="S31" s="4"/>
      <c r="T31" s="4"/>
    </row>
    <row r="32" spans="1:20" ht="14.25" hidden="1" x14ac:dyDescent="0.2">
      <c r="A32" s="994" t="s">
        <v>89</v>
      </c>
      <c r="B32" s="808" t="s">
        <v>381</v>
      </c>
      <c r="C32" s="676"/>
      <c r="D32" s="66"/>
      <c r="E32" s="630" t="str">
        <f>"locatie 1"&amp;IF('woningen|utiliteit'!$L$17="","",": "&amp;'woningen|utiliteit'!$L$17)</f>
        <v>locatie 1</v>
      </c>
      <c r="F32" s="182"/>
      <c r="G32" s="182" t="s">
        <v>70</v>
      </c>
      <c r="H32" s="82"/>
      <c r="I32" s="631" t="str">
        <f>'variant 1'!$O$40</f>
        <v/>
      </c>
      <c r="J32" s="627">
        <f ca="1">ROW(INDIRECT(RIGHT((_xlfn.FORMULATEXT($I32)),LEN(_xlfn.FORMULATEXT($I32))-1)))</f>
        <v>40</v>
      </c>
      <c r="K32" s="627">
        <f ca="1">COLUMN(INDIRECT(RIGHT((_xlfn.FORMULATEXT($I32)),LEN(_xlfn.FORMULATEXT($I32))-1)))</f>
        <v>15</v>
      </c>
      <c r="L32" s="82"/>
      <c r="M32" s="185" t="str">
        <f t="array" aca="1" ref="M32" ca="1">IFERROR(IF(M18=0,"",INDEX(OFFSET(INDIRECT(ADDRESS($J32,$K32,,,M$8)),0,0,1,COLUMNS('variant 1'!$N:$X)-2),
MATCH(MAX(SUMIF(OFFSET(INDIRECT(ADDRESS($J32,$K32,,,M$8)),0,0,1,COLUMNS('variant 1'!$N:$X)-2),
OFFSET(INDIRECT(ADDRESS($J32,$K32,,,M$8)),0,0,1,COLUMNS('variant 1'!$N:$X)-2),
OFFSET(INDIRECT(ADDRESS($J$31,$K$31,,,M$8)),0,0,1,COLUMNS('variant 1'!$N:$X)-2))),
SUMIF(OFFSET(INDIRECT(ADDRESS($J32,$K32,,,M$8)),0,0,1,COLUMNS('variant 1'!$N:$X)-2),
OFFSET(INDIRECT(ADDRESS($J32,$K32,,,M$8)),0,0,1,COLUMNS('variant 1'!$N:$X)-2),
OFFSET(INDIRECT(ADDRESS($J$31,$K$31,,,M$8)),0,0,1,COLUMNS('variant 1'!$N:$X)-2)),0))),"")</f>
        <v/>
      </c>
      <c r="N32" s="185" t="str">
        <f t="array" aca="1" ref="N32" ca="1">IFERROR(IF(N18=0,"",INDEX(OFFSET(INDIRECT(ADDRESS($J32,$K32,,,N$8)),0,0,1,COLUMNS('variant 1'!$N:$X)-2),
MATCH(MAX(SUMIF(OFFSET(INDIRECT(ADDRESS($J32,$K32,,,N$8)),0,0,1,COLUMNS('variant 1'!$N:$X)-2),
OFFSET(INDIRECT(ADDRESS($J32,$K32,,,N$8)),0,0,1,COLUMNS('variant 1'!$N:$X)-2),
OFFSET(INDIRECT(ADDRESS($J$31,$K$31,,,N$8)),0,0,1,COLUMNS('variant 1'!$N:$X)-2))),
SUMIF(OFFSET(INDIRECT(ADDRESS($J32,$K32,,,N$8)),0,0,1,COLUMNS('variant 1'!$N:$X)-2),
OFFSET(INDIRECT(ADDRESS($J32,$K32,,,N$8)),0,0,1,COLUMNS('variant 1'!$N:$X)-2),
OFFSET(INDIRECT(ADDRESS($J$31,$K$31,,,N$8)),0,0,1,COLUMNS('variant 1'!$N:$X)-2)),0))),"")</f>
        <v/>
      </c>
      <c r="O32" s="185" t="str">
        <f t="array" aca="1" ref="O32" ca="1">IFERROR(IF(O18=0,"",INDEX(OFFSET(INDIRECT(ADDRESS($J32,$K32,,,O$8)),0,0,1,COLUMNS('variant 1'!$N:$X)-2),
MATCH(MAX(SUMIF(OFFSET(INDIRECT(ADDRESS($J32,$K32,,,O$8)),0,0,1,COLUMNS('variant 1'!$N:$X)-2),
OFFSET(INDIRECT(ADDRESS($J32,$K32,,,O$8)),0,0,1,COLUMNS('variant 1'!$N:$X)-2),
OFFSET(INDIRECT(ADDRESS($J$31,$K$31,,,O$8)),0,0,1,COLUMNS('variant 1'!$N:$X)-2))),
SUMIF(OFFSET(INDIRECT(ADDRESS($J32,$K32,,,O$8)),0,0,1,COLUMNS('variant 1'!$N:$X)-2),
OFFSET(INDIRECT(ADDRESS($J32,$K32,,,O$8)),0,0,1,COLUMNS('variant 1'!$N:$X)-2),
OFFSET(INDIRECT(ADDRESS($J$31,$K$31,,,O$8)),0,0,1,COLUMNS('variant 1'!$N:$X)-2)),0))),"")</f>
        <v/>
      </c>
      <c r="P32" s="185" t="str">
        <f t="array" aca="1" ref="P32" ca="1">IFERROR(IF(P18=0,"",INDEX(OFFSET(INDIRECT(ADDRESS($J32,$K32,,,P$8)),0,0,1,COLUMNS('variant 1'!$N:$X)-2),
MATCH(MAX(SUMIF(OFFSET(INDIRECT(ADDRESS($J32,$K32,,,P$8)),0,0,1,COLUMNS('variant 1'!$N:$X)-2),
OFFSET(INDIRECT(ADDRESS($J32,$K32,,,P$8)),0,0,1,COLUMNS('variant 1'!$N:$X)-2),
OFFSET(INDIRECT(ADDRESS($J$31,$K$31,,,P$8)),0,0,1,COLUMNS('variant 1'!$N:$X)-2))),
SUMIF(OFFSET(INDIRECT(ADDRESS($J32,$K32,,,P$8)),0,0,1,COLUMNS('variant 1'!$N:$X)-2),
OFFSET(INDIRECT(ADDRESS($J32,$K32,,,P$8)),0,0,1,COLUMNS('variant 1'!$N:$X)-2),
OFFSET(INDIRECT(ADDRESS($J$31,$K$31,,,P$8)),0,0,1,COLUMNS('variant 1'!$N:$X)-2)),0))),"")</f>
        <v/>
      </c>
      <c r="Q32" s="185" t="str">
        <f t="array" aca="1" ref="Q32" ca="1">IFERROR(IF(Q18=0,"",INDEX(OFFSET(INDIRECT(ADDRESS($J32,$K32,,,Q$8)),0,0,1,COLUMNS('variant 1'!$N:$X)-2),
MATCH(MAX(SUMIF(OFFSET(INDIRECT(ADDRESS($J32,$K32,,,Q$8)),0,0,1,COLUMNS('variant 1'!$N:$X)-2),
OFFSET(INDIRECT(ADDRESS($J32,$K32,,,Q$8)),0,0,1,COLUMNS('variant 1'!$N:$X)-2),
OFFSET(INDIRECT(ADDRESS($J$31,$K$31,,,Q$8)),0,0,1,COLUMNS('variant 1'!$N:$X)-2))),
SUMIF(OFFSET(INDIRECT(ADDRESS($J32,$K32,,,Q$8)),0,0,1,COLUMNS('variant 1'!$N:$X)-2),
OFFSET(INDIRECT(ADDRESS($J32,$K32,,,Q$8)),0,0,1,COLUMNS('variant 1'!$N:$X)-2),
OFFSET(INDIRECT(ADDRESS($J$31,$K$31,,,Q$8)),0,0,1,COLUMNS('variant 1'!$N:$X)-2)),0))),"")</f>
        <v/>
      </c>
      <c r="R32" s="185" t="str">
        <f t="array" aca="1" ref="R32" ca="1">IFERROR(IF(R18=0,"",INDEX(OFFSET(INDIRECT(ADDRESS($J32,$K32,,,R$8)),0,0,1,COLUMNS('variant 1'!$N:$X)-2),
MATCH(MAX(SUMIF(OFFSET(INDIRECT(ADDRESS($J32,$K32,,,R$8)),0,0,1,COLUMNS('variant 1'!$N:$X)-2),
OFFSET(INDIRECT(ADDRESS($J32,$K32,,,R$8)),0,0,1,COLUMNS('variant 1'!$N:$X)-2),
OFFSET(INDIRECT(ADDRESS($J$31,$K$31,,,R$8)),0,0,1,COLUMNS('variant 1'!$N:$X)-2))),
SUMIF(OFFSET(INDIRECT(ADDRESS($J32,$K32,,,R$8)),0,0,1,COLUMNS('variant 1'!$N:$X)-2),
OFFSET(INDIRECT(ADDRESS($J32,$K32,,,R$8)),0,0,1,COLUMNS('variant 1'!$N:$X)-2),
OFFSET(INDIRECT(ADDRESS($J$31,$K$31,,,R$8)),0,0,1,COLUMNS('variant 1'!$N:$X)-2)),0))),"")</f>
        <v/>
      </c>
      <c r="S32" s="5"/>
      <c r="T32" s="4"/>
    </row>
    <row r="33" spans="1:59" ht="14.25" hidden="1" x14ac:dyDescent="0.2">
      <c r="A33" s="994" t="s">
        <v>89</v>
      </c>
      <c r="B33" s="808" t="s">
        <v>381</v>
      </c>
      <c r="C33" s="676"/>
      <c r="D33" s="66"/>
      <c r="E33" s="630" t="str">
        <f>"locatie 2"&amp;IF('woningen|utiliteit'!$L$31="","",": "&amp;'woningen|utiliteit'!$L$31)</f>
        <v>locatie 2</v>
      </c>
      <c r="F33" s="220"/>
      <c r="G33" s="220" t="s">
        <v>70</v>
      </c>
      <c r="H33" s="33"/>
      <c r="I33" s="631" t="str">
        <f>'variant 1'!$AA$40</f>
        <v/>
      </c>
      <c r="J33" s="627">
        <f ca="1">ROW(INDIRECT(RIGHT((_xlfn.FORMULATEXT($I33)),LEN(_xlfn.FORMULATEXT($I33))-1)))</f>
        <v>40</v>
      </c>
      <c r="K33" s="627">
        <f ca="1">COLUMN(INDIRECT(RIGHT((_xlfn.FORMULATEXT($I33)),LEN(_xlfn.FORMULATEXT($I33))-1)))</f>
        <v>27</v>
      </c>
      <c r="L33" s="33"/>
      <c r="M33" s="185" t="str">
        <f t="array" aca="1" ref="M33" ca="1">IFERROR(IF(M19=0,"",INDEX(OFFSET(INDIRECT(ADDRESS($J33,$K33,,,M$8)),0,0,1,COLUMNS('variant 1'!$N:$X)-2),
MATCH(MAX(SUMIF(OFFSET(INDIRECT(ADDRESS($J33,$K33,,,M$8)),0,0,1,COLUMNS('variant 1'!$N:$X)-2),
OFFSET(INDIRECT(ADDRESS($J33,$K33,,,M$8)),0,0,1,COLUMNS('variant 1'!$N:$X)-2),
OFFSET(INDIRECT(ADDRESS($J$31,$K$31,,,M$8)),0,0,1,COLUMNS('variant 1'!$N:$X)-2))),
SUMIF(OFFSET(INDIRECT(ADDRESS($J33,$K33,,,M$8)),0,0,1,COLUMNS('variant 1'!$N:$X)-2),
OFFSET(INDIRECT(ADDRESS($J33,$K33,,,M$8)),0,0,1,COLUMNS('variant 1'!$N:$X)-2),
OFFSET(INDIRECT(ADDRESS($J$31,$K$31,,,M$8)),0,0,1,COLUMNS('variant 1'!$N:$X)-2)),0))),"")</f>
        <v/>
      </c>
      <c r="N33" s="185" t="str">
        <f t="array" aca="1" ref="N33" ca="1">IFERROR(IF(N19=0,"",INDEX(OFFSET(INDIRECT(ADDRESS($J33,$K33,,,N$8)),0,0,1,COLUMNS('variant 1'!$N:$X)-2),
MATCH(MAX(SUMIF(OFFSET(INDIRECT(ADDRESS($J33,$K33,,,N$8)),0,0,1,COLUMNS('variant 1'!$N:$X)-2),
OFFSET(INDIRECT(ADDRESS($J33,$K33,,,N$8)),0,0,1,COLUMNS('variant 1'!$N:$X)-2),
OFFSET(INDIRECT(ADDRESS($J$31,$K$31,,,N$8)),0,0,1,COLUMNS('variant 1'!$N:$X)-2))),
SUMIF(OFFSET(INDIRECT(ADDRESS($J33,$K33,,,N$8)),0,0,1,COLUMNS('variant 1'!$N:$X)-2),
OFFSET(INDIRECT(ADDRESS($J33,$K33,,,N$8)),0,0,1,COLUMNS('variant 1'!$N:$X)-2),
OFFSET(INDIRECT(ADDRESS($J$31,$K$31,,,N$8)),0,0,1,COLUMNS('variant 1'!$N:$X)-2)),0))),"")</f>
        <v/>
      </c>
      <c r="O33" s="185" t="str">
        <f t="array" aca="1" ref="O33" ca="1">IFERROR(IF(O19=0,"",INDEX(OFFSET(INDIRECT(ADDRESS($J33,$K33,,,O$8)),0,0,1,COLUMNS('variant 1'!$N:$X)-2),
MATCH(MAX(SUMIF(OFFSET(INDIRECT(ADDRESS($J33,$K33,,,O$8)),0,0,1,COLUMNS('variant 1'!$N:$X)-2),
OFFSET(INDIRECT(ADDRESS($J33,$K33,,,O$8)),0,0,1,COLUMNS('variant 1'!$N:$X)-2),
OFFSET(INDIRECT(ADDRESS($J$31,$K$31,,,O$8)),0,0,1,COLUMNS('variant 1'!$N:$X)-2))),
SUMIF(OFFSET(INDIRECT(ADDRESS($J33,$K33,,,O$8)),0,0,1,COLUMNS('variant 1'!$N:$X)-2),
OFFSET(INDIRECT(ADDRESS($J33,$K33,,,O$8)),0,0,1,COLUMNS('variant 1'!$N:$X)-2),
OFFSET(INDIRECT(ADDRESS($J$31,$K$31,,,O$8)),0,0,1,COLUMNS('variant 1'!$N:$X)-2)),0))),"")</f>
        <v/>
      </c>
      <c r="P33" s="185" t="str">
        <f t="array" aca="1" ref="P33" ca="1">IFERROR(IF(P19=0,"",INDEX(OFFSET(INDIRECT(ADDRESS($J33,$K33,,,P$8)),0,0,1,COLUMNS('variant 1'!$N:$X)-2),
MATCH(MAX(SUMIF(OFFSET(INDIRECT(ADDRESS($J33,$K33,,,P$8)),0,0,1,COLUMNS('variant 1'!$N:$X)-2),
OFFSET(INDIRECT(ADDRESS($J33,$K33,,,P$8)),0,0,1,COLUMNS('variant 1'!$N:$X)-2),
OFFSET(INDIRECT(ADDRESS($J$31,$K$31,,,P$8)),0,0,1,COLUMNS('variant 1'!$N:$X)-2))),
SUMIF(OFFSET(INDIRECT(ADDRESS($J33,$K33,,,P$8)),0,0,1,COLUMNS('variant 1'!$N:$X)-2),
OFFSET(INDIRECT(ADDRESS($J33,$K33,,,P$8)),0,0,1,COLUMNS('variant 1'!$N:$X)-2),
OFFSET(INDIRECT(ADDRESS($J$31,$K$31,,,P$8)),0,0,1,COLUMNS('variant 1'!$N:$X)-2)),0))),"")</f>
        <v/>
      </c>
      <c r="Q33" s="185" t="str">
        <f t="array" aca="1" ref="Q33" ca="1">IFERROR(IF(Q19=0,"",INDEX(OFFSET(INDIRECT(ADDRESS($J33,$K33,,,Q$8)),0,0,1,COLUMNS('variant 1'!$N:$X)-2),
MATCH(MAX(SUMIF(OFFSET(INDIRECT(ADDRESS($J33,$K33,,,Q$8)),0,0,1,COLUMNS('variant 1'!$N:$X)-2),
OFFSET(INDIRECT(ADDRESS($J33,$K33,,,Q$8)),0,0,1,COLUMNS('variant 1'!$N:$X)-2),
OFFSET(INDIRECT(ADDRESS($J$31,$K$31,,,Q$8)),0,0,1,COLUMNS('variant 1'!$N:$X)-2))),
SUMIF(OFFSET(INDIRECT(ADDRESS($J33,$K33,,,Q$8)),0,0,1,COLUMNS('variant 1'!$N:$X)-2),
OFFSET(INDIRECT(ADDRESS($J33,$K33,,,Q$8)),0,0,1,COLUMNS('variant 1'!$N:$X)-2),
OFFSET(INDIRECT(ADDRESS($J$31,$K$31,,,Q$8)),0,0,1,COLUMNS('variant 1'!$N:$X)-2)),0))),"")</f>
        <v/>
      </c>
      <c r="R33" s="185" t="str">
        <f t="array" aca="1" ref="R33" ca="1">IFERROR(IF(R19=0,"",INDEX(OFFSET(INDIRECT(ADDRESS($J33,$K33,,,R$8)),0,0,1,COLUMNS('variant 1'!$N:$X)-2),
MATCH(MAX(SUMIF(OFFSET(INDIRECT(ADDRESS($J33,$K33,,,R$8)),0,0,1,COLUMNS('variant 1'!$N:$X)-2),
OFFSET(INDIRECT(ADDRESS($J33,$K33,,,R$8)),0,0,1,COLUMNS('variant 1'!$N:$X)-2),
OFFSET(INDIRECT(ADDRESS($J$31,$K$31,,,R$8)),0,0,1,COLUMNS('variant 1'!$N:$X)-2))),
SUMIF(OFFSET(INDIRECT(ADDRESS($J33,$K33,,,R$8)),0,0,1,COLUMNS('variant 1'!$N:$X)-2),
OFFSET(INDIRECT(ADDRESS($J33,$K33,,,R$8)),0,0,1,COLUMNS('variant 1'!$N:$X)-2),
OFFSET(INDIRECT(ADDRESS($J$31,$K$31,,,R$8)),0,0,1,COLUMNS('variant 1'!$N:$X)-2)),0))),"")</f>
        <v/>
      </c>
      <c r="S33" s="6"/>
      <c r="T33" s="4"/>
    </row>
    <row r="34" spans="1:59" ht="14.25" hidden="1" x14ac:dyDescent="0.2">
      <c r="A34" s="994" t="s">
        <v>89</v>
      </c>
      <c r="B34" s="808" t="s">
        <v>381</v>
      </c>
      <c r="C34" s="676"/>
      <c r="D34" s="66"/>
      <c r="E34" s="630" t="str">
        <f>"locatie 3"&amp;IF('woningen|utiliteit'!$L$45="","",": "&amp;'woningen|utiliteit'!$L$45)</f>
        <v>locatie 3</v>
      </c>
      <c r="F34" s="220"/>
      <c r="G34" s="220" t="s">
        <v>70</v>
      </c>
      <c r="H34" s="33"/>
      <c r="I34" s="631" t="str">
        <f>'variant 1'!$AM$40</f>
        <v/>
      </c>
      <c r="J34" s="627">
        <f ca="1">ROW(INDIRECT(RIGHT((_xlfn.FORMULATEXT($I34)),LEN(_xlfn.FORMULATEXT($I34))-1)))</f>
        <v>40</v>
      </c>
      <c r="K34" s="627">
        <f ca="1">COLUMN(INDIRECT(RIGHT((_xlfn.FORMULATEXT($I34)),LEN(_xlfn.FORMULATEXT($I34))-1)))</f>
        <v>39</v>
      </c>
      <c r="L34" s="33"/>
      <c r="M34" s="185" t="str">
        <f t="array" aca="1" ref="M34" ca="1">IFERROR(IF(M20=0,"",INDEX(OFFSET(INDIRECT(ADDRESS($J34,$K34,,,M$8)),0,0,1,COLUMNS('variant 1'!$N:$X)-2),
MATCH(MAX(SUMIF(OFFSET(INDIRECT(ADDRESS($J34,$K34,,,M$8)),0,0,1,COLUMNS('variant 1'!$N:$X)-2),
OFFSET(INDIRECT(ADDRESS($J34,$K34,,,M$8)),0,0,1,COLUMNS('variant 1'!$N:$X)-2),
OFFSET(INDIRECT(ADDRESS($J$31,$K$31,,,M$8)),0,0,1,COLUMNS('variant 1'!$N:$X)-2))),
SUMIF(OFFSET(INDIRECT(ADDRESS($J34,$K34,,,M$8)),0,0,1,COLUMNS('variant 1'!$N:$X)-2),
OFFSET(INDIRECT(ADDRESS($J34,$K34,,,M$8)),0,0,1,COLUMNS('variant 1'!$N:$X)-2),
OFFSET(INDIRECT(ADDRESS($J$31,$K$31,,,M$8)),0,0,1,COLUMNS('variant 1'!$N:$X)-2)),0))),"")</f>
        <v/>
      </c>
      <c r="N34" s="185" t="str">
        <f t="array" aca="1" ref="N34" ca="1">IFERROR(IF(N20=0,"",INDEX(OFFSET(INDIRECT(ADDRESS($J34,$K34,,,N$8)),0,0,1,COLUMNS('variant 1'!$N:$X)-2),
MATCH(MAX(SUMIF(OFFSET(INDIRECT(ADDRESS($J34,$K34,,,N$8)),0,0,1,COLUMNS('variant 1'!$N:$X)-2),
OFFSET(INDIRECT(ADDRESS($J34,$K34,,,N$8)),0,0,1,COLUMNS('variant 1'!$N:$X)-2),
OFFSET(INDIRECT(ADDRESS($J$31,$K$31,,,N$8)),0,0,1,COLUMNS('variant 1'!$N:$X)-2))),
SUMIF(OFFSET(INDIRECT(ADDRESS($J34,$K34,,,N$8)),0,0,1,COLUMNS('variant 1'!$N:$X)-2),
OFFSET(INDIRECT(ADDRESS($J34,$K34,,,N$8)),0,0,1,COLUMNS('variant 1'!$N:$X)-2),
OFFSET(INDIRECT(ADDRESS($J$31,$K$31,,,N$8)),0,0,1,COLUMNS('variant 1'!$N:$X)-2)),0))),"")</f>
        <v/>
      </c>
      <c r="O34" s="185" t="str">
        <f t="array" aca="1" ref="O34" ca="1">IFERROR(IF(O20=0,"",INDEX(OFFSET(INDIRECT(ADDRESS($J34,$K34,,,O$8)),0,0,1,COLUMNS('variant 1'!$N:$X)-2),
MATCH(MAX(SUMIF(OFFSET(INDIRECT(ADDRESS($J34,$K34,,,O$8)),0,0,1,COLUMNS('variant 1'!$N:$X)-2),
OFFSET(INDIRECT(ADDRESS($J34,$K34,,,O$8)),0,0,1,COLUMNS('variant 1'!$N:$X)-2),
OFFSET(INDIRECT(ADDRESS($J$31,$K$31,,,O$8)),0,0,1,COLUMNS('variant 1'!$N:$X)-2))),
SUMIF(OFFSET(INDIRECT(ADDRESS($J34,$K34,,,O$8)),0,0,1,COLUMNS('variant 1'!$N:$X)-2),
OFFSET(INDIRECT(ADDRESS($J34,$K34,,,O$8)),0,0,1,COLUMNS('variant 1'!$N:$X)-2),
OFFSET(INDIRECT(ADDRESS($J$31,$K$31,,,O$8)),0,0,1,COLUMNS('variant 1'!$N:$X)-2)),0))),"")</f>
        <v/>
      </c>
      <c r="P34" s="185" t="str">
        <f t="array" aca="1" ref="P34" ca="1">IFERROR(IF(P20=0,"",INDEX(OFFSET(INDIRECT(ADDRESS($J34,$K34,,,P$8)),0,0,1,COLUMNS('variant 1'!$N:$X)-2),
MATCH(MAX(SUMIF(OFFSET(INDIRECT(ADDRESS($J34,$K34,,,P$8)),0,0,1,COLUMNS('variant 1'!$N:$X)-2),
OFFSET(INDIRECT(ADDRESS($J34,$K34,,,P$8)),0,0,1,COLUMNS('variant 1'!$N:$X)-2),
OFFSET(INDIRECT(ADDRESS($J$31,$K$31,,,P$8)),0,0,1,COLUMNS('variant 1'!$N:$X)-2))),
SUMIF(OFFSET(INDIRECT(ADDRESS($J34,$K34,,,P$8)),0,0,1,COLUMNS('variant 1'!$N:$X)-2),
OFFSET(INDIRECT(ADDRESS($J34,$K34,,,P$8)),0,0,1,COLUMNS('variant 1'!$N:$X)-2),
OFFSET(INDIRECT(ADDRESS($J$31,$K$31,,,P$8)),0,0,1,COLUMNS('variant 1'!$N:$X)-2)),0))),"")</f>
        <v/>
      </c>
      <c r="Q34" s="185" t="str">
        <f t="array" aca="1" ref="Q34" ca="1">IFERROR(IF(Q20=0,"",INDEX(OFFSET(INDIRECT(ADDRESS($J34,$K34,,,Q$8)),0,0,1,COLUMNS('variant 1'!$N:$X)-2),
MATCH(MAX(SUMIF(OFFSET(INDIRECT(ADDRESS($J34,$K34,,,Q$8)),0,0,1,COLUMNS('variant 1'!$N:$X)-2),
OFFSET(INDIRECT(ADDRESS($J34,$K34,,,Q$8)),0,0,1,COLUMNS('variant 1'!$N:$X)-2),
OFFSET(INDIRECT(ADDRESS($J$31,$K$31,,,Q$8)),0,0,1,COLUMNS('variant 1'!$N:$X)-2))),
SUMIF(OFFSET(INDIRECT(ADDRESS($J34,$K34,,,Q$8)),0,0,1,COLUMNS('variant 1'!$N:$X)-2),
OFFSET(INDIRECT(ADDRESS($J34,$K34,,,Q$8)),0,0,1,COLUMNS('variant 1'!$N:$X)-2),
OFFSET(INDIRECT(ADDRESS($J$31,$K$31,,,Q$8)),0,0,1,COLUMNS('variant 1'!$N:$X)-2)),0))),"")</f>
        <v/>
      </c>
      <c r="R34" s="185" t="str">
        <f t="array" aca="1" ref="R34" ca="1">IFERROR(IF(R20=0,"",INDEX(OFFSET(INDIRECT(ADDRESS($J34,$K34,,,R$8)),0,0,1,COLUMNS('variant 1'!$N:$X)-2),
MATCH(MAX(SUMIF(OFFSET(INDIRECT(ADDRESS($J34,$K34,,,R$8)),0,0,1,COLUMNS('variant 1'!$N:$X)-2),
OFFSET(INDIRECT(ADDRESS($J34,$K34,,,R$8)),0,0,1,COLUMNS('variant 1'!$N:$X)-2),
OFFSET(INDIRECT(ADDRESS($J$31,$K$31,,,R$8)),0,0,1,COLUMNS('variant 1'!$N:$X)-2))),
SUMIF(OFFSET(INDIRECT(ADDRESS($J34,$K34,,,R$8)),0,0,1,COLUMNS('variant 1'!$N:$X)-2),
OFFSET(INDIRECT(ADDRESS($J34,$K34,,,R$8)),0,0,1,COLUMNS('variant 1'!$N:$X)-2),
OFFSET(INDIRECT(ADDRESS($J$31,$K$31,,,R$8)),0,0,1,COLUMNS('variant 1'!$N:$X)-2)),0))),"")</f>
        <v/>
      </c>
      <c r="S34" s="4"/>
      <c r="T34" s="4"/>
    </row>
    <row r="35" spans="1:59" ht="14.25" hidden="1" x14ac:dyDescent="0.2">
      <c r="A35" s="998" t="s">
        <v>89</v>
      </c>
      <c r="B35" s="808" t="s">
        <v>381</v>
      </c>
      <c r="C35" s="676"/>
      <c r="D35" s="66"/>
      <c r="E35" s="630" t="str">
        <f>"locatie 4"&amp;IF('woningen|utiliteit'!$L$59="","",": "&amp;'woningen|utiliteit'!$L$59)</f>
        <v>locatie 4</v>
      </c>
      <c r="F35" s="182"/>
      <c r="G35" s="182" t="s">
        <v>70</v>
      </c>
      <c r="H35" s="82"/>
      <c r="I35" s="631" t="str">
        <f>'variant 1'!$AY$40</f>
        <v/>
      </c>
      <c r="J35" s="627">
        <f ca="1">ROW(INDIRECT(RIGHT((_xlfn.FORMULATEXT($I35)),LEN(_xlfn.FORMULATEXT($I35))-1)))</f>
        <v>40</v>
      </c>
      <c r="K35" s="627">
        <f ca="1">COLUMN(INDIRECT(RIGHT((_xlfn.FORMULATEXT($I35)),LEN(_xlfn.FORMULATEXT($I35))-1)))</f>
        <v>51</v>
      </c>
      <c r="L35" s="82"/>
      <c r="M35" s="185" t="str">
        <f t="array" aca="1" ref="M35" ca="1">IFERROR(IF(M21=0,"",INDEX(OFFSET(INDIRECT(ADDRESS($J35,$K35,,,M$8)),0,0,1,COLUMNS('variant 1'!$N:$X)-2),
MATCH(MAX(SUMIF(OFFSET(INDIRECT(ADDRESS($J35,$K35,,,M$8)),0,0,1,COLUMNS('variant 1'!$N:$X)-2),
OFFSET(INDIRECT(ADDRESS($J35,$K35,,,M$8)),0,0,1,COLUMNS('variant 1'!$N:$X)-2),
OFFSET(INDIRECT(ADDRESS($J$31,$K$31,,,M$8)),0,0,1,COLUMNS('variant 1'!$N:$X)-2))),
SUMIF(OFFSET(INDIRECT(ADDRESS($J35,$K35,,,M$8)),0,0,1,COLUMNS('variant 1'!$N:$X)-2),
OFFSET(INDIRECT(ADDRESS($J35,$K35,,,M$8)),0,0,1,COLUMNS('variant 1'!$N:$X)-2),
OFFSET(INDIRECT(ADDRESS($J$31,$K$31,,,M$8)),0,0,1,COLUMNS('variant 1'!$N:$X)-2)),0))),"")</f>
        <v/>
      </c>
      <c r="N35" s="185" t="str">
        <f t="array" aca="1" ref="N35" ca="1">IFERROR(IF(N21=0,"",INDEX(OFFSET(INDIRECT(ADDRESS($J35,$K35,,,N$8)),0,0,1,COLUMNS('variant 1'!$N:$X)-2),
MATCH(MAX(SUMIF(OFFSET(INDIRECT(ADDRESS($J35,$K35,,,N$8)),0,0,1,COLUMNS('variant 1'!$N:$X)-2),
OFFSET(INDIRECT(ADDRESS($J35,$K35,,,N$8)),0,0,1,COLUMNS('variant 1'!$N:$X)-2),
OFFSET(INDIRECT(ADDRESS($J$31,$K$31,,,N$8)),0,0,1,COLUMNS('variant 1'!$N:$X)-2))),
SUMIF(OFFSET(INDIRECT(ADDRESS($J35,$K35,,,N$8)),0,0,1,COLUMNS('variant 1'!$N:$X)-2),
OFFSET(INDIRECT(ADDRESS($J35,$K35,,,N$8)),0,0,1,COLUMNS('variant 1'!$N:$X)-2),
OFFSET(INDIRECT(ADDRESS($J$31,$K$31,,,N$8)),0,0,1,COLUMNS('variant 1'!$N:$X)-2)),0))),"")</f>
        <v/>
      </c>
      <c r="O35" s="185" t="str">
        <f t="array" aca="1" ref="O35" ca="1">IFERROR(IF(O21=0,"",INDEX(OFFSET(INDIRECT(ADDRESS($J35,$K35,,,O$8)),0,0,1,COLUMNS('variant 1'!$N:$X)-2),
MATCH(MAX(SUMIF(OFFSET(INDIRECT(ADDRESS($J35,$K35,,,O$8)),0,0,1,COLUMNS('variant 1'!$N:$X)-2),
OFFSET(INDIRECT(ADDRESS($J35,$K35,,,O$8)),0,0,1,COLUMNS('variant 1'!$N:$X)-2),
OFFSET(INDIRECT(ADDRESS($J$31,$K$31,,,O$8)),0,0,1,COLUMNS('variant 1'!$N:$X)-2))),
SUMIF(OFFSET(INDIRECT(ADDRESS($J35,$K35,,,O$8)),0,0,1,COLUMNS('variant 1'!$N:$X)-2),
OFFSET(INDIRECT(ADDRESS($J35,$K35,,,O$8)),0,0,1,COLUMNS('variant 1'!$N:$X)-2),
OFFSET(INDIRECT(ADDRESS($J$31,$K$31,,,O$8)),0,0,1,COLUMNS('variant 1'!$N:$X)-2)),0))),"")</f>
        <v/>
      </c>
      <c r="P35" s="185" t="str">
        <f t="array" aca="1" ref="P35" ca="1">IFERROR(IF(P21=0,"",INDEX(OFFSET(INDIRECT(ADDRESS($J35,$K35,,,P$8)),0,0,1,COLUMNS('variant 1'!$N:$X)-2),
MATCH(MAX(SUMIF(OFFSET(INDIRECT(ADDRESS($J35,$K35,,,P$8)),0,0,1,COLUMNS('variant 1'!$N:$X)-2),
OFFSET(INDIRECT(ADDRESS($J35,$K35,,,P$8)),0,0,1,COLUMNS('variant 1'!$N:$X)-2),
OFFSET(INDIRECT(ADDRESS($J$31,$K$31,,,P$8)),0,0,1,COLUMNS('variant 1'!$N:$X)-2))),
SUMIF(OFFSET(INDIRECT(ADDRESS($J35,$K35,,,P$8)),0,0,1,COLUMNS('variant 1'!$N:$X)-2),
OFFSET(INDIRECT(ADDRESS($J35,$K35,,,P$8)),0,0,1,COLUMNS('variant 1'!$N:$X)-2),
OFFSET(INDIRECT(ADDRESS($J$31,$K$31,,,P$8)),0,0,1,COLUMNS('variant 1'!$N:$X)-2)),0))),"")</f>
        <v/>
      </c>
      <c r="Q35" s="185" t="str">
        <f t="array" aca="1" ref="Q35" ca="1">IFERROR(IF(Q21=0,"",INDEX(OFFSET(INDIRECT(ADDRESS($J35,$K35,,,Q$8)),0,0,1,COLUMNS('variant 1'!$N:$X)-2),
MATCH(MAX(SUMIF(OFFSET(INDIRECT(ADDRESS($J35,$K35,,,Q$8)),0,0,1,COLUMNS('variant 1'!$N:$X)-2),
OFFSET(INDIRECT(ADDRESS($J35,$K35,,,Q$8)),0,0,1,COLUMNS('variant 1'!$N:$X)-2),
OFFSET(INDIRECT(ADDRESS($J$31,$K$31,,,Q$8)),0,0,1,COLUMNS('variant 1'!$N:$X)-2))),
SUMIF(OFFSET(INDIRECT(ADDRESS($J35,$K35,,,Q$8)),0,0,1,COLUMNS('variant 1'!$N:$X)-2),
OFFSET(INDIRECT(ADDRESS($J35,$K35,,,Q$8)),0,0,1,COLUMNS('variant 1'!$N:$X)-2),
OFFSET(INDIRECT(ADDRESS($J$31,$K$31,,,Q$8)),0,0,1,COLUMNS('variant 1'!$N:$X)-2)),0))),"")</f>
        <v/>
      </c>
      <c r="R35" s="185" t="str">
        <f t="array" aca="1" ref="R35" ca="1">IFERROR(IF(R21=0,"",INDEX(OFFSET(INDIRECT(ADDRESS($J35,$K35,,,R$8)),0,0,1,COLUMNS('variant 1'!$N:$X)-2),
MATCH(MAX(SUMIF(OFFSET(INDIRECT(ADDRESS($J35,$K35,,,R$8)),0,0,1,COLUMNS('variant 1'!$N:$X)-2),
OFFSET(INDIRECT(ADDRESS($J35,$K35,,,R$8)),0,0,1,COLUMNS('variant 1'!$N:$X)-2),
OFFSET(INDIRECT(ADDRESS($J$31,$K$31,,,R$8)),0,0,1,COLUMNS('variant 1'!$N:$X)-2))),
SUMIF(OFFSET(INDIRECT(ADDRESS($J35,$K35,,,R$8)),0,0,1,COLUMNS('variant 1'!$N:$X)-2),
OFFSET(INDIRECT(ADDRESS($J35,$K35,,,R$8)),0,0,1,COLUMNS('variant 1'!$N:$X)-2),
OFFSET(INDIRECT(ADDRESS($J$31,$K$31,,,R$8)),0,0,1,COLUMNS('variant 1'!$N:$X)-2)),0))),"")</f>
        <v/>
      </c>
      <c r="S35" s="76"/>
      <c r="T35" s="76"/>
    </row>
    <row r="36" spans="1:59" ht="15" hidden="1" x14ac:dyDescent="0.2">
      <c r="A36" s="994" t="s">
        <v>89</v>
      </c>
      <c r="B36" s="808" t="s">
        <v>384</v>
      </c>
      <c r="C36" s="676"/>
      <c r="D36" s="66"/>
      <c r="E36" s="33"/>
      <c r="F36" s="33"/>
      <c r="G36" s="33"/>
      <c r="H36" s="33"/>
      <c r="I36" s="81"/>
      <c r="J36" s="78"/>
      <c r="K36" s="78"/>
      <c r="L36" s="33"/>
      <c r="M36" s="33"/>
      <c r="N36" s="33"/>
      <c r="O36" s="33"/>
      <c r="P36" s="33"/>
      <c r="Q36" s="33"/>
      <c r="R36" s="33"/>
      <c r="S36" s="4"/>
      <c r="T36" s="4"/>
    </row>
    <row r="37" spans="1:59" ht="21" hidden="1" x14ac:dyDescent="0.2">
      <c r="A37" s="994" t="s">
        <v>89</v>
      </c>
      <c r="B37" s="808" t="s">
        <v>384</v>
      </c>
      <c r="C37" s="676"/>
      <c r="D37" s="66"/>
      <c r="E37" s="215" t="s">
        <v>384</v>
      </c>
      <c r="F37" s="215"/>
      <c r="G37" s="215"/>
      <c r="H37" s="4"/>
      <c r="I37" s="626"/>
      <c r="J37" s="626"/>
      <c r="K37" s="626"/>
      <c r="L37" s="33"/>
      <c r="M37" s="641"/>
      <c r="N37" s="641"/>
      <c r="O37" s="641"/>
      <c r="P37" s="641"/>
      <c r="Q37" s="641"/>
      <c r="R37" s="641"/>
      <c r="S37" s="4"/>
      <c r="T37" s="4"/>
    </row>
    <row r="38" spans="1:59" ht="14.25" hidden="1" x14ac:dyDescent="0.2">
      <c r="A38" s="994" t="s">
        <v>89</v>
      </c>
      <c r="B38" s="808" t="s">
        <v>384</v>
      </c>
      <c r="C38" s="676"/>
      <c r="D38" s="66"/>
      <c r="E38" s="630" t="str">
        <f>"locatie 1"&amp;IF('woningen|utiliteit'!$L$17="","",": "&amp;'woningen|utiliteit'!$L$17)</f>
        <v>locatie 1</v>
      </c>
      <c r="F38" s="182"/>
      <c r="G38" s="182" t="s">
        <v>385</v>
      </c>
      <c r="H38" s="82"/>
      <c r="I38" s="631">
        <f>'variant 1'!$M$68</f>
        <v>0</v>
      </c>
      <c r="J38" s="627">
        <f ca="1">ROW(INDIRECT(RIGHT((_xlfn.FORMULATEXT($I38)),LEN(_xlfn.FORMULATEXT($I38))-1)))</f>
        <v>68</v>
      </c>
      <c r="K38" s="627">
        <f ca="1">COLUMN(INDIRECT(RIGHT((_xlfn.FORMULATEXT($I38)),LEN(_xlfn.FORMULATEXT($I38))-1)))</f>
        <v>13</v>
      </c>
      <c r="L38" s="82"/>
      <c r="M38" s="638" t="str">
        <f t="shared" ref="M38:R41" ca="1" si="8">IF(M18=0,"",IFERROR(INDIRECT(ADDRESS($J38,$K38,,,M$8)),0))</f>
        <v/>
      </c>
      <c r="N38" s="638" t="str">
        <f t="shared" ca="1" si="8"/>
        <v/>
      </c>
      <c r="O38" s="638" t="str">
        <f t="shared" ca="1" si="8"/>
        <v/>
      </c>
      <c r="P38" s="638" t="str">
        <f t="shared" ca="1" si="8"/>
        <v/>
      </c>
      <c r="Q38" s="638" t="str">
        <f t="shared" ca="1" si="8"/>
        <v/>
      </c>
      <c r="R38" s="638" t="str">
        <f t="shared" ca="1" si="8"/>
        <v/>
      </c>
      <c r="S38" s="5"/>
      <c r="T38" s="4"/>
    </row>
    <row r="39" spans="1:59" ht="14.25" hidden="1" x14ac:dyDescent="0.2">
      <c r="A39" s="994" t="s">
        <v>89</v>
      </c>
      <c r="B39" s="808" t="s">
        <v>384</v>
      </c>
      <c r="C39" s="676"/>
      <c r="D39" s="66"/>
      <c r="E39" s="630" t="str">
        <f>"locatie 2"&amp;IF('woningen|utiliteit'!$L$31="","",": "&amp;'woningen|utiliteit'!$L$31)</f>
        <v>locatie 2</v>
      </c>
      <c r="F39" s="220"/>
      <c r="G39" s="220" t="s">
        <v>385</v>
      </c>
      <c r="H39" s="33"/>
      <c r="I39" s="631">
        <f>'variant 1'!$Y$68</f>
        <v>0</v>
      </c>
      <c r="J39" s="627">
        <f ca="1">ROW(INDIRECT(RIGHT((_xlfn.FORMULATEXT($I39)),LEN(_xlfn.FORMULATEXT($I39))-1)))</f>
        <v>68</v>
      </c>
      <c r="K39" s="627">
        <f ca="1">COLUMN(INDIRECT(RIGHT((_xlfn.FORMULATEXT($I39)),LEN(_xlfn.FORMULATEXT($I39))-1)))</f>
        <v>25</v>
      </c>
      <c r="L39" s="33"/>
      <c r="M39" s="638" t="str">
        <f t="shared" ca="1" si="8"/>
        <v/>
      </c>
      <c r="N39" s="638" t="str">
        <f t="shared" ca="1" si="8"/>
        <v/>
      </c>
      <c r="O39" s="638" t="str">
        <f t="shared" ca="1" si="8"/>
        <v/>
      </c>
      <c r="P39" s="638" t="str">
        <f t="shared" ca="1" si="8"/>
        <v/>
      </c>
      <c r="Q39" s="638" t="str">
        <f t="shared" ca="1" si="8"/>
        <v/>
      </c>
      <c r="R39" s="638" t="str">
        <f t="shared" ca="1" si="8"/>
        <v/>
      </c>
      <c r="S39" s="6"/>
      <c r="T39" s="4"/>
    </row>
    <row r="40" spans="1:59" ht="14.25" hidden="1" x14ac:dyDescent="0.2">
      <c r="A40" s="994" t="s">
        <v>89</v>
      </c>
      <c r="B40" s="808" t="s">
        <v>384</v>
      </c>
      <c r="C40" s="676"/>
      <c r="D40" s="66"/>
      <c r="E40" s="630" t="str">
        <f>"locatie 3"&amp;IF('woningen|utiliteit'!$L$45="","",": "&amp;'woningen|utiliteit'!$L$45)</f>
        <v>locatie 3</v>
      </c>
      <c r="F40" s="220"/>
      <c r="G40" s="220" t="s">
        <v>385</v>
      </c>
      <c r="H40" s="33"/>
      <c r="I40" s="631">
        <f>'variant 1'!$AK$68</f>
        <v>0</v>
      </c>
      <c r="J40" s="627">
        <f ca="1">ROW(INDIRECT(RIGHT((_xlfn.FORMULATEXT($I40)),LEN(_xlfn.FORMULATEXT($I40))-1)))</f>
        <v>68</v>
      </c>
      <c r="K40" s="627">
        <f ca="1">COLUMN(INDIRECT(RIGHT((_xlfn.FORMULATEXT($I40)),LEN(_xlfn.FORMULATEXT($I40))-1)))</f>
        <v>37</v>
      </c>
      <c r="L40" s="33"/>
      <c r="M40" s="638" t="str">
        <f t="shared" ca="1" si="8"/>
        <v/>
      </c>
      <c r="N40" s="638" t="str">
        <f t="shared" ca="1" si="8"/>
        <v/>
      </c>
      <c r="O40" s="638" t="str">
        <f t="shared" ca="1" si="8"/>
        <v/>
      </c>
      <c r="P40" s="638" t="str">
        <f t="shared" ca="1" si="8"/>
        <v/>
      </c>
      <c r="Q40" s="638" t="str">
        <f t="shared" ca="1" si="8"/>
        <v/>
      </c>
      <c r="R40" s="638" t="str">
        <f t="shared" ca="1" si="8"/>
        <v/>
      </c>
      <c r="S40" s="4"/>
      <c r="T40" s="4"/>
    </row>
    <row r="41" spans="1:59" ht="14.25" hidden="1" x14ac:dyDescent="0.2">
      <c r="A41" s="998" t="s">
        <v>89</v>
      </c>
      <c r="B41" s="808" t="s">
        <v>384</v>
      </c>
      <c r="C41" s="676"/>
      <c r="D41" s="66"/>
      <c r="E41" s="630" t="str">
        <f>"locatie 4"&amp;IF('woningen|utiliteit'!$L$59="","",": "&amp;'woningen|utiliteit'!$L$59)</f>
        <v>locatie 4</v>
      </c>
      <c r="F41" s="182"/>
      <c r="G41" s="182" t="s">
        <v>385</v>
      </c>
      <c r="H41" s="82"/>
      <c r="I41" s="631">
        <f>'variant 1'!$AW$68</f>
        <v>0</v>
      </c>
      <c r="J41" s="627">
        <f ca="1">ROW(INDIRECT(RIGHT((_xlfn.FORMULATEXT($I41)),LEN(_xlfn.FORMULATEXT($I41))-1)))</f>
        <v>68</v>
      </c>
      <c r="K41" s="627">
        <f ca="1">COLUMN(INDIRECT(RIGHT((_xlfn.FORMULATEXT($I41)),LEN(_xlfn.FORMULATEXT($I41))-1)))</f>
        <v>49</v>
      </c>
      <c r="L41" s="82"/>
      <c r="M41" s="638" t="str">
        <f t="shared" ca="1" si="8"/>
        <v/>
      </c>
      <c r="N41" s="638" t="str">
        <f t="shared" ca="1" si="8"/>
        <v/>
      </c>
      <c r="O41" s="638" t="str">
        <f t="shared" ca="1" si="8"/>
        <v/>
      </c>
      <c r="P41" s="638" t="str">
        <f t="shared" ca="1" si="8"/>
        <v/>
      </c>
      <c r="Q41" s="638" t="str">
        <f t="shared" ca="1" si="8"/>
        <v/>
      </c>
      <c r="R41" s="638" t="str">
        <f t="shared" ca="1" si="8"/>
        <v/>
      </c>
      <c r="S41" s="76"/>
      <c r="T41" s="76"/>
    </row>
    <row r="42" spans="1:59" ht="15" hidden="1" x14ac:dyDescent="0.2">
      <c r="A42" s="994" t="s">
        <v>89</v>
      </c>
      <c r="B42" s="808" t="s">
        <v>386</v>
      </c>
      <c r="C42" s="676"/>
      <c r="D42" s="66"/>
      <c r="E42" s="33"/>
      <c r="F42" s="33"/>
      <c r="G42" s="33"/>
      <c r="H42" s="33"/>
      <c r="I42" s="81"/>
      <c r="J42" s="78"/>
      <c r="K42" s="78"/>
      <c r="L42" s="33"/>
      <c r="M42" s="33"/>
      <c r="N42" s="33"/>
      <c r="O42" s="33"/>
      <c r="P42" s="33"/>
      <c r="Q42" s="33"/>
      <c r="R42" s="33"/>
      <c r="S42" s="4"/>
      <c r="T42" s="4"/>
    </row>
    <row r="43" spans="1:59" ht="21" hidden="1" x14ac:dyDescent="0.2">
      <c r="A43" s="994" t="s">
        <v>89</v>
      </c>
      <c r="B43" s="808" t="s">
        <v>386</v>
      </c>
      <c r="C43" s="676"/>
      <c r="D43" s="66"/>
      <c r="E43" s="215" t="s">
        <v>387</v>
      </c>
      <c r="F43" s="215"/>
      <c r="G43" s="215"/>
      <c r="H43" s="4"/>
      <c r="I43" s="626"/>
      <c r="J43" s="626"/>
      <c r="K43" s="626"/>
      <c r="L43" s="33"/>
      <c r="M43" s="641"/>
      <c r="N43" s="641"/>
      <c r="O43" s="641"/>
      <c r="P43" s="641"/>
      <c r="Q43" s="641"/>
      <c r="R43" s="641"/>
      <c r="S43" s="4"/>
      <c r="T43" s="4"/>
    </row>
    <row r="44" spans="1:59" ht="14.25" hidden="1" x14ac:dyDescent="0.2">
      <c r="A44" s="994" t="s">
        <v>89</v>
      </c>
      <c r="B44" s="808" t="s">
        <v>386</v>
      </c>
      <c r="C44" s="676"/>
      <c r="D44" s="66"/>
      <c r="E44" s="630" t="str">
        <f>"locatie 1"&amp;IF('woningen|utiliteit'!$L$17="","",": "&amp;'woningen|utiliteit'!$L$17)</f>
        <v>locatie 1</v>
      </c>
      <c r="F44" s="182"/>
      <c r="G44" s="182" t="s">
        <v>385</v>
      </c>
      <c r="H44" s="82"/>
      <c r="I44" s="631">
        <f>'variant 1'!$M$70</f>
        <v>0</v>
      </c>
      <c r="J44" s="627">
        <f ca="1">ROW(INDIRECT(RIGHT((_xlfn.FORMULATEXT($I44)),LEN(_xlfn.FORMULATEXT($I44))-1)))</f>
        <v>70</v>
      </c>
      <c r="K44" s="627">
        <f ca="1">COLUMN(INDIRECT(RIGHT((_xlfn.FORMULATEXT($I44)),LEN(_xlfn.FORMULATEXT($I44))-1)))</f>
        <v>13</v>
      </c>
      <c r="L44" s="82"/>
      <c r="M44" s="638" t="str">
        <f t="shared" ref="M44:R47" ca="1" si="9">IF(M18=0,"",IFERROR(INDIRECT(ADDRESS($J44,$K44,,,M$8)),0))</f>
        <v/>
      </c>
      <c r="N44" s="638" t="str">
        <f t="shared" ca="1" si="9"/>
        <v/>
      </c>
      <c r="O44" s="638" t="str">
        <f t="shared" ca="1" si="9"/>
        <v/>
      </c>
      <c r="P44" s="638" t="str">
        <f t="shared" ca="1" si="9"/>
        <v/>
      </c>
      <c r="Q44" s="638" t="str">
        <f t="shared" ca="1" si="9"/>
        <v/>
      </c>
      <c r="R44" s="638" t="str">
        <f t="shared" ca="1" si="9"/>
        <v/>
      </c>
      <c r="S44" s="5"/>
      <c r="T44" s="4"/>
    </row>
    <row r="45" spans="1:59" ht="14.25" hidden="1" x14ac:dyDescent="0.2">
      <c r="A45" s="994" t="s">
        <v>89</v>
      </c>
      <c r="B45" s="808" t="s">
        <v>386</v>
      </c>
      <c r="C45" s="676"/>
      <c r="D45" s="66"/>
      <c r="E45" s="630" t="str">
        <f>"locatie 2"&amp;IF('woningen|utiliteit'!$L$31="","",": "&amp;'woningen|utiliteit'!$L$31)</f>
        <v>locatie 2</v>
      </c>
      <c r="F45" s="220"/>
      <c r="G45" s="220" t="s">
        <v>385</v>
      </c>
      <c r="H45" s="33"/>
      <c r="I45" s="631">
        <f>'variant 1'!$Y$70</f>
        <v>0</v>
      </c>
      <c r="J45" s="627">
        <f ca="1">ROW(INDIRECT(RIGHT((_xlfn.FORMULATEXT($I45)),LEN(_xlfn.FORMULATEXT($I45))-1)))</f>
        <v>70</v>
      </c>
      <c r="K45" s="627">
        <f ca="1">COLUMN(INDIRECT(RIGHT((_xlfn.FORMULATEXT($I45)),LEN(_xlfn.FORMULATEXT($I45))-1)))</f>
        <v>25</v>
      </c>
      <c r="L45" s="33"/>
      <c r="M45" s="638" t="str">
        <f t="shared" ca="1" si="9"/>
        <v/>
      </c>
      <c r="N45" s="638" t="str">
        <f t="shared" ca="1" si="9"/>
        <v/>
      </c>
      <c r="O45" s="638" t="str">
        <f t="shared" ref="O45:R45" ca="1" si="10">IF(O19=0,"",IFERROR(INDIRECT(ADDRESS($J45,$K45,,,O$8)),0))</f>
        <v/>
      </c>
      <c r="P45" s="638" t="str">
        <f t="shared" ca="1" si="10"/>
        <v/>
      </c>
      <c r="Q45" s="638" t="str">
        <f t="shared" ca="1" si="10"/>
        <v/>
      </c>
      <c r="R45" s="638" t="str">
        <f t="shared" ca="1" si="10"/>
        <v/>
      </c>
      <c r="S45" s="5"/>
      <c r="T45" s="4"/>
      <c r="X45" s="767"/>
      <c r="Y45" s="224"/>
      <c r="Z45" s="236"/>
      <c r="AA45" s="885"/>
      <c r="AB45" s="885"/>
      <c r="AC45" s="885"/>
      <c r="AD45" s="885"/>
      <c r="AE45" s="885"/>
      <c r="AF45" s="885"/>
      <c r="AG45" s="885"/>
      <c r="AH45" s="885"/>
      <c r="AI45" s="885"/>
      <c r="AJ45" s="767"/>
      <c r="AK45" s="224"/>
      <c r="AL45" s="236"/>
      <c r="AM45" s="885"/>
      <c r="AN45" s="885"/>
      <c r="AO45" s="885"/>
      <c r="AP45" s="885"/>
      <c r="AQ45" s="885"/>
      <c r="AR45" s="885"/>
      <c r="AS45" s="885"/>
      <c r="AT45" s="885"/>
      <c r="AU45" s="885"/>
      <c r="AV45" s="767"/>
      <c r="AW45" s="224"/>
      <c r="AX45" s="236"/>
      <c r="AY45" s="885"/>
      <c r="AZ45" s="885"/>
      <c r="BA45" s="885"/>
      <c r="BB45" s="885"/>
      <c r="BC45" s="885"/>
      <c r="BD45" s="885"/>
      <c r="BE45" s="885"/>
      <c r="BF45" s="885"/>
      <c r="BG45" s="885"/>
    </row>
    <row r="46" spans="1:59" ht="14.25" hidden="1" x14ac:dyDescent="0.2">
      <c r="A46" s="994" t="s">
        <v>89</v>
      </c>
      <c r="B46" s="808" t="s">
        <v>386</v>
      </c>
      <c r="C46" s="676"/>
      <c r="D46" s="66"/>
      <c r="E46" s="630" t="str">
        <f>"locatie 3"&amp;IF('woningen|utiliteit'!$L$45="","",": "&amp;'woningen|utiliteit'!$L$45)</f>
        <v>locatie 3</v>
      </c>
      <c r="F46" s="220"/>
      <c r="G46" s="220" t="s">
        <v>385</v>
      </c>
      <c r="H46" s="33"/>
      <c r="I46" s="631">
        <f>'variant 1'!$AK$70</f>
        <v>0</v>
      </c>
      <c r="J46" s="627">
        <f ca="1">ROW(INDIRECT(RIGHT((_xlfn.FORMULATEXT($I46)),LEN(_xlfn.FORMULATEXT($I46))-1)))</f>
        <v>70</v>
      </c>
      <c r="K46" s="627">
        <f ca="1">COLUMN(INDIRECT(RIGHT((_xlfn.FORMULATEXT($I46)),LEN(_xlfn.FORMULATEXT($I46))-1)))</f>
        <v>37</v>
      </c>
      <c r="L46" s="33"/>
      <c r="M46" s="638" t="str">
        <f t="shared" ca="1" si="9"/>
        <v/>
      </c>
      <c r="N46" s="638" t="str">
        <f t="shared" ca="1" si="9"/>
        <v/>
      </c>
      <c r="O46" s="638" t="str">
        <f t="shared" ref="O46:R46" ca="1" si="11">IF(O20=0,"",IFERROR(INDIRECT(ADDRESS($J46,$K46,,,O$8)),0))</f>
        <v/>
      </c>
      <c r="P46" s="638" t="str">
        <f t="shared" ca="1" si="11"/>
        <v/>
      </c>
      <c r="Q46" s="638" t="str">
        <f t="shared" ca="1" si="11"/>
        <v/>
      </c>
      <c r="R46" s="638" t="str">
        <f t="shared" ca="1" si="11"/>
        <v/>
      </c>
      <c r="S46" s="5"/>
      <c r="T46" s="4"/>
      <c r="X46" s="767"/>
      <c r="Y46" s="224"/>
      <c r="Z46" s="236"/>
      <c r="AA46" s="885"/>
      <c r="AB46" s="885"/>
      <c r="AC46" s="885"/>
      <c r="AD46" s="885"/>
      <c r="AE46" s="885"/>
      <c r="AF46" s="885"/>
      <c r="AG46" s="885"/>
      <c r="AH46" s="885"/>
      <c r="AI46" s="885"/>
      <c r="AJ46" s="767"/>
      <c r="AK46" s="224"/>
      <c r="AL46" s="236"/>
      <c r="AM46" s="885"/>
      <c r="AN46" s="885"/>
      <c r="AO46" s="885"/>
      <c r="AP46" s="885"/>
      <c r="AQ46" s="885"/>
      <c r="AR46" s="885"/>
      <c r="AS46" s="885"/>
      <c r="AT46" s="885"/>
      <c r="AU46" s="885"/>
      <c r="AV46" s="767"/>
      <c r="AW46" s="224"/>
      <c r="AX46" s="236"/>
      <c r="AY46" s="885"/>
      <c r="AZ46" s="885"/>
      <c r="BA46" s="885"/>
      <c r="BB46" s="885"/>
      <c r="BC46" s="885"/>
      <c r="BD46" s="885"/>
      <c r="BE46" s="885"/>
      <c r="BF46" s="885"/>
      <c r="BG46" s="885"/>
    </row>
    <row r="47" spans="1:59" ht="14.25" hidden="1" x14ac:dyDescent="0.2">
      <c r="A47" s="998" t="s">
        <v>89</v>
      </c>
      <c r="B47" s="808" t="s">
        <v>386</v>
      </c>
      <c r="C47" s="676"/>
      <c r="D47" s="66"/>
      <c r="E47" s="630" t="str">
        <f>"locatie 4"&amp;IF('woningen|utiliteit'!$L$59="","",": "&amp;'woningen|utiliteit'!$L$59)</f>
        <v>locatie 4</v>
      </c>
      <c r="F47" s="182"/>
      <c r="G47" s="182" t="s">
        <v>385</v>
      </c>
      <c r="H47" s="82"/>
      <c r="I47" s="631">
        <f>'variant 1'!$AW$70</f>
        <v>0</v>
      </c>
      <c r="J47" s="627">
        <f ca="1">ROW(INDIRECT(RIGHT((_xlfn.FORMULATEXT($I47)),LEN(_xlfn.FORMULATEXT($I47))-1)))</f>
        <v>70</v>
      </c>
      <c r="K47" s="627">
        <f ca="1">COLUMN(INDIRECT(RIGHT((_xlfn.FORMULATEXT($I47)),LEN(_xlfn.FORMULATEXT($I47))-1)))</f>
        <v>49</v>
      </c>
      <c r="L47" s="82"/>
      <c r="M47" s="638" t="str">
        <f t="shared" ca="1" si="9"/>
        <v/>
      </c>
      <c r="N47" s="638" t="str">
        <f t="shared" ca="1" si="9"/>
        <v/>
      </c>
      <c r="O47" s="638" t="str">
        <f t="shared" ca="1" si="9"/>
        <v/>
      </c>
      <c r="P47" s="638" t="str">
        <f t="shared" ca="1" si="9"/>
        <v/>
      </c>
      <c r="Q47" s="638" t="str">
        <f t="shared" ca="1" si="9"/>
        <v/>
      </c>
      <c r="R47" s="638" t="str">
        <f t="shared" ca="1" si="9"/>
        <v/>
      </c>
      <c r="S47" s="76"/>
      <c r="T47" s="76"/>
    </row>
    <row r="48" spans="1:59" ht="15" hidden="1" x14ac:dyDescent="0.2">
      <c r="A48" s="994" t="s">
        <v>89</v>
      </c>
      <c r="B48" s="808" t="s">
        <v>388</v>
      </c>
      <c r="C48" s="676"/>
      <c r="D48" s="66"/>
      <c r="E48" s="33"/>
      <c r="F48" s="33"/>
      <c r="G48" s="33"/>
      <c r="H48" s="33"/>
      <c r="I48" s="81"/>
      <c r="J48" s="78"/>
      <c r="K48" s="78"/>
      <c r="L48" s="33"/>
      <c r="M48" s="33"/>
      <c r="N48" s="33"/>
      <c r="O48" s="33"/>
      <c r="P48" s="33"/>
      <c r="Q48" s="33"/>
      <c r="R48" s="33"/>
      <c r="S48" s="4"/>
      <c r="T48" s="4"/>
    </row>
    <row r="49" spans="1:20" ht="21" hidden="1" x14ac:dyDescent="0.2">
      <c r="A49" s="994" t="s">
        <v>89</v>
      </c>
      <c r="B49" s="808" t="s">
        <v>388</v>
      </c>
      <c r="C49" s="676"/>
      <c r="D49" s="66"/>
      <c r="E49" s="215" t="s">
        <v>389</v>
      </c>
      <c r="F49" s="215"/>
      <c r="G49" s="215"/>
      <c r="H49" s="4"/>
      <c r="I49" s="626"/>
      <c r="J49" s="626"/>
      <c r="K49" s="626"/>
      <c r="L49" s="33"/>
      <c r="M49" s="641"/>
      <c r="N49" s="641"/>
      <c r="O49" s="641"/>
      <c r="P49" s="641"/>
      <c r="Q49" s="641"/>
      <c r="R49" s="641"/>
      <c r="S49" s="4"/>
      <c r="T49" s="4"/>
    </row>
    <row r="50" spans="1:20" ht="25.5" hidden="1" x14ac:dyDescent="0.2">
      <c r="A50" s="994" t="s">
        <v>89</v>
      </c>
      <c r="B50" s="808" t="s">
        <v>388</v>
      </c>
      <c r="C50" s="676"/>
      <c r="D50" s="66"/>
      <c r="E50" s="630" t="str">
        <f>"locatie 1"&amp;IF('woningen|utiliteit'!$L$17="","",": "&amp;'woningen|utiliteit'!$L$17)</f>
        <v>locatie 1</v>
      </c>
      <c r="F50" s="182"/>
      <c r="G50" s="182" t="s">
        <v>70</v>
      </c>
      <c r="H50" s="82"/>
      <c r="I50" s="631" t="str">
        <f>'variant 1'!$O$80</f>
        <v>ind WP, ind bodem, elek bijstook</v>
      </c>
      <c r="J50" s="627">
        <f ca="1">ROW(INDIRECT(RIGHT((_xlfn.FORMULATEXT($I50)),LEN(_xlfn.FORMULATEXT($I50))-1)))</f>
        <v>80</v>
      </c>
      <c r="K50" s="627">
        <f ca="1">COLUMN(INDIRECT(RIGHT((_xlfn.FORMULATEXT($I50)),LEN(_xlfn.FORMULATEXT($I50))-1)))</f>
        <v>15</v>
      </c>
      <c r="L50" s="82"/>
      <c r="M50" s="185" t="str">
        <f t="shared" ref="M50:R53" ca="1" si="12">IF(M18=0,"",IFERROR(INDIRECT(ADDRESS($J50,$K50,,,M$8)),""))</f>
        <v/>
      </c>
      <c r="N50" s="185" t="str">
        <f t="shared" ca="1" si="12"/>
        <v/>
      </c>
      <c r="O50" s="185" t="str">
        <f t="shared" ca="1" si="12"/>
        <v/>
      </c>
      <c r="P50" s="185" t="str">
        <f t="shared" ca="1" si="12"/>
        <v/>
      </c>
      <c r="Q50" s="185" t="str">
        <f t="shared" ca="1" si="12"/>
        <v/>
      </c>
      <c r="R50" s="185" t="str">
        <f t="shared" ca="1" si="12"/>
        <v/>
      </c>
      <c r="S50" s="5"/>
      <c r="T50" s="5"/>
    </row>
    <row r="51" spans="1:20" ht="25.5" hidden="1" x14ac:dyDescent="0.2">
      <c r="A51" s="994" t="s">
        <v>89</v>
      </c>
      <c r="B51" s="808" t="s">
        <v>388</v>
      </c>
      <c r="C51" s="676"/>
      <c r="D51" s="66"/>
      <c r="E51" s="630" t="str">
        <f>"locatie 2"&amp;IF('woningen|utiliteit'!$L$31="","",": "&amp;'woningen|utiliteit'!$L$31)</f>
        <v>locatie 2</v>
      </c>
      <c r="F51" s="220"/>
      <c r="G51" s="220" t="s">
        <v>70</v>
      </c>
      <c r="H51" s="33"/>
      <c r="I51" s="631" t="str">
        <f>'variant 1'!$AA$80</f>
        <v>ind WP, ind bodem, elek bijstook</v>
      </c>
      <c r="J51" s="627">
        <f ca="1">ROW(INDIRECT(RIGHT((_xlfn.FORMULATEXT($I51)),LEN(_xlfn.FORMULATEXT($I51))-1)))</f>
        <v>80</v>
      </c>
      <c r="K51" s="627">
        <f ca="1">COLUMN(INDIRECT(RIGHT((_xlfn.FORMULATEXT($I51)),LEN(_xlfn.FORMULATEXT($I51))-1)))</f>
        <v>27</v>
      </c>
      <c r="L51" s="33"/>
      <c r="M51" s="185" t="str">
        <f t="shared" ca="1" si="12"/>
        <v/>
      </c>
      <c r="N51" s="185" t="str">
        <f t="shared" ca="1" si="12"/>
        <v/>
      </c>
      <c r="O51" s="185" t="str">
        <f t="shared" ca="1" si="12"/>
        <v/>
      </c>
      <c r="P51" s="185" t="str">
        <f t="shared" ca="1" si="12"/>
        <v/>
      </c>
      <c r="Q51" s="185" t="str">
        <f t="shared" ca="1" si="12"/>
        <v/>
      </c>
      <c r="R51" s="185" t="str">
        <f t="shared" ca="1" si="12"/>
        <v/>
      </c>
      <c r="S51" s="6"/>
      <c r="T51" s="4"/>
    </row>
    <row r="52" spans="1:20" ht="25.5" hidden="1" x14ac:dyDescent="0.2">
      <c r="A52" s="994" t="s">
        <v>89</v>
      </c>
      <c r="B52" s="808" t="s">
        <v>388</v>
      </c>
      <c r="C52" s="676"/>
      <c r="D52" s="66"/>
      <c r="E52" s="630" t="str">
        <f>"locatie 3"&amp;IF('woningen|utiliteit'!$L$45="","",": "&amp;'woningen|utiliteit'!$L$45)</f>
        <v>locatie 3</v>
      </c>
      <c r="F52" s="220"/>
      <c r="G52" s="220" t="s">
        <v>70</v>
      </c>
      <c r="H52" s="33"/>
      <c r="I52" s="631" t="str">
        <f>'variant 1'!$AM$80</f>
        <v>ind WP, ind bodem, elek bijstook</v>
      </c>
      <c r="J52" s="627">
        <f ca="1">ROW(INDIRECT(RIGHT((_xlfn.FORMULATEXT($I52)),LEN(_xlfn.FORMULATEXT($I52))-1)))</f>
        <v>80</v>
      </c>
      <c r="K52" s="627">
        <f ca="1">COLUMN(INDIRECT(RIGHT((_xlfn.FORMULATEXT($I52)),LEN(_xlfn.FORMULATEXT($I52))-1)))</f>
        <v>39</v>
      </c>
      <c r="L52" s="33"/>
      <c r="M52" s="185" t="str">
        <f t="shared" ca="1" si="12"/>
        <v/>
      </c>
      <c r="N52" s="185" t="str">
        <f t="shared" ca="1" si="12"/>
        <v/>
      </c>
      <c r="O52" s="185" t="str">
        <f t="shared" ca="1" si="12"/>
        <v/>
      </c>
      <c r="P52" s="185" t="str">
        <f t="shared" ca="1" si="12"/>
        <v/>
      </c>
      <c r="Q52" s="185" t="str">
        <f t="shared" ca="1" si="12"/>
        <v/>
      </c>
      <c r="R52" s="185" t="str">
        <f t="shared" ca="1" si="12"/>
        <v/>
      </c>
      <c r="S52" s="4"/>
      <c r="T52" s="4"/>
    </row>
    <row r="53" spans="1:20" ht="25.5" hidden="1" x14ac:dyDescent="0.2">
      <c r="A53" s="998" t="s">
        <v>89</v>
      </c>
      <c r="B53" s="808" t="s">
        <v>388</v>
      </c>
      <c r="C53" s="677"/>
      <c r="D53" s="66"/>
      <c r="E53" s="630" t="str">
        <f>"locatie 4"&amp;IF('woningen|utiliteit'!$L$59="","",": "&amp;'woningen|utiliteit'!$L$59)</f>
        <v>locatie 4</v>
      </c>
      <c r="F53" s="182"/>
      <c r="G53" s="182" t="s">
        <v>70</v>
      </c>
      <c r="H53" s="82"/>
      <c r="I53" s="631" t="str">
        <f>'variant 1'!$AY$80</f>
        <v>ind WP, ind bodem, elek bijstook</v>
      </c>
      <c r="J53" s="627">
        <f ca="1">ROW(INDIRECT(RIGHT((_xlfn.FORMULATEXT($I53)),LEN(_xlfn.FORMULATEXT($I53))-1)))</f>
        <v>80</v>
      </c>
      <c r="K53" s="627">
        <f ca="1">COLUMN(INDIRECT(RIGHT((_xlfn.FORMULATEXT($I53)),LEN(_xlfn.FORMULATEXT($I53))-1)))</f>
        <v>51</v>
      </c>
      <c r="L53" s="82"/>
      <c r="M53" s="185" t="str">
        <f t="shared" ca="1" si="12"/>
        <v/>
      </c>
      <c r="N53" s="185" t="str">
        <f t="shared" ca="1" si="12"/>
        <v/>
      </c>
      <c r="O53" s="185" t="str">
        <f t="shared" ca="1" si="12"/>
        <v/>
      </c>
      <c r="P53" s="185" t="str">
        <f t="shared" ca="1" si="12"/>
        <v/>
      </c>
      <c r="Q53" s="185" t="str">
        <f t="shared" ca="1" si="12"/>
        <v/>
      </c>
      <c r="R53" s="185" t="str">
        <f t="shared" ca="1" si="12"/>
        <v/>
      </c>
      <c r="S53" s="76"/>
      <c r="T53" s="76"/>
    </row>
    <row r="54" spans="1:20" ht="15" hidden="1" x14ac:dyDescent="0.2">
      <c r="A54" s="994" t="s">
        <v>89</v>
      </c>
      <c r="B54" s="808" t="s">
        <v>388</v>
      </c>
      <c r="C54" s="676"/>
      <c r="D54" s="66"/>
      <c r="E54" s="33"/>
      <c r="F54" s="33"/>
      <c r="G54" s="33"/>
      <c r="H54" s="33"/>
      <c r="I54" s="81"/>
      <c r="J54" s="78"/>
      <c r="K54" s="78"/>
      <c r="L54" s="33"/>
      <c r="M54" s="33"/>
      <c r="N54" s="33"/>
      <c r="O54" s="33"/>
      <c r="P54" s="33"/>
      <c r="Q54" s="33"/>
      <c r="R54" s="33"/>
      <c r="S54" s="4"/>
      <c r="T54" s="4"/>
    </row>
    <row r="55" spans="1:20" ht="21" hidden="1" x14ac:dyDescent="0.2">
      <c r="A55" s="994" t="s">
        <v>89</v>
      </c>
      <c r="B55" s="808" t="s">
        <v>388</v>
      </c>
      <c r="C55" s="676"/>
      <c r="D55" s="66"/>
      <c r="E55" s="215" t="s">
        <v>390</v>
      </c>
      <c r="F55" s="215"/>
      <c r="G55" s="215"/>
      <c r="H55" s="4"/>
      <c r="I55" s="626"/>
      <c r="J55" s="626"/>
      <c r="K55" s="626"/>
      <c r="L55" s="33"/>
      <c r="M55" s="641"/>
      <c r="N55" s="641"/>
      <c r="O55" s="641"/>
      <c r="P55" s="641"/>
      <c r="Q55" s="641"/>
      <c r="R55" s="641"/>
      <c r="S55" s="4"/>
      <c r="T55" s="4"/>
    </row>
    <row r="56" spans="1:20" ht="25.5" hidden="1" x14ac:dyDescent="0.2">
      <c r="A56" s="994" t="s">
        <v>89</v>
      </c>
      <c r="B56" s="808" t="s">
        <v>388</v>
      </c>
      <c r="C56" s="676"/>
      <c r="D56" s="66"/>
      <c r="E56" s="630" t="str">
        <f>"locatie 1"&amp;IF('woningen|utiliteit'!$L$17="","",": "&amp;'woningen|utiliteit'!$L$17)</f>
        <v>locatie 1</v>
      </c>
      <c r="F56" s="182"/>
      <c r="G56" s="182" t="s">
        <v>70</v>
      </c>
      <c r="H56" s="82"/>
      <c r="I56" s="631" t="str">
        <f>'variant 1'!$P$80</f>
        <v>geen</v>
      </c>
      <c r="J56" s="627">
        <f ca="1">ROW(INDIRECT(RIGHT((_xlfn.FORMULATEXT($I56)),LEN(_xlfn.FORMULATEXT($I56))-1)))</f>
        <v>80</v>
      </c>
      <c r="K56" s="627">
        <f ca="1">COLUMN(INDIRECT(RIGHT((_xlfn.FORMULATEXT($I56)),LEN(_xlfn.FORMULATEXT($I56))-1)))</f>
        <v>16</v>
      </c>
      <c r="L56" s="82"/>
      <c r="M56" s="185" t="str">
        <f t="shared" ref="M56:R59" ca="1" si="13">IF(M18=0,"",IFERROR(INDIRECT(ADDRESS($J56,$K56,,,M$8)),""))</f>
        <v/>
      </c>
      <c r="N56" s="185" t="str">
        <f t="shared" ca="1" si="13"/>
        <v/>
      </c>
      <c r="O56" s="185" t="str">
        <f t="shared" ca="1" si="13"/>
        <v/>
      </c>
      <c r="P56" s="185" t="str">
        <f t="shared" ca="1" si="13"/>
        <v/>
      </c>
      <c r="Q56" s="185" t="str">
        <f t="shared" ca="1" si="13"/>
        <v/>
      </c>
      <c r="R56" s="185" t="str">
        <f t="shared" ca="1" si="13"/>
        <v/>
      </c>
      <c r="S56" s="5"/>
      <c r="T56" s="5"/>
    </row>
    <row r="57" spans="1:20" ht="14.25" hidden="1" x14ac:dyDescent="0.2">
      <c r="A57" s="994" t="s">
        <v>89</v>
      </c>
      <c r="B57" s="808" t="s">
        <v>388</v>
      </c>
      <c r="C57" s="676"/>
      <c r="D57" s="66"/>
      <c r="E57" s="630" t="str">
        <f>"locatie 2"&amp;IF('woningen|utiliteit'!$L$31="","",": "&amp;'woningen|utiliteit'!$L$31)</f>
        <v>locatie 2</v>
      </c>
      <c r="F57" s="220"/>
      <c r="G57" s="220" t="s">
        <v>70</v>
      </c>
      <c r="H57" s="33"/>
      <c r="I57" s="631" t="str">
        <f>'variant 1'!$AB$80</f>
        <v>geen</v>
      </c>
      <c r="J57" s="627">
        <f ca="1">ROW(INDIRECT(RIGHT((_xlfn.FORMULATEXT($I57)),LEN(_xlfn.FORMULATEXT($I57))-1)))</f>
        <v>80</v>
      </c>
      <c r="K57" s="627">
        <f ca="1">COLUMN(INDIRECT(RIGHT((_xlfn.FORMULATEXT($I57)),LEN(_xlfn.FORMULATEXT($I57))-1)))</f>
        <v>28</v>
      </c>
      <c r="L57" s="33"/>
      <c r="M57" s="185" t="str">
        <f t="shared" ca="1" si="13"/>
        <v/>
      </c>
      <c r="N57" s="185" t="str">
        <f t="shared" ca="1" si="13"/>
        <v/>
      </c>
      <c r="O57" s="185" t="str">
        <f t="shared" ca="1" si="13"/>
        <v/>
      </c>
      <c r="P57" s="185" t="str">
        <f t="shared" ca="1" si="13"/>
        <v/>
      </c>
      <c r="Q57" s="185" t="str">
        <f t="shared" ca="1" si="13"/>
        <v/>
      </c>
      <c r="R57" s="185" t="str">
        <f t="shared" ca="1" si="13"/>
        <v/>
      </c>
      <c r="S57" s="6"/>
      <c r="T57" s="4"/>
    </row>
    <row r="58" spans="1:20" ht="14.25" hidden="1" x14ac:dyDescent="0.2">
      <c r="A58" s="994" t="s">
        <v>89</v>
      </c>
      <c r="B58" s="808" t="s">
        <v>388</v>
      </c>
      <c r="C58" s="676"/>
      <c r="D58" s="66"/>
      <c r="E58" s="630" t="str">
        <f>"locatie 3"&amp;IF('woningen|utiliteit'!$L$45="","",": "&amp;'woningen|utiliteit'!$L$45)</f>
        <v>locatie 3</v>
      </c>
      <c r="F58" s="220"/>
      <c r="G58" s="220" t="s">
        <v>70</v>
      </c>
      <c r="H58" s="33"/>
      <c r="I58" s="631" t="str">
        <f>'variant 1'!$AN$80</f>
        <v>geen</v>
      </c>
      <c r="J58" s="627">
        <f ca="1">ROW(INDIRECT(RIGHT((_xlfn.FORMULATEXT($I58)),LEN(_xlfn.FORMULATEXT($I58))-1)))</f>
        <v>80</v>
      </c>
      <c r="K58" s="627">
        <f ca="1">COLUMN(INDIRECT(RIGHT((_xlfn.FORMULATEXT($I58)),LEN(_xlfn.FORMULATEXT($I58))-1)))</f>
        <v>40</v>
      </c>
      <c r="L58" s="33"/>
      <c r="M58" s="185" t="str">
        <f t="shared" ca="1" si="13"/>
        <v/>
      </c>
      <c r="N58" s="185" t="str">
        <f t="shared" ca="1" si="13"/>
        <v/>
      </c>
      <c r="O58" s="185" t="str">
        <f t="shared" ca="1" si="13"/>
        <v/>
      </c>
      <c r="P58" s="185" t="str">
        <f t="shared" ca="1" si="13"/>
        <v/>
      </c>
      <c r="Q58" s="185" t="str">
        <f t="shared" ca="1" si="13"/>
        <v/>
      </c>
      <c r="R58" s="185" t="str">
        <f t="shared" ca="1" si="13"/>
        <v/>
      </c>
      <c r="S58" s="4"/>
      <c r="T58" s="4"/>
    </row>
    <row r="59" spans="1:20" ht="14.25" hidden="1" x14ac:dyDescent="0.2">
      <c r="A59" s="998" t="s">
        <v>89</v>
      </c>
      <c r="B59" s="808" t="s">
        <v>388</v>
      </c>
      <c r="C59" s="677"/>
      <c r="D59" s="66"/>
      <c r="E59" s="630" t="str">
        <f>"locatie 4"&amp;IF('woningen|utiliteit'!$L$59="","",": "&amp;'woningen|utiliteit'!$L$59)</f>
        <v>locatie 4</v>
      </c>
      <c r="F59" s="182"/>
      <c r="G59" s="182" t="s">
        <v>70</v>
      </c>
      <c r="H59" s="82"/>
      <c r="I59" s="631" t="str">
        <f>'variant 1'!$AZ$80</f>
        <v>geen</v>
      </c>
      <c r="J59" s="627">
        <f ca="1">ROW(INDIRECT(RIGHT((_xlfn.FORMULATEXT($I59)),LEN(_xlfn.FORMULATEXT($I59))-1)))</f>
        <v>80</v>
      </c>
      <c r="K59" s="627">
        <f ca="1">COLUMN(INDIRECT(RIGHT((_xlfn.FORMULATEXT($I59)),LEN(_xlfn.FORMULATEXT($I59))-1)))</f>
        <v>52</v>
      </c>
      <c r="L59" s="82"/>
      <c r="M59" s="185" t="str">
        <f t="shared" ca="1" si="13"/>
        <v/>
      </c>
      <c r="N59" s="185" t="str">
        <f t="shared" ca="1" si="13"/>
        <v/>
      </c>
      <c r="O59" s="185" t="str">
        <f t="shared" ca="1" si="13"/>
        <v/>
      </c>
      <c r="P59" s="185" t="str">
        <f t="shared" ca="1" si="13"/>
        <v/>
      </c>
      <c r="Q59" s="185" t="str">
        <f t="shared" ca="1" si="13"/>
        <v/>
      </c>
      <c r="R59" s="185" t="str">
        <f t="shared" ca="1" si="13"/>
        <v/>
      </c>
      <c r="S59" s="76"/>
      <c r="T59" s="76"/>
    </row>
    <row r="60" spans="1:20" ht="15" hidden="1" x14ac:dyDescent="0.2">
      <c r="A60" s="994" t="s">
        <v>89</v>
      </c>
      <c r="B60" s="808" t="s">
        <v>388</v>
      </c>
      <c r="C60" s="676"/>
      <c r="D60" s="66"/>
      <c r="E60" s="33"/>
      <c r="F60" s="33"/>
      <c r="G60" s="33"/>
      <c r="H60" s="33"/>
      <c r="I60" s="81"/>
      <c r="J60" s="78"/>
      <c r="K60" s="78"/>
      <c r="L60" s="33"/>
      <c r="M60" s="33"/>
      <c r="N60" s="33"/>
      <c r="O60" s="33"/>
      <c r="P60" s="33"/>
      <c r="Q60" s="33"/>
      <c r="R60" s="33"/>
      <c r="S60" s="4"/>
      <c r="T60" s="4"/>
    </row>
    <row r="61" spans="1:20" ht="21" hidden="1" x14ac:dyDescent="0.2">
      <c r="A61" s="994" t="s">
        <v>89</v>
      </c>
      <c r="B61" s="808" t="s">
        <v>388</v>
      </c>
      <c r="C61" s="676"/>
      <c r="D61" s="66"/>
      <c r="E61" s="215" t="s">
        <v>391</v>
      </c>
      <c r="F61" s="215"/>
      <c r="G61" s="215"/>
      <c r="H61" s="4"/>
      <c r="I61" s="626"/>
      <c r="J61" s="626"/>
      <c r="K61" s="626"/>
      <c r="L61" s="33"/>
      <c r="M61" s="641"/>
      <c r="N61" s="641"/>
      <c r="O61" s="641"/>
      <c r="P61" s="641"/>
      <c r="Q61" s="641"/>
      <c r="R61" s="641"/>
      <c r="S61" s="4"/>
      <c r="T61" s="4"/>
    </row>
    <row r="62" spans="1:20" ht="25.5" hidden="1" x14ac:dyDescent="0.2">
      <c r="A62" s="994" t="s">
        <v>89</v>
      </c>
      <c r="B62" s="808" t="s">
        <v>388</v>
      </c>
      <c r="C62" s="676"/>
      <c r="D62" s="66"/>
      <c r="E62" s="630" t="str">
        <f>"locatie 1"&amp;IF('woningen|utiliteit'!$L$17="","",": "&amp;'woningen|utiliteit'!$L$17)</f>
        <v>locatie 1</v>
      </c>
      <c r="F62" s="182"/>
      <c r="G62" s="182" t="s">
        <v>70</v>
      </c>
      <c r="H62" s="82"/>
      <c r="I62" s="631" t="str">
        <f>'variant 1'!$Q$80</f>
        <v>ind WP, ind bodem, elek bijstook</v>
      </c>
      <c r="J62" s="627">
        <f ca="1">ROW(INDIRECT(RIGHT((_xlfn.FORMULATEXT($I62)),LEN(_xlfn.FORMULATEXT($I62))-1)))</f>
        <v>80</v>
      </c>
      <c r="K62" s="627">
        <f ca="1">COLUMN(INDIRECT(RIGHT((_xlfn.FORMULATEXT($I62)),LEN(_xlfn.FORMULATEXT($I62))-1)))</f>
        <v>17</v>
      </c>
      <c r="L62" s="82"/>
      <c r="M62" s="185" t="str">
        <f t="shared" ref="M62:R65" ca="1" si="14">IF(M18=0,"",IFERROR(INDIRECT(ADDRESS($J62,$K62,,,M$8)),""))</f>
        <v/>
      </c>
      <c r="N62" s="185" t="str">
        <f t="shared" ca="1" si="14"/>
        <v/>
      </c>
      <c r="O62" s="185" t="str">
        <f t="shared" ca="1" si="14"/>
        <v/>
      </c>
      <c r="P62" s="185" t="str">
        <f t="shared" ca="1" si="14"/>
        <v/>
      </c>
      <c r="Q62" s="185" t="str">
        <f t="shared" ca="1" si="14"/>
        <v/>
      </c>
      <c r="R62" s="185" t="str">
        <f t="shared" ca="1" si="14"/>
        <v/>
      </c>
      <c r="S62" s="5"/>
      <c r="T62" s="5"/>
    </row>
    <row r="63" spans="1:20" ht="25.5" hidden="1" x14ac:dyDescent="0.2">
      <c r="A63" s="994" t="s">
        <v>89</v>
      </c>
      <c r="B63" s="808" t="s">
        <v>388</v>
      </c>
      <c r="C63" s="676"/>
      <c r="D63" s="66"/>
      <c r="E63" s="630" t="str">
        <f>"locatie 2"&amp;IF('woningen|utiliteit'!$L$31="","",": "&amp;'woningen|utiliteit'!$L$31)</f>
        <v>locatie 2</v>
      </c>
      <c r="F63" s="220"/>
      <c r="G63" s="220" t="s">
        <v>70</v>
      </c>
      <c r="H63" s="33"/>
      <c r="I63" s="631" t="str">
        <f>'variant 1'!$AC$80</f>
        <v>ind WP, ind bodem, elek bijstook</v>
      </c>
      <c r="J63" s="627">
        <f ca="1">ROW(INDIRECT(RIGHT((_xlfn.FORMULATEXT($I63)),LEN(_xlfn.FORMULATEXT($I63))-1)))</f>
        <v>80</v>
      </c>
      <c r="K63" s="627">
        <f ca="1">COLUMN(INDIRECT(RIGHT((_xlfn.FORMULATEXT($I63)),LEN(_xlfn.FORMULATEXT($I63))-1)))</f>
        <v>29</v>
      </c>
      <c r="L63" s="33"/>
      <c r="M63" s="185" t="str">
        <f t="shared" ca="1" si="14"/>
        <v/>
      </c>
      <c r="N63" s="185" t="str">
        <f t="shared" ca="1" si="14"/>
        <v/>
      </c>
      <c r="O63" s="185" t="str">
        <f t="shared" ca="1" si="14"/>
        <v/>
      </c>
      <c r="P63" s="185" t="str">
        <f t="shared" ca="1" si="14"/>
        <v/>
      </c>
      <c r="Q63" s="185" t="str">
        <f t="shared" ca="1" si="14"/>
        <v/>
      </c>
      <c r="R63" s="185" t="str">
        <f t="shared" ca="1" si="14"/>
        <v/>
      </c>
      <c r="S63" s="6"/>
      <c r="T63" s="4"/>
    </row>
    <row r="64" spans="1:20" ht="25.5" hidden="1" x14ac:dyDescent="0.2">
      <c r="A64" s="994" t="s">
        <v>89</v>
      </c>
      <c r="B64" s="808" t="s">
        <v>388</v>
      </c>
      <c r="C64" s="676"/>
      <c r="D64" s="66"/>
      <c r="E64" s="630" t="str">
        <f>"locatie 3"&amp;IF('woningen|utiliteit'!$L$45="","",": "&amp;'woningen|utiliteit'!$L$45)</f>
        <v>locatie 3</v>
      </c>
      <c r="F64" s="220"/>
      <c r="G64" s="220" t="s">
        <v>70</v>
      </c>
      <c r="H64" s="33"/>
      <c r="I64" s="631" t="str">
        <f>'variant 1'!$AO$80</f>
        <v>ind WP, ind bodem, elek bijstook</v>
      </c>
      <c r="J64" s="627">
        <f ca="1">ROW(INDIRECT(RIGHT((_xlfn.FORMULATEXT($I64)),LEN(_xlfn.FORMULATEXT($I64))-1)))</f>
        <v>80</v>
      </c>
      <c r="K64" s="627">
        <f ca="1">COLUMN(INDIRECT(RIGHT((_xlfn.FORMULATEXT($I64)),LEN(_xlfn.FORMULATEXT($I64))-1)))</f>
        <v>41</v>
      </c>
      <c r="L64" s="33"/>
      <c r="M64" s="185" t="str">
        <f t="shared" ca="1" si="14"/>
        <v/>
      </c>
      <c r="N64" s="185" t="str">
        <f t="shared" ca="1" si="14"/>
        <v/>
      </c>
      <c r="O64" s="185" t="str">
        <f t="shared" ca="1" si="14"/>
        <v/>
      </c>
      <c r="P64" s="185" t="str">
        <f t="shared" ca="1" si="14"/>
        <v/>
      </c>
      <c r="Q64" s="185" t="str">
        <f t="shared" ca="1" si="14"/>
        <v/>
      </c>
      <c r="R64" s="185" t="str">
        <f t="shared" ca="1" si="14"/>
        <v/>
      </c>
      <c r="S64" s="4"/>
      <c r="T64" s="4"/>
    </row>
    <row r="65" spans="1:20" ht="25.5" hidden="1" x14ac:dyDescent="0.2">
      <c r="A65" s="998" t="s">
        <v>89</v>
      </c>
      <c r="B65" s="808" t="s">
        <v>388</v>
      </c>
      <c r="C65" s="677"/>
      <c r="D65" s="66"/>
      <c r="E65" s="630" t="str">
        <f>"locatie 4"&amp;IF('woningen|utiliteit'!$L$59="","",": "&amp;'woningen|utiliteit'!$L$59)</f>
        <v>locatie 4</v>
      </c>
      <c r="F65" s="182"/>
      <c r="G65" s="182" t="s">
        <v>70</v>
      </c>
      <c r="H65" s="82"/>
      <c r="I65" s="631" t="str">
        <f>'variant 1'!$BA$80</f>
        <v>ind WP, ind bodem, elek bijstook</v>
      </c>
      <c r="J65" s="627">
        <f ca="1">ROW(INDIRECT(RIGHT((_xlfn.FORMULATEXT($I65)),LEN(_xlfn.FORMULATEXT($I65))-1)))</f>
        <v>80</v>
      </c>
      <c r="K65" s="627">
        <f ca="1">COLUMN(INDIRECT(RIGHT((_xlfn.FORMULATEXT($I65)),LEN(_xlfn.FORMULATEXT($I65))-1)))</f>
        <v>53</v>
      </c>
      <c r="L65" s="82"/>
      <c r="M65" s="185" t="str">
        <f t="shared" ca="1" si="14"/>
        <v/>
      </c>
      <c r="N65" s="185" t="str">
        <f t="shared" ca="1" si="14"/>
        <v/>
      </c>
      <c r="O65" s="185" t="str">
        <f t="shared" ca="1" si="14"/>
        <v/>
      </c>
      <c r="P65" s="185" t="str">
        <f t="shared" ca="1" si="14"/>
        <v/>
      </c>
      <c r="Q65" s="185" t="str">
        <f t="shared" ca="1" si="14"/>
        <v/>
      </c>
      <c r="R65" s="185" t="str">
        <f t="shared" ca="1" si="14"/>
        <v/>
      </c>
      <c r="S65" s="76"/>
      <c r="T65" s="76"/>
    </row>
    <row r="66" spans="1:20" ht="15" hidden="1" x14ac:dyDescent="0.2">
      <c r="A66" s="994" t="s">
        <v>89</v>
      </c>
      <c r="B66" s="808" t="s">
        <v>392</v>
      </c>
      <c r="C66" s="676"/>
      <c r="D66" s="66"/>
      <c r="E66" s="4"/>
      <c r="F66" s="4"/>
      <c r="G66" s="4"/>
      <c r="H66" s="33"/>
      <c r="I66" s="78"/>
      <c r="J66" s="78"/>
      <c r="K66" s="78"/>
      <c r="L66" s="33"/>
      <c r="M66" s="4"/>
      <c r="N66" s="4"/>
      <c r="O66" s="4"/>
      <c r="P66" s="4"/>
      <c r="Q66" s="4"/>
      <c r="R66" s="4"/>
      <c r="S66" s="4"/>
      <c r="T66" s="4"/>
    </row>
    <row r="67" spans="1:20" ht="21" hidden="1" x14ac:dyDescent="0.2">
      <c r="A67" s="994" t="s">
        <v>89</v>
      </c>
      <c r="B67" s="808" t="s">
        <v>392</v>
      </c>
      <c r="C67" s="676"/>
      <c r="D67" s="66"/>
      <c r="E67" s="215" t="s">
        <v>393</v>
      </c>
      <c r="F67" s="215"/>
      <c r="G67" s="215"/>
      <c r="H67" s="4"/>
      <c r="I67" s="626"/>
      <c r="J67" s="626"/>
      <c r="K67" s="626"/>
      <c r="L67" s="33"/>
      <c r="M67" s="641"/>
      <c r="N67" s="641"/>
      <c r="O67" s="641"/>
      <c r="P67" s="641"/>
      <c r="Q67" s="641"/>
      <c r="R67" s="641"/>
      <c r="S67" s="4"/>
      <c r="T67" s="4"/>
    </row>
    <row r="68" spans="1:20" ht="14.25" hidden="1" x14ac:dyDescent="0.2">
      <c r="A68" s="999" t="s">
        <v>89</v>
      </c>
      <c r="B68" s="808" t="s">
        <v>392</v>
      </c>
      <c r="C68" s="676"/>
      <c r="D68" s="66"/>
      <c r="E68" s="630" t="str">
        <f>"locatie 1"&amp;IF('woningen|utiliteit'!$L$17="","",": "&amp;'woningen|utiliteit'!$L$17)</f>
        <v>locatie 1</v>
      </c>
      <c r="F68" s="182"/>
      <c r="G68" s="220" t="s">
        <v>394</v>
      </c>
      <c r="H68" s="33"/>
      <c r="I68" s="631">
        <f>'variant 1'!$M$14</f>
        <v>0</v>
      </c>
      <c r="J68" s="627">
        <f ca="1">ROW(INDIRECT(RIGHT((_xlfn.FORMULATEXT($I68)),LEN(_xlfn.FORMULATEXT($I68))-1)))</f>
        <v>14</v>
      </c>
      <c r="K68" s="627">
        <f ca="1">COLUMN(INDIRECT(RIGHT((_xlfn.FORMULATEXT($I68)),LEN(_xlfn.FORMULATEXT($I68))-1)))</f>
        <v>13</v>
      </c>
      <c r="L68" s="33"/>
      <c r="M68" s="207" t="str">
        <f t="shared" ref="M68:R71" ca="1" si="15">IF(M18=0,"",IFERROR(IF(INDIRECT(ADDRESS($J68,$K68,,,M$8))=0,"",INDIRECT(ADDRESS($J68,$K68,,,M$8))),""))</f>
        <v/>
      </c>
      <c r="N68" s="207" t="str">
        <f t="shared" ca="1" si="15"/>
        <v/>
      </c>
      <c r="O68" s="207" t="str">
        <f t="shared" ca="1" si="15"/>
        <v/>
      </c>
      <c r="P68" s="207" t="str">
        <f t="shared" ca="1" si="15"/>
        <v/>
      </c>
      <c r="Q68" s="207" t="str">
        <f t="shared" ca="1" si="15"/>
        <v/>
      </c>
      <c r="R68" s="207" t="str">
        <f t="shared" ca="1" si="15"/>
        <v/>
      </c>
      <c r="S68" s="4"/>
      <c r="T68" s="4"/>
    </row>
    <row r="69" spans="1:20" ht="14.25" hidden="1" x14ac:dyDescent="0.2">
      <c r="A69" s="999" t="s">
        <v>89</v>
      </c>
      <c r="B69" s="808" t="s">
        <v>392</v>
      </c>
      <c r="C69" s="676"/>
      <c r="D69" s="66"/>
      <c r="E69" s="630" t="str">
        <f>"locatie 2"&amp;IF('woningen|utiliteit'!$L$31="","",": "&amp;'woningen|utiliteit'!$L$31)</f>
        <v>locatie 2</v>
      </c>
      <c r="F69" s="220"/>
      <c r="G69" s="220" t="s">
        <v>394</v>
      </c>
      <c r="H69" s="33"/>
      <c r="I69" s="631">
        <f>'variant 1'!$Y$14</f>
        <v>0</v>
      </c>
      <c r="J69" s="627">
        <f ca="1">ROW(INDIRECT(RIGHT((_xlfn.FORMULATEXT($I69)),LEN(_xlfn.FORMULATEXT($I69))-1)))</f>
        <v>14</v>
      </c>
      <c r="K69" s="627">
        <f ca="1">COLUMN(INDIRECT(RIGHT((_xlfn.FORMULATEXT($I69)),LEN(_xlfn.FORMULATEXT($I69))-1)))</f>
        <v>25</v>
      </c>
      <c r="L69" s="33"/>
      <c r="M69" s="207" t="str">
        <f t="shared" ca="1" si="15"/>
        <v/>
      </c>
      <c r="N69" s="207" t="str">
        <f t="shared" ca="1" si="15"/>
        <v/>
      </c>
      <c r="O69" s="207" t="str">
        <f t="shared" ca="1" si="15"/>
        <v/>
      </c>
      <c r="P69" s="207" t="str">
        <f t="shared" ca="1" si="15"/>
        <v/>
      </c>
      <c r="Q69" s="207" t="str">
        <f t="shared" ca="1" si="15"/>
        <v/>
      </c>
      <c r="R69" s="207" t="str">
        <f t="shared" ca="1" si="15"/>
        <v/>
      </c>
      <c r="S69" s="4"/>
      <c r="T69" s="4"/>
    </row>
    <row r="70" spans="1:20" ht="14.25" hidden="1" x14ac:dyDescent="0.2">
      <c r="A70" s="999" t="s">
        <v>89</v>
      </c>
      <c r="B70" s="808" t="s">
        <v>392</v>
      </c>
      <c r="C70" s="676"/>
      <c r="D70" s="66"/>
      <c r="E70" s="630" t="str">
        <f>"locatie 3"&amp;IF('woningen|utiliteit'!$L$45="","",": "&amp;'woningen|utiliteit'!$L$45)</f>
        <v>locatie 3</v>
      </c>
      <c r="F70" s="220"/>
      <c r="G70" s="220" t="s">
        <v>394</v>
      </c>
      <c r="H70" s="33"/>
      <c r="I70" s="631">
        <f>'variant 1'!$AK$14</f>
        <v>0</v>
      </c>
      <c r="J70" s="627">
        <f ca="1">ROW(INDIRECT(RIGHT((_xlfn.FORMULATEXT($I70)),LEN(_xlfn.FORMULATEXT($I70))-1)))</f>
        <v>14</v>
      </c>
      <c r="K70" s="627">
        <f ca="1">COLUMN(INDIRECT(RIGHT((_xlfn.FORMULATEXT($I70)),LEN(_xlfn.FORMULATEXT($I70))-1)))</f>
        <v>37</v>
      </c>
      <c r="L70" s="33"/>
      <c r="M70" s="207" t="str">
        <f t="shared" ca="1" si="15"/>
        <v/>
      </c>
      <c r="N70" s="207" t="str">
        <f t="shared" ca="1" si="15"/>
        <v/>
      </c>
      <c r="O70" s="207" t="str">
        <f t="shared" ca="1" si="15"/>
        <v/>
      </c>
      <c r="P70" s="207" t="str">
        <f t="shared" ca="1" si="15"/>
        <v/>
      </c>
      <c r="Q70" s="207" t="str">
        <f t="shared" ca="1" si="15"/>
        <v/>
      </c>
      <c r="R70" s="207" t="str">
        <f t="shared" ca="1" si="15"/>
        <v/>
      </c>
      <c r="S70" s="4"/>
      <c r="T70" s="4"/>
    </row>
    <row r="71" spans="1:20" ht="14.25" hidden="1" x14ac:dyDescent="0.2">
      <c r="A71" s="999" t="s">
        <v>89</v>
      </c>
      <c r="B71" s="808" t="s">
        <v>392</v>
      </c>
      <c r="C71" s="676"/>
      <c r="D71" s="66"/>
      <c r="E71" s="630" t="str">
        <f>"locatie 4"&amp;IF('woningen|utiliteit'!$L$59="","",": "&amp;'woningen|utiliteit'!$L$59)</f>
        <v>locatie 4</v>
      </c>
      <c r="F71" s="182"/>
      <c r="G71" s="220" t="s">
        <v>394</v>
      </c>
      <c r="H71" s="33"/>
      <c r="I71" s="631">
        <f>'variant 1'!$AW$14</f>
        <v>0</v>
      </c>
      <c r="J71" s="627">
        <f ca="1">ROW(INDIRECT(RIGHT((_xlfn.FORMULATEXT($I71)),LEN(_xlfn.FORMULATEXT($I71))-1)))</f>
        <v>14</v>
      </c>
      <c r="K71" s="627">
        <f ca="1">COLUMN(INDIRECT(RIGHT((_xlfn.FORMULATEXT($I71)),LEN(_xlfn.FORMULATEXT($I71))-1)))</f>
        <v>49</v>
      </c>
      <c r="L71" s="33"/>
      <c r="M71" s="207" t="str">
        <f t="shared" ca="1" si="15"/>
        <v/>
      </c>
      <c r="N71" s="207" t="str">
        <f t="shared" ca="1" si="15"/>
        <v/>
      </c>
      <c r="O71" s="207" t="str">
        <f t="shared" ca="1" si="15"/>
        <v/>
      </c>
      <c r="P71" s="207" t="str">
        <f t="shared" ca="1" si="15"/>
        <v/>
      </c>
      <c r="Q71" s="207" t="str">
        <f t="shared" ca="1" si="15"/>
        <v/>
      </c>
      <c r="R71" s="207" t="str">
        <f t="shared" ca="1" si="15"/>
        <v/>
      </c>
      <c r="S71" s="4"/>
      <c r="T71" s="4"/>
    </row>
    <row r="72" spans="1:20" ht="15" hidden="1" x14ac:dyDescent="0.2">
      <c r="A72" s="994" t="s">
        <v>89</v>
      </c>
      <c r="B72" s="808" t="s">
        <v>392</v>
      </c>
      <c r="C72" s="676"/>
      <c r="D72" s="66"/>
      <c r="E72" s="220" t="s">
        <v>395</v>
      </c>
      <c r="F72" s="220"/>
      <c r="G72" s="220" t="s">
        <v>394</v>
      </c>
      <c r="H72" s="33"/>
      <c r="I72" s="632"/>
      <c r="J72" s="632"/>
      <c r="K72" s="632"/>
      <c r="L72" s="33"/>
      <c r="M72" s="207">
        <f t="shared" ref="M72:R72" ca="1" si="16">SUM(M68:M71)</f>
        <v>0</v>
      </c>
      <c r="N72" s="207">
        <f t="shared" ca="1" si="16"/>
        <v>0</v>
      </c>
      <c r="O72" s="207">
        <f t="shared" ca="1" si="16"/>
        <v>0</v>
      </c>
      <c r="P72" s="207">
        <f t="shared" ca="1" si="16"/>
        <v>0</v>
      </c>
      <c r="Q72" s="207">
        <f t="shared" ca="1" si="16"/>
        <v>0</v>
      </c>
      <c r="R72" s="207">
        <f t="shared" ca="1" si="16"/>
        <v>0</v>
      </c>
      <c r="S72" s="4"/>
      <c r="T72" s="4"/>
    </row>
    <row r="73" spans="1:20" s="614" customFormat="1" ht="5.25" hidden="1" x14ac:dyDescent="0.2">
      <c r="A73" s="995" t="s">
        <v>89</v>
      </c>
      <c r="B73" s="807" t="s">
        <v>392</v>
      </c>
      <c r="C73" s="671"/>
      <c r="D73" s="613"/>
      <c r="E73" s="645"/>
      <c r="F73" s="645"/>
      <c r="G73" s="645"/>
      <c r="H73" s="645"/>
      <c r="I73" s="646"/>
      <c r="J73" s="646"/>
      <c r="K73" s="646"/>
      <c r="L73" s="645"/>
      <c r="M73" s="645"/>
      <c r="N73" s="680"/>
      <c r="O73" s="645"/>
      <c r="P73" s="645"/>
      <c r="Q73" s="645"/>
      <c r="R73" s="645"/>
      <c r="S73" s="613"/>
      <c r="T73" s="613"/>
    </row>
    <row r="74" spans="1:20" ht="15" hidden="1" x14ac:dyDescent="0.2">
      <c r="A74" s="994" t="s">
        <v>89</v>
      </c>
      <c r="B74" s="808" t="s">
        <v>392</v>
      </c>
      <c r="C74" s="676"/>
      <c r="D74" s="66"/>
      <c r="E74" s="758" t="str">
        <f>"resultaten tov "&amp;$F$5</f>
        <v>resultaten tov variant 1</v>
      </c>
      <c r="F74" s="758"/>
      <c r="G74" s="759" t="s">
        <v>394</v>
      </c>
      <c r="H74" s="33"/>
      <c r="I74" s="632"/>
      <c r="J74" s="632"/>
      <c r="K74" s="632"/>
      <c r="L74" s="33"/>
      <c r="M74" s="760">
        <f t="shared" ref="M74:R74" ca="1" si="17">IF(M72="","",M72-INDEX($L72:$S72,MATCH($F$5,$L$8:$S$8,0)))</f>
        <v>0</v>
      </c>
      <c r="N74" s="760">
        <f t="shared" ca="1" si="17"/>
        <v>0</v>
      </c>
      <c r="O74" s="760">
        <f t="shared" ca="1" si="17"/>
        <v>0</v>
      </c>
      <c r="P74" s="760">
        <f t="shared" ca="1" si="17"/>
        <v>0</v>
      </c>
      <c r="Q74" s="760">
        <f t="shared" ca="1" si="17"/>
        <v>0</v>
      </c>
      <c r="R74" s="760">
        <f t="shared" ca="1" si="17"/>
        <v>0</v>
      </c>
      <c r="S74" s="4"/>
      <c r="T74" s="4"/>
    </row>
    <row r="75" spans="1:20" ht="15" hidden="1" x14ac:dyDescent="0.2">
      <c r="A75" s="994" t="s">
        <v>89</v>
      </c>
      <c r="B75" s="808" t="s">
        <v>392</v>
      </c>
      <c r="C75" s="676"/>
      <c r="D75" s="66"/>
      <c r="E75" s="761"/>
      <c r="F75" s="761"/>
      <c r="G75" s="759" t="s">
        <v>150</v>
      </c>
      <c r="H75" s="33"/>
      <c r="I75" s="633"/>
      <c r="J75" s="633"/>
      <c r="K75" s="633"/>
      <c r="L75" s="33"/>
      <c r="M75" s="765" t="str">
        <f t="shared" ref="M75:R75" ca="1" si="18">IFERROR(M74/INDEX($L72:$S72,MATCH($F$5,$L$8:$S$8,0)),"")</f>
        <v/>
      </c>
      <c r="N75" s="765" t="str">
        <f t="shared" ca="1" si="18"/>
        <v/>
      </c>
      <c r="O75" s="765" t="str">
        <f t="shared" ca="1" si="18"/>
        <v/>
      </c>
      <c r="P75" s="765" t="str">
        <f t="shared" ca="1" si="18"/>
        <v/>
      </c>
      <c r="Q75" s="765" t="str">
        <f t="shared" ca="1" si="18"/>
        <v/>
      </c>
      <c r="R75" s="765" t="str">
        <f t="shared" ca="1" si="18"/>
        <v/>
      </c>
      <c r="S75" s="4"/>
      <c r="T75" s="4"/>
    </row>
    <row r="76" spans="1:20" ht="15" x14ac:dyDescent="0.2">
      <c r="A76" s="994" t="s">
        <v>89</v>
      </c>
      <c r="B76" s="808" t="s">
        <v>114</v>
      </c>
      <c r="C76" s="676"/>
      <c r="D76" s="66"/>
      <c r="E76" s="4"/>
      <c r="F76" s="4"/>
      <c r="G76" s="4"/>
      <c r="H76" s="33"/>
      <c r="I76" s="78"/>
      <c r="J76" s="78"/>
      <c r="K76" s="78"/>
      <c r="L76" s="33"/>
      <c r="M76" s="4"/>
      <c r="N76" s="4"/>
      <c r="O76" s="4"/>
      <c r="P76" s="4"/>
      <c r="Q76" s="4"/>
      <c r="R76" s="4"/>
      <c r="S76" s="4"/>
      <c r="T76" s="4"/>
    </row>
    <row r="77" spans="1:20" ht="21" x14ac:dyDescent="0.2">
      <c r="A77" s="994" t="s">
        <v>89</v>
      </c>
      <c r="B77" s="808" t="s">
        <v>114</v>
      </c>
      <c r="C77" s="676"/>
      <c r="D77" s="66"/>
      <c r="E77" s="215" t="s">
        <v>396</v>
      </c>
      <c r="F77" s="215"/>
      <c r="G77" s="215"/>
      <c r="H77" s="4"/>
      <c r="I77" s="626"/>
      <c r="J77" s="626"/>
      <c r="K77" s="626"/>
      <c r="L77" s="33"/>
      <c r="M77" s="641"/>
      <c r="N77" s="641"/>
      <c r="O77" s="641"/>
      <c r="P77" s="641"/>
      <c r="Q77" s="641"/>
      <c r="R77" s="641"/>
      <c r="S77" s="4"/>
      <c r="T77" s="4"/>
    </row>
    <row r="78" spans="1:20" ht="14.25" x14ac:dyDescent="0.2">
      <c r="A78" s="999" t="s">
        <v>89</v>
      </c>
      <c r="B78" s="808" t="s">
        <v>114</v>
      </c>
      <c r="C78" s="676"/>
      <c r="D78" s="66"/>
      <c r="E78" s="630" t="str">
        <f>"locatie 1"&amp;IF('woningen|utiliteit'!$L$17="","",": "&amp;'woningen|utiliteit'!$L$17)</f>
        <v>locatie 1</v>
      </c>
      <c r="F78" s="182"/>
      <c r="G78" s="220" t="s">
        <v>397</v>
      </c>
      <c r="H78" s="33"/>
      <c r="I78" s="631">
        <f>'variant 1'!$M$255</f>
        <v>0</v>
      </c>
      <c r="J78" s="627">
        <f ca="1">ROW(INDIRECT(RIGHT((_xlfn.FORMULATEXT($I78)),LEN(_xlfn.FORMULATEXT($I78))-1)))</f>
        <v>255</v>
      </c>
      <c r="K78" s="627">
        <f ca="1">COLUMN(INDIRECT(RIGHT((_xlfn.FORMULATEXT($I78)),LEN(_xlfn.FORMULATEXT($I78))-1)))</f>
        <v>13</v>
      </c>
      <c r="L78" s="33"/>
      <c r="M78" s="207" t="str">
        <f t="shared" ref="M78:R81" ca="1" si="19">IF(M18=0,"",IFERROR(IF(INDIRECT(ADDRESS($J78,$K78,,,M$8))=0,"",INDIRECT(ADDRESS($J78,$K78,,,M$8))),""))</f>
        <v/>
      </c>
      <c r="N78" s="207" t="str">
        <f t="shared" ca="1" si="19"/>
        <v/>
      </c>
      <c r="O78" s="207" t="str">
        <f t="shared" ca="1" si="19"/>
        <v/>
      </c>
      <c r="P78" s="207" t="str">
        <f t="shared" ca="1" si="19"/>
        <v/>
      </c>
      <c r="Q78" s="207" t="str">
        <f t="shared" ca="1" si="19"/>
        <v/>
      </c>
      <c r="R78" s="207" t="str">
        <f t="shared" ca="1" si="19"/>
        <v/>
      </c>
      <c r="S78" s="4"/>
      <c r="T78" s="4"/>
    </row>
    <row r="79" spans="1:20" ht="14.25" x14ac:dyDescent="0.2">
      <c r="A79" s="999" t="s">
        <v>89</v>
      </c>
      <c r="B79" s="808" t="s">
        <v>114</v>
      </c>
      <c r="C79" s="676"/>
      <c r="D79" s="66"/>
      <c r="E79" s="630" t="str">
        <f>"locatie 2"&amp;IF('woningen|utiliteit'!$L$31="","",": "&amp;'woningen|utiliteit'!$L$31)</f>
        <v>locatie 2</v>
      </c>
      <c r="F79" s="220"/>
      <c r="G79" s="220" t="s">
        <v>397</v>
      </c>
      <c r="H79" s="33"/>
      <c r="I79" s="631">
        <f>'variant 1'!$Y$255</f>
        <v>0</v>
      </c>
      <c r="J79" s="627">
        <f ca="1">ROW(INDIRECT(RIGHT((_xlfn.FORMULATEXT($I79)),LEN(_xlfn.FORMULATEXT($I79))-1)))</f>
        <v>255</v>
      </c>
      <c r="K79" s="627">
        <f ca="1">COLUMN(INDIRECT(RIGHT((_xlfn.FORMULATEXT($I79)),LEN(_xlfn.FORMULATEXT($I79))-1)))</f>
        <v>25</v>
      </c>
      <c r="L79" s="33"/>
      <c r="M79" s="207" t="str">
        <f t="shared" ca="1" si="19"/>
        <v/>
      </c>
      <c r="N79" s="207" t="str">
        <f t="shared" ca="1" si="19"/>
        <v/>
      </c>
      <c r="O79" s="207" t="str">
        <f t="shared" ca="1" si="19"/>
        <v/>
      </c>
      <c r="P79" s="207" t="str">
        <f t="shared" ca="1" si="19"/>
        <v/>
      </c>
      <c r="Q79" s="207" t="str">
        <f t="shared" ca="1" si="19"/>
        <v/>
      </c>
      <c r="R79" s="207" t="str">
        <f t="shared" ca="1" si="19"/>
        <v/>
      </c>
      <c r="S79" s="4"/>
      <c r="T79" s="4"/>
    </row>
    <row r="80" spans="1:20" ht="14.25" x14ac:dyDescent="0.2">
      <c r="A80" s="999" t="s">
        <v>89</v>
      </c>
      <c r="B80" s="808" t="s">
        <v>114</v>
      </c>
      <c r="C80" s="676"/>
      <c r="D80" s="66"/>
      <c r="E80" s="630" t="str">
        <f>"locatie 3"&amp;IF('woningen|utiliteit'!$L$45="","",": "&amp;'woningen|utiliteit'!$L$45)</f>
        <v>locatie 3</v>
      </c>
      <c r="F80" s="220"/>
      <c r="G80" s="220" t="s">
        <v>397</v>
      </c>
      <c r="H80" s="33"/>
      <c r="I80" s="631">
        <f>'variant 1'!$AK$255</f>
        <v>0</v>
      </c>
      <c r="J80" s="627">
        <f ca="1">ROW(INDIRECT(RIGHT((_xlfn.FORMULATEXT($I80)),LEN(_xlfn.FORMULATEXT($I80))-1)))</f>
        <v>255</v>
      </c>
      <c r="K80" s="627">
        <f ca="1">COLUMN(INDIRECT(RIGHT((_xlfn.FORMULATEXT($I80)),LEN(_xlfn.FORMULATEXT($I80))-1)))</f>
        <v>37</v>
      </c>
      <c r="L80" s="33"/>
      <c r="M80" s="207" t="str">
        <f t="shared" ca="1" si="19"/>
        <v/>
      </c>
      <c r="N80" s="207" t="str">
        <f t="shared" ca="1" si="19"/>
        <v/>
      </c>
      <c r="O80" s="207" t="str">
        <f t="shared" ca="1" si="19"/>
        <v/>
      </c>
      <c r="P80" s="207" t="str">
        <f t="shared" ca="1" si="19"/>
        <v/>
      </c>
      <c r="Q80" s="207" t="str">
        <f t="shared" ca="1" si="19"/>
        <v/>
      </c>
      <c r="R80" s="207" t="str">
        <f t="shared" ca="1" si="19"/>
        <v/>
      </c>
      <c r="S80" s="4"/>
      <c r="T80" s="4"/>
    </row>
    <row r="81" spans="1:20" ht="14.25" x14ac:dyDescent="0.2">
      <c r="A81" s="999" t="s">
        <v>89</v>
      </c>
      <c r="B81" s="808" t="s">
        <v>114</v>
      </c>
      <c r="C81" s="676"/>
      <c r="D81" s="66"/>
      <c r="E81" s="630" t="str">
        <f>"locatie 4"&amp;IF('woningen|utiliteit'!$L$59="","",": "&amp;'woningen|utiliteit'!$L$59)</f>
        <v>locatie 4</v>
      </c>
      <c r="F81" s="182"/>
      <c r="G81" s="220" t="s">
        <v>397</v>
      </c>
      <c r="H81" s="33"/>
      <c r="I81" s="631">
        <f>'variant 1'!$AW$255</f>
        <v>0</v>
      </c>
      <c r="J81" s="627">
        <f ca="1">ROW(INDIRECT(RIGHT((_xlfn.FORMULATEXT($I81)),LEN(_xlfn.FORMULATEXT($I81))-1)))</f>
        <v>255</v>
      </c>
      <c r="K81" s="627">
        <f ca="1">COLUMN(INDIRECT(RIGHT((_xlfn.FORMULATEXT($I81)),LEN(_xlfn.FORMULATEXT($I81))-1)))</f>
        <v>49</v>
      </c>
      <c r="L81" s="33"/>
      <c r="M81" s="207" t="str">
        <f t="shared" ca="1" si="19"/>
        <v/>
      </c>
      <c r="N81" s="207" t="str">
        <f t="shared" ca="1" si="19"/>
        <v/>
      </c>
      <c r="O81" s="207" t="str">
        <f t="shared" ca="1" si="19"/>
        <v/>
      </c>
      <c r="P81" s="207" t="str">
        <f t="shared" ca="1" si="19"/>
        <v/>
      </c>
      <c r="Q81" s="207" t="str">
        <f t="shared" ca="1" si="19"/>
        <v/>
      </c>
      <c r="R81" s="207" t="str">
        <f t="shared" ca="1" si="19"/>
        <v/>
      </c>
      <c r="S81" s="4"/>
      <c r="T81" s="4"/>
    </row>
    <row r="82" spans="1:20" ht="15" x14ac:dyDescent="0.2">
      <c r="A82" s="994" t="s">
        <v>89</v>
      </c>
      <c r="B82" s="808" t="s">
        <v>114</v>
      </c>
      <c r="C82" s="676"/>
      <c r="D82" s="66"/>
      <c r="E82" s="220" t="s">
        <v>395</v>
      </c>
      <c r="F82" s="220"/>
      <c r="G82" s="220" t="s">
        <v>397</v>
      </c>
      <c r="H82" s="33"/>
      <c r="I82" s="78"/>
      <c r="J82" s="78"/>
      <c r="K82" s="78"/>
      <c r="L82" s="33"/>
      <c r="M82" s="207">
        <f t="shared" ref="M82:R82" ca="1" si="20">SUM(M78:M81)</f>
        <v>0</v>
      </c>
      <c r="N82" s="207">
        <f t="shared" ca="1" si="20"/>
        <v>0</v>
      </c>
      <c r="O82" s="207">
        <f t="shared" ca="1" si="20"/>
        <v>0</v>
      </c>
      <c r="P82" s="207">
        <f t="shared" ca="1" si="20"/>
        <v>0</v>
      </c>
      <c r="Q82" s="207">
        <f t="shared" ca="1" si="20"/>
        <v>0</v>
      </c>
      <c r="R82" s="207">
        <f t="shared" ca="1" si="20"/>
        <v>0</v>
      </c>
      <c r="S82" s="4"/>
      <c r="T82" s="4"/>
    </row>
    <row r="83" spans="1:20" s="614" customFormat="1" ht="5.25" x14ac:dyDescent="0.2">
      <c r="A83" s="995" t="s">
        <v>89</v>
      </c>
      <c r="B83" s="807" t="s">
        <v>114</v>
      </c>
      <c r="C83" s="671"/>
      <c r="D83" s="613"/>
      <c r="E83" s="645"/>
      <c r="F83" s="645"/>
      <c r="G83" s="645"/>
      <c r="H83" s="645"/>
      <c r="I83" s="646"/>
      <c r="J83" s="646"/>
      <c r="K83" s="646"/>
      <c r="L83" s="645"/>
      <c r="M83" s="645"/>
      <c r="N83" s="680"/>
      <c r="O83" s="645"/>
      <c r="P83" s="645"/>
      <c r="Q83" s="645"/>
      <c r="R83" s="645"/>
      <c r="S83" s="613"/>
      <c r="T83" s="613"/>
    </row>
    <row r="84" spans="1:20" ht="15" x14ac:dyDescent="0.2">
      <c r="A84" s="994" t="s">
        <v>89</v>
      </c>
      <c r="B84" s="808" t="s">
        <v>114</v>
      </c>
      <c r="C84" s="676"/>
      <c r="D84" s="66"/>
      <c r="E84" s="758" t="str">
        <f>"resultaten tov "&amp;$F$5</f>
        <v>resultaten tov variant 1</v>
      </c>
      <c r="F84" s="758"/>
      <c r="G84" s="759" t="s">
        <v>397</v>
      </c>
      <c r="H84" s="33"/>
      <c r="I84" s="632"/>
      <c r="J84" s="632"/>
      <c r="K84" s="632"/>
      <c r="L84" s="33"/>
      <c r="M84" s="760">
        <f t="shared" ref="M84:R84" ca="1" si="21">IF(M82="","",M82-INDEX($L82:$S82,MATCH($F$5,$L$8:$S$8,0)))</f>
        <v>0</v>
      </c>
      <c r="N84" s="760">
        <f t="shared" ca="1" si="21"/>
        <v>0</v>
      </c>
      <c r="O84" s="760">
        <f t="shared" ca="1" si="21"/>
        <v>0</v>
      </c>
      <c r="P84" s="760">
        <f t="shared" ca="1" si="21"/>
        <v>0</v>
      </c>
      <c r="Q84" s="760">
        <f t="shared" ca="1" si="21"/>
        <v>0</v>
      </c>
      <c r="R84" s="760">
        <f t="shared" ca="1" si="21"/>
        <v>0</v>
      </c>
      <c r="S84" s="4"/>
      <c r="T84" s="4"/>
    </row>
    <row r="85" spans="1:20" ht="15" x14ac:dyDescent="0.2">
      <c r="A85" s="994" t="s">
        <v>89</v>
      </c>
      <c r="B85" s="808" t="s">
        <v>114</v>
      </c>
      <c r="C85" s="676"/>
      <c r="D85" s="66"/>
      <c r="E85" s="761"/>
      <c r="F85" s="761"/>
      <c r="G85" s="759" t="s">
        <v>150</v>
      </c>
      <c r="H85" s="33"/>
      <c r="I85" s="633"/>
      <c r="J85" s="633"/>
      <c r="K85" s="633"/>
      <c r="L85" s="33"/>
      <c r="M85" s="765" t="str">
        <f t="shared" ref="M85:R85" ca="1" si="22">IFERROR(M84/INDEX($L82:$S82,MATCH($F$5,$L$8:$S$8,0)),"")</f>
        <v/>
      </c>
      <c r="N85" s="765" t="str">
        <f t="shared" ca="1" si="22"/>
        <v/>
      </c>
      <c r="O85" s="765" t="str">
        <f t="shared" ca="1" si="22"/>
        <v/>
      </c>
      <c r="P85" s="765" t="str">
        <f t="shared" ca="1" si="22"/>
        <v/>
      </c>
      <c r="Q85" s="765" t="str">
        <f t="shared" ca="1" si="22"/>
        <v/>
      </c>
      <c r="R85" s="765" t="str">
        <f t="shared" ca="1" si="22"/>
        <v/>
      </c>
      <c r="S85" s="4"/>
      <c r="T85" s="4"/>
    </row>
    <row r="86" spans="1:20" ht="15" hidden="1" x14ac:dyDescent="0.2">
      <c r="A86" s="994" t="s">
        <v>89</v>
      </c>
      <c r="B86" s="808" t="s">
        <v>398</v>
      </c>
      <c r="C86" s="676"/>
      <c r="D86" s="66"/>
      <c r="E86" s="4"/>
      <c r="F86" s="4"/>
      <c r="G86" s="4"/>
      <c r="H86" s="33"/>
      <c r="I86" s="78"/>
      <c r="J86" s="78"/>
      <c r="K86" s="78"/>
      <c r="L86" s="33"/>
      <c r="M86" s="13"/>
      <c r="N86" s="13"/>
      <c r="O86" s="13"/>
      <c r="P86" s="13"/>
      <c r="Q86" s="13"/>
      <c r="R86" s="13"/>
      <c r="S86" s="4"/>
      <c r="T86" s="4"/>
    </row>
    <row r="87" spans="1:20" ht="21" hidden="1" x14ac:dyDescent="0.2">
      <c r="A87" s="994" t="s">
        <v>89</v>
      </c>
      <c r="B87" s="808" t="s">
        <v>398</v>
      </c>
      <c r="C87" s="676"/>
      <c r="D87" s="66"/>
      <c r="E87" s="215" t="s">
        <v>399</v>
      </c>
      <c r="F87" s="215"/>
      <c r="G87" s="215"/>
      <c r="H87" s="4"/>
      <c r="I87" s="626"/>
      <c r="J87" s="626"/>
      <c r="K87" s="626"/>
      <c r="L87" s="33"/>
      <c r="M87" s="641"/>
      <c r="N87" s="641"/>
      <c r="O87" s="641"/>
      <c r="P87" s="641"/>
      <c r="Q87" s="641"/>
      <c r="R87" s="641"/>
      <c r="S87" s="4"/>
      <c r="T87" s="4"/>
    </row>
    <row r="88" spans="1:20" ht="14.25" hidden="1" x14ac:dyDescent="0.2">
      <c r="A88" s="999" t="s">
        <v>89</v>
      </c>
      <c r="B88" s="808" t="s">
        <v>398</v>
      </c>
      <c r="C88" s="676"/>
      <c r="D88" s="66"/>
      <c r="E88" s="367" t="str">
        <f>'variant 1'!$E$60</f>
        <v>verwarming</v>
      </c>
      <c r="F88" s="220"/>
      <c r="G88" s="220" t="s">
        <v>397</v>
      </c>
      <c r="H88" s="33"/>
      <c r="I88" s="631">
        <f>'variant 1'!$M$241</f>
        <v>0</v>
      </c>
      <c r="J88" s="627">
        <f t="shared" ref="J88:J96" ca="1" si="23">ROW(INDIRECT(RIGHT((_xlfn.FORMULATEXT($I88)),LEN(_xlfn.FORMULATEXT($I88))-1)))</f>
        <v>241</v>
      </c>
      <c r="K88" s="627">
        <f t="shared" ref="K88:K96" ca="1" si="24">COLUMN(INDIRECT(RIGHT((_xlfn.FORMULATEXT($I88)),LEN(_xlfn.FORMULATEXT($I88))-1)))</f>
        <v>13</v>
      </c>
      <c r="L88" s="33"/>
      <c r="M88" s="207" t="str">
        <f t="shared" ref="M88:R96" ca="1" si="25">IF(M$18=0,"",IFERROR(IF(INDIRECT(ADDRESS($J88,$K88,,,M$8))=0,"",INDIRECT(ADDRESS($J88,$K88,,,M$8))),""))</f>
        <v/>
      </c>
      <c r="N88" s="207" t="str">
        <f t="shared" ca="1" si="25"/>
        <v/>
      </c>
      <c r="O88" s="207" t="str">
        <f t="shared" ca="1" si="25"/>
        <v/>
      </c>
      <c r="P88" s="207" t="str">
        <f t="shared" ca="1" si="25"/>
        <v/>
      </c>
      <c r="Q88" s="207" t="str">
        <f t="shared" ca="1" si="25"/>
        <v/>
      </c>
      <c r="R88" s="207" t="str">
        <f t="shared" ca="1" si="25"/>
        <v/>
      </c>
      <c r="S88" s="4"/>
      <c r="T88" s="4"/>
    </row>
    <row r="89" spans="1:20" ht="14.25" hidden="1" x14ac:dyDescent="0.2">
      <c r="A89" s="999" t="s">
        <v>89</v>
      </c>
      <c r="B89" s="808" t="s">
        <v>398</v>
      </c>
      <c r="C89" s="676"/>
      <c r="D89" s="66"/>
      <c r="E89" s="367" t="str">
        <f>'variant 1'!$E$61</f>
        <v>koeling</v>
      </c>
      <c r="F89" s="220"/>
      <c r="G89" s="220" t="s">
        <v>397</v>
      </c>
      <c r="H89" s="33"/>
      <c r="I89" s="631">
        <f>'variant 1'!$M$242</f>
        <v>0</v>
      </c>
      <c r="J89" s="627">
        <f t="shared" ca="1" si="23"/>
        <v>242</v>
      </c>
      <c r="K89" s="627">
        <f t="shared" ca="1" si="24"/>
        <v>13</v>
      </c>
      <c r="L89" s="33"/>
      <c r="M89" s="207" t="str">
        <f t="shared" ca="1" si="25"/>
        <v/>
      </c>
      <c r="N89" s="207" t="str">
        <f t="shared" ca="1" si="25"/>
        <v/>
      </c>
      <c r="O89" s="207" t="str">
        <f t="shared" ca="1" si="25"/>
        <v/>
      </c>
      <c r="P89" s="207" t="str">
        <f t="shared" ca="1" si="25"/>
        <v/>
      </c>
      <c r="Q89" s="207" t="str">
        <f t="shared" ca="1" si="25"/>
        <v/>
      </c>
      <c r="R89" s="207" t="str">
        <f t="shared" ca="1" si="25"/>
        <v/>
      </c>
      <c r="S89" s="4"/>
      <c r="T89" s="4"/>
    </row>
    <row r="90" spans="1:20" ht="14.25" hidden="1" x14ac:dyDescent="0.2">
      <c r="A90" s="999" t="s">
        <v>89</v>
      </c>
      <c r="B90" s="808" t="s">
        <v>398</v>
      </c>
      <c r="C90" s="676"/>
      <c r="D90" s="66"/>
      <c r="E90" s="367" t="str">
        <f>'variant 1'!$E$62</f>
        <v>tapwater</v>
      </c>
      <c r="F90" s="220"/>
      <c r="G90" s="220" t="s">
        <v>397</v>
      </c>
      <c r="H90" s="33"/>
      <c r="I90" s="631">
        <f>'variant 1'!$M$243</f>
        <v>0</v>
      </c>
      <c r="J90" s="627">
        <f t="shared" ca="1" si="23"/>
        <v>243</v>
      </c>
      <c r="K90" s="627">
        <f t="shared" ca="1" si="24"/>
        <v>13</v>
      </c>
      <c r="L90" s="33"/>
      <c r="M90" s="207" t="str">
        <f t="shared" ca="1" si="25"/>
        <v/>
      </c>
      <c r="N90" s="207" t="str">
        <f t="shared" ca="1" si="25"/>
        <v/>
      </c>
      <c r="O90" s="207" t="str">
        <f t="shared" ca="1" si="25"/>
        <v/>
      </c>
      <c r="P90" s="207" t="str">
        <f t="shared" ca="1" si="25"/>
        <v/>
      </c>
      <c r="Q90" s="207" t="str">
        <f t="shared" ca="1" si="25"/>
        <v/>
      </c>
      <c r="R90" s="207" t="str">
        <f t="shared" ca="1" si="25"/>
        <v/>
      </c>
      <c r="S90" s="4"/>
      <c r="T90" s="4"/>
    </row>
    <row r="91" spans="1:20" ht="14.25" hidden="1" x14ac:dyDescent="0.2">
      <c r="A91" s="999" t="s">
        <v>89</v>
      </c>
      <c r="B91" s="808" t="s">
        <v>398</v>
      </c>
      <c r="C91" s="676"/>
      <c r="D91" s="66"/>
      <c r="E91" s="367" t="str">
        <f>'variant 1'!$E$63</f>
        <v>verlichting</v>
      </c>
      <c r="F91" s="220"/>
      <c r="G91" s="220" t="s">
        <v>397</v>
      </c>
      <c r="H91" s="33"/>
      <c r="I91" s="631">
        <f>'variant 1'!$M$244</f>
        <v>0</v>
      </c>
      <c r="J91" s="627">
        <f t="shared" ca="1" si="23"/>
        <v>244</v>
      </c>
      <c r="K91" s="627">
        <f t="shared" ca="1" si="24"/>
        <v>13</v>
      </c>
      <c r="L91" s="33"/>
      <c r="M91" s="207" t="str">
        <f t="shared" ca="1" si="25"/>
        <v/>
      </c>
      <c r="N91" s="207" t="str">
        <f t="shared" ca="1" si="25"/>
        <v/>
      </c>
      <c r="O91" s="207" t="str">
        <f t="shared" ca="1" si="25"/>
        <v/>
      </c>
      <c r="P91" s="207" t="str">
        <f t="shared" ca="1" si="25"/>
        <v/>
      </c>
      <c r="Q91" s="207" t="str">
        <f t="shared" ca="1" si="25"/>
        <v/>
      </c>
      <c r="R91" s="207" t="str">
        <f t="shared" ca="1" si="25"/>
        <v/>
      </c>
      <c r="S91" s="4"/>
      <c r="T91" s="4"/>
    </row>
    <row r="92" spans="1:20" ht="14.25" hidden="1" x14ac:dyDescent="0.2">
      <c r="A92" s="999" t="s">
        <v>89</v>
      </c>
      <c r="B92" s="808" t="s">
        <v>398</v>
      </c>
      <c r="C92" s="676"/>
      <c r="D92" s="66"/>
      <c r="E92" s="367" t="str">
        <f>'variant 1'!$E$64</f>
        <v>ventilatoren</v>
      </c>
      <c r="F92" s="220"/>
      <c r="G92" s="220" t="s">
        <v>397</v>
      </c>
      <c r="H92" s="33"/>
      <c r="I92" s="631">
        <f>'variant 1'!$M$245</f>
        <v>0</v>
      </c>
      <c r="J92" s="627">
        <f t="shared" ca="1" si="23"/>
        <v>245</v>
      </c>
      <c r="K92" s="627">
        <f t="shared" ca="1" si="24"/>
        <v>13</v>
      </c>
      <c r="L92" s="33"/>
      <c r="M92" s="207" t="str">
        <f t="shared" ca="1" si="25"/>
        <v/>
      </c>
      <c r="N92" s="207" t="str">
        <f t="shared" ca="1" si="25"/>
        <v/>
      </c>
      <c r="O92" s="207" t="str">
        <f t="shared" ca="1" si="25"/>
        <v/>
      </c>
      <c r="P92" s="207" t="str">
        <f t="shared" ca="1" si="25"/>
        <v/>
      </c>
      <c r="Q92" s="207" t="str">
        <f t="shared" ca="1" si="25"/>
        <v/>
      </c>
      <c r="R92" s="207" t="str">
        <f t="shared" ca="1" si="25"/>
        <v/>
      </c>
      <c r="S92" s="4"/>
      <c r="T92" s="4"/>
    </row>
    <row r="93" spans="1:20" ht="14.25" hidden="1" x14ac:dyDescent="0.2">
      <c r="A93" s="999" t="s">
        <v>89</v>
      </c>
      <c r="B93" s="808" t="s">
        <v>398</v>
      </c>
      <c r="C93" s="676"/>
      <c r="D93" s="66"/>
      <c r="E93" s="367" t="str">
        <f>'variant 1'!$E$66</f>
        <v>overig elektra</v>
      </c>
      <c r="F93" s="220"/>
      <c r="G93" s="220" t="s">
        <v>397</v>
      </c>
      <c r="H93" s="33"/>
      <c r="I93" s="631">
        <f>'variant 1'!$M$247</f>
        <v>0</v>
      </c>
      <c r="J93" s="627">
        <f t="shared" ca="1" si="23"/>
        <v>247</v>
      </c>
      <c r="K93" s="627">
        <f t="shared" ca="1" si="24"/>
        <v>13</v>
      </c>
      <c r="L93" s="33"/>
      <c r="M93" s="207" t="str">
        <f t="shared" ca="1" si="25"/>
        <v/>
      </c>
      <c r="N93" s="207" t="str">
        <f t="shared" ca="1" si="25"/>
        <v/>
      </c>
      <c r="O93" s="207" t="str">
        <f t="shared" ca="1" si="25"/>
        <v/>
      </c>
      <c r="P93" s="207" t="str">
        <f t="shared" ca="1" si="25"/>
        <v/>
      </c>
      <c r="Q93" s="207" t="str">
        <f t="shared" ca="1" si="25"/>
        <v/>
      </c>
      <c r="R93" s="207" t="str">
        <f t="shared" ca="1" si="25"/>
        <v/>
      </c>
      <c r="S93" s="4"/>
      <c r="T93" s="4"/>
    </row>
    <row r="94" spans="1:20" ht="14.25" hidden="1" x14ac:dyDescent="0.2">
      <c r="A94" s="999" t="s">
        <v>89</v>
      </c>
      <c r="B94" s="808" t="s">
        <v>398</v>
      </c>
      <c r="C94" s="676"/>
      <c r="D94" s="66"/>
      <c r="E94" s="367" t="str">
        <f>'variant 1'!$E$68</f>
        <v>mobiliteit</v>
      </c>
      <c r="F94" s="220"/>
      <c r="G94" s="220" t="s">
        <v>397</v>
      </c>
      <c r="H94" s="33"/>
      <c r="I94" s="631">
        <f>'variant 1'!$M$248</f>
        <v>0</v>
      </c>
      <c r="J94" s="627">
        <f t="shared" ca="1" si="23"/>
        <v>248</v>
      </c>
      <c r="K94" s="627">
        <f t="shared" ca="1" si="24"/>
        <v>13</v>
      </c>
      <c r="L94" s="33"/>
      <c r="M94" s="207" t="str">
        <f t="shared" ca="1" si="25"/>
        <v/>
      </c>
      <c r="N94" s="207" t="str">
        <f t="shared" ca="1" si="25"/>
        <v/>
      </c>
      <c r="O94" s="207" t="str">
        <f t="shared" ca="1" si="25"/>
        <v/>
      </c>
      <c r="P94" s="207" t="str">
        <f t="shared" ca="1" si="25"/>
        <v/>
      </c>
      <c r="Q94" s="207" t="str">
        <f t="shared" ca="1" si="25"/>
        <v/>
      </c>
      <c r="R94" s="207" t="str">
        <f t="shared" ca="1" si="25"/>
        <v/>
      </c>
      <c r="S94" s="4"/>
      <c r="T94" s="4"/>
    </row>
    <row r="95" spans="1:20" ht="14.25" hidden="1" x14ac:dyDescent="0.2">
      <c r="A95" s="999" t="s">
        <v>89</v>
      </c>
      <c r="B95" s="808" t="s">
        <v>398</v>
      </c>
      <c r="C95" s="676"/>
      <c r="D95" s="66"/>
      <c r="E95" s="367" t="str">
        <f>'variant 1'!$E$251</f>
        <v>warmtekracht (vermeden primair)</v>
      </c>
      <c r="F95" s="220"/>
      <c r="G95" s="220" t="s">
        <v>397</v>
      </c>
      <c r="H95" s="33"/>
      <c r="I95" s="631">
        <f>'variant 1'!$M$251</f>
        <v>0</v>
      </c>
      <c r="J95" s="627">
        <f t="shared" ca="1" si="23"/>
        <v>251</v>
      </c>
      <c r="K95" s="627">
        <f t="shared" ca="1" si="24"/>
        <v>13</v>
      </c>
      <c r="L95" s="33"/>
      <c r="M95" s="207" t="str">
        <f t="shared" ca="1" si="25"/>
        <v/>
      </c>
      <c r="N95" s="207" t="str">
        <f t="shared" ca="1" si="25"/>
        <v/>
      </c>
      <c r="O95" s="207" t="str">
        <f t="shared" ca="1" si="25"/>
        <v/>
      </c>
      <c r="P95" s="207" t="str">
        <f t="shared" ca="1" si="25"/>
        <v/>
      </c>
      <c r="Q95" s="207" t="str">
        <f t="shared" ca="1" si="25"/>
        <v/>
      </c>
      <c r="R95" s="207" t="str">
        <f t="shared" ca="1" si="25"/>
        <v/>
      </c>
      <c r="S95" s="4"/>
      <c r="T95" s="4"/>
    </row>
    <row r="96" spans="1:20" ht="14.25" hidden="1" x14ac:dyDescent="0.2">
      <c r="A96" s="999" t="s">
        <v>89</v>
      </c>
      <c r="B96" s="808" t="s">
        <v>398</v>
      </c>
      <c r="C96" s="676"/>
      <c r="D96" s="66"/>
      <c r="E96" s="367" t="str">
        <f>'variant 1'!$E$252</f>
        <v>zonnepanelen (vermeden primair)</v>
      </c>
      <c r="F96" s="220"/>
      <c r="G96" s="220" t="s">
        <v>397</v>
      </c>
      <c r="H96" s="33"/>
      <c r="I96" s="631">
        <f>'variant 1'!$M$252</f>
        <v>0</v>
      </c>
      <c r="J96" s="627">
        <f t="shared" ca="1" si="23"/>
        <v>252</v>
      </c>
      <c r="K96" s="627">
        <f t="shared" ca="1" si="24"/>
        <v>13</v>
      </c>
      <c r="L96" s="33"/>
      <c r="M96" s="207" t="str">
        <f t="shared" ca="1" si="25"/>
        <v/>
      </c>
      <c r="N96" s="207" t="str">
        <f t="shared" ca="1" si="25"/>
        <v/>
      </c>
      <c r="O96" s="207" t="str">
        <f t="shared" ca="1" si="25"/>
        <v/>
      </c>
      <c r="P96" s="207" t="str">
        <f t="shared" ca="1" si="25"/>
        <v/>
      </c>
      <c r="Q96" s="207" t="str">
        <f t="shared" ca="1" si="25"/>
        <v/>
      </c>
      <c r="R96" s="207" t="str">
        <f t="shared" ca="1" si="25"/>
        <v/>
      </c>
      <c r="S96" s="4"/>
      <c r="T96" s="4"/>
    </row>
    <row r="97" spans="1:20" ht="15" hidden="1" x14ac:dyDescent="0.2">
      <c r="A97" s="999" t="s">
        <v>89</v>
      </c>
      <c r="B97" s="808" t="s">
        <v>398</v>
      </c>
      <c r="C97" s="676"/>
      <c r="D97" s="66"/>
      <c r="E97" s="220" t="s">
        <v>258</v>
      </c>
      <c r="F97" s="220"/>
      <c r="G97" s="220" t="s">
        <v>397</v>
      </c>
      <c r="H97" s="33"/>
      <c r="I97" s="629"/>
      <c r="J97" s="629"/>
      <c r="K97" s="629"/>
      <c r="L97" s="33"/>
      <c r="M97" s="207" t="str">
        <f t="shared" ref="M97:R97" ca="1" si="26">IF(M88="","",SUM(M88:M96))</f>
        <v/>
      </c>
      <c r="N97" s="207" t="str">
        <f t="shared" ca="1" si="26"/>
        <v/>
      </c>
      <c r="O97" s="207" t="str">
        <f t="shared" ca="1" si="26"/>
        <v/>
      </c>
      <c r="P97" s="207" t="str">
        <f t="shared" ca="1" si="26"/>
        <v/>
      </c>
      <c r="Q97" s="207" t="str">
        <f t="shared" ca="1" si="26"/>
        <v/>
      </c>
      <c r="R97" s="207" t="str">
        <f t="shared" ca="1" si="26"/>
        <v/>
      </c>
      <c r="S97" s="4"/>
      <c r="T97" s="4"/>
    </row>
    <row r="98" spans="1:20" s="614" customFormat="1" ht="5.25" hidden="1" x14ac:dyDescent="0.2">
      <c r="A98" s="995" t="s">
        <v>89</v>
      </c>
      <c r="B98" s="807" t="s">
        <v>398</v>
      </c>
      <c r="C98" s="671"/>
      <c r="D98" s="613"/>
      <c r="E98" s="645"/>
      <c r="F98" s="645"/>
      <c r="G98" s="645"/>
      <c r="H98" s="645"/>
      <c r="I98" s="646"/>
      <c r="J98" s="646"/>
      <c r="K98" s="646"/>
      <c r="L98" s="645"/>
      <c r="M98" s="645"/>
      <c r="N98" s="680"/>
      <c r="O98" s="645"/>
      <c r="P98" s="645"/>
      <c r="Q98" s="645"/>
      <c r="R98" s="645"/>
      <c r="S98" s="613"/>
      <c r="T98" s="613"/>
    </row>
    <row r="99" spans="1:20" ht="15" hidden="1" x14ac:dyDescent="0.2">
      <c r="A99" s="994" t="s">
        <v>89</v>
      </c>
      <c r="B99" s="808" t="s">
        <v>398</v>
      </c>
      <c r="C99" s="676"/>
      <c r="D99" s="66"/>
      <c r="E99" s="758" t="str">
        <f>"resultaten tov "&amp;$F$5</f>
        <v>resultaten tov variant 1</v>
      </c>
      <c r="F99" s="758"/>
      <c r="G99" s="759" t="s">
        <v>397</v>
      </c>
      <c r="H99" s="33"/>
      <c r="I99" s="632"/>
      <c r="J99" s="632"/>
      <c r="K99" s="632"/>
      <c r="L99" s="33"/>
      <c r="M99" s="760" t="str">
        <f t="shared" ref="M99:R99" ca="1" si="27">IF(M97="","",M97-INDEX($L97:$S97,MATCH($F$5,$L$8:$S$8,0)))</f>
        <v/>
      </c>
      <c r="N99" s="760" t="str">
        <f t="shared" ca="1" si="27"/>
        <v/>
      </c>
      <c r="O99" s="760" t="str">
        <f t="shared" ca="1" si="27"/>
        <v/>
      </c>
      <c r="P99" s="760" t="str">
        <f t="shared" ca="1" si="27"/>
        <v/>
      </c>
      <c r="Q99" s="760" t="str">
        <f t="shared" ca="1" si="27"/>
        <v/>
      </c>
      <c r="R99" s="760" t="str">
        <f t="shared" ca="1" si="27"/>
        <v/>
      </c>
      <c r="S99" s="4"/>
      <c r="T99" s="4"/>
    </row>
    <row r="100" spans="1:20" ht="15" hidden="1" x14ac:dyDescent="0.2">
      <c r="A100" s="994" t="s">
        <v>89</v>
      </c>
      <c r="B100" s="808" t="s">
        <v>398</v>
      </c>
      <c r="C100" s="676"/>
      <c r="D100" s="66"/>
      <c r="E100" s="761"/>
      <c r="F100" s="761"/>
      <c r="G100" s="759" t="s">
        <v>150</v>
      </c>
      <c r="H100" s="33"/>
      <c r="I100" s="633"/>
      <c r="J100" s="633"/>
      <c r="K100" s="633"/>
      <c r="L100" s="33"/>
      <c r="M100" s="765" t="str">
        <f t="shared" ref="M100:R100" ca="1" si="28">IFERROR(M99/INDEX($L97:$S97,MATCH($F$5,$L$8:$S$8,0)),"")</f>
        <v/>
      </c>
      <c r="N100" s="765" t="str">
        <f t="shared" ca="1" si="28"/>
        <v/>
      </c>
      <c r="O100" s="765" t="str">
        <f t="shared" ca="1" si="28"/>
        <v/>
      </c>
      <c r="P100" s="765" t="str">
        <f t="shared" ca="1" si="28"/>
        <v/>
      </c>
      <c r="Q100" s="765" t="str">
        <f t="shared" ca="1" si="28"/>
        <v/>
      </c>
      <c r="R100" s="765" t="str">
        <f t="shared" ca="1" si="28"/>
        <v/>
      </c>
      <c r="S100" s="4"/>
      <c r="T100" s="4"/>
    </row>
    <row r="101" spans="1:20" ht="15" hidden="1" x14ac:dyDescent="0.2">
      <c r="A101" s="999" t="s">
        <v>89</v>
      </c>
      <c r="B101" s="808" t="s">
        <v>398</v>
      </c>
      <c r="C101" s="676"/>
      <c r="D101" s="66"/>
      <c r="E101" s="4"/>
      <c r="F101" s="4"/>
      <c r="G101" s="4"/>
      <c r="H101" s="33"/>
      <c r="I101" s="78"/>
      <c r="J101" s="78"/>
      <c r="K101" s="78"/>
      <c r="L101" s="33"/>
      <c r="M101" s="13"/>
      <c r="N101" s="13"/>
      <c r="O101" s="13"/>
      <c r="P101" s="13"/>
      <c r="Q101" s="13"/>
      <c r="R101" s="13"/>
      <c r="S101" s="4"/>
      <c r="T101" s="4"/>
    </row>
    <row r="102" spans="1:20" ht="21" hidden="1" x14ac:dyDescent="0.2">
      <c r="A102" s="994" t="s">
        <v>89</v>
      </c>
      <c r="B102" s="808" t="s">
        <v>398</v>
      </c>
      <c r="C102" s="676"/>
      <c r="D102" s="66"/>
      <c r="E102" s="215" t="s">
        <v>400</v>
      </c>
      <c r="F102" s="215"/>
      <c r="G102" s="215"/>
      <c r="H102" s="4"/>
      <c r="I102" s="626"/>
      <c r="J102" s="626"/>
      <c r="K102" s="626"/>
      <c r="L102" s="33"/>
      <c r="M102" s="641"/>
      <c r="N102" s="641"/>
      <c r="O102" s="641"/>
      <c r="P102" s="641"/>
      <c r="Q102" s="641"/>
      <c r="R102" s="641"/>
      <c r="S102" s="4"/>
      <c r="T102" s="4"/>
    </row>
    <row r="103" spans="1:20" ht="14.25" hidden="1" x14ac:dyDescent="0.2">
      <c r="A103" s="999" t="s">
        <v>89</v>
      </c>
      <c r="B103" s="808" t="s">
        <v>398</v>
      </c>
      <c r="C103" s="676"/>
      <c r="D103" s="66"/>
      <c r="E103" s="367" t="str">
        <f>'variant 1'!$E$60</f>
        <v>verwarming</v>
      </c>
      <c r="F103" s="220"/>
      <c r="G103" s="220" t="s">
        <v>397</v>
      </c>
      <c r="H103" s="33"/>
      <c r="I103" s="631">
        <f>'variant 1'!$Y$241</f>
        <v>0</v>
      </c>
      <c r="J103" s="627">
        <f t="shared" ref="J103:J111" ca="1" si="29">ROW(INDIRECT(RIGHT((_xlfn.FORMULATEXT($I103)),LEN(_xlfn.FORMULATEXT($I103))-1)))</f>
        <v>241</v>
      </c>
      <c r="K103" s="627">
        <f t="shared" ref="K103:K111" ca="1" si="30">COLUMN(INDIRECT(RIGHT((_xlfn.FORMULATEXT($I103)),LEN(_xlfn.FORMULATEXT($I103))-1)))</f>
        <v>25</v>
      </c>
      <c r="L103" s="33"/>
      <c r="M103" s="207" t="str">
        <f t="shared" ref="M103:R111" ca="1" si="31">IF(M$19=0,"",IFERROR(IF(INDIRECT(ADDRESS($J103,$K103,,,M$8))=0,"",INDIRECT(ADDRESS($J103,$K103,,,M$8))),""))</f>
        <v/>
      </c>
      <c r="N103" s="207" t="str">
        <f t="shared" ca="1" si="31"/>
        <v/>
      </c>
      <c r="O103" s="207" t="str">
        <f t="shared" ca="1" si="31"/>
        <v/>
      </c>
      <c r="P103" s="207" t="str">
        <f t="shared" ca="1" si="31"/>
        <v/>
      </c>
      <c r="Q103" s="207" t="str">
        <f t="shared" ca="1" si="31"/>
        <v/>
      </c>
      <c r="R103" s="207" t="str">
        <f t="shared" ca="1" si="31"/>
        <v/>
      </c>
      <c r="S103" s="4"/>
      <c r="T103" s="4"/>
    </row>
    <row r="104" spans="1:20" ht="14.25" hidden="1" x14ac:dyDescent="0.2">
      <c r="A104" s="999" t="s">
        <v>89</v>
      </c>
      <c r="B104" s="808" t="s">
        <v>398</v>
      </c>
      <c r="C104" s="676"/>
      <c r="D104" s="66"/>
      <c r="E104" s="367" t="str">
        <f>'variant 1'!$E$61</f>
        <v>koeling</v>
      </c>
      <c r="F104" s="220"/>
      <c r="G104" s="220" t="s">
        <v>397</v>
      </c>
      <c r="H104" s="33"/>
      <c r="I104" s="631">
        <f>'variant 1'!$Y$242</f>
        <v>0</v>
      </c>
      <c r="J104" s="627">
        <f t="shared" ca="1" si="29"/>
        <v>242</v>
      </c>
      <c r="K104" s="627">
        <f t="shared" ca="1" si="30"/>
        <v>25</v>
      </c>
      <c r="L104" s="33"/>
      <c r="M104" s="207" t="str">
        <f t="shared" ca="1" si="31"/>
        <v/>
      </c>
      <c r="N104" s="207" t="str">
        <f t="shared" ca="1" si="31"/>
        <v/>
      </c>
      <c r="O104" s="207" t="str">
        <f t="shared" ca="1" si="31"/>
        <v/>
      </c>
      <c r="P104" s="207" t="str">
        <f t="shared" ca="1" si="31"/>
        <v/>
      </c>
      <c r="Q104" s="207" t="str">
        <f t="shared" ca="1" si="31"/>
        <v/>
      </c>
      <c r="R104" s="207" t="str">
        <f t="shared" ca="1" si="31"/>
        <v/>
      </c>
      <c r="S104" s="4"/>
      <c r="T104" s="4"/>
    </row>
    <row r="105" spans="1:20" ht="14.25" hidden="1" x14ac:dyDescent="0.2">
      <c r="A105" s="999" t="s">
        <v>89</v>
      </c>
      <c r="B105" s="808" t="s">
        <v>398</v>
      </c>
      <c r="C105" s="676"/>
      <c r="D105" s="66"/>
      <c r="E105" s="367" t="str">
        <f>'variant 1'!$E$62</f>
        <v>tapwater</v>
      </c>
      <c r="F105" s="220"/>
      <c r="G105" s="220" t="s">
        <v>397</v>
      </c>
      <c r="H105" s="33"/>
      <c r="I105" s="631">
        <f>'variant 1'!$Y$243</f>
        <v>0</v>
      </c>
      <c r="J105" s="627">
        <f t="shared" ca="1" si="29"/>
        <v>243</v>
      </c>
      <c r="K105" s="627">
        <f t="shared" ca="1" si="30"/>
        <v>25</v>
      </c>
      <c r="L105" s="33"/>
      <c r="M105" s="207" t="str">
        <f t="shared" ca="1" si="31"/>
        <v/>
      </c>
      <c r="N105" s="207" t="str">
        <f t="shared" ca="1" si="31"/>
        <v/>
      </c>
      <c r="O105" s="207" t="str">
        <f t="shared" ca="1" si="31"/>
        <v/>
      </c>
      <c r="P105" s="207" t="str">
        <f t="shared" ca="1" si="31"/>
        <v/>
      </c>
      <c r="Q105" s="207" t="str">
        <f t="shared" ca="1" si="31"/>
        <v/>
      </c>
      <c r="R105" s="207" t="str">
        <f t="shared" ca="1" si="31"/>
        <v/>
      </c>
      <c r="S105" s="4"/>
      <c r="T105" s="4"/>
    </row>
    <row r="106" spans="1:20" ht="14.25" hidden="1" x14ac:dyDescent="0.2">
      <c r="A106" s="999" t="s">
        <v>89</v>
      </c>
      <c r="B106" s="808" t="s">
        <v>398</v>
      </c>
      <c r="C106" s="676"/>
      <c r="D106" s="66"/>
      <c r="E106" s="367" t="str">
        <f>'variant 1'!$E$63</f>
        <v>verlichting</v>
      </c>
      <c r="F106" s="220"/>
      <c r="G106" s="220" t="s">
        <v>397</v>
      </c>
      <c r="H106" s="33"/>
      <c r="I106" s="631">
        <f>'variant 1'!$Y$244</f>
        <v>0</v>
      </c>
      <c r="J106" s="627">
        <f t="shared" ca="1" si="29"/>
        <v>244</v>
      </c>
      <c r="K106" s="627">
        <f t="shared" ca="1" si="30"/>
        <v>25</v>
      </c>
      <c r="L106" s="33"/>
      <c r="M106" s="207" t="str">
        <f t="shared" ca="1" si="31"/>
        <v/>
      </c>
      <c r="N106" s="207" t="str">
        <f t="shared" ca="1" si="31"/>
        <v/>
      </c>
      <c r="O106" s="207" t="str">
        <f t="shared" ca="1" si="31"/>
        <v/>
      </c>
      <c r="P106" s="207" t="str">
        <f t="shared" ca="1" si="31"/>
        <v/>
      </c>
      <c r="Q106" s="207" t="str">
        <f t="shared" ca="1" si="31"/>
        <v/>
      </c>
      <c r="R106" s="207" t="str">
        <f t="shared" ca="1" si="31"/>
        <v/>
      </c>
      <c r="S106" s="4"/>
      <c r="T106" s="4"/>
    </row>
    <row r="107" spans="1:20" ht="14.25" hidden="1" x14ac:dyDescent="0.2">
      <c r="A107" s="999" t="s">
        <v>89</v>
      </c>
      <c r="B107" s="808" t="s">
        <v>398</v>
      </c>
      <c r="C107" s="676"/>
      <c r="D107" s="66"/>
      <c r="E107" s="367" t="str">
        <f>'variant 1'!$E$64</f>
        <v>ventilatoren</v>
      </c>
      <c r="F107" s="220"/>
      <c r="G107" s="220" t="s">
        <v>397</v>
      </c>
      <c r="H107" s="33"/>
      <c r="I107" s="631">
        <f>'variant 1'!$Y$245</f>
        <v>0</v>
      </c>
      <c r="J107" s="627">
        <f t="shared" ca="1" si="29"/>
        <v>245</v>
      </c>
      <c r="K107" s="627">
        <f t="shared" ca="1" si="30"/>
        <v>25</v>
      </c>
      <c r="L107" s="33"/>
      <c r="M107" s="207" t="str">
        <f t="shared" ca="1" si="31"/>
        <v/>
      </c>
      <c r="N107" s="207" t="str">
        <f t="shared" ca="1" si="31"/>
        <v/>
      </c>
      <c r="O107" s="207" t="str">
        <f t="shared" ca="1" si="31"/>
        <v/>
      </c>
      <c r="P107" s="207" t="str">
        <f t="shared" ca="1" si="31"/>
        <v/>
      </c>
      <c r="Q107" s="207" t="str">
        <f t="shared" ca="1" si="31"/>
        <v/>
      </c>
      <c r="R107" s="207" t="str">
        <f t="shared" ca="1" si="31"/>
        <v/>
      </c>
      <c r="S107" s="4"/>
      <c r="T107" s="4"/>
    </row>
    <row r="108" spans="1:20" ht="14.25" hidden="1" x14ac:dyDescent="0.2">
      <c r="A108" s="999" t="s">
        <v>89</v>
      </c>
      <c r="B108" s="808" t="s">
        <v>398</v>
      </c>
      <c r="C108" s="676"/>
      <c r="D108" s="66"/>
      <c r="E108" s="367" t="str">
        <f>'variant 1'!$E$66</f>
        <v>overig elektra</v>
      </c>
      <c r="F108" s="220"/>
      <c r="G108" s="220" t="s">
        <v>397</v>
      </c>
      <c r="H108" s="33"/>
      <c r="I108" s="631">
        <f>'variant 1'!$Y$247</f>
        <v>0</v>
      </c>
      <c r="J108" s="627">
        <f t="shared" ca="1" si="29"/>
        <v>247</v>
      </c>
      <c r="K108" s="627">
        <f t="shared" ca="1" si="30"/>
        <v>25</v>
      </c>
      <c r="L108" s="33"/>
      <c r="M108" s="207" t="str">
        <f t="shared" ca="1" si="31"/>
        <v/>
      </c>
      <c r="N108" s="207" t="str">
        <f t="shared" ca="1" si="31"/>
        <v/>
      </c>
      <c r="O108" s="207" t="str">
        <f t="shared" ca="1" si="31"/>
        <v/>
      </c>
      <c r="P108" s="207" t="str">
        <f t="shared" ca="1" si="31"/>
        <v/>
      </c>
      <c r="Q108" s="207" t="str">
        <f t="shared" ca="1" si="31"/>
        <v/>
      </c>
      <c r="R108" s="207" t="str">
        <f t="shared" ca="1" si="31"/>
        <v/>
      </c>
      <c r="S108" s="4"/>
      <c r="T108" s="4"/>
    </row>
    <row r="109" spans="1:20" ht="14.25" hidden="1" x14ac:dyDescent="0.2">
      <c r="A109" s="999" t="s">
        <v>89</v>
      </c>
      <c r="B109" s="808" t="s">
        <v>398</v>
      </c>
      <c r="C109" s="676"/>
      <c r="D109" s="66"/>
      <c r="E109" s="367" t="str">
        <f>'variant 1'!$E$68</f>
        <v>mobiliteit</v>
      </c>
      <c r="F109" s="220"/>
      <c r="G109" s="220" t="s">
        <v>397</v>
      </c>
      <c r="H109" s="33"/>
      <c r="I109" s="631">
        <f>'variant 1'!$Y$248</f>
        <v>0</v>
      </c>
      <c r="J109" s="627">
        <f t="shared" ca="1" si="29"/>
        <v>248</v>
      </c>
      <c r="K109" s="627">
        <f t="shared" ca="1" si="30"/>
        <v>25</v>
      </c>
      <c r="L109" s="33"/>
      <c r="M109" s="207" t="str">
        <f t="shared" ca="1" si="31"/>
        <v/>
      </c>
      <c r="N109" s="207" t="str">
        <f t="shared" ca="1" si="31"/>
        <v/>
      </c>
      <c r="O109" s="207" t="str">
        <f t="shared" ca="1" si="31"/>
        <v/>
      </c>
      <c r="P109" s="207" t="str">
        <f t="shared" ca="1" si="31"/>
        <v/>
      </c>
      <c r="Q109" s="207" t="str">
        <f t="shared" ca="1" si="31"/>
        <v/>
      </c>
      <c r="R109" s="207" t="str">
        <f t="shared" ca="1" si="31"/>
        <v/>
      </c>
      <c r="S109" s="4"/>
      <c r="T109" s="4"/>
    </row>
    <row r="110" spans="1:20" ht="14.25" hidden="1" x14ac:dyDescent="0.2">
      <c r="A110" s="999" t="s">
        <v>89</v>
      </c>
      <c r="B110" s="808" t="s">
        <v>398</v>
      </c>
      <c r="C110" s="676"/>
      <c r="D110" s="66"/>
      <c r="E110" s="367" t="str">
        <f>'variant 1'!$E$251</f>
        <v>warmtekracht (vermeden primair)</v>
      </c>
      <c r="F110" s="220"/>
      <c r="G110" s="220" t="s">
        <v>397</v>
      </c>
      <c r="H110" s="33"/>
      <c r="I110" s="631">
        <f>'variant 1'!$Y$251</f>
        <v>0</v>
      </c>
      <c r="J110" s="627">
        <f t="shared" ca="1" si="29"/>
        <v>251</v>
      </c>
      <c r="K110" s="627">
        <f t="shared" ca="1" si="30"/>
        <v>25</v>
      </c>
      <c r="L110" s="33"/>
      <c r="M110" s="207" t="str">
        <f t="shared" ca="1" si="31"/>
        <v/>
      </c>
      <c r="N110" s="207" t="str">
        <f t="shared" ca="1" si="31"/>
        <v/>
      </c>
      <c r="O110" s="207" t="str">
        <f t="shared" ca="1" si="31"/>
        <v/>
      </c>
      <c r="P110" s="207" t="str">
        <f t="shared" ca="1" si="31"/>
        <v/>
      </c>
      <c r="Q110" s="207" t="str">
        <f t="shared" ca="1" si="31"/>
        <v/>
      </c>
      <c r="R110" s="207" t="str">
        <f t="shared" ca="1" si="31"/>
        <v/>
      </c>
      <c r="S110" s="4"/>
      <c r="T110" s="4"/>
    </row>
    <row r="111" spans="1:20" ht="14.25" hidden="1" x14ac:dyDescent="0.2">
      <c r="A111" s="999" t="s">
        <v>89</v>
      </c>
      <c r="B111" s="808" t="s">
        <v>398</v>
      </c>
      <c r="C111" s="676"/>
      <c r="D111" s="66"/>
      <c r="E111" s="367" t="str">
        <f>'variant 1'!$E$252</f>
        <v>zonnepanelen (vermeden primair)</v>
      </c>
      <c r="F111" s="220"/>
      <c r="G111" s="220" t="s">
        <v>397</v>
      </c>
      <c r="H111" s="33"/>
      <c r="I111" s="631">
        <f>'variant 1'!$Y$252</f>
        <v>0</v>
      </c>
      <c r="J111" s="627">
        <f t="shared" ca="1" si="29"/>
        <v>252</v>
      </c>
      <c r="K111" s="627">
        <f t="shared" ca="1" si="30"/>
        <v>25</v>
      </c>
      <c r="L111" s="33"/>
      <c r="M111" s="207" t="str">
        <f t="shared" ca="1" si="31"/>
        <v/>
      </c>
      <c r="N111" s="207" t="str">
        <f t="shared" ca="1" si="31"/>
        <v/>
      </c>
      <c r="O111" s="207" t="str">
        <f t="shared" ca="1" si="31"/>
        <v/>
      </c>
      <c r="P111" s="207" t="str">
        <f t="shared" ca="1" si="31"/>
        <v/>
      </c>
      <c r="Q111" s="207" t="str">
        <f t="shared" ca="1" si="31"/>
        <v/>
      </c>
      <c r="R111" s="207" t="str">
        <f t="shared" ca="1" si="31"/>
        <v/>
      </c>
      <c r="S111" s="4"/>
      <c r="T111" s="4"/>
    </row>
    <row r="112" spans="1:20" ht="15" hidden="1" x14ac:dyDescent="0.2">
      <c r="A112" s="999" t="s">
        <v>89</v>
      </c>
      <c r="B112" s="808" t="s">
        <v>398</v>
      </c>
      <c r="C112" s="676"/>
      <c r="D112" s="66"/>
      <c r="E112" s="220" t="s">
        <v>258</v>
      </c>
      <c r="F112" s="220"/>
      <c r="G112" s="220" t="s">
        <v>397</v>
      </c>
      <c r="H112" s="33"/>
      <c r="I112" s="629"/>
      <c r="J112" s="629"/>
      <c r="K112" s="629"/>
      <c r="L112" s="33"/>
      <c r="M112" s="207" t="str">
        <f t="shared" ref="M112:R112" ca="1" si="32">IF(M103="","",SUM(M103:M111))</f>
        <v/>
      </c>
      <c r="N112" s="207" t="str">
        <f t="shared" ca="1" si="32"/>
        <v/>
      </c>
      <c r="O112" s="207" t="str">
        <f t="shared" ca="1" si="32"/>
        <v/>
      </c>
      <c r="P112" s="207" t="str">
        <f t="shared" ca="1" si="32"/>
        <v/>
      </c>
      <c r="Q112" s="207" t="str">
        <f t="shared" ca="1" si="32"/>
        <v/>
      </c>
      <c r="R112" s="207" t="str">
        <f t="shared" ca="1" si="32"/>
        <v/>
      </c>
      <c r="S112" s="4"/>
      <c r="T112" s="4"/>
    </row>
    <row r="113" spans="1:20" s="614" customFormat="1" ht="5.25" hidden="1" x14ac:dyDescent="0.2">
      <c r="A113" s="995" t="s">
        <v>89</v>
      </c>
      <c r="B113" s="807" t="s">
        <v>398</v>
      </c>
      <c r="C113" s="671"/>
      <c r="D113" s="613"/>
      <c r="E113" s="645"/>
      <c r="F113" s="645"/>
      <c r="G113" s="645"/>
      <c r="H113" s="645"/>
      <c r="I113" s="646"/>
      <c r="J113" s="646"/>
      <c r="K113" s="646"/>
      <c r="L113" s="645"/>
      <c r="M113" s="645"/>
      <c r="N113" s="680"/>
      <c r="O113" s="645"/>
      <c r="P113" s="645"/>
      <c r="Q113" s="645"/>
      <c r="R113" s="645"/>
      <c r="S113" s="613"/>
      <c r="T113" s="613"/>
    </row>
    <row r="114" spans="1:20" ht="15" hidden="1" x14ac:dyDescent="0.2">
      <c r="A114" s="999" t="s">
        <v>89</v>
      </c>
      <c r="B114" s="808" t="s">
        <v>398</v>
      </c>
      <c r="C114" s="676"/>
      <c r="D114" s="66"/>
      <c r="E114" s="758" t="str">
        <f>"resultaten tov "&amp;$F$5</f>
        <v>resultaten tov variant 1</v>
      </c>
      <c r="F114" s="758"/>
      <c r="G114" s="759" t="s">
        <v>397</v>
      </c>
      <c r="H114" s="33"/>
      <c r="I114" s="632"/>
      <c r="J114" s="632"/>
      <c r="K114" s="632"/>
      <c r="L114" s="33"/>
      <c r="M114" s="760" t="str">
        <f t="shared" ref="M114:R114" ca="1" si="33">IF(M112="","",M112-INDEX($L112:$S112,MATCH($F$5,$L$8:$S$8,0)))</f>
        <v/>
      </c>
      <c r="N114" s="760" t="str">
        <f t="shared" ca="1" si="33"/>
        <v/>
      </c>
      <c r="O114" s="760" t="str">
        <f t="shared" ca="1" si="33"/>
        <v/>
      </c>
      <c r="P114" s="760" t="str">
        <f t="shared" ca="1" si="33"/>
        <v/>
      </c>
      <c r="Q114" s="760" t="str">
        <f t="shared" ca="1" si="33"/>
        <v/>
      </c>
      <c r="R114" s="760" t="str">
        <f t="shared" ca="1" si="33"/>
        <v/>
      </c>
      <c r="S114" s="4"/>
      <c r="T114" s="4"/>
    </row>
    <row r="115" spans="1:20" ht="15" hidden="1" x14ac:dyDescent="0.2">
      <c r="A115" s="994" t="s">
        <v>89</v>
      </c>
      <c r="B115" s="808" t="s">
        <v>398</v>
      </c>
      <c r="C115" s="676"/>
      <c r="D115" s="66"/>
      <c r="E115" s="761"/>
      <c r="F115" s="761"/>
      <c r="G115" s="759" t="s">
        <v>150</v>
      </c>
      <c r="H115" s="33"/>
      <c r="I115" s="633"/>
      <c r="J115" s="633"/>
      <c r="K115" s="633"/>
      <c r="L115" s="33"/>
      <c r="M115" s="765" t="str">
        <f t="shared" ref="M115:R115" ca="1" si="34">IFERROR(M114/INDEX($L112:$S112,MATCH($F$5,$L$8:$S$8,0)),"")</f>
        <v/>
      </c>
      <c r="N115" s="765" t="str">
        <f t="shared" ca="1" si="34"/>
        <v/>
      </c>
      <c r="O115" s="765" t="str">
        <f t="shared" ca="1" si="34"/>
        <v/>
      </c>
      <c r="P115" s="765" t="str">
        <f t="shared" ca="1" si="34"/>
        <v/>
      </c>
      <c r="Q115" s="765" t="str">
        <f t="shared" ca="1" si="34"/>
        <v/>
      </c>
      <c r="R115" s="765" t="str">
        <f t="shared" ca="1" si="34"/>
        <v/>
      </c>
      <c r="S115" s="4"/>
      <c r="T115" s="4"/>
    </row>
    <row r="116" spans="1:20" ht="15" hidden="1" x14ac:dyDescent="0.2">
      <c r="A116" s="999" t="s">
        <v>89</v>
      </c>
      <c r="B116" s="808" t="s">
        <v>398</v>
      </c>
      <c r="C116" s="676"/>
      <c r="D116" s="66"/>
      <c r="E116" s="4"/>
      <c r="F116" s="4"/>
      <c r="G116" s="4"/>
      <c r="H116" s="33"/>
      <c r="I116" s="78"/>
      <c r="J116" s="78"/>
      <c r="K116" s="78"/>
      <c r="L116" s="33"/>
      <c r="M116" s="13"/>
      <c r="N116" s="13"/>
      <c r="O116" s="13"/>
      <c r="P116" s="13"/>
      <c r="Q116" s="13"/>
      <c r="R116" s="13"/>
      <c r="S116" s="4"/>
      <c r="T116" s="4"/>
    </row>
    <row r="117" spans="1:20" ht="21" hidden="1" x14ac:dyDescent="0.2">
      <c r="A117" s="994" t="s">
        <v>89</v>
      </c>
      <c r="B117" s="808" t="s">
        <v>398</v>
      </c>
      <c r="C117" s="676"/>
      <c r="D117" s="66"/>
      <c r="E117" s="215" t="s">
        <v>401</v>
      </c>
      <c r="F117" s="215"/>
      <c r="G117" s="215"/>
      <c r="H117" s="4"/>
      <c r="I117" s="626"/>
      <c r="J117" s="626"/>
      <c r="K117" s="626"/>
      <c r="L117" s="33"/>
      <c r="M117" s="641"/>
      <c r="N117" s="641"/>
      <c r="O117" s="641"/>
      <c r="P117" s="641"/>
      <c r="Q117" s="641"/>
      <c r="R117" s="641"/>
      <c r="S117" s="4"/>
      <c r="T117" s="4"/>
    </row>
    <row r="118" spans="1:20" ht="14.25" hidden="1" x14ac:dyDescent="0.2">
      <c r="A118" s="999" t="s">
        <v>89</v>
      </c>
      <c r="B118" s="808" t="s">
        <v>398</v>
      </c>
      <c r="C118" s="676"/>
      <c r="D118" s="66"/>
      <c r="E118" s="367" t="str">
        <f>'variant 1'!$E$60</f>
        <v>verwarming</v>
      </c>
      <c r="F118" s="220"/>
      <c r="G118" s="220" t="s">
        <v>397</v>
      </c>
      <c r="H118" s="33"/>
      <c r="I118" s="631">
        <f>'variant 1'!$AK$241</f>
        <v>0</v>
      </c>
      <c r="J118" s="627">
        <f t="shared" ref="J118:J126" ca="1" si="35">ROW(INDIRECT(RIGHT((_xlfn.FORMULATEXT($I118)),LEN(_xlfn.FORMULATEXT($I118))-1)))</f>
        <v>241</v>
      </c>
      <c r="K118" s="627">
        <f t="shared" ref="K118:K126" ca="1" si="36">COLUMN(INDIRECT(RIGHT((_xlfn.FORMULATEXT($I118)),LEN(_xlfn.FORMULATEXT($I118))-1)))</f>
        <v>37</v>
      </c>
      <c r="L118" s="33"/>
      <c r="M118" s="207" t="str">
        <f t="shared" ref="M118:R126" ca="1" si="37">IF(M$20=0,"",IFERROR(IF(INDIRECT(ADDRESS($J118,$K118,,,M$8))=0,"",INDIRECT(ADDRESS($J118,$K118,,,M$8))),""))</f>
        <v/>
      </c>
      <c r="N118" s="207" t="str">
        <f t="shared" ca="1" si="37"/>
        <v/>
      </c>
      <c r="O118" s="207" t="str">
        <f t="shared" ca="1" si="37"/>
        <v/>
      </c>
      <c r="P118" s="207" t="str">
        <f t="shared" ca="1" si="37"/>
        <v/>
      </c>
      <c r="Q118" s="207" t="str">
        <f t="shared" ca="1" si="37"/>
        <v/>
      </c>
      <c r="R118" s="207" t="str">
        <f t="shared" ca="1" si="37"/>
        <v/>
      </c>
      <c r="S118" s="4"/>
      <c r="T118" s="4"/>
    </row>
    <row r="119" spans="1:20" ht="14.25" hidden="1" x14ac:dyDescent="0.2">
      <c r="A119" s="999" t="s">
        <v>89</v>
      </c>
      <c r="B119" s="808" t="s">
        <v>398</v>
      </c>
      <c r="C119" s="676"/>
      <c r="D119" s="66"/>
      <c r="E119" s="367" t="str">
        <f>'variant 1'!$E$61</f>
        <v>koeling</v>
      </c>
      <c r="F119" s="220"/>
      <c r="G119" s="220" t="s">
        <v>397</v>
      </c>
      <c r="H119" s="33"/>
      <c r="I119" s="631">
        <f>'variant 1'!$AK$242</f>
        <v>0</v>
      </c>
      <c r="J119" s="627">
        <f t="shared" ca="1" si="35"/>
        <v>242</v>
      </c>
      <c r="K119" s="627">
        <f t="shared" ca="1" si="36"/>
        <v>37</v>
      </c>
      <c r="L119" s="33"/>
      <c r="M119" s="207" t="str">
        <f t="shared" ca="1" si="37"/>
        <v/>
      </c>
      <c r="N119" s="207" t="str">
        <f t="shared" ca="1" si="37"/>
        <v/>
      </c>
      <c r="O119" s="207" t="str">
        <f t="shared" ca="1" si="37"/>
        <v/>
      </c>
      <c r="P119" s="207" t="str">
        <f t="shared" ca="1" si="37"/>
        <v/>
      </c>
      <c r="Q119" s="207" t="str">
        <f t="shared" ca="1" si="37"/>
        <v/>
      </c>
      <c r="R119" s="207" t="str">
        <f t="shared" ca="1" si="37"/>
        <v/>
      </c>
      <c r="S119" s="4"/>
      <c r="T119" s="4"/>
    </row>
    <row r="120" spans="1:20" ht="14.25" hidden="1" x14ac:dyDescent="0.2">
      <c r="A120" s="999" t="s">
        <v>89</v>
      </c>
      <c r="B120" s="808" t="s">
        <v>398</v>
      </c>
      <c r="C120" s="676"/>
      <c r="D120" s="66"/>
      <c r="E120" s="367" t="str">
        <f>'variant 1'!$E$62</f>
        <v>tapwater</v>
      </c>
      <c r="F120" s="220"/>
      <c r="G120" s="220" t="s">
        <v>397</v>
      </c>
      <c r="H120" s="33"/>
      <c r="I120" s="631">
        <f>'variant 1'!$AK$243</f>
        <v>0</v>
      </c>
      <c r="J120" s="627">
        <f t="shared" ca="1" si="35"/>
        <v>243</v>
      </c>
      <c r="K120" s="627">
        <f t="shared" ca="1" si="36"/>
        <v>37</v>
      </c>
      <c r="L120" s="33"/>
      <c r="M120" s="207" t="str">
        <f t="shared" ca="1" si="37"/>
        <v/>
      </c>
      <c r="N120" s="207" t="str">
        <f t="shared" ca="1" si="37"/>
        <v/>
      </c>
      <c r="O120" s="207" t="str">
        <f t="shared" ca="1" si="37"/>
        <v/>
      </c>
      <c r="P120" s="207" t="str">
        <f t="shared" ca="1" si="37"/>
        <v/>
      </c>
      <c r="Q120" s="207" t="str">
        <f t="shared" ca="1" si="37"/>
        <v/>
      </c>
      <c r="R120" s="207" t="str">
        <f t="shared" ca="1" si="37"/>
        <v/>
      </c>
      <c r="S120" s="4"/>
      <c r="T120" s="4"/>
    </row>
    <row r="121" spans="1:20" ht="14.25" hidden="1" x14ac:dyDescent="0.2">
      <c r="A121" s="999" t="s">
        <v>89</v>
      </c>
      <c r="B121" s="808" t="s">
        <v>398</v>
      </c>
      <c r="C121" s="676"/>
      <c r="D121" s="66"/>
      <c r="E121" s="367" t="str">
        <f>'variant 1'!$E$63</f>
        <v>verlichting</v>
      </c>
      <c r="F121" s="220"/>
      <c r="G121" s="220" t="s">
        <v>397</v>
      </c>
      <c r="H121" s="33"/>
      <c r="I121" s="631">
        <f>'variant 1'!$AK$244</f>
        <v>0</v>
      </c>
      <c r="J121" s="627">
        <f t="shared" ca="1" si="35"/>
        <v>244</v>
      </c>
      <c r="K121" s="627">
        <f t="shared" ca="1" si="36"/>
        <v>37</v>
      </c>
      <c r="L121" s="33"/>
      <c r="M121" s="207" t="str">
        <f t="shared" ca="1" si="37"/>
        <v/>
      </c>
      <c r="N121" s="207" t="str">
        <f t="shared" ca="1" si="37"/>
        <v/>
      </c>
      <c r="O121" s="207" t="str">
        <f t="shared" ca="1" si="37"/>
        <v/>
      </c>
      <c r="P121" s="207" t="str">
        <f t="shared" ca="1" si="37"/>
        <v/>
      </c>
      <c r="Q121" s="207" t="str">
        <f t="shared" ca="1" si="37"/>
        <v/>
      </c>
      <c r="R121" s="207" t="str">
        <f t="shared" ca="1" si="37"/>
        <v/>
      </c>
      <c r="S121" s="4"/>
      <c r="T121" s="4"/>
    </row>
    <row r="122" spans="1:20" ht="14.25" hidden="1" x14ac:dyDescent="0.2">
      <c r="A122" s="999" t="s">
        <v>89</v>
      </c>
      <c r="B122" s="808" t="s">
        <v>398</v>
      </c>
      <c r="C122" s="676"/>
      <c r="D122" s="66"/>
      <c r="E122" s="367" t="str">
        <f>'variant 1'!$E$64</f>
        <v>ventilatoren</v>
      </c>
      <c r="F122" s="220"/>
      <c r="G122" s="220" t="s">
        <v>397</v>
      </c>
      <c r="H122" s="33"/>
      <c r="I122" s="631">
        <f>'variant 1'!$AK$245</f>
        <v>0</v>
      </c>
      <c r="J122" s="627">
        <f t="shared" ca="1" si="35"/>
        <v>245</v>
      </c>
      <c r="K122" s="627">
        <f t="shared" ca="1" si="36"/>
        <v>37</v>
      </c>
      <c r="L122" s="33"/>
      <c r="M122" s="207" t="str">
        <f t="shared" ca="1" si="37"/>
        <v/>
      </c>
      <c r="N122" s="207" t="str">
        <f t="shared" ca="1" si="37"/>
        <v/>
      </c>
      <c r="O122" s="207" t="str">
        <f t="shared" ca="1" si="37"/>
        <v/>
      </c>
      <c r="P122" s="207" t="str">
        <f t="shared" ca="1" si="37"/>
        <v/>
      </c>
      <c r="Q122" s="207" t="str">
        <f t="shared" ca="1" si="37"/>
        <v/>
      </c>
      <c r="R122" s="207" t="str">
        <f t="shared" ca="1" si="37"/>
        <v/>
      </c>
      <c r="S122" s="4"/>
      <c r="T122" s="4"/>
    </row>
    <row r="123" spans="1:20" ht="14.25" hidden="1" x14ac:dyDescent="0.2">
      <c r="A123" s="999" t="s">
        <v>89</v>
      </c>
      <c r="B123" s="808" t="s">
        <v>398</v>
      </c>
      <c r="C123" s="676"/>
      <c r="D123" s="66"/>
      <c r="E123" s="367" t="str">
        <f>'variant 1'!$E$66</f>
        <v>overig elektra</v>
      </c>
      <c r="F123" s="220"/>
      <c r="G123" s="220" t="s">
        <v>397</v>
      </c>
      <c r="H123" s="33"/>
      <c r="I123" s="631">
        <f>'variant 1'!$AK$247</f>
        <v>0</v>
      </c>
      <c r="J123" s="627">
        <f t="shared" ca="1" si="35"/>
        <v>247</v>
      </c>
      <c r="K123" s="627">
        <f t="shared" ca="1" si="36"/>
        <v>37</v>
      </c>
      <c r="L123" s="33"/>
      <c r="M123" s="207" t="str">
        <f t="shared" ca="1" si="37"/>
        <v/>
      </c>
      <c r="N123" s="207" t="str">
        <f t="shared" ca="1" si="37"/>
        <v/>
      </c>
      <c r="O123" s="207" t="str">
        <f t="shared" ca="1" si="37"/>
        <v/>
      </c>
      <c r="P123" s="207" t="str">
        <f t="shared" ca="1" si="37"/>
        <v/>
      </c>
      <c r="Q123" s="207" t="str">
        <f t="shared" ca="1" si="37"/>
        <v/>
      </c>
      <c r="R123" s="207" t="str">
        <f t="shared" ca="1" si="37"/>
        <v/>
      </c>
      <c r="S123" s="4"/>
      <c r="T123" s="4"/>
    </row>
    <row r="124" spans="1:20" ht="14.25" hidden="1" x14ac:dyDescent="0.2">
      <c r="A124" s="999" t="s">
        <v>89</v>
      </c>
      <c r="B124" s="808" t="s">
        <v>398</v>
      </c>
      <c r="C124" s="676"/>
      <c r="D124" s="66"/>
      <c r="E124" s="367" t="str">
        <f>'variant 1'!$E$68</f>
        <v>mobiliteit</v>
      </c>
      <c r="F124" s="220"/>
      <c r="G124" s="220" t="s">
        <v>397</v>
      </c>
      <c r="H124" s="33"/>
      <c r="I124" s="631">
        <f>'variant 1'!$AK$248</f>
        <v>0</v>
      </c>
      <c r="J124" s="627">
        <f t="shared" ca="1" si="35"/>
        <v>248</v>
      </c>
      <c r="K124" s="627">
        <f t="shared" ca="1" si="36"/>
        <v>37</v>
      </c>
      <c r="L124" s="33"/>
      <c r="M124" s="207" t="str">
        <f t="shared" ca="1" si="37"/>
        <v/>
      </c>
      <c r="N124" s="207" t="str">
        <f t="shared" ca="1" si="37"/>
        <v/>
      </c>
      <c r="O124" s="207" t="str">
        <f t="shared" ca="1" si="37"/>
        <v/>
      </c>
      <c r="P124" s="207" t="str">
        <f t="shared" ca="1" si="37"/>
        <v/>
      </c>
      <c r="Q124" s="207" t="str">
        <f t="shared" ca="1" si="37"/>
        <v/>
      </c>
      <c r="R124" s="207" t="str">
        <f t="shared" ca="1" si="37"/>
        <v/>
      </c>
      <c r="S124" s="4"/>
      <c r="T124" s="4"/>
    </row>
    <row r="125" spans="1:20" ht="14.25" hidden="1" x14ac:dyDescent="0.2">
      <c r="A125" s="999" t="s">
        <v>89</v>
      </c>
      <c r="B125" s="808" t="s">
        <v>398</v>
      </c>
      <c r="C125" s="676"/>
      <c r="D125" s="66"/>
      <c r="E125" s="367" t="str">
        <f>'variant 1'!$E$251</f>
        <v>warmtekracht (vermeden primair)</v>
      </c>
      <c r="F125" s="220"/>
      <c r="G125" s="220" t="s">
        <v>397</v>
      </c>
      <c r="H125" s="33"/>
      <c r="I125" s="631">
        <f>'variant 1'!$AK$251</f>
        <v>0</v>
      </c>
      <c r="J125" s="627">
        <f t="shared" ca="1" si="35"/>
        <v>251</v>
      </c>
      <c r="K125" s="627">
        <f t="shared" ca="1" si="36"/>
        <v>37</v>
      </c>
      <c r="L125" s="33"/>
      <c r="M125" s="207" t="str">
        <f t="shared" ca="1" si="37"/>
        <v/>
      </c>
      <c r="N125" s="207" t="str">
        <f t="shared" ca="1" si="37"/>
        <v/>
      </c>
      <c r="O125" s="207" t="str">
        <f t="shared" ca="1" si="37"/>
        <v/>
      </c>
      <c r="P125" s="207" t="str">
        <f t="shared" ca="1" si="37"/>
        <v/>
      </c>
      <c r="Q125" s="207" t="str">
        <f t="shared" ca="1" si="37"/>
        <v/>
      </c>
      <c r="R125" s="207" t="str">
        <f t="shared" ca="1" si="37"/>
        <v/>
      </c>
      <c r="S125" s="4"/>
      <c r="T125" s="4"/>
    </row>
    <row r="126" spans="1:20" ht="14.25" hidden="1" x14ac:dyDescent="0.2">
      <c r="A126" s="999" t="s">
        <v>89</v>
      </c>
      <c r="B126" s="808" t="s">
        <v>398</v>
      </c>
      <c r="C126" s="676"/>
      <c r="D126" s="66"/>
      <c r="E126" s="367" t="str">
        <f>'variant 1'!$E$252</f>
        <v>zonnepanelen (vermeden primair)</v>
      </c>
      <c r="F126" s="220"/>
      <c r="G126" s="220" t="s">
        <v>397</v>
      </c>
      <c r="H126" s="33"/>
      <c r="I126" s="631">
        <f>'variant 1'!$AK$252</f>
        <v>0</v>
      </c>
      <c r="J126" s="627">
        <f t="shared" ca="1" si="35"/>
        <v>252</v>
      </c>
      <c r="K126" s="627">
        <f t="shared" ca="1" si="36"/>
        <v>37</v>
      </c>
      <c r="L126" s="33"/>
      <c r="M126" s="207" t="str">
        <f t="shared" ca="1" si="37"/>
        <v/>
      </c>
      <c r="N126" s="207" t="str">
        <f t="shared" ca="1" si="37"/>
        <v/>
      </c>
      <c r="O126" s="207" t="str">
        <f t="shared" ca="1" si="37"/>
        <v/>
      </c>
      <c r="P126" s="207" t="str">
        <f t="shared" ca="1" si="37"/>
        <v/>
      </c>
      <c r="Q126" s="207" t="str">
        <f t="shared" ca="1" si="37"/>
        <v/>
      </c>
      <c r="R126" s="207" t="str">
        <f t="shared" ca="1" si="37"/>
        <v/>
      </c>
      <c r="S126" s="4"/>
      <c r="T126" s="4"/>
    </row>
    <row r="127" spans="1:20" ht="15" hidden="1" x14ac:dyDescent="0.2">
      <c r="A127" s="999" t="s">
        <v>89</v>
      </c>
      <c r="B127" s="808" t="s">
        <v>398</v>
      </c>
      <c r="C127" s="676"/>
      <c r="D127" s="66"/>
      <c r="E127" s="220" t="s">
        <v>258</v>
      </c>
      <c r="F127" s="220"/>
      <c r="G127" s="220" t="s">
        <v>397</v>
      </c>
      <c r="H127" s="33"/>
      <c r="I127" s="629"/>
      <c r="J127" s="629"/>
      <c r="K127" s="629"/>
      <c r="L127" s="33"/>
      <c r="M127" s="207" t="str">
        <f t="shared" ref="M127:R127" ca="1" si="38">IF(M118="","",SUM(M118:M126))</f>
        <v/>
      </c>
      <c r="N127" s="207" t="str">
        <f t="shared" ca="1" si="38"/>
        <v/>
      </c>
      <c r="O127" s="207" t="str">
        <f t="shared" ca="1" si="38"/>
        <v/>
      </c>
      <c r="P127" s="207" t="str">
        <f t="shared" ca="1" si="38"/>
        <v/>
      </c>
      <c r="Q127" s="207" t="str">
        <f t="shared" ca="1" si="38"/>
        <v/>
      </c>
      <c r="R127" s="207" t="str">
        <f t="shared" ca="1" si="38"/>
        <v/>
      </c>
      <c r="S127" s="4"/>
      <c r="T127" s="4"/>
    </row>
    <row r="128" spans="1:20" s="614" customFormat="1" ht="5.25" hidden="1" x14ac:dyDescent="0.2">
      <c r="A128" s="995" t="s">
        <v>89</v>
      </c>
      <c r="B128" s="807" t="s">
        <v>398</v>
      </c>
      <c r="C128" s="671"/>
      <c r="D128" s="613"/>
      <c r="E128" s="645"/>
      <c r="F128" s="645"/>
      <c r="G128" s="645"/>
      <c r="H128" s="645"/>
      <c r="I128" s="646"/>
      <c r="J128" s="646"/>
      <c r="K128" s="646"/>
      <c r="L128" s="645"/>
      <c r="M128" s="645"/>
      <c r="N128" s="680"/>
      <c r="O128" s="645"/>
      <c r="P128" s="645"/>
      <c r="Q128" s="645"/>
      <c r="R128" s="645"/>
      <c r="S128" s="613"/>
      <c r="T128" s="613"/>
    </row>
    <row r="129" spans="1:20" ht="15" hidden="1" x14ac:dyDescent="0.2">
      <c r="A129" s="999" t="s">
        <v>89</v>
      </c>
      <c r="B129" s="808" t="s">
        <v>398</v>
      </c>
      <c r="C129" s="676"/>
      <c r="D129" s="66"/>
      <c r="E129" s="758" t="str">
        <f>"resultaten tov "&amp;$F$5</f>
        <v>resultaten tov variant 1</v>
      </c>
      <c r="F129" s="758"/>
      <c r="G129" s="759" t="s">
        <v>397</v>
      </c>
      <c r="H129" s="33"/>
      <c r="I129" s="632"/>
      <c r="J129" s="632"/>
      <c r="K129" s="632"/>
      <c r="L129" s="33"/>
      <c r="M129" s="760" t="str">
        <f t="shared" ref="M129:R129" ca="1" si="39">IF(M127="","",M127-INDEX($L127:$S127,MATCH($F$5,$L$8:$S$8,0)))</f>
        <v/>
      </c>
      <c r="N129" s="760" t="str">
        <f t="shared" ca="1" si="39"/>
        <v/>
      </c>
      <c r="O129" s="760" t="str">
        <f t="shared" ca="1" si="39"/>
        <v/>
      </c>
      <c r="P129" s="760" t="str">
        <f t="shared" ca="1" si="39"/>
        <v/>
      </c>
      <c r="Q129" s="760" t="str">
        <f t="shared" ca="1" si="39"/>
        <v/>
      </c>
      <c r="R129" s="760" t="str">
        <f t="shared" ca="1" si="39"/>
        <v/>
      </c>
      <c r="S129" s="4"/>
      <c r="T129" s="4"/>
    </row>
    <row r="130" spans="1:20" ht="15" hidden="1" x14ac:dyDescent="0.2">
      <c r="A130" s="994" t="s">
        <v>89</v>
      </c>
      <c r="B130" s="808" t="s">
        <v>398</v>
      </c>
      <c r="C130" s="676"/>
      <c r="D130" s="66"/>
      <c r="E130" s="761"/>
      <c r="F130" s="761"/>
      <c r="G130" s="759" t="s">
        <v>150</v>
      </c>
      <c r="H130" s="33"/>
      <c r="I130" s="633"/>
      <c r="J130" s="633"/>
      <c r="K130" s="633"/>
      <c r="L130" s="33"/>
      <c r="M130" s="765" t="str">
        <f t="shared" ref="M130:R130" ca="1" si="40">IFERROR(M129/INDEX($L127:$S127,MATCH($F$5,$L$8:$S$8,0)),"")</f>
        <v/>
      </c>
      <c r="N130" s="765" t="str">
        <f t="shared" ca="1" si="40"/>
        <v/>
      </c>
      <c r="O130" s="765" t="str">
        <f t="shared" ca="1" si="40"/>
        <v/>
      </c>
      <c r="P130" s="765" t="str">
        <f t="shared" ca="1" si="40"/>
        <v/>
      </c>
      <c r="Q130" s="765" t="str">
        <f t="shared" ca="1" si="40"/>
        <v/>
      </c>
      <c r="R130" s="765" t="str">
        <f t="shared" ca="1" si="40"/>
        <v/>
      </c>
      <c r="S130" s="4"/>
      <c r="T130" s="4"/>
    </row>
    <row r="131" spans="1:20" ht="15" hidden="1" x14ac:dyDescent="0.2">
      <c r="A131" s="999" t="s">
        <v>89</v>
      </c>
      <c r="B131" s="808" t="s">
        <v>398</v>
      </c>
      <c r="C131" s="676"/>
      <c r="D131" s="66"/>
      <c r="E131" s="4"/>
      <c r="F131" s="4"/>
      <c r="G131" s="4"/>
      <c r="H131" s="33"/>
      <c r="I131" s="78"/>
      <c r="J131" s="78"/>
      <c r="K131" s="78"/>
      <c r="L131" s="33"/>
      <c r="M131" s="13"/>
      <c r="N131" s="13"/>
      <c r="O131" s="13"/>
      <c r="P131" s="13"/>
      <c r="Q131" s="13"/>
      <c r="R131" s="13"/>
      <c r="S131" s="4"/>
      <c r="T131" s="4"/>
    </row>
    <row r="132" spans="1:20" ht="21" hidden="1" x14ac:dyDescent="0.2">
      <c r="A132" s="994" t="s">
        <v>89</v>
      </c>
      <c r="B132" s="808" t="s">
        <v>398</v>
      </c>
      <c r="C132" s="676"/>
      <c r="D132" s="66"/>
      <c r="E132" s="215" t="s">
        <v>402</v>
      </c>
      <c r="F132" s="215"/>
      <c r="G132" s="215"/>
      <c r="H132" s="4"/>
      <c r="I132" s="626"/>
      <c r="J132" s="626"/>
      <c r="K132" s="626"/>
      <c r="L132" s="33"/>
      <c r="M132" s="641"/>
      <c r="N132" s="641"/>
      <c r="O132" s="641"/>
      <c r="P132" s="641"/>
      <c r="Q132" s="641"/>
      <c r="R132" s="641"/>
      <c r="S132" s="4"/>
      <c r="T132" s="4"/>
    </row>
    <row r="133" spans="1:20" ht="14.25" hidden="1" x14ac:dyDescent="0.2">
      <c r="A133" s="999" t="s">
        <v>89</v>
      </c>
      <c r="B133" s="808" t="s">
        <v>398</v>
      </c>
      <c r="C133" s="676"/>
      <c r="D133" s="66"/>
      <c r="E133" s="367" t="str">
        <f>'variant 1'!$E$60</f>
        <v>verwarming</v>
      </c>
      <c r="F133" s="220"/>
      <c r="G133" s="220" t="s">
        <v>397</v>
      </c>
      <c r="H133" s="33"/>
      <c r="I133" s="631">
        <f>'variant 1'!$AW$241</f>
        <v>0</v>
      </c>
      <c r="J133" s="627">
        <f t="shared" ref="J133:J141" ca="1" si="41">ROW(INDIRECT(RIGHT((_xlfn.FORMULATEXT($I133)),LEN(_xlfn.FORMULATEXT($I133))-1)))</f>
        <v>241</v>
      </c>
      <c r="K133" s="627">
        <f t="shared" ref="K133:K141" ca="1" si="42">COLUMN(INDIRECT(RIGHT((_xlfn.FORMULATEXT($I133)),LEN(_xlfn.FORMULATEXT($I133))-1)))</f>
        <v>49</v>
      </c>
      <c r="L133" s="33"/>
      <c r="M133" s="207" t="str">
        <f t="shared" ref="M133:R141" ca="1" si="43">IF(M$21=0,"",IFERROR(IF(INDIRECT(ADDRESS($J133,$K133,,,M$8))=0,"",INDIRECT(ADDRESS($J133,$K133,,,M$8))),""))</f>
        <v/>
      </c>
      <c r="N133" s="207" t="str">
        <f t="shared" ca="1" si="43"/>
        <v/>
      </c>
      <c r="O133" s="207" t="str">
        <f t="shared" ca="1" si="43"/>
        <v/>
      </c>
      <c r="P133" s="207" t="str">
        <f t="shared" ca="1" si="43"/>
        <v/>
      </c>
      <c r="Q133" s="207" t="str">
        <f t="shared" ca="1" si="43"/>
        <v/>
      </c>
      <c r="R133" s="207" t="str">
        <f t="shared" ca="1" si="43"/>
        <v/>
      </c>
      <c r="S133" s="4"/>
      <c r="T133" s="4"/>
    </row>
    <row r="134" spans="1:20" ht="14.25" hidden="1" x14ac:dyDescent="0.2">
      <c r="A134" s="999" t="s">
        <v>89</v>
      </c>
      <c r="B134" s="808" t="s">
        <v>398</v>
      </c>
      <c r="C134" s="676"/>
      <c r="D134" s="66"/>
      <c r="E134" s="367" t="str">
        <f>'variant 1'!$E$61</f>
        <v>koeling</v>
      </c>
      <c r="F134" s="220"/>
      <c r="G134" s="220" t="s">
        <v>397</v>
      </c>
      <c r="H134" s="33"/>
      <c r="I134" s="631">
        <f>'variant 1'!$AW$242</f>
        <v>0</v>
      </c>
      <c r="J134" s="627">
        <f t="shared" ca="1" si="41"/>
        <v>242</v>
      </c>
      <c r="K134" s="627">
        <f t="shared" ca="1" si="42"/>
        <v>49</v>
      </c>
      <c r="L134" s="33"/>
      <c r="M134" s="207" t="str">
        <f t="shared" ca="1" si="43"/>
        <v/>
      </c>
      <c r="N134" s="207" t="str">
        <f t="shared" ca="1" si="43"/>
        <v/>
      </c>
      <c r="O134" s="207" t="str">
        <f t="shared" ca="1" si="43"/>
        <v/>
      </c>
      <c r="P134" s="207" t="str">
        <f t="shared" ca="1" si="43"/>
        <v/>
      </c>
      <c r="Q134" s="207" t="str">
        <f t="shared" ca="1" si="43"/>
        <v/>
      </c>
      <c r="R134" s="207" t="str">
        <f t="shared" ca="1" si="43"/>
        <v/>
      </c>
      <c r="S134" s="4"/>
      <c r="T134" s="4"/>
    </row>
    <row r="135" spans="1:20" ht="14.25" hidden="1" x14ac:dyDescent="0.2">
      <c r="A135" s="999" t="s">
        <v>89</v>
      </c>
      <c r="B135" s="808" t="s">
        <v>398</v>
      </c>
      <c r="C135" s="676"/>
      <c r="D135" s="66"/>
      <c r="E135" s="367" t="str">
        <f>'variant 1'!$E$62</f>
        <v>tapwater</v>
      </c>
      <c r="F135" s="220"/>
      <c r="G135" s="220" t="s">
        <v>397</v>
      </c>
      <c r="H135" s="33"/>
      <c r="I135" s="631">
        <f>'variant 1'!$AW$243</f>
        <v>0</v>
      </c>
      <c r="J135" s="627">
        <f t="shared" ca="1" si="41"/>
        <v>243</v>
      </c>
      <c r="K135" s="627">
        <f t="shared" ca="1" si="42"/>
        <v>49</v>
      </c>
      <c r="L135" s="33"/>
      <c r="M135" s="207" t="str">
        <f t="shared" ca="1" si="43"/>
        <v/>
      </c>
      <c r="N135" s="207" t="str">
        <f t="shared" ca="1" si="43"/>
        <v/>
      </c>
      <c r="O135" s="207" t="str">
        <f t="shared" ca="1" si="43"/>
        <v/>
      </c>
      <c r="P135" s="207" t="str">
        <f t="shared" ca="1" si="43"/>
        <v/>
      </c>
      <c r="Q135" s="207" t="str">
        <f t="shared" ca="1" si="43"/>
        <v/>
      </c>
      <c r="R135" s="207" t="str">
        <f t="shared" ca="1" si="43"/>
        <v/>
      </c>
      <c r="S135" s="4"/>
      <c r="T135" s="4"/>
    </row>
    <row r="136" spans="1:20" ht="14.25" hidden="1" x14ac:dyDescent="0.2">
      <c r="A136" s="999" t="s">
        <v>89</v>
      </c>
      <c r="B136" s="808" t="s">
        <v>398</v>
      </c>
      <c r="C136" s="676"/>
      <c r="D136" s="66"/>
      <c r="E136" s="367" t="str">
        <f>'variant 1'!$E$63</f>
        <v>verlichting</v>
      </c>
      <c r="F136" s="220"/>
      <c r="G136" s="220" t="s">
        <v>397</v>
      </c>
      <c r="H136" s="33"/>
      <c r="I136" s="631">
        <f>'variant 1'!$AW$244</f>
        <v>0</v>
      </c>
      <c r="J136" s="627">
        <f t="shared" ca="1" si="41"/>
        <v>244</v>
      </c>
      <c r="K136" s="627">
        <f t="shared" ca="1" si="42"/>
        <v>49</v>
      </c>
      <c r="L136" s="33"/>
      <c r="M136" s="207" t="str">
        <f t="shared" ca="1" si="43"/>
        <v/>
      </c>
      <c r="N136" s="207" t="str">
        <f t="shared" ca="1" si="43"/>
        <v/>
      </c>
      <c r="O136" s="207" t="str">
        <f t="shared" ca="1" si="43"/>
        <v/>
      </c>
      <c r="P136" s="207" t="str">
        <f t="shared" ca="1" si="43"/>
        <v/>
      </c>
      <c r="Q136" s="207" t="str">
        <f t="shared" ca="1" si="43"/>
        <v/>
      </c>
      <c r="R136" s="207" t="str">
        <f t="shared" ca="1" si="43"/>
        <v/>
      </c>
      <c r="S136" s="4"/>
      <c r="T136" s="4"/>
    </row>
    <row r="137" spans="1:20" ht="14.25" hidden="1" x14ac:dyDescent="0.2">
      <c r="A137" s="999" t="s">
        <v>89</v>
      </c>
      <c r="B137" s="808" t="s">
        <v>398</v>
      </c>
      <c r="C137" s="676"/>
      <c r="D137" s="66"/>
      <c r="E137" s="367" t="str">
        <f>'variant 1'!$E$64</f>
        <v>ventilatoren</v>
      </c>
      <c r="F137" s="220"/>
      <c r="G137" s="220" t="s">
        <v>397</v>
      </c>
      <c r="H137" s="33"/>
      <c r="I137" s="631">
        <f>'variant 1'!$AW$245</f>
        <v>0</v>
      </c>
      <c r="J137" s="627">
        <f t="shared" ca="1" si="41"/>
        <v>245</v>
      </c>
      <c r="K137" s="627">
        <f t="shared" ca="1" si="42"/>
        <v>49</v>
      </c>
      <c r="L137" s="33"/>
      <c r="M137" s="207" t="str">
        <f t="shared" ca="1" si="43"/>
        <v/>
      </c>
      <c r="N137" s="207" t="str">
        <f t="shared" ca="1" si="43"/>
        <v/>
      </c>
      <c r="O137" s="207" t="str">
        <f t="shared" ca="1" si="43"/>
        <v/>
      </c>
      <c r="P137" s="207" t="str">
        <f t="shared" ca="1" si="43"/>
        <v/>
      </c>
      <c r="Q137" s="207" t="str">
        <f t="shared" ca="1" si="43"/>
        <v/>
      </c>
      <c r="R137" s="207" t="str">
        <f t="shared" ca="1" si="43"/>
        <v/>
      </c>
      <c r="S137" s="4"/>
      <c r="T137" s="4"/>
    </row>
    <row r="138" spans="1:20" ht="14.25" hidden="1" x14ac:dyDescent="0.2">
      <c r="A138" s="999" t="s">
        <v>89</v>
      </c>
      <c r="B138" s="808" t="s">
        <v>398</v>
      </c>
      <c r="C138" s="676"/>
      <c r="D138" s="66"/>
      <c r="E138" s="367" t="str">
        <f>'variant 1'!$E$66</f>
        <v>overig elektra</v>
      </c>
      <c r="F138" s="220"/>
      <c r="G138" s="220" t="s">
        <v>397</v>
      </c>
      <c r="H138" s="33"/>
      <c r="I138" s="631">
        <f>'variant 1'!$AW$247</f>
        <v>0</v>
      </c>
      <c r="J138" s="627">
        <f t="shared" ca="1" si="41"/>
        <v>247</v>
      </c>
      <c r="K138" s="627">
        <f t="shared" ca="1" si="42"/>
        <v>49</v>
      </c>
      <c r="L138" s="33"/>
      <c r="M138" s="207" t="str">
        <f t="shared" ca="1" si="43"/>
        <v/>
      </c>
      <c r="N138" s="207" t="str">
        <f t="shared" ca="1" si="43"/>
        <v/>
      </c>
      <c r="O138" s="207" t="str">
        <f t="shared" ca="1" si="43"/>
        <v/>
      </c>
      <c r="P138" s="207" t="str">
        <f t="shared" ca="1" si="43"/>
        <v/>
      </c>
      <c r="Q138" s="207" t="str">
        <f t="shared" ca="1" si="43"/>
        <v/>
      </c>
      <c r="R138" s="207" t="str">
        <f t="shared" ca="1" si="43"/>
        <v/>
      </c>
      <c r="S138" s="4"/>
      <c r="T138" s="4"/>
    </row>
    <row r="139" spans="1:20" ht="14.25" hidden="1" x14ac:dyDescent="0.2">
      <c r="A139" s="999" t="s">
        <v>89</v>
      </c>
      <c r="B139" s="808" t="s">
        <v>398</v>
      </c>
      <c r="C139" s="676"/>
      <c r="D139" s="66"/>
      <c r="E139" s="367" t="str">
        <f>'variant 1'!$E$68</f>
        <v>mobiliteit</v>
      </c>
      <c r="F139" s="220"/>
      <c r="G139" s="220" t="s">
        <v>397</v>
      </c>
      <c r="H139" s="33"/>
      <c r="I139" s="631">
        <f>'variant 1'!$AW$248</f>
        <v>0</v>
      </c>
      <c r="J139" s="627">
        <f t="shared" ca="1" si="41"/>
        <v>248</v>
      </c>
      <c r="K139" s="627">
        <f t="shared" ca="1" si="42"/>
        <v>49</v>
      </c>
      <c r="L139" s="33"/>
      <c r="M139" s="207" t="str">
        <f t="shared" ca="1" si="43"/>
        <v/>
      </c>
      <c r="N139" s="207" t="str">
        <f t="shared" ca="1" si="43"/>
        <v/>
      </c>
      <c r="O139" s="207" t="str">
        <f t="shared" ca="1" si="43"/>
        <v/>
      </c>
      <c r="P139" s="207" t="str">
        <f t="shared" ca="1" si="43"/>
        <v/>
      </c>
      <c r="Q139" s="207" t="str">
        <f t="shared" ca="1" si="43"/>
        <v/>
      </c>
      <c r="R139" s="207" t="str">
        <f t="shared" ca="1" si="43"/>
        <v/>
      </c>
      <c r="S139" s="4"/>
      <c r="T139" s="4"/>
    </row>
    <row r="140" spans="1:20" ht="14.25" hidden="1" x14ac:dyDescent="0.2">
      <c r="A140" s="999" t="s">
        <v>89</v>
      </c>
      <c r="B140" s="808" t="s">
        <v>398</v>
      </c>
      <c r="C140" s="676"/>
      <c r="D140" s="66"/>
      <c r="E140" s="367" t="str">
        <f>'variant 1'!$E$251</f>
        <v>warmtekracht (vermeden primair)</v>
      </c>
      <c r="F140" s="220"/>
      <c r="G140" s="220" t="s">
        <v>397</v>
      </c>
      <c r="H140" s="33"/>
      <c r="I140" s="631">
        <f>'variant 1'!$AW$251</f>
        <v>0</v>
      </c>
      <c r="J140" s="627">
        <f t="shared" ca="1" si="41"/>
        <v>251</v>
      </c>
      <c r="K140" s="627">
        <f t="shared" ca="1" si="42"/>
        <v>49</v>
      </c>
      <c r="L140" s="33"/>
      <c r="M140" s="207" t="str">
        <f t="shared" ca="1" si="43"/>
        <v/>
      </c>
      <c r="N140" s="207" t="str">
        <f t="shared" ca="1" si="43"/>
        <v/>
      </c>
      <c r="O140" s="207" t="str">
        <f t="shared" ca="1" si="43"/>
        <v/>
      </c>
      <c r="P140" s="207" t="str">
        <f t="shared" ca="1" si="43"/>
        <v/>
      </c>
      <c r="Q140" s="207" t="str">
        <f t="shared" ca="1" si="43"/>
        <v/>
      </c>
      <c r="R140" s="207" t="str">
        <f t="shared" ca="1" si="43"/>
        <v/>
      </c>
      <c r="S140" s="4"/>
      <c r="T140" s="4"/>
    </row>
    <row r="141" spans="1:20" ht="14.25" hidden="1" x14ac:dyDescent="0.2">
      <c r="A141" s="999" t="s">
        <v>89</v>
      </c>
      <c r="B141" s="808" t="s">
        <v>398</v>
      </c>
      <c r="C141" s="676"/>
      <c r="D141" s="66"/>
      <c r="E141" s="367" t="str">
        <f>'variant 1'!$E$252</f>
        <v>zonnepanelen (vermeden primair)</v>
      </c>
      <c r="F141" s="220"/>
      <c r="G141" s="220" t="s">
        <v>397</v>
      </c>
      <c r="H141" s="33"/>
      <c r="I141" s="631">
        <f>'variant 1'!$AW$252</f>
        <v>0</v>
      </c>
      <c r="J141" s="627">
        <f t="shared" ca="1" si="41"/>
        <v>252</v>
      </c>
      <c r="K141" s="627">
        <f t="shared" ca="1" si="42"/>
        <v>49</v>
      </c>
      <c r="L141" s="33"/>
      <c r="M141" s="207" t="str">
        <f t="shared" ca="1" si="43"/>
        <v/>
      </c>
      <c r="N141" s="207" t="str">
        <f t="shared" ca="1" si="43"/>
        <v/>
      </c>
      <c r="O141" s="207" t="str">
        <f t="shared" ca="1" si="43"/>
        <v/>
      </c>
      <c r="P141" s="207" t="str">
        <f t="shared" ca="1" si="43"/>
        <v/>
      </c>
      <c r="Q141" s="207" t="str">
        <f t="shared" ca="1" si="43"/>
        <v/>
      </c>
      <c r="R141" s="207" t="str">
        <f t="shared" ca="1" si="43"/>
        <v/>
      </c>
      <c r="S141" s="4"/>
      <c r="T141" s="4"/>
    </row>
    <row r="142" spans="1:20" ht="15" hidden="1" x14ac:dyDescent="0.2">
      <c r="A142" s="999" t="s">
        <v>89</v>
      </c>
      <c r="B142" s="808" t="s">
        <v>398</v>
      </c>
      <c r="C142" s="676"/>
      <c r="D142" s="66"/>
      <c r="E142" s="220" t="s">
        <v>258</v>
      </c>
      <c r="F142" s="220"/>
      <c r="G142" s="220" t="s">
        <v>397</v>
      </c>
      <c r="H142" s="33"/>
      <c r="I142" s="629"/>
      <c r="J142" s="629"/>
      <c r="K142" s="629"/>
      <c r="L142" s="33"/>
      <c r="M142" s="207" t="str">
        <f t="shared" ref="M142:R142" ca="1" si="44">IF(M133="","",SUM(M133:M141))</f>
        <v/>
      </c>
      <c r="N142" s="207" t="str">
        <f t="shared" ca="1" si="44"/>
        <v/>
      </c>
      <c r="O142" s="207" t="str">
        <f t="shared" ca="1" si="44"/>
        <v/>
      </c>
      <c r="P142" s="207" t="str">
        <f t="shared" ca="1" si="44"/>
        <v/>
      </c>
      <c r="Q142" s="207" t="str">
        <f t="shared" ca="1" si="44"/>
        <v/>
      </c>
      <c r="R142" s="207" t="str">
        <f t="shared" ca="1" si="44"/>
        <v/>
      </c>
      <c r="S142" s="4"/>
      <c r="T142" s="4"/>
    </row>
    <row r="143" spans="1:20" s="614" customFormat="1" ht="5.25" hidden="1" x14ac:dyDescent="0.2">
      <c r="A143" s="995" t="s">
        <v>89</v>
      </c>
      <c r="B143" s="807" t="s">
        <v>398</v>
      </c>
      <c r="C143" s="671"/>
      <c r="D143" s="613"/>
      <c r="E143" s="645"/>
      <c r="F143" s="645"/>
      <c r="G143" s="645"/>
      <c r="H143" s="645"/>
      <c r="I143" s="646"/>
      <c r="J143" s="646"/>
      <c r="K143" s="646"/>
      <c r="L143" s="645"/>
      <c r="M143" s="645"/>
      <c r="N143" s="680"/>
      <c r="O143" s="645"/>
      <c r="P143" s="645"/>
      <c r="Q143" s="645"/>
      <c r="R143" s="645"/>
      <c r="S143" s="613"/>
      <c r="T143" s="613"/>
    </row>
    <row r="144" spans="1:20" ht="15" hidden="1" x14ac:dyDescent="0.2">
      <c r="A144" s="999" t="s">
        <v>89</v>
      </c>
      <c r="B144" s="808" t="s">
        <v>398</v>
      </c>
      <c r="C144" s="676"/>
      <c r="D144" s="66"/>
      <c r="E144" s="758" t="str">
        <f>"resultaten tov "&amp;$F$5</f>
        <v>resultaten tov variant 1</v>
      </c>
      <c r="F144" s="758"/>
      <c r="G144" s="759" t="s">
        <v>397</v>
      </c>
      <c r="H144" s="33"/>
      <c r="I144" s="632"/>
      <c r="J144" s="632"/>
      <c r="K144" s="632"/>
      <c r="L144" s="33"/>
      <c r="M144" s="760" t="str">
        <f t="shared" ref="M144:R144" ca="1" si="45">IF(M142="","",M142-INDEX($L142:$S142,MATCH($F$5,$L$8:$S$8,0)))</f>
        <v/>
      </c>
      <c r="N144" s="760" t="str">
        <f t="shared" ca="1" si="45"/>
        <v/>
      </c>
      <c r="O144" s="760" t="str">
        <f t="shared" ca="1" si="45"/>
        <v/>
      </c>
      <c r="P144" s="760" t="str">
        <f t="shared" ca="1" si="45"/>
        <v/>
      </c>
      <c r="Q144" s="760" t="str">
        <f t="shared" ca="1" si="45"/>
        <v/>
      </c>
      <c r="R144" s="760" t="str">
        <f t="shared" ca="1" si="45"/>
        <v/>
      </c>
      <c r="S144" s="4"/>
      <c r="T144" s="4"/>
    </row>
    <row r="145" spans="1:20" ht="15" hidden="1" x14ac:dyDescent="0.2">
      <c r="A145" s="994" t="s">
        <v>89</v>
      </c>
      <c r="B145" s="808" t="s">
        <v>398</v>
      </c>
      <c r="C145" s="676"/>
      <c r="D145" s="66"/>
      <c r="E145" s="761"/>
      <c r="F145" s="761"/>
      <c r="G145" s="759" t="s">
        <v>150</v>
      </c>
      <c r="H145" s="33"/>
      <c r="I145" s="633"/>
      <c r="J145" s="633"/>
      <c r="K145" s="633"/>
      <c r="L145" s="33"/>
      <c r="M145" s="765" t="str">
        <f t="shared" ref="M145:R145" ca="1" si="46">IFERROR(M144/INDEX($L142:$S142,MATCH($F$5,$L$8:$S$8,0)),"")</f>
        <v/>
      </c>
      <c r="N145" s="765" t="str">
        <f t="shared" ca="1" si="46"/>
        <v/>
      </c>
      <c r="O145" s="765" t="str">
        <f t="shared" ca="1" si="46"/>
        <v/>
      </c>
      <c r="P145" s="765" t="str">
        <f t="shared" ca="1" si="46"/>
        <v/>
      </c>
      <c r="Q145" s="765" t="str">
        <f t="shared" ca="1" si="46"/>
        <v/>
      </c>
      <c r="R145" s="765" t="str">
        <f t="shared" ca="1" si="46"/>
        <v/>
      </c>
      <c r="S145" s="4"/>
      <c r="T145" s="4"/>
    </row>
    <row r="146" spans="1:20" ht="15" x14ac:dyDescent="0.2">
      <c r="A146" s="994" t="s">
        <v>89</v>
      </c>
      <c r="B146" s="808" t="s">
        <v>116</v>
      </c>
      <c r="C146" s="676"/>
      <c r="D146" s="66"/>
      <c r="E146" s="4"/>
      <c r="F146" s="4"/>
      <c r="G146" s="4"/>
      <c r="H146" s="33"/>
      <c r="I146" s="78"/>
      <c r="J146" s="78"/>
      <c r="K146" s="78"/>
      <c r="L146" s="33"/>
      <c r="M146" s="13"/>
      <c r="N146" s="13"/>
      <c r="O146" s="13"/>
      <c r="P146" s="13"/>
      <c r="Q146" s="13"/>
      <c r="R146" s="13"/>
      <c r="S146" s="4"/>
      <c r="T146" s="4"/>
    </row>
    <row r="147" spans="1:20" ht="21" x14ac:dyDescent="0.2">
      <c r="A147" s="994" t="s">
        <v>89</v>
      </c>
      <c r="B147" s="808" t="s">
        <v>116</v>
      </c>
      <c r="C147" s="676"/>
      <c r="D147" s="66"/>
      <c r="E147" s="215" t="s">
        <v>403</v>
      </c>
      <c r="F147" s="215"/>
      <c r="G147" s="215"/>
      <c r="H147" s="4"/>
      <c r="I147" s="626"/>
      <c r="J147" s="626"/>
      <c r="K147" s="626"/>
      <c r="L147" s="33"/>
      <c r="M147" s="641"/>
      <c r="N147" s="641"/>
      <c r="O147" s="641"/>
      <c r="P147" s="641"/>
      <c r="Q147" s="641"/>
      <c r="R147" s="641"/>
      <c r="S147" s="4"/>
      <c r="T147" s="4"/>
    </row>
    <row r="148" spans="1:20" ht="14.25" x14ac:dyDescent="0.2">
      <c r="A148" s="999" t="s">
        <v>89</v>
      </c>
      <c r="B148" s="808" t="s">
        <v>116</v>
      </c>
      <c r="C148" s="676"/>
      <c r="D148" s="66"/>
      <c r="E148" s="630" t="str">
        <f>"locatie 1"&amp;IF('woningen|utiliteit'!$L$17="","",": "&amp;'woningen|utiliteit'!$L$17)</f>
        <v>locatie 1</v>
      </c>
      <c r="F148" s="182"/>
      <c r="G148" s="220" t="s">
        <v>404</v>
      </c>
      <c r="H148" s="33"/>
      <c r="I148" s="631">
        <f>'variant 1'!$M$316</f>
        <v>0</v>
      </c>
      <c r="J148" s="627">
        <f ca="1">ROW(INDIRECT(RIGHT((_xlfn.FORMULATEXT($I148)),LEN(_xlfn.FORMULATEXT($I148))-1)))</f>
        <v>316</v>
      </c>
      <c r="K148" s="627">
        <f ca="1">COLUMN(INDIRECT(RIGHT((_xlfn.FORMULATEXT($I148)),LEN(_xlfn.FORMULATEXT($I148))-1)))</f>
        <v>13</v>
      </c>
      <c r="L148" s="33"/>
      <c r="M148" s="207" t="str">
        <f t="shared" ref="M148:R151" ca="1" si="47">IF(M18=0,"",IFERROR(IF(INDIRECT(ADDRESS($J148,$K148,,,M$8))=0,"",INDIRECT(ADDRESS($J148,$K148,,,M$8))),""))</f>
        <v/>
      </c>
      <c r="N148" s="207" t="str">
        <f t="shared" ca="1" si="47"/>
        <v/>
      </c>
      <c r="O148" s="207" t="str">
        <f t="shared" ca="1" si="47"/>
        <v/>
      </c>
      <c r="P148" s="207" t="str">
        <f t="shared" ca="1" si="47"/>
        <v/>
      </c>
      <c r="Q148" s="207" t="str">
        <f t="shared" ca="1" si="47"/>
        <v/>
      </c>
      <c r="R148" s="207" t="str">
        <f t="shared" ca="1" si="47"/>
        <v/>
      </c>
      <c r="S148" s="4"/>
      <c r="T148" s="4"/>
    </row>
    <row r="149" spans="1:20" ht="14.25" x14ac:dyDescent="0.2">
      <c r="A149" s="999" t="s">
        <v>89</v>
      </c>
      <c r="B149" s="808" t="s">
        <v>116</v>
      </c>
      <c r="C149" s="676"/>
      <c r="D149" s="66"/>
      <c r="E149" s="630" t="str">
        <f>"locatie 2"&amp;IF('woningen|utiliteit'!$L$31="","",": "&amp;'woningen|utiliteit'!$L$31)</f>
        <v>locatie 2</v>
      </c>
      <c r="F149" s="220"/>
      <c r="G149" s="220" t="s">
        <v>404</v>
      </c>
      <c r="H149" s="33"/>
      <c r="I149" s="631">
        <f>'variant 1'!$Y$316</f>
        <v>0</v>
      </c>
      <c r="J149" s="627">
        <f ca="1">ROW(INDIRECT(RIGHT((_xlfn.FORMULATEXT($I149)),LEN(_xlfn.FORMULATEXT($I149))-1)))</f>
        <v>316</v>
      </c>
      <c r="K149" s="627">
        <f ca="1">COLUMN(INDIRECT(RIGHT((_xlfn.FORMULATEXT($I149)),LEN(_xlfn.FORMULATEXT($I149))-1)))</f>
        <v>25</v>
      </c>
      <c r="L149" s="33"/>
      <c r="M149" s="207" t="str">
        <f t="shared" ca="1" si="47"/>
        <v/>
      </c>
      <c r="N149" s="207" t="str">
        <f t="shared" ca="1" si="47"/>
        <v/>
      </c>
      <c r="O149" s="207" t="str">
        <f t="shared" ca="1" si="47"/>
        <v/>
      </c>
      <c r="P149" s="207" t="str">
        <f t="shared" ca="1" si="47"/>
        <v/>
      </c>
      <c r="Q149" s="207" t="str">
        <f t="shared" ca="1" si="47"/>
        <v/>
      </c>
      <c r="R149" s="207" t="str">
        <f t="shared" ca="1" si="47"/>
        <v/>
      </c>
      <c r="S149" s="4"/>
      <c r="T149" s="4"/>
    </row>
    <row r="150" spans="1:20" ht="14.25" x14ac:dyDescent="0.2">
      <c r="A150" s="999" t="s">
        <v>89</v>
      </c>
      <c r="B150" s="808" t="s">
        <v>116</v>
      </c>
      <c r="C150" s="676"/>
      <c r="D150" s="66"/>
      <c r="E150" s="630" t="str">
        <f>"locatie 3"&amp;IF('woningen|utiliteit'!$L$45="","",": "&amp;'woningen|utiliteit'!$L$45)</f>
        <v>locatie 3</v>
      </c>
      <c r="F150" s="220"/>
      <c r="G150" s="220" t="s">
        <v>404</v>
      </c>
      <c r="H150" s="33"/>
      <c r="I150" s="631">
        <f>'variant 1'!$AK$316</f>
        <v>0</v>
      </c>
      <c r="J150" s="627">
        <f ca="1">ROW(INDIRECT(RIGHT((_xlfn.FORMULATEXT($I150)),LEN(_xlfn.FORMULATEXT($I150))-1)))</f>
        <v>316</v>
      </c>
      <c r="K150" s="627">
        <f ca="1">COLUMN(INDIRECT(RIGHT((_xlfn.FORMULATEXT($I150)),LEN(_xlfn.FORMULATEXT($I150))-1)))</f>
        <v>37</v>
      </c>
      <c r="L150" s="33"/>
      <c r="M150" s="207" t="str">
        <f t="shared" ca="1" si="47"/>
        <v/>
      </c>
      <c r="N150" s="207" t="str">
        <f t="shared" ca="1" si="47"/>
        <v/>
      </c>
      <c r="O150" s="207" t="str">
        <f t="shared" ca="1" si="47"/>
        <v/>
      </c>
      <c r="P150" s="207" t="str">
        <f t="shared" ca="1" si="47"/>
        <v/>
      </c>
      <c r="Q150" s="207" t="str">
        <f t="shared" ca="1" si="47"/>
        <v/>
      </c>
      <c r="R150" s="207" t="str">
        <f t="shared" ca="1" si="47"/>
        <v/>
      </c>
      <c r="S150" s="4"/>
      <c r="T150" s="4"/>
    </row>
    <row r="151" spans="1:20" ht="14.25" x14ac:dyDescent="0.2">
      <c r="A151" s="999" t="s">
        <v>89</v>
      </c>
      <c r="B151" s="808" t="s">
        <v>116</v>
      </c>
      <c r="C151" s="676"/>
      <c r="D151" s="66"/>
      <c r="E151" s="630" t="str">
        <f>"locatie 4"&amp;IF('woningen|utiliteit'!$L$59="","",": "&amp;'woningen|utiliteit'!$L$59)</f>
        <v>locatie 4</v>
      </c>
      <c r="F151" s="182"/>
      <c r="G151" s="220" t="s">
        <v>404</v>
      </c>
      <c r="H151" s="33"/>
      <c r="I151" s="631">
        <f>'variant 1'!$AW$316</f>
        <v>0</v>
      </c>
      <c r="J151" s="627">
        <f ca="1">ROW(INDIRECT(RIGHT((_xlfn.FORMULATEXT($I151)),LEN(_xlfn.FORMULATEXT($I151))-1)))</f>
        <v>316</v>
      </c>
      <c r="K151" s="627">
        <f ca="1">COLUMN(INDIRECT(RIGHT((_xlfn.FORMULATEXT($I151)),LEN(_xlfn.FORMULATEXT($I151))-1)))</f>
        <v>49</v>
      </c>
      <c r="L151" s="33"/>
      <c r="M151" s="207" t="str">
        <f t="shared" ca="1" si="47"/>
        <v/>
      </c>
      <c r="N151" s="207" t="str">
        <f t="shared" ca="1" si="47"/>
        <v/>
      </c>
      <c r="O151" s="207" t="str">
        <f t="shared" ca="1" si="47"/>
        <v/>
      </c>
      <c r="P151" s="207" t="str">
        <f t="shared" ca="1" si="47"/>
        <v/>
      </c>
      <c r="Q151" s="207" t="str">
        <f t="shared" ca="1" si="47"/>
        <v/>
      </c>
      <c r="R151" s="207" t="str">
        <f t="shared" ca="1" si="47"/>
        <v/>
      </c>
      <c r="S151" s="4"/>
      <c r="T151" s="4"/>
    </row>
    <row r="152" spans="1:20" ht="15" x14ac:dyDescent="0.2">
      <c r="A152" s="994" t="s">
        <v>89</v>
      </c>
      <c r="B152" s="808" t="s">
        <v>116</v>
      </c>
      <c r="C152" s="676"/>
      <c r="D152" s="66"/>
      <c r="E152" s="220" t="s">
        <v>395</v>
      </c>
      <c r="F152" s="220"/>
      <c r="G152" s="220" t="s">
        <v>404</v>
      </c>
      <c r="H152" s="33"/>
      <c r="I152" s="629"/>
      <c r="J152" s="629"/>
      <c r="K152" s="629"/>
      <c r="L152" s="33"/>
      <c r="M152" s="207" t="str">
        <f ca="1">IF(M$22=0,"",SUM(M148:M151))</f>
        <v/>
      </c>
      <c r="N152" s="207">
        <f ca="1">SUM(N148:N151)</f>
        <v>0</v>
      </c>
      <c r="O152" s="207">
        <f ca="1">SUM(O148:O151)</f>
        <v>0</v>
      </c>
      <c r="P152" s="207">
        <f ca="1">SUM(P148:P151)</f>
        <v>0</v>
      </c>
      <c r="Q152" s="207">
        <f ca="1">SUM(Q148:Q151)</f>
        <v>0</v>
      </c>
      <c r="R152" s="207">
        <f ca="1">SUM(R148:R151)</f>
        <v>0</v>
      </c>
      <c r="S152" s="4"/>
      <c r="T152" s="4"/>
    </row>
    <row r="153" spans="1:20" s="614" customFormat="1" ht="5.25" x14ac:dyDescent="0.2">
      <c r="A153" s="995" t="s">
        <v>89</v>
      </c>
      <c r="B153" s="807" t="s">
        <v>116</v>
      </c>
      <c r="C153" s="671"/>
      <c r="D153" s="613"/>
      <c r="E153" s="645"/>
      <c r="F153" s="645"/>
      <c r="G153" s="645"/>
      <c r="H153" s="645"/>
      <c r="I153" s="646"/>
      <c r="J153" s="646"/>
      <c r="K153" s="646"/>
      <c r="L153" s="645"/>
      <c r="M153" s="645"/>
      <c r="N153" s="680"/>
      <c r="O153" s="645"/>
      <c r="P153" s="645"/>
      <c r="Q153" s="645"/>
      <c r="R153" s="645"/>
      <c r="S153" s="613"/>
      <c r="T153" s="613"/>
    </row>
    <row r="154" spans="1:20" ht="15" x14ac:dyDescent="0.2">
      <c r="A154" s="994" t="s">
        <v>89</v>
      </c>
      <c r="B154" s="808" t="s">
        <v>116</v>
      </c>
      <c r="C154" s="676"/>
      <c r="D154" s="66"/>
      <c r="E154" s="758" t="str">
        <f>"resultaten tov "&amp;$F$5</f>
        <v>resultaten tov variant 1</v>
      </c>
      <c r="F154" s="758"/>
      <c r="G154" s="759" t="s">
        <v>404</v>
      </c>
      <c r="H154" s="33"/>
      <c r="I154" s="632"/>
      <c r="J154" s="632"/>
      <c r="K154" s="632"/>
      <c r="L154" s="33"/>
      <c r="M154" s="760" t="str">
        <f t="shared" ref="M154:R154" ca="1" si="48">IF(M152="","",M152-INDEX($L152:$S152,MATCH($F$5,$L$8:$S$8,0)))</f>
        <v/>
      </c>
      <c r="N154" s="760" t="e">
        <f t="shared" ca="1" si="48"/>
        <v>#VALUE!</v>
      </c>
      <c r="O154" s="760" t="e">
        <f t="shared" ca="1" si="48"/>
        <v>#VALUE!</v>
      </c>
      <c r="P154" s="760" t="e">
        <f t="shared" ca="1" si="48"/>
        <v>#VALUE!</v>
      </c>
      <c r="Q154" s="760" t="e">
        <f t="shared" ca="1" si="48"/>
        <v>#VALUE!</v>
      </c>
      <c r="R154" s="760" t="e">
        <f t="shared" ca="1" si="48"/>
        <v>#VALUE!</v>
      </c>
      <c r="S154" s="4"/>
      <c r="T154" s="4"/>
    </row>
    <row r="155" spans="1:20" ht="15" x14ac:dyDescent="0.2">
      <c r="A155" s="994" t="s">
        <v>89</v>
      </c>
      <c r="B155" s="808" t="s">
        <v>116</v>
      </c>
      <c r="C155" s="676"/>
      <c r="D155" s="66"/>
      <c r="E155" s="761"/>
      <c r="F155" s="761"/>
      <c r="G155" s="759" t="s">
        <v>150</v>
      </c>
      <c r="H155" s="33"/>
      <c r="I155" s="633"/>
      <c r="J155" s="633"/>
      <c r="K155" s="633"/>
      <c r="L155" s="33"/>
      <c r="M155" s="765" t="str">
        <f t="shared" ref="M155:R155" ca="1" si="49">IFERROR(M154/INDEX($L152:$S152,MATCH($F$5,$L$8:$S$8,0)),"")</f>
        <v/>
      </c>
      <c r="N155" s="765" t="str">
        <f t="shared" ca="1" si="49"/>
        <v/>
      </c>
      <c r="O155" s="765" t="str">
        <f t="shared" ca="1" si="49"/>
        <v/>
      </c>
      <c r="P155" s="765" t="str">
        <f t="shared" ca="1" si="49"/>
        <v/>
      </c>
      <c r="Q155" s="765" t="str">
        <f t="shared" ca="1" si="49"/>
        <v/>
      </c>
      <c r="R155" s="765" t="str">
        <f t="shared" ca="1" si="49"/>
        <v/>
      </c>
      <c r="S155" s="4"/>
      <c r="T155" s="4"/>
    </row>
    <row r="156" spans="1:20" ht="15" hidden="1" collapsed="1" x14ac:dyDescent="0.2">
      <c r="A156" s="999" t="s">
        <v>89</v>
      </c>
      <c r="B156" s="808" t="s">
        <v>405</v>
      </c>
      <c r="C156" s="676"/>
      <c r="D156" s="66"/>
      <c r="E156" s="4"/>
      <c r="F156" s="4"/>
      <c r="G156" s="4"/>
      <c r="H156" s="33"/>
      <c r="I156" s="78"/>
      <c r="J156" s="78"/>
      <c r="K156" s="78"/>
      <c r="L156" s="33"/>
      <c r="M156" s="13"/>
      <c r="N156" s="13"/>
      <c r="O156" s="13"/>
      <c r="P156" s="13"/>
      <c r="Q156" s="13"/>
      <c r="R156" s="13"/>
      <c r="S156" s="4"/>
      <c r="T156" s="4"/>
    </row>
    <row r="157" spans="1:20" ht="21" hidden="1" x14ac:dyDescent="0.2">
      <c r="A157" s="994" t="s">
        <v>89</v>
      </c>
      <c r="B157" s="808" t="s">
        <v>405</v>
      </c>
      <c r="C157" s="676"/>
      <c r="D157" s="66"/>
      <c r="E157" s="215" t="s">
        <v>406</v>
      </c>
      <c r="F157" s="215"/>
      <c r="G157" s="215"/>
      <c r="H157" s="4"/>
      <c r="I157" s="626"/>
      <c r="J157" s="626"/>
      <c r="K157" s="626"/>
      <c r="L157" s="33"/>
      <c r="M157" s="641"/>
      <c r="N157" s="641"/>
      <c r="O157" s="641"/>
      <c r="P157" s="641"/>
      <c r="Q157" s="641"/>
      <c r="R157" s="641"/>
      <c r="S157" s="4"/>
      <c r="T157" s="4"/>
    </row>
    <row r="158" spans="1:20" ht="14.25" hidden="1" x14ac:dyDescent="0.2">
      <c r="A158" s="999" t="s">
        <v>89</v>
      </c>
      <c r="B158" s="808" t="s">
        <v>405</v>
      </c>
      <c r="C158" s="676"/>
      <c r="D158" s="66"/>
      <c r="E158" s="367" t="str">
        <f>'variant 1'!$E$60</f>
        <v>verwarming</v>
      </c>
      <c r="F158" s="220"/>
      <c r="G158" s="220" t="s">
        <v>407</v>
      </c>
      <c r="H158" s="33"/>
      <c r="I158" s="631">
        <f>'variant 1'!$M$302</f>
        <v>0</v>
      </c>
      <c r="J158" s="627">
        <f t="shared" ref="J158:J166" ca="1" si="50">ROW(INDIRECT(RIGHT((_xlfn.FORMULATEXT($I158)),LEN(_xlfn.FORMULATEXT($I158))-1)))</f>
        <v>302</v>
      </c>
      <c r="K158" s="627">
        <f t="shared" ref="K158:K166" ca="1" si="51">COLUMN(INDIRECT(RIGHT((_xlfn.FORMULATEXT($I158)),LEN(_xlfn.FORMULATEXT($I158))-1)))</f>
        <v>13</v>
      </c>
      <c r="L158" s="33"/>
      <c r="M158" s="207" t="str">
        <f t="shared" ref="M158:R166" ca="1" si="52">IF(M$22=0,"",IFERROR(IF(INDIRECT(ADDRESS($J158,$K158,,,M$8))=0,"",INDIRECT(ADDRESS($J158,$K158,,,M$8))),""))</f>
        <v/>
      </c>
      <c r="N158" s="207" t="str">
        <f t="shared" ca="1" si="52"/>
        <v/>
      </c>
      <c r="O158" s="207" t="str">
        <f t="shared" ca="1" si="52"/>
        <v/>
      </c>
      <c r="P158" s="207" t="str">
        <f t="shared" ca="1" si="52"/>
        <v/>
      </c>
      <c r="Q158" s="207" t="str">
        <f t="shared" ca="1" si="52"/>
        <v/>
      </c>
      <c r="R158" s="207" t="str">
        <f t="shared" ca="1" si="52"/>
        <v/>
      </c>
      <c r="S158" s="4"/>
      <c r="T158" s="4"/>
    </row>
    <row r="159" spans="1:20" ht="14.25" hidden="1" x14ac:dyDescent="0.2">
      <c r="A159" s="999" t="s">
        <v>89</v>
      </c>
      <c r="B159" s="808" t="s">
        <v>405</v>
      </c>
      <c r="C159" s="676"/>
      <c r="D159" s="66"/>
      <c r="E159" s="367" t="str">
        <f>'variant 1'!$E$61</f>
        <v>koeling</v>
      </c>
      <c r="F159" s="220"/>
      <c r="G159" s="220" t="s">
        <v>407</v>
      </c>
      <c r="H159" s="33"/>
      <c r="I159" s="631">
        <f>'variant 1'!$M$303</f>
        <v>0</v>
      </c>
      <c r="J159" s="627">
        <f t="shared" ca="1" si="50"/>
        <v>303</v>
      </c>
      <c r="K159" s="627">
        <f t="shared" ca="1" si="51"/>
        <v>13</v>
      </c>
      <c r="L159" s="33"/>
      <c r="M159" s="207" t="str">
        <f t="shared" ca="1" si="52"/>
        <v/>
      </c>
      <c r="N159" s="207" t="str">
        <f t="shared" ca="1" si="52"/>
        <v/>
      </c>
      <c r="O159" s="207" t="str">
        <f t="shared" ca="1" si="52"/>
        <v/>
      </c>
      <c r="P159" s="207" t="str">
        <f t="shared" ca="1" si="52"/>
        <v/>
      </c>
      <c r="Q159" s="207" t="str">
        <f t="shared" ca="1" si="52"/>
        <v/>
      </c>
      <c r="R159" s="207" t="str">
        <f t="shared" ca="1" si="52"/>
        <v/>
      </c>
      <c r="S159" s="4"/>
      <c r="T159" s="4"/>
    </row>
    <row r="160" spans="1:20" ht="14.25" hidden="1" x14ac:dyDescent="0.2">
      <c r="A160" s="999" t="s">
        <v>89</v>
      </c>
      <c r="B160" s="808" t="s">
        <v>405</v>
      </c>
      <c r="C160" s="676"/>
      <c r="D160" s="66"/>
      <c r="E160" s="367" t="str">
        <f>'variant 1'!$E$62</f>
        <v>tapwater</v>
      </c>
      <c r="F160" s="220"/>
      <c r="G160" s="220" t="s">
        <v>407</v>
      </c>
      <c r="H160" s="33"/>
      <c r="I160" s="631">
        <f>'variant 1'!$M$304</f>
        <v>0</v>
      </c>
      <c r="J160" s="627">
        <f t="shared" ca="1" si="50"/>
        <v>304</v>
      </c>
      <c r="K160" s="627">
        <f t="shared" ca="1" si="51"/>
        <v>13</v>
      </c>
      <c r="L160" s="33"/>
      <c r="M160" s="207" t="str">
        <f t="shared" ca="1" si="52"/>
        <v/>
      </c>
      <c r="N160" s="207" t="str">
        <f t="shared" ca="1" si="52"/>
        <v/>
      </c>
      <c r="O160" s="207" t="str">
        <f t="shared" ca="1" si="52"/>
        <v/>
      </c>
      <c r="P160" s="207" t="str">
        <f t="shared" ca="1" si="52"/>
        <v/>
      </c>
      <c r="Q160" s="207" t="str">
        <f t="shared" ca="1" si="52"/>
        <v/>
      </c>
      <c r="R160" s="207" t="str">
        <f t="shared" ca="1" si="52"/>
        <v/>
      </c>
      <c r="S160" s="4"/>
      <c r="T160" s="4"/>
    </row>
    <row r="161" spans="1:20" ht="14.25" hidden="1" x14ac:dyDescent="0.2">
      <c r="A161" s="999" t="s">
        <v>89</v>
      </c>
      <c r="B161" s="808" t="s">
        <v>405</v>
      </c>
      <c r="C161" s="676"/>
      <c r="D161" s="66"/>
      <c r="E161" s="367" t="str">
        <f>'variant 1'!$E$63</f>
        <v>verlichting</v>
      </c>
      <c r="F161" s="220"/>
      <c r="G161" s="220" t="s">
        <v>407</v>
      </c>
      <c r="H161" s="33"/>
      <c r="I161" s="631">
        <f>'variant 1'!$M$305</f>
        <v>0</v>
      </c>
      <c r="J161" s="627">
        <f t="shared" ca="1" si="50"/>
        <v>305</v>
      </c>
      <c r="K161" s="627">
        <f t="shared" ca="1" si="51"/>
        <v>13</v>
      </c>
      <c r="L161" s="33"/>
      <c r="M161" s="207" t="str">
        <f t="shared" ca="1" si="52"/>
        <v/>
      </c>
      <c r="N161" s="207" t="str">
        <f t="shared" ca="1" si="52"/>
        <v/>
      </c>
      <c r="O161" s="207" t="str">
        <f t="shared" ca="1" si="52"/>
        <v/>
      </c>
      <c r="P161" s="207" t="str">
        <f t="shared" ca="1" si="52"/>
        <v/>
      </c>
      <c r="Q161" s="207" t="str">
        <f t="shared" ca="1" si="52"/>
        <v/>
      </c>
      <c r="R161" s="207" t="str">
        <f t="shared" ca="1" si="52"/>
        <v/>
      </c>
      <c r="S161" s="4"/>
      <c r="T161" s="4"/>
    </row>
    <row r="162" spans="1:20" ht="14.25" hidden="1" x14ac:dyDescent="0.2">
      <c r="A162" s="999" t="s">
        <v>89</v>
      </c>
      <c r="B162" s="808" t="s">
        <v>405</v>
      </c>
      <c r="C162" s="676"/>
      <c r="D162" s="66"/>
      <c r="E162" s="367" t="str">
        <f>'variant 1'!$E$64</f>
        <v>ventilatoren</v>
      </c>
      <c r="F162" s="220"/>
      <c r="G162" s="220" t="s">
        <v>407</v>
      </c>
      <c r="H162" s="33"/>
      <c r="I162" s="631">
        <f>'variant 1'!$M$306</f>
        <v>0</v>
      </c>
      <c r="J162" s="627">
        <f t="shared" ca="1" si="50"/>
        <v>306</v>
      </c>
      <c r="K162" s="627">
        <f t="shared" ca="1" si="51"/>
        <v>13</v>
      </c>
      <c r="L162" s="33"/>
      <c r="M162" s="207" t="str">
        <f t="shared" ca="1" si="52"/>
        <v/>
      </c>
      <c r="N162" s="207" t="str">
        <f t="shared" ca="1" si="52"/>
        <v/>
      </c>
      <c r="O162" s="207" t="str">
        <f t="shared" ca="1" si="52"/>
        <v/>
      </c>
      <c r="P162" s="207" t="str">
        <f t="shared" ca="1" si="52"/>
        <v/>
      </c>
      <c r="Q162" s="207" t="str">
        <f t="shared" ca="1" si="52"/>
        <v/>
      </c>
      <c r="R162" s="207" t="str">
        <f t="shared" ca="1" si="52"/>
        <v/>
      </c>
      <c r="S162" s="4"/>
      <c r="T162" s="4"/>
    </row>
    <row r="163" spans="1:20" ht="14.25" hidden="1" x14ac:dyDescent="0.2">
      <c r="A163" s="999" t="s">
        <v>89</v>
      </c>
      <c r="B163" s="808" t="s">
        <v>405</v>
      </c>
      <c r="C163" s="676"/>
      <c r="D163" s="66"/>
      <c r="E163" s="367" t="str">
        <f>'variant 1'!$E$66</f>
        <v>overig elektra</v>
      </c>
      <c r="F163" s="220"/>
      <c r="G163" s="220" t="s">
        <v>407</v>
      </c>
      <c r="H163" s="33"/>
      <c r="I163" s="631">
        <f>'variant 1'!$M$308</f>
        <v>0</v>
      </c>
      <c r="J163" s="627">
        <f t="shared" ca="1" si="50"/>
        <v>308</v>
      </c>
      <c r="K163" s="627">
        <f t="shared" ca="1" si="51"/>
        <v>13</v>
      </c>
      <c r="L163" s="33"/>
      <c r="M163" s="207" t="str">
        <f t="shared" ca="1" si="52"/>
        <v/>
      </c>
      <c r="N163" s="207" t="str">
        <f t="shared" ca="1" si="52"/>
        <v/>
      </c>
      <c r="O163" s="207" t="str">
        <f t="shared" ca="1" si="52"/>
        <v/>
      </c>
      <c r="P163" s="207" t="str">
        <f t="shared" ca="1" si="52"/>
        <v/>
      </c>
      <c r="Q163" s="207" t="str">
        <f t="shared" ca="1" si="52"/>
        <v/>
      </c>
      <c r="R163" s="207" t="str">
        <f t="shared" ca="1" si="52"/>
        <v/>
      </c>
      <c r="S163" s="4"/>
      <c r="T163" s="4"/>
    </row>
    <row r="164" spans="1:20" ht="14.25" hidden="1" x14ac:dyDescent="0.2">
      <c r="A164" s="999" t="s">
        <v>89</v>
      </c>
      <c r="B164" s="808" t="s">
        <v>405</v>
      </c>
      <c r="C164" s="676"/>
      <c r="D164" s="66"/>
      <c r="E164" s="367" t="str">
        <f>'variant 1'!$E$68</f>
        <v>mobiliteit</v>
      </c>
      <c r="F164" s="220"/>
      <c r="G164" s="220" t="s">
        <v>407</v>
      </c>
      <c r="H164" s="33"/>
      <c r="I164" s="631">
        <f>'variant 1'!$M$309</f>
        <v>0</v>
      </c>
      <c r="J164" s="627">
        <f t="shared" ca="1" si="50"/>
        <v>309</v>
      </c>
      <c r="K164" s="627">
        <f t="shared" ca="1" si="51"/>
        <v>13</v>
      </c>
      <c r="L164" s="33"/>
      <c r="M164" s="207" t="str">
        <f t="shared" ca="1" si="52"/>
        <v/>
      </c>
      <c r="N164" s="207" t="str">
        <f t="shared" ca="1" si="52"/>
        <v/>
      </c>
      <c r="O164" s="207" t="str">
        <f t="shared" ca="1" si="52"/>
        <v/>
      </c>
      <c r="P164" s="207" t="str">
        <f t="shared" ca="1" si="52"/>
        <v/>
      </c>
      <c r="Q164" s="207" t="str">
        <f t="shared" ca="1" si="52"/>
        <v/>
      </c>
      <c r="R164" s="207" t="str">
        <f t="shared" ca="1" si="52"/>
        <v/>
      </c>
      <c r="S164" s="4"/>
      <c r="T164" s="4"/>
    </row>
    <row r="165" spans="1:20" ht="14.25" hidden="1" x14ac:dyDescent="0.2">
      <c r="A165" s="999" t="s">
        <v>89</v>
      </c>
      <c r="B165" s="808" t="s">
        <v>405</v>
      </c>
      <c r="C165" s="676"/>
      <c r="D165" s="66"/>
      <c r="E165" s="367" t="str">
        <f>'variant 1'!$E$312</f>
        <v>warmtekracht (vermeden CO2 emissie)</v>
      </c>
      <c r="F165" s="220"/>
      <c r="G165" s="220" t="s">
        <v>407</v>
      </c>
      <c r="H165" s="33"/>
      <c r="I165" s="631">
        <f>'variant 1'!$M$312</f>
        <v>0</v>
      </c>
      <c r="J165" s="627">
        <f t="shared" ca="1" si="50"/>
        <v>312</v>
      </c>
      <c r="K165" s="627">
        <f t="shared" ca="1" si="51"/>
        <v>13</v>
      </c>
      <c r="L165" s="33"/>
      <c r="M165" s="207" t="str">
        <f t="shared" ca="1" si="52"/>
        <v/>
      </c>
      <c r="N165" s="207" t="str">
        <f t="shared" ca="1" si="52"/>
        <v/>
      </c>
      <c r="O165" s="207" t="str">
        <f t="shared" ca="1" si="52"/>
        <v/>
      </c>
      <c r="P165" s="207" t="str">
        <f t="shared" ca="1" si="52"/>
        <v/>
      </c>
      <c r="Q165" s="207" t="str">
        <f t="shared" ca="1" si="52"/>
        <v/>
      </c>
      <c r="R165" s="207" t="str">
        <f t="shared" ca="1" si="52"/>
        <v/>
      </c>
      <c r="S165" s="4"/>
      <c r="T165" s="4"/>
    </row>
    <row r="166" spans="1:20" ht="14.25" hidden="1" x14ac:dyDescent="0.2">
      <c r="A166" s="999" t="s">
        <v>89</v>
      </c>
      <c r="B166" s="808" t="s">
        <v>405</v>
      </c>
      <c r="C166" s="676"/>
      <c r="D166" s="66"/>
      <c r="E166" s="367" t="str">
        <f>'variant 1'!$E$313</f>
        <v>zonnepanelen (vermeden CO2 emissie)</v>
      </c>
      <c r="F166" s="220"/>
      <c r="G166" s="220" t="s">
        <v>407</v>
      </c>
      <c r="H166" s="33"/>
      <c r="I166" s="631">
        <f>'variant 1'!$M$313</f>
        <v>0</v>
      </c>
      <c r="J166" s="627">
        <f t="shared" ca="1" si="50"/>
        <v>313</v>
      </c>
      <c r="K166" s="627">
        <f t="shared" ca="1" si="51"/>
        <v>13</v>
      </c>
      <c r="L166" s="33"/>
      <c r="M166" s="207" t="str">
        <f t="shared" ca="1" si="52"/>
        <v/>
      </c>
      <c r="N166" s="207" t="str">
        <f t="shared" ca="1" si="52"/>
        <v/>
      </c>
      <c r="O166" s="207" t="str">
        <f t="shared" ca="1" si="52"/>
        <v/>
      </c>
      <c r="P166" s="207" t="str">
        <f t="shared" ca="1" si="52"/>
        <v/>
      </c>
      <c r="Q166" s="207" t="str">
        <f t="shared" ca="1" si="52"/>
        <v/>
      </c>
      <c r="R166" s="207" t="str">
        <f t="shared" ca="1" si="52"/>
        <v/>
      </c>
      <c r="S166" s="4"/>
      <c r="T166" s="4"/>
    </row>
    <row r="167" spans="1:20" ht="15" hidden="1" x14ac:dyDescent="0.2">
      <c r="A167" s="999" t="s">
        <v>89</v>
      </c>
      <c r="B167" s="808" t="s">
        <v>405</v>
      </c>
      <c r="C167" s="676"/>
      <c r="D167" s="66"/>
      <c r="E167" s="220" t="s">
        <v>258</v>
      </c>
      <c r="F167" s="220"/>
      <c r="G167" s="220" t="s">
        <v>407</v>
      </c>
      <c r="H167" s="33"/>
      <c r="I167" s="629"/>
      <c r="J167" s="629"/>
      <c r="K167" s="629"/>
      <c r="L167" s="33"/>
      <c r="M167" s="207" t="str">
        <f t="shared" ref="M167:R167" ca="1" si="53">IF(M158="","",SUM(M158:M166))</f>
        <v/>
      </c>
      <c r="N167" s="207" t="str">
        <f t="shared" ca="1" si="53"/>
        <v/>
      </c>
      <c r="O167" s="207" t="str">
        <f t="shared" ca="1" si="53"/>
        <v/>
      </c>
      <c r="P167" s="207" t="str">
        <f t="shared" ca="1" si="53"/>
        <v/>
      </c>
      <c r="Q167" s="207" t="str">
        <f t="shared" ca="1" si="53"/>
        <v/>
      </c>
      <c r="R167" s="207" t="str">
        <f t="shared" ca="1" si="53"/>
        <v/>
      </c>
      <c r="S167" s="4"/>
      <c r="T167" s="4"/>
    </row>
    <row r="168" spans="1:20" s="614" customFormat="1" ht="5.25" hidden="1" x14ac:dyDescent="0.2">
      <c r="A168" s="995" t="s">
        <v>89</v>
      </c>
      <c r="B168" s="807" t="s">
        <v>405</v>
      </c>
      <c r="C168" s="671"/>
      <c r="D168" s="613"/>
      <c r="E168" s="645"/>
      <c r="F168" s="645"/>
      <c r="G168" s="645"/>
      <c r="H168" s="645"/>
      <c r="I168" s="646"/>
      <c r="J168" s="646"/>
      <c r="K168" s="646"/>
      <c r="L168" s="645"/>
      <c r="M168" s="645"/>
      <c r="N168" s="680"/>
      <c r="O168" s="645"/>
      <c r="P168" s="645"/>
      <c r="Q168" s="645"/>
      <c r="R168" s="645"/>
      <c r="S168" s="613"/>
      <c r="T168" s="613"/>
    </row>
    <row r="169" spans="1:20" ht="15" hidden="1" x14ac:dyDescent="0.2">
      <c r="A169" s="994" t="s">
        <v>89</v>
      </c>
      <c r="B169" s="808" t="s">
        <v>405</v>
      </c>
      <c r="C169" s="676"/>
      <c r="D169" s="66"/>
      <c r="E169" s="758" t="str">
        <f>"resultaten tov "&amp;$F$5</f>
        <v>resultaten tov variant 1</v>
      </c>
      <c r="F169" s="758"/>
      <c r="G169" s="759" t="s">
        <v>407</v>
      </c>
      <c r="H169" s="33"/>
      <c r="I169" s="632"/>
      <c r="J169" s="632"/>
      <c r="K169" s="632"/>
      <c r="L169" s="33"/>
      <c r="M169" s="760" t="str">
        <f t="shared" ref="M169:R169" ca="1" si="54">IF(M167="","",M167-INDEX($L167:$S167,MATCH($F$5,$L$8:$S$8,0)))</f>
        <v/>
      </c>
      <c r="N169" s="760" t="str">
        <f t="shared" ca="1" si="54"/>
        <v/>
      </c>
      <c r="O169" s="760" t="str">
        <f t="shared" ca="1" si="54"/>
        <v/>
      </c>
      <c r="P169" s="760" t="str">
        <f t="shared" ca="1" si="54"/>
        <v/>
      </c>
      <c r="Q169" s="760" t="str">
        <f t="shared" ca="1" si="54"/>
        <v/>
      </c>
      <c r="R169" s="760" t="str">
        <f t="shared" ca="1" si="54"/>
        <v/>
      </c>
      <c r="S169" s="4"/>
      <c r="T169" s="4"/>
    </row>
    <row r="170" spans="1:20" ht="15" hidden="1" x14ac:dyDescent="0.2">
      <c r="A170" s="994" t="s">
        <v>89</v>
      </c>
      <c r="B170" s="808" t="s">
        <v>405</v>
      </c>
      <c r="C170" s="676"/>
      <c r="D170" s="66"/>
      <c r="E170" s="761"/>
      <c r="F170" s="761"/>
      <c r="G170" s="759" t="s">
        <v>150</v>
      </c>
      <c r="H170" s="33"/>
      <c r="I170" s="633"/>
      <c r="J170" s="633"/>
      <c r="K170" s="633"/>
      <c r="L170" s="33"/>
      <c r="M170" s="765" t="str">
        <f t="shared" ref="M170:R170" ca="1" si="55">IFERROR(M169/INDEX($L167:$S167,MATCH($F$5,$L$8:$S$8,0)),"")</f>
        <v/>
      </c>
      <c r="N170" s="765" t="str">
        <f t="shared" ca="1" si="55"/>
        <v/>
      </c>
      <c r="O170" s="765" t="str">
        <f t="shared" ca="1" si="55"/>
        <v/>
      </c>
      <c r="P170" s="765" t="str">
        <f t="shared" ca="1" si="55"/>
        <v/>
      </c>
      <c r="Q170" s="765" t="str">
        <f t="shared" ca="1" si="55"/>
        <v/>
      </c>
      <c r="R170" s="765" t="str">
        <f t="shared" ca="1" si="55"/>
        <v/>
      </c>
      <c r="S170" s="4"/>
      <c r="T170" s="4"/>
    </row>
    <row r="171" spans="1:20" ht="15" hidden="1" x14ac:dyDescent="0.2">
      <c r="A171" s="999" t="s">
        <v>89</v>
      </c>
      <c r="B171" s="808" t="s">
        <v>405</v>
      </c>
      <c r="C171" s="676"/>
      <c r="D171" s="66"/>
      <c r="E171" s="4"/>
      <c r="F171" s="4"/>
      <c r="G171" s="4"/>
      <c r="H171" s="33"/>
      <c r="I171" s="78"/>
      <c r="J171" s="78"/>
      <c r="K171" s="78"/>
      <c r="L171" s="33"/>
      <c r="M171" s="13"/>
      <c r="N171" s="13"/>
      <c r="O171" s="13"/>
      <c r="P171" s="13"/>
      <c r="Q171" s="13"/>
      <c r="R171" s="13"/>
      <c r="S171" s="4"/>
      <c r="T171" s="4"/>
    </row>
    <row r="172" spans="1:20" ht="21" hidden="1" x14ac:dyDescent="0.2">
      <c r="A172" s="994" t="s">
        <v>89</v>
      </c>
      <c r="B172" s="808" t="s">
        <v>405</v>
      </c>
      <c r="C172" s="676"/>
      <c r="D172" s="66"/>
      <c r="E172" s="215" t="s">
        <v>408</v>
      </c>
      <c r="F172" s="215"/>
      <c r="G172" s="215"/>
      <c r="H172" s="4"/>
      <c r="I172" s="626"/>
      <c r="J172" s="626"/>
      <c r="K172" s="626"/>
      <c r="L172" s="33"/>
      <c r="M172" s="641"/>
      <c r="N172" s="641"/>
      <c r="O172" s="641"/>
      <c r="P172" s="641"/>
      <c r="Q172" s="641"/>
      <c r="R172" s="641"/>
      <c r="S172" s="4"/>
      <c r="T172" s="4"/>
    </row>
    <row r="173" spans="1:20" ht="14.25" hidden="1" x14ac:dyDescent="0.2">
      <c r="A173" s="999" t="s">
        <v>89</v>
      </c>
      <c r="B173" s="808" t="s">
        <v>405</v>
      </c>
      <c r="C173" s="676"/>
      <c r="D173" s="66"/>
      <c r="E173" s="367" t="str">
        <f>'variant 1'!$E$60</f>
        <v>verwarming</v>
      </c>
      <c r="F173" s="220"/>
      <c r="G173" s="220" t="s">
        <v>407</v>
      </c>
      <c r="H173" s="33"/>
      <c r="I173" s="631">
        <f>'variant 1'!$Y$302</f>
        <v>0</v>
      </c>
      <c r="J173" s="627">
        <f t="shared" ref="J173:J181" ca="1" si="56">ROW(INDIRECT(RIGHT((_xlfn.FORMULATEXT($I173)),LEN(_xlfn.FORMULATEXT($I173))-1)))</f>
        <v>302</v>
      </c>
      <c r="K173" s="627">
        <f t="shared" ref="K173:K181" ca="1" si="57">COLUMN(INDIRECT(RIGHT((_xlfn.FORMULATEXT($I173)),LEN(_xlfn.FORMULATEXT($I173))-1)))</f>
        <v>25</v>
      </c>
      <c r="L173" s="33"/>
      <c r="M173" s="207" t="str">
        <f t="shared" ref="M173:R181" ca="1" si="58">IF(M$22=0,"",IFERROR(IF(INDIRECT(ADDRESS($J173,$K173,,,M$8))=0,"",INDIRECT(ADDRESS($J173,$K173,,,M$8))),""))</f>
        <v/>
      </c>
      <c r="N173" s="207" t="str">
        <f t="shared" ca="1" si="58"/>
        <v/>
      </c>
      <c r="O173" s="207" t="str">
        <f t="shared" ca="1" si="58"/>
        <v/>
      </c>
      <c r="P173" s="207" t="str">
        <f t="shared" ca="1" si="58"/>
        <v/>
      </c>
      <c r="Q173" s="207" t="str">
        <f t="shared" ca="1" si="58"/>
        <v/>
      </c>
      <c r="R173" s="207" t="str">
        <f t="shared" ca="1" si="58"/>
        <v/>
      </c>
      <c r="S173" s="4"/>
      <c r="T173" s="4"/>
    </row>
    <row r="174" spans="1:20" ht="14.25" hidden="1" x14ac:dyDescent="0.2">
      <c r="A174" s="999" t="s">
        <v>89</v>
      </c>
      <c r="B174" s="808" t="s">
        <v>405</v>
      </c>
      <c r="C174" s="676"/>
      <c r="D174" s="66"/>
      <c r="E174" s="367" t="str">
        <f>'variant 1'!$E$61</f>
        <v>koeling</v>
      </c>
      <c r="F174" s="220"/>
      <c r="G174" s="220" t="s">
        <v>407</v>
      </c>
      <c r="H174" s="33"/>
      <c r="I174" s="631">
        <f>'variant 1'!$Y$303</f>
        <v>0</v>
      </c>
      <c r="J174" s="627">
        <f t="shared" ca="1" si="56"/>
        <v>303</v>
      </c>
      <c r="K174" s="627">
        <f t="shared" ca="1" si="57"/>
        <v>25</v>
      </c>
      <c r="L174" s="33"/>
      <c r="M174" s="207" t="str">
        <f t="shared" ca="1" si="58"/>
        <v/>
      </c>
      <c r="N174" s="207" t="str">
        <f t="shared" ca="1" si="58"/>
        <v/>
      </c>
      <c r="O174" s="207" t="str">
        <f t="shared" ca="1" si="58"/>
        <v/>
      </c>
      <c r="P174" s="207" t="str">
        <f t="shared" ca="1" si="58"/>
        <v/>
      </c>
      <c r="Q174" s="207" t="str">
        <f t="shared" ca="1" si="58"/>
        <v/>
      </c>
      <c r="R174" s="207" t="str">
        <f t="shared" ca="1" si="58"/>
        <v/>
      </c>
      <c r="S174" s="4"/>
      <c r="T174" s="4"/>
    </row>
    <row r="175" spans="1:20" ht="14.25" hidden="1" x14ac:dyDescent="0.2">
      <c r="A175" s="999" t="s">
        <v>89</v>
      </c>
      <c r="B175" s="808" t="s">
        <v>405</v>
      </c>
      <c r="C175" s="676"/>
      <c r="D175" s="66"/>
      <c r="E175" s="367" t="str">
        <f>'variant 1'!$E$62</f>
        <v>tapwater</v>
      </c>
      <c r="F175" s="220"/>
      <c r="G175" s="220" t="s">
        <v>407</v>
      </c>
      <c r="H175" s="33"/>
      <c r="I175" s="631">
        <f>'variant 1'!$Y$304</f>
        <v>0</v>
      </c>
      <c r="J175" s="627">
        <f t="shared" ca="1" si="56"/>
        <v>304</v>
      </c>
      <c r="K175" s="627">
        <f t="shared" ca="1" si="57"/>
        <v>25</v>
      </c>
      <c r="L175" s="33"/>
      <c r="M175" s="207" t="str">
        <f t="shared" ca="1" si="58"/>
        <v/>
      </c>
      <c r="N175" s="207" t="str">
        <f t="shared" ca="1" si="58"/>
        <v/>
      </c>
      <c r="O175" s="207" t="str">
        <f t="shared" ca="1" si="58"/>
        <v/>
      </c>
      <c r="P175" s="207" t="str">
        <f t="shared" ca="1" si="58"/>
        <v/>
      </c>
      <c r="Q175" s="207" t="str">
        <f t="shared" ca="1" si="58"/>
        <v/>
      </c>
      <c r="R175" s="207" t="str">
        <f t="shared" ca="1" si="58"/>
        <v/>
      </c>
      <c r="S175" s="4"/>
      <c r="T175" s="4"/>
    </row>
    <row r="176" spans="1:20" ht="14.25" hidden="1" x14ac:dyDescent="0.2">
      <c r="A176" s="999" t="s">
        <v>89</v>
      </c>
      <c r="B176" s="808" t="s">
        <v>405</v>
      </c>
      <c r="C176" s="676"/>
      <c r="D176" s="66"/>
      <c r="E176" s="367" t="str">
        <f>'variant 1'!$E$63</f>
        <v>verlichting</v>
      </c>
      <c r="F176" s="220"/>
      <c r="G176" s="220" t="s">
        <v>407</v>
      </c>
      <c r="H176" s="33"/>
      <c r="I176" s="631">
        <f>'variant 1'!$Y$305</f>
        <v>0</v>
      </c>
      <c r="J176" s="627">
        <f t="shared" ca="1" si="56"/>
        <v>305</v>
      </c>
      <c r="K176" s="627">
        <f t="shared" ca="1" si="57"/>
        <v>25</v>
      </c>
      <c r="L176" s="33"/>
      <c r="M176" s="207" t="str">
        <f t="shared" ca="1" si="58"/>
        <v/>
      </c>
      <c r="N176" s="207" t="str">
        <f t="shared" ca="1" si="58"/>
        <v/>
      </c>
      <c r="O176" s="207" t="str">
        <f t="shared" ca="1" si="58"/>
        <v/>
      </c>
      <c r="P176" s="207" t="str">
        <f t="shared" ca="1" si="58"/>
        <v/>
      </c>
      <c r="Q176" s="207" t="str">
        <f t="shared" ca="1" si="58"/>
        <v/>
      </c>
      <c r="R176" s="207" t="str">
        <f t="shared" ca="1" si="58"/>
        <v/>
      </c>
      <c r="S176" s="4"/>
      <c r="T176" s="4"/>
    </row>
    <row r="177" spans="1:20" ht="14.25" hidden="1" x14ac:dyDescent="0.2">
      <c r="A177" s="999" t="s">
        <v>89</v>
      </c>
      <c r="B177" s="808" t="s">
        <v>405</v>
      </c>
      <c r="C177" s="676"/>
      <c r="D177" s="66"/>
      <c r="E177" s="367" t="str">
        <f>'variant 1'!$E$64</f>
        <v>ventilatoren</v>
      </c>
      <c r="F177" s="220"/>
      <c r="G177" s="220" t="s">
        <v>407</v>
      </c>
      <c r="H177" s="33"/>
      <c r="I177" s="631">
        <f>'variant 1'!$Y$306</f>
        <v>0</v>
      </c>
      <c r="J177" s="627">
        <f t="shared" ca="1" si="56"/>
        <v>306</v>
      </c>
      <c r="K177" s="627">
        <f t="shared" ca="1" si="57"/>
        <v>25</v>
      </c>
      <c r="L177" s="33"/>
      <c r="M177" s="207" t="str">
        <f t="shared" ca="1" si="58"/>
        <v/>
      </c>
      <c r="N177" s="207" t="str">
        <f t="shared" ca="1" si="58"/>
        <v/>
      </c>
      <c r="O177" s="207" t="str">
        <f t="shared" ca="1" si="58"/>
        <v/>
      </c>
      <c r="P177" s="207" t="str">
        <f t="shared" ca="1" si="58"/>
        <v/>
      </c>
      <c r="Q177" s="207" t="str">
        <f t="shared" ca="1" si="58"/>
        <v/>
      </c>
      <c r="R177" s="207" t="str">
        <f t="shared" ca="1" si="58"/>
        <v/>
      </c>
      <c r="S177" s="4"/>
      <c r="T177" s="4"/>
    </row>
    <row r="178" spans="1:20" ht="14.25" hidden="1" x14ac:dyDescent="0.2">
      <c r="A178" s="999" t="s">
        <v>89</v>
      </c>
      <c r="B178" s="808" t="s">
        <v>405</v>
      </c>
      <c r="C178" s="676"/>
      <c r="D178" s="66"/>
      <c r="E178" s="367" t="str">
        <f>'variant 1'!$E$66</f>
        <v>overig elektra</v>
      </c>
      <c r="F178" s="220"/>
      <c r="G178" s="220" t="s">
        <v>407</v>
      </c>
      <c r="H178" s="33"/>
      <c r="I178" s="631">
        <f>'variant 1'!$Y$308</f>
        <v>0</v>
      </c>
      <c r="J178" s="627">
        <f t="shared" ca="1" si="56"/>
        <v>308</v>
      </c>
      <c r="K178" s="627">
        <f t="shared" ca="1" si="57"/>
        <v>25</v>
      </c>
      <c r="L178" s="33"/>
      <c r="M178" s="207" t="str">
        <f t="shared" ca="1" si="58"/>
        <v/>
      </c>
      <c r="N178" s="207" t="str">
        <f t="shared" ca="1" si="58"/>
        <v/>
      </c>
      <c r="O178" s="207" t="str">
        <f t="shared" ca="1" si="58"/>
        <v/>
      </c>
      <c r="P178" s="207" t="str">
        <f t="shared" ca="1" si="58"/>
        <v/>
      </c>
      <c r="Q178" s="207" t="str">
        <f t="shared" ca="1" si="58"/>
        <v/>
      </c>
      <c r="R178" s="207" t="str">
        <f t="shared" ca="1" si="58"/>
        <v/>
      </c>
      <c r="S178" s="4"/>
      <c r="T178" s="4"/>
    </row>
    <row r="179" spans="1:20" ht="14.25" hidden="1" x14ac:dyDescent="0.2">
      <c r="A179" s="999" t="s">
        <v>89</v>
      </c>
      <c r="B179" s="808" t="s">
        <v>405</v>
      </c>
      <c r="C179" s="676"/>
      <c r="D179" s="66"/>
      <c r="E179" s="367" t="str">
        <f>'variant 1'!$E$68</f>
        <v>mobiliteit</v>
      </c>
      <c r="F179" s="220"/>
      <c r="G179" s="220" t="s">
        <v>407</v>
      </c>
      <c r="H179" s="33"/>
      <c r="I179" s="631">
        <f>'variant 1'!$Y$309</f>
        <v>0</v>
      </c>
      <c r="J179" s="627">
        <f t="shared" ca="1" si="56"/>
        <v>309</v>
      </c>
      <c r="K179" s="627">
        <f t="shared" ca="1" si="57"/>
        <v>25</v>
      </c>
      <c r="L179" s="33"/>
      <c r="M179" s="207" t="str">
        <f t="shared" ca="1" si="58"/>
        <v/>
      </c>
      <c r="N179" s="207" t="str">
        <f t="shared" ca="1" si="58"/>
        <v/>
      </c>
      <c r="O179" s="207" t="str">
        <f t="shared" ca="1" si="58"/>
        <v/>
      </c>
      <c r="P179" s="207" t="str">
        <f t="shared" ca="1" si="58"/>
        <v/>
      </c>
      <c r="Q179" s="207" t="str">
        <f t="shared" ca="1" si="58"/>
        <v/>
      </c>
      <c r="R179" s="207" t="str">
        <f t="shared" ca="1" si="58"/>
        <v/>
      </c>
      <c r="S179" s="4"/>
      <c r="T179" s="4"/>
    </row>
    <row r="180" spans="1:20" ht="14.25" hidden="1" x14ac:dyDescent="0.2">
      <c r="A180" s="999" t="s">
        <v>89</v>
      </c>
      <c r="B180" s="808" t="s">
        <v>405</v>
      </c>
      <c r="C180" s="676"/>
      <c r="D180" s="66"/>
      <c r="E180" s="367" t="str">
        <f>'variant 1'!$E$312</f>
        <v>warmtekracht (vermeden CO2 emissie)</v>
      </c>
      <c r="F180" s="220"/>
      <c r="G180" s="220" t="s">
        <v>407</v>
      </c>
      <c r="H180" s="33"/>
      <c r="I180" s="631">
        <f>'variant 1'!$Y$312</f>
        <v>0</v>
      </c>
      <c r="J180" s="627">
        <f t="shared" ca="1" si="56"/>
        <v>312</v>
      </c>
      <c r="K180" s="627">
        <f t="shared" ca="1" si="57"/>
        <v>25</v>
      </c>
      <c r="L180" s="33"/>
      <c r="M180" s="207" t="str">
        <f t="shared" ca="1" si="58"/>
        <v/>
      </c>
      <c r="N180" s="207" t="str">
        <f t="shared" ca="1" si="58"/>
        <v/>
      </c>
      <c r="O180" s="207" t="str">
        <f t="shared" ca="1" si="58"/>
        <v/>
      </c>
      <c r="P180" s="207" t="str">
        <f t="shared" ca="1" si="58"/>
        <v/>
      </c>
      <c r="Q180" s="207" t="str">
        <f t="shared" ca="1" si="58"/>
        <v/>
      </c>
      <c r="R180" s="207" t="str">
        <f t="shared" ca="1" si="58"/>
        <v/>
      </c>
      <c r="S180" s="4"/>
      <c r="T180" s="4"/>
    </row>
    <row r="181" spans="1:20" ht="14.25" hidden="1" x14ac:dyDescent="0.2">
      <c r="A181" s="999" t="s">
        <v>89</v>
      </c>
      <c r="B181" s="808" t="s">
        <v>405</v>
      </c>
      <c r="C181" s="676"/>
      <c r="D181" s="66"/>
      <c r="E181" s="367" t="str">
        <f>'variant 1'!$E$313</f>
        <v>zonnepanelen (vermeden CO2 emissie)</v>
      </c>
      <c r="F181" s="220"/>
      <c r="G181" s="220" t="s">
        <v>407</v>
      </c>
      <c r="H181" s="33"/>
      <c r="I181" s="631">
        <f>'variant 1'!$Y$313</f>
        <v>0</v>
      </c>
      <c r="J181" s="627">
        <f t="shared" ca="1" si="56"/>
        <v>313</v>
      </c>
      <c r="K181" s="627">
        <f t="shared" ca="1" si="57"/>
        <v>25</v>
      </c>
      <c r="L181" s="33"/>
      <c r="M181" s="207" t="str">
        <f t="shared" ca="1" si="58"/>
        <v/>
      </c>
      <c r="N181" s="207" t="str">
        <f t="shared" ca="1" si="58"/>
        <v/>
      </c>
      <c r="O181" s="207" t="str">
        <f t="shared" ca="1" si="58"/>
        <v/>
      </c>
      <c r="P181" s="207" t="str">
        <f t="shared" ca="1" si="58"/>
        <v/>
      </c>
      <c r="Q181" s="207" t="str">
        <f t="shared" ca="1" si="58"/>
        <v/>
      </c>
      <c r="R181" s="207" t="str">
        <f t="shared" ca="1" si="58"/>
        <v/>
      </c>
      <c r="S181" s="4"/>
      <c r="T181" s="4"/>
    </row>
    <row r="182" spans="1:20" ht="15" hidden="1" x14ac:dyDescent="0.2">
      <c r="A182" s="999" t="s">
        <v>89</v>
      </c>
      <c r="B182" s="808" t="s">
        <v>405</v>
      </c>
      <c r="C182" s="676"/>
      <c r="D182" s="66"/>
      <c r="E182" s="220" t="s">
        <v>258</v>
      </c>
      <c r="F182" s="220"/>
      <c r="G182" s="220" t="s">
        <v>407</v>
      </c>
      <c r="H182" s="33"/>
      <c r="I182" s="629"/>
      <c r="J182" s="629"/>
      <c r="K182" s="629"/>
      <c r="L182" s="33"/>
      <c r="M182" s="207" t="str">
        <f t="shared" ref="M182:R182" ca="1" si="59">IF(M173="","",SUM(M173:M181))</f>
        <v/>
      </c>
      <c r="N182" s="207" t="str">
        <f t="shared" ca="1" si="59"/>
        <v/>
      </c>
      <c r="O182" s="207" t="str">
        <f t="shared" ca="1" si="59"/>
        <v/>
      </c>
      <c r="P182" s="207" t="str">
        <f t="shared" ca="1" si="59"/>
        <v/>
      </c>
      <c r="Q182" s="207" t="str">
        <f t="shared" ca="1" si="59"/>
        <v/>
      </c>
      <c r="R182" s="207" t="str">
        <f t="shared" ca="1" si="59"/>
        <v/>
      </c>
      <c r="S182" s="4"/>
      <c r="T182" s="4"/>
    </row>
    <row r="183" spans="1:20" s="614" customFormat="1" ht="5.25" hidden="1" x14ac:dyDescent="0.2">
      <c r="A183" s="995" t="s">
        <v>89</v>
      </c>
      <c r="B183" s="807" t="s">
        <v>405</v>
      </c>
      <c r="C183" s="671"/>
      <c r="D183" s="613"/>
      <c r="E183" s="645"/>
      <c r="F183" s="645"/>
      <c r="G183" s="645"/>
      <c r="H183" s="645"/>
      <c r="I183" s="646"/>
      <c r="J183" s="646"/>
      <c r="K183" s="646"/>
      <c r="L183" s="645"/>
      <c r="M183" s="645"/>
      <c r="N183" s="680"/>
      <c r="O183" s="645"/>
      <c r="P183" s="645"/>
      <c r="Q183" s="645"/>
      <c r="R183" s="645"/>
      <c r="S183" s="613"/>
      <c r="T183" s="613"/>
    </row>
    <row r="184" spans="1:20" ht="15" hidden="1" x14ac:dyDescent="0.2">
      <c r="A184" s="994" t="s">
        <v>89</v>
      </c>
      <c r="B184" s="808" t="s">
        <v>405</v>
      </c>
      <c r="C184" s="676"/>
      <c r="D184" s="66"/>
      <c r="E184" s="758" t="str">
        <f>"resultaten tov "&amp;$F$5</f>
        <v>resultaten tov variant 1</v>
      </c>
      <c r="F184" s="758"/>
      <c r="G184" s="759" t="s">
        <v>407</v>
      </c>
      <c r="H184" s="33"/>
      <c r="I184" s="632"/>
      <c r="J184" s="632"/>
      <c r="K184" s="632"/>
      <c r="L184" s="33"/>
      <c r="M184" s="760" t="str">
        <f t="shared" ref="M184:R184" ca="1" si="60">IF(M182="","",M182-INDEX($L182:$S182,MATCH($F$5,$L$8:$S$8,0)))</f>
        <v/>
      </c>
      <c r="N184" s="760" t="str">
        <f t="shared" ca="1" si="60"/>
        <v/>
      </c>
      <c r="O184" s="760" t="str">
        <f t="shared" ca="1" si="60"/>
        <v/>
      </c>
      <c r="P184" s="760" t="str">
        <f t="shared" ca="1" si="60"/>
        <v/>
      </c>
      <c r="Q184" s="760" t="str">
        <f t="shared" ca="1" si="60"/>
        <v/>
      </c>
      <c r="R184" s="760" t="str">
        <f t="shared" ca="1" si="60"/>
        <v/>
      </c>
      <c r="S184" s="4"/>
      <c r="T184" s="4"/>
    </row>
    <row r="185" spans="1:20" ht="15" hidden="1" x14ac:dyDescent="0.2">
      <c r="A185" s="994" t="s">
        <v>89</v>
      </c>
      <c r="B185" s="808" t="s">
        <v>405</v>
      </c>
      <c r="C185" s="676"/>
      <c r="D185" s="66"/>
      <c r="E185" s="761"/>
      <c r="F185" s="761"/>
      <c r="G185" s="759" t="s">
        <v>150</v>
      </c>
      <c r="H185" s="33"/>
      <c r="I185" s="633"/>
      <c r="J185" s="633"/>
      <c r="K185" s="633"/>
      <c r="L185" s="33"/>
      <c r="M185" s="765" t="str">
        <f t="shared" ref="M185:R185" ca="1" si="61">IFERROR(M184/INDEX($L182:$S182,MATCH($F$5,$L$8:$S$8,0)),"")</f>
        <v/>
      </c>
      <c r="N185" s="765" t="str">
        <f t="shared" ca="1" si="61"/>
        <v/>
      </c>
      <c r="O185" s="765" t="str">
        <f t="shared" ca="1" si="61"/>
        <v/>
      </c>
      <c r="P185" s="765" t="str">
        <f t="shared" ca="1" si="61"/>
        <v/>
      </c>
      <c r="Q185" s="765" t="str">
        <f t="shared" ca="1" si="61"/>
        <v/>
      </c>
      <c r="R185" s="765" t="str">
        <f t="shared" ca="1" si="61"/>
        <v/>
      </c>
      <c r="S185" s="4"/>
      <c r="T185" s="4"/>
    </row>
    <row r="186" spans="1:20" ht="15" hidden="1" x14ac:dyDescent="0.2">
      <c r="A186" s="999" t="s">
        <v>89</v>
      </c>
      <c r="B186" s="808" t="s">
        <v>405</v>
      </c>
      <c r="C186" s="676"/>
      <c r="D186" s="66"/>
      <c r="E186" s="4"/>
      <c r="F186" s="4"/>
      <c r="G186" s="4"/>
      <c r="H186" s="33"/>
      <c r="I186" s="78"/>
      <c r="J186" s="78"/>
      <c r="K186" s="78"/>
      <c r="L186" s="33"/>
      <c r="M186" s="13"/>
      <c r="N186" s="13"/>
      <c r="O186" s="13"/>
      <c r="P186" s="13"/>
      <c r="Q186" s="13"/>
      <c r="R186" s="13"/>
      <c r="S186" s="4"/>
      <c r="T186" s="4"/>
    </row>
    <row r="187" spans="1:20" ht="21" hidden="1" x14ac:dyDescent="0.2">
      <c r="A187" s="994" t="s">
        <v>89</v>
      </c>
      <c r="B187" s="808" t="s">
        <v>405</v>
      </c>
      <c r="C187" s="676"/>
      <c r="D187" s="66"/>
      <c r="E187" s="215" t="s">
        <v>409</v>
      </c>
      <c r="F187" s="215"/>
      <c r="G187" s="215"/>
      <c r="H187" s="4"/>
      <c r="I187" s="626"/>
      <c r="J187" s="626"/>
      <c r="K187" s="626"/>
      <c r="L187" s="33"/>
      <c r="M187" s="641"/>
      <c r="N187" s="641"/>
      <c r="O187" s="641"/>
      <c r="P187" s="641"/>
      <c r="Q187" s="641"/>
      <c r="R187" s="641"/>
      <c r="S187" s="4"/>
      <c r="T187" s="4"/>
    </row>
    <row r="188" spans="1:20" ht="14.25" hidden="1" x14ac:dyDescent="0.2">
      <c r="A188" s="999" t="s">
        <v>89</v>
      </c>
      <c r="B188" s="808" t="s">
        <v>405</v>
      </c>
      <c r="C188" s="676"/>
      <c r="D188" s="66"/>
      <c r="E188" s="367" t="str">
        <f>'variant 1'!$E$60</f>
        <v>verwarming</v>
      </c>
      <c r="F188" s="220"/>
      <c r="G188" s="220" t="s">
        <v>407</v>
      </c>
      <c r="H188" s="33"/>
      <c r="I188" s="631">
        <f>'variant 1'!$AK$302</f>
        <v>0</v>
      </c>
      <c r="J188" s="627">
        <f t="shared" ref="J188:J196" ca="1" si="62">ROW(INDIRECT(RIGHT((_xlfn.FORMULATEXT($I188)),LEN(_xlfn.FORMULATEXT($I188))-1)))</f>
        <v>302</v>
      </c>
      <c r="K188" s="627">
        <f t="shared" ref="K188:K196" ca="1" si="63">COLUMN(INDIRECT(RIGHT((_xlfn.FORMULATEXT($I188)),LEN(_xlfn.FORMULATEXT($I188))-1)))</f>
        <v>37</v>
      </c>
      <c r="L188" s="33"/>
      <c r="M188" s="207" t="str">
        <f t="shared" ref="M188:R196" ca="1" si="64">IF(M$22=0,"",IFERROR(IF(INDIRECT(ADDRESS($J188,$K188,,,M$8))=0,"",INDIRECT(ADDRESS($J188,$K188,,,M$8))),""))</f>
        <v/>
      </c>
      <c r="N188" s="207" t="str">
        <f t="shared" ca="1" si="64"/>
        <v/>
      </c>
      <c r="O188" s="207" t="str">
        <f t="shared" ca="1" si="64"/>
        <v/>
      </c>
      <c r="P188" s="207" t="str">
        <f t="shared" ca="1" si="64"/>
        <v/>
      </c>
      <c r="Q188" s="207" t="str">
        <f t="shared" ca="1" si="64"/>
        <v/>
      </c>
      <c r="R188" s="207" t="str">
        <f t="shared" ca="1" si="64"/>
        <v/>
      </c>
      <c r="S188" s="4"/>
      <c r="T188" s="4"/>
    </row>
    <row r="189" spans="1:20" ht="14.25" hidden="1" x14ac:dyDescent="0.2">
      <c r="A189" s="999" t="s">
        <v>89</v>
      </c>
      <c r="B189" s="808" t="s">
        <v>405</v>
      </c>
      <c r="C189" s="676"/>
      <c r="D189" s="66"/>
      <c r="E189" s="367" t="str">
        <f>'variant 1'!$E$61</f>
        <v>koeling</v>
      </c>
      <c r="F189" s="220"/>
      <c r="G189" s="220" t="s">
        <v>407</v>
      </c>
      <c r="H189" s="33"/>
      <c r="I189" s="631">
        <f>'variant 1'!$AK$303</f>
        <v>0</v>
      </c>
      <c r="J189" s="627">
        <f t="shared" ca="1" si="62"/>
        <v>303</v>
      </c>
      <c r="K189" s="627">
        <f t="shared" ca="1" si="63"/>
        <v>37</v>
      </c>
      <c r="L189" s="33"/>
      <c r="M189" s="207" t="str">
        <f t="shared" ca="1" si="64"/>
        <v/>
      </c>
      <c r="N189" s="207" t="str">
        <f t="shared" ca="1" si="64"/>
        <v/>
      </c>
      <c r="O189" s="207" t="str">
        <f t="shared" ca="1" si="64"/>
        <v/>
      </c>
      <c r="P189" s="207" t="str">
        <f t="shared" ca="1" si="64"/>
        <v/>
      </c>
      <c r="Q189" s="207" t="str">
        <f t="shared" ca="1" si="64"/>
        <v/>
      </c>
      <c r="R189" s="207" t="str">
        <f t="shared" ca="1" si="64"/>
        <v/>
      </c>
      <c r="S189" s="4"/>
      <c r="T189" s="4"/>
    </row>
    <row r="190" spans="1:20" ht="14.25" hidden="1" x14ac:dyDescent="0.2">
      <c r="A190" s="999" t="s">
        <v>89</v>
      </c>
      <c r="B190" s="808" t="s">
        <v>405</v>
      </c>
      <c r="C190" s="676"/>
      <c r="D190" s="66"/>
      <c r="E190" s="367" t="str">
        <f>'variant 1'!$E$62</f>
        <v>tapwater</v>
      </c>
      <c r="F190" s="220"/>
      <c r="G190" s="220" t="s">
        <v>407</v>
      </c>
      <c r="H190" s="33"/>
      <c r="I190" s="631">
        <f>'variant 1'!$AK$304</f>
        <v>0</v>
      </c>
      <c r="J190" s="627">
        <f t="shared" ca="1" si="62"/>
        <v>304</v>
      </c>
      <c r="K190" s="627">
        <f t="shared" ca="1" si="63"/>
        <v>37</v>
      </c>
      <c r="L190" s="33"/>
      <c r="M190" s="207" t="str">
        <f t="shared" ca="1" si="64"/>
        <v/>
      </c>
      <c r="N190" s="207" t="str">
        <f t="shared" ca="1" si="64"/>
        <v/>
      </c>
      <c r="O190" s="207" t="str">
        <f t="shared" ca="1" si="64"/>
        <v/>
      </c>
      <c r="P190" s="207" t="str">
        <f t="shared" ca="1" si="64"/>
        <v/>
      </c>
      <c r="Q190" s="207" t="str">
        <f t="shared" ca="1" si="64"/>
        <v/>
      </c>
      <c r="R190" s="207" t="str">
        <f t="shared" ca="1" si="64"/>
        <v/>
      </c>
      <c r="S190" s="4"/>
      <c r="T190" s="4"/>
    </row>
    <row r="191" spans="1:20" ht="14.25" hidden="1" x14ac:dyDescent="0.2">
      <c r="A191" s="999" t="s">
        <v>89</v>
      </c>
      <c r="B191" s="808" t="s">
        <v>405</v>
      </c>
      <c r="C191" s="676"/>
      <c r="D191" s="66"/>
      <c r="E191" s="367" t="str">
        <f>'variant 1'!$E$63</f>
        <v>verlichting</v>
      </c>
      <c r="F191" s="220"/>
      <c r="G191" s="220" t="s">
        <v>407</v>
      </c>
      <c r="H191" s="33"/>
      <c r="I191" s="631">
        <f>'variant 1'!$AK$305</f>
        <v>0</v>
      </c>
      <c r="J191" s="627">
        <f t="shared" ca="1" si="62"/>
        <v>305</v>
      </c>
      <c r="K191" s="627">
        <f t="shared" ca="1" si="63"/>
        <v>37</v>
      </c>
      <c r="L191" s="33"/>
      <c r="M191" s="207" t="str">
        <f t="shared" ca="1" si="64"/>
        <v/>
      </c>
      <c r="N191" s="207" t="str">
        <f t="shared" ca="1" si="64"/>
        <v/>
      </c>
      <c r="O191" s="207" t="str">
        <f t="shared" ca="1" si="64"/>
        <v/>
      </c>
      <c r="P191" s="207" t="str">
        <f t="shared" ca="1" si="64"/>
        <v/>
      </c>
      <c r="Q191" s="207" t="str">
        <f t="shared" ca="1" si="64"/>
        <v/>
      </c>
      <c r="R191" s="207" t="str">
        <f t="shared" ca="1" si="64"/>
        <v/>
      </c>
      <c r="S191" s="4"/>
      <c r="T191" s="4"/>
    </row>
    <row r="192" spans="1:20" ht="14.25" hidden="1" x14ac:dyDescent="0.2">
      <c r="A192" s="999" t="s">
        <v>89</v>
      </c>
      <c r="B192" s="808" t="s">
        <v>405</v>
      </c>
      <c r="C192" s="676"/>
      <c r="D192" s="66"/>
      <c r="E192" s="367" t="str">
        <f>'variant 1'!$E$64</f>
        <v>ventilatoren</v>
      </c>
      <c r="F192" s="220"/>
      <c r="G192" s="220" t="s">
        <v>407</v>
      </c>
      <c r="H192" s="33"/>
      <c r="I192" s="631">
        <f>'variant 1'!$AK$306</f>
        <v>0</v>
      </c>
      <c r="J192" s="627">
        <f t="shared" ca="1" si="62"/>
        <v>306</v>
      </c>
      <c r="K192" s="627">
        <f t="shared" ca="1" si="63"/>
        <v>37</v>
      </c>
      <c r="L192" s="33"/>
      <c r="M192" s="207" t="str">
        <f t="shared" ca="1" si="64"/>
        <v/>
      </c>
      <c r="N192" s="207" t="str">
        <f t="shared" ca="1" si="64"/>
        <v/>
      </c>
      <c r="O192" s="207" t="str">
        <f t="shared" ca="1" si="64"/>
        <v/>
      </c>
      <c r="P192" s="207" t="str">
        <f t="shared" ca="1" si="64"/>
        <v/>
      </c>
      <c r="Q192" s="207" t="str">
        <f t="shared" ca="1" si="64"/>
        <v/>
      </c>
      <c r="R192" s="207" t="str">
        <f t="shared" ca="1" si="64"/>
        <v/>
      </c>
      <c r="S192" s="4"/>
      <c r="T192" s="4"/>
    </row>
    <row r="193" spans="1:20" ht="14.25" hidden="1" x14ac:dyDescent="0.2">
      <c r="A193" s="999" t="s">
        <v>89</v>
      </c>
      <c r="B193" s="808" t="s">
        <v>405</v>
      </c>
      <c r="C193" s="676"/>
      <c r="D193" s="66"/>
      <c r="E193" s="367" t="str">
        <f>'variant 1'!$E$66</f>
        <v>overig elektra</v>
      </c>
      <c r="F193" s="220"/>
      <c r="G193" s="220" t="s">
        <v>407</v>
      </c>
      <c r="H193" s="33"/>
      <c r="I193" s="631">
        <f>'variant 1'!$AK$308</f>
        <v>0</v>
      </c>
      <c r="J193" s="627">
        <f t="shared" ca="1" si="62"/>
        <v>308</v>
      </c>
      <c r="K193" s="627">
        <f t="shared" ca="1" si="63"/>
        <v>37</v>
      </c>
      <c r="L193" s="33"/>
      <c r="M193" s="207" t="str">
        <f t="shared" ca="1" si="64"/>
        <v/>
      </c>
      <c r="N193" s="207" t="str">
        <f t="shared" ca="1" si="64"/>
        <v/>
      </c>
      <c r="O193" s="207" t="str">
        <f t="shared" ca="1" si="64"/>
        <v/>
      </c>
      <c r="P193" s="207" t="str">
        <f t="shared" ca="1" si="64"/>
        <v/>
      </c>
      <c r="Q193" s="207" t="str">
        <f t="shared" ca="1" si="64"/>
        <v/>
      </c>
      <c r="R193" s="207" t="str">
        <f t="shared" ca="1" si="64"/>
        <v/>
      </c>
      <c r="S193" s="4"/>
      <c r="T193" s="4"/>
    </row>
    <row r="194" spans="1:20" ht="14.25" hidden="1" x14ac:dyDescent="0.2">
      <c r="A194" s="999" t="s">
        <v>89</v>
      </c>
      <c r="B194" s="808" t="s">
        <v>405</v>
      </c>
      <c r="C194" s="676"/>
      <c r="D194" s="66"/>
      <c r="E194" s="367" t="str">
        <f>'variant 1'!$E$68</f>
        <v>mobiliteit</v>
      </c>
      <c r="F194" s="220"/>
      <c r="G194" s="220" t="s">
        <v>407</v>
      </c>
      <c r="H194" s="33"/>
      <c r="I194" s="631">
        <f>'variant 1'!$AK$309</f>
        <v>0</v>
      </c>
      <c r="J194" s="627">
        <f t="shared" ca="1" si="62"/>
        <v>309</v>
      </c>
      <c r="K194" s="627">
        <f t="shared" ca="1" si="63"/>
        <v>37</v>
      </c>
      <c r="L194" s="33"/>
      <c r="M194" s="207" t="str">
        <f t="shared" ca="1" si="64"/>
        <v/>
      </c>
      <c r="N194" s="207" t="str">
        <f t="shared" ca="1" si="64"/>
        <v/>
      </c>
      <c r="O194" s="207" t="str">
        <f t="shared" ca="1" si="64"/>
        <v/>
      </c>
      <c r="P194" s="207" t="str">
        <f t="shared" ca="1" si="64"/>
        <v/>
      </c>
      <c r="Q194" s="207" t="str">
        <f t="shared" ca="1" si="64"/>
        <v/>
      </c>
      <c r="R194" s="207" t="str">
        <f t="shared" ca="1" si="64"/>
        <v/>
      </c>
      <c r="S194" s="4"/>
      <c r="T194" s="4"/>
    </row>
    <row r="195" spans="1:20" ht="14.25" hidden="1" x14ac:dyDescent="0.2">
      <c r="A195" s="999" t="s">
        <v>89</v>
      </c>
      <c r="B195" s="808" t="s">
        <v>405</v>
      </c>
      <c r="C195" s="676"/>
      <c r="D195" s="66"/>
      <c r="E195" s="367" t="str">
        <f>'variant 1'!$E$312</f>
        <v>warmtekracht (vermeden CO2 emissie)</v>
      </c>
      <c r="F195" s="220"/>
      <c r="G195" s="220" t="s">
        <v>407</v>
      </c>
      <c r="H195" s="33"/>
      <c r="I195" s="631">
        <f>'variant 1'!$AK$312</f>
        <v>0</v>
      </c>
      <c r="J195" s="627">
        <f t="shared" ca="1" si="62"/>
        <v>312</v>
      </c>
      <c r="K195" s="627">
        <f t="shared" ca="1" si="63"/>
        <v>37</v>
      </c>
      <c r="L195" s="33"/>
      <c r="M195" s="207" t="str">
        <f t="shared" ca="1" si="64"/>
        <v/>
      </c>
      <c r="N195" s="207" t="str">
        <f t="shared" ca="1" si="64"/>
        <v/>
      </c>
      <c r="O195" s="207" t="str">
        <f t="shared" ca="1" si="64"/>
        <v/>
      </c>
      <c r="P195" s="207" t="str">
        <f t="shared" ca="1" si="64"/>
        <v/>
      </c>
      <c r="Q195" s="207" t="str">
        <f t="shared" ca="1" si="64"/>
        <v/>
      </c>
      <c r="R195" s="207" t="str">
        <f t="shared" ca="1" si="64"/>
        <v/>
      </c>
      <c r="S195" s="4"/>
      <c r="T195" s="4"/>
    </row>
    <row r="196" spans="1:20" ht="14.25" hidden="1" x14ac:dyDescent="0.2">
      <c r="A196" s="999" t="s">
        <v>89</v>
      </c>
      <c r="B196" s="808" t="s">
        <v>405</v>
      </c>
      <c r="C196" s="676"/>
      <c r="D196" s="66"/>
      <c r="E196" s="367" t="str">
        <f>'variant 1'!$E$313</f>
        <v>zonnepanelen (vermeden CO2 emissie)</v>
      </c>
      <c r="F196" s="220"/>
      <c r="G196" s="220" t="s">
        <v>407</v>
      </c>
      <c r="H196" s="33"/>
      <c r="I196" s="631">
        <f>'variant 1'!$AK$313</f>
        <v>0</v>
      </c>
      <c r="J196" s="627">
        <f t="shared" ca="1" si="62"/>
        <v>313</v>
      </c>
      <c r="K196" s="627">
        <f t="shared" ca="1" si="63"/>
        <v>37</v>
      </c>
      <c r="L196" s="33"/>
      <c r="M196" s="207" t="str">
        <f t="shared" ca="1" si="64"/>
        <v/>
      </c>
      <c r="N196" s="207" t="str">
        <f t="shared" ca="1" si="64"/>
        <v/>
      </c>
      <c r="O196" s="207" t="str">
        <f t="shared" ca="1" si="64"/>
        <v/>
      </c>
      <c r="P196" s="207" t="str">
        <f t="shared" ca="1" si="64"/>
        <v/>
      </c>
      <c r="Q196" s="207" t="str">
        <f t="shared" ca="1" si="64"/>
        <v/>
      </c>
      <c r="R196" s="207" t="str">
        <f t="shared" ca="1" si="64"/>
        <v/>
      </c>
      <c r="S196" s="4"/>
      <c r="T196" s="4"/>
    </row>
    <row r="197" spans="1:20" ht="15" hidden="1" x14ac:dyDescent="0.2">
      <c r="A197" s="999" t="s">
        <v>89</v>
      </c>
      <c r="B197" s="808" t="s">
        <v>405</v>
      </c>
      <c r="C197" s="676"/>
      <c r="D197" s="66"/>
      <c r="E197" s="220" t="s">
        <v>258</v>
      </c>
      <c r="F197" s="220"/>
      <c r="G197" s="220" t="s">
        <v>407</v>
      </c>
      <c r="H197" s="33"/>
      <c r="I197" s="629"/>
      <c r="J197" s="629"/>
      <c r="K197" s="629"/>
      <c r="L197" s="33"/>
      <c r="M197" s="207" t="str">
        <f t="shared" ref="M197:R197" ca="1" si="65">IF(M188="","",SUM(M188:M196))</f>
        <v/>
      </c>
      <c r="N197" s="207" t="str">
        <f t="shared" ca="1" si="65"/>
        <v/>
      </c>
      <c r="O197" s="207" t="str">
        <f t="shared" ca="1" si="65"/>
        <v/>
      </c>
      <c r="P197" s="207" t="str">
        <f t="shared" ca="1" si="65"/>
        <v/>
      </c>
      <c r="Q197" s="207" t="str">
        <f t="shared" ca="1" si="65"/>
        <v/>
      </c>
      <c r="R197" s="207" t="str">
        <f t="shared" ca="1" si="65"/>
        <v/>
      </c>
      <c r="S197" s="4"/>
      <c r="T197" s="4"/>
    </row>
    <row r="198" spans="1:20" s="614" customFormat="1" ht="5.25" hidden="1" x14ac:dyDescent="0.2">
      <c r="A198" s="995" t="s">
        <v>89</v>
      </c>
      <c r="B198" s="807" t="s">
        <v>405</v>
      </c>
      <c r="C198" s="671"/>
      <c r="D198" s="613"/>
      <c r="E198" s="645"/>
      <c r="F198" s="645"/>
      <c r="G198" s="645"/>
      <c r="H198" s="645"/>
      <c r="I198" s="646"/>
      <c r="J198" s="646"/>
      <c r="K198" s="646"/>
      <c r="L198" s="645"/>
      <c r="M198" s="645"/>
      <c r="N198" s="680"/>
      <c r="O198" s="645"/>
      <c r="P198" s="645"/>
      <c r="Q198" s="645"/>
      <c r="R198" s="645"/>
      <c r="S198" s="613"/>
      <c r="T198" s="613"/>
    </row>
    <row r="199" spans="1:20" ht="15" hidden="1" x14ac:dyDescent="0.2">
      <c r="A199" s="994" t="s">
        <v>89</v>
      </c>
      <c r="B199" s="808" t="s">
        <v>405</v>
      </c>
      <c r="C199" s="676"/>
      <c r="D199" s="66"/>
      <c r="E199" s="758" t="str">
        <f>"resultaten tov "&amp;$F$5</f>
        <v>resultaten tov variant 1</v>
      </c>
      <c r="F199" s="758"/>
      <c r="G199" s="759" t="s">
        <v>407</v>
      </c>
      <c r="H199" s="33"/>
      <c r="I199" s="632"/>
      <c r="J199" s="632"/>
      <c r="K199" s="632"/>
      <c r="L199" s="33"/>
      <c r="M199" s="760" t="str">
        <f t="shared" ref="M199:R199" ca="1" si="66">IF(M197="","",M197-INDEX($L197:$S197,MATCH($F$5,$L$8:$S$8,0)))</f>
        <v/>
      </c>
      <c r="N199" s="760" t="str">
        <f t="shared" ca="1" si="66"/>
        <v/>
      </c>
      <c r="O199" s="760" t="str">
        <f t="shared" ca="1" si="66"/>
        <v/>
      </c>
      <c r="P199" s="760" t="str">
        <f t="shared" ca="1" si="66"/>
        <v/>
      </c>
      <c r="Q199" s="760" t="str">
        <f t="shared" ca="1" si="66"/>
        <v/>
      </c>
      <c r="R199" s="760" t="str">
        <f t="shared" ca="1" si="66"/>
        <v/>
      </c>
      <c r="S199" s="4"/>
      <c r="T199" s="4"/>
    </row>
    <row r="200" spans="1:20" ht="15" hidden="1" x14ac:dyDescent="0.2">
      <c r="A200" s="994" t="s">
        <v>89</v>
      </c>
      <c r="B200" s="808" t="s">
        <v>405</v>
      </c>
      <c r="C200" s="676"/>
      <c r="D200" s="66"/>
      <c r="E200" s="761"/>
      <c r="F200" s="761"/>
      <c r="G200" s="759" t="s">
        <v>150</v>
      </c>
      <c r="H200" s="33"/>
      <c r="I200" s="633"/>
      <c r="J200" s="633"/>
      <c r="K200" s="633"/>
      <c r="L200" s="33"/>
      <c r="M200" s="765" t="str">
        <f t="shared" ref="M200:R200" ca="1" si="67">IFERROR(M199/INDEX($L197:$S197,MATCH($F$5,$L$8:$S$8,0)),"")</f>
        <v/>
      </c>
      <c r="N200" s="765" t="str">
        <f t="shared" ca="1" si="67"/>
        <v/>
      </c>
      <c r="O200" s="765" t="str">
        <f t="shared" ca="1" si="67"/>
        <v/>
      </c>
      <c r="P200" s="765" t="str">
        <f t="shared" ca="1" si="67"/>
        <v/>
      </c>
      <c r="Q200" s="765" t="str">
        <f t="shared" ca="1" si="67"/>
        <v/>
      </c>
      <c r="R200" s="765" t="str">
        <f t="shared" ca="1" si="67"/>
        <v/>
      </c>
      <c r="S200" s="4"/>
      <c r="T200" s="4"/>
    </row>
    <row r="201" spans="1:20" ht="15" hidden="1" x14ac:dyDescent="0.2">
      <c r="A201" s="999" t="s">
        <v>89</v>
      </c>
      <c r="B201" s="808" t="s">
        <v>405</v>
      </c>
      <c r="C201" s="676"/>
      <c r="D201" s="66"/>
      <c r="E201" s="4"/>
      <c r="F201" s="4"/>
      <c r="G201" s="4"/>
      <c r="H201" s="33"/>
      <c r="I201" s="78"/>
      <c r="J201" s="78"/>
      <c r="K201" s="78"/>
      <c r="L201" s="33"/>
      <c r="M201" s="13"/>
      <c r="N201" s="13"/>
      <c r="O201" s="13"/>
      <c r="P201" s="13"/>
      <c r="Q201" s="13"/>
      <c r="R201" s="13"/>
      <c r="S201" s="4"/>
      <c r="T201" s="4"/>
    </row>
    <row r="202" spans="1:20" ht="21" hidden="1" x14ac:dyDescent="0.2">
      <c r="A202" s="994" t="s">
        <v>89</v>
      </c>
      <c r="B202" s="808" t="s">
        <v>405</v>
      </c>
      <c r="C202" s="676"/>
      <c r="D202" s="66"/>
      <c r="E202" s="215" t="s">
        <v>410</v>
      </c>
      <c r="F202" s="215"/>
      <c r="G202" s="215"/>
      <c r="H202" s="4"/>
      <c r="I202" s="626"/>
      <c r="J202" s="626"/>
      <c r="K202" s="626"/>
      <c r="L202" s="33"/>
      <c r="M202" s="641"/>
      <c r="N202" s="641"/>
      <c r="O202" s="641"/>
      <c r="P202" s="641"/>
      <c r="Q202" s="641"/>
      <c r="R202" s="641"/>
      <c r="S202" s="4"/>
      <c r="T202" s="4"/>
    </row>
    <row r="203" spans="1:20" ht="14.25" hidden="1" x14ac:dyDescent="0.2">
      <c r="A203" s="999" t="s">
        <v>89</v>
      </c>
      <c r="B203" s="808" t="s">
        <v>405</v>
      </c>
      <c r="C203" s="676"/>
      <c r="D203" s="66"/>
      <c r="E203" s="367" t="str">
        <f>'variant 1'!$E$60</f>
        <v>verwarming</v>
      </c>
      <c r="F203" s="220"/>
      <c r="G203" s="220" t="s">
        <v>407</v>
      </c>
      <c r="H203" s="33"/>
      <c r="I203" s="631">
        <f>'variant 1'!$AW$302</f>
        <v>0</v>
      </c>
      <c r="J203" s="627">
        <f t="shared" ref="J203:J211" ca="1" si="68">ROW(INDIRECT(RIGHT((_xlfn.FORMULATEXT($I203)),LEN(_xlfn.FORMULATEXT($I203))-1)))</f>
        <v>302</v>
      </c>
      <c r="K203" s="627">
        <f t="shared" ref="K203:K211" ca="1" si="69">COLUMN(INDIRECT(RIGHT((_xlfn.FORMULATEXT($I203)),LEN(_xlfn.FORMULATEXT($I203))-1)))</f>
        <v>49</v>
      </c>
      <c r="L203" s="33"/>
      <c r="M203" s="207" t="str">
        <f t="shared" ref="M203:R211" ca="1" si="70">IF(M$22=0,"",IFERROR(IF(INDIRECT(ADDRESS($J203,$K203,,,M$8))=0,"",INDIRECT(ADDRESS($J203,$K203,,,M$8))),""))</f>
        <v/>
      </c>
      <c r="N203" s="207" t="str">
        <f t="shared" ca="1" si="70"/>
        <v/>
      </c>
      <c r="O203" s="207" t="str">
        <f t="shared" ca="1" si="70"/>
        <v/>
      </c>
      <c r="P203" s="207" t="str">
        <f t="shared" ca="1" si="70"/>
        <v/>
      </c>
      <c r="Q203" s="207" t="str">
        <f t="shared" ca="1" si="70"/>
        <v/>
      </c>
      <c r="R203" s="207" t="str">
        <f t="shared" ca="1" si="70"/>
        <v/>
      </c>
      <c r="S203" s="4"/>
      <c r="T203" s="4"/>
    </row>
    <row r="204" spans="1:20" ht="14.25" hidden="1" x14ac:dyDescent="0.2">
      <c r="A204" s="999" t="s">
        <v>89</v>
      </c>
      <c r="B204" s="808" t="s">
        <v>405</v>
      </c>
      <c r="C204" s="676"/>
      <c r="D204" s="66"/>
      <c r="E204" s="367" t="str">
        <f>'variant 1'!$E$61</f>
        <v>koeling</v>
      </c>
      <c r="F204" s="220"/>
      <c r="G204" s="220" t="s">
        <v>407</v>
      </c>
      <c r="H204" s="33"/>
      <c r="I204" s="631">
        <f>'variant 1'!$AW$303</f>
        <v>0</v>
      </c>
      <c r="J204" s="627">
        <f t="shared" ca="1" si="68"/>
        <v>303</v>
      </c>
      <c r="K204" s="627">
        <f t="shared" ca="1" si="69"/>
        <v>49</v>
      </c>
      <c r="L204" s="33"/>
      <c r="M204" s="207" t="str">
        <f t="shared" ca="1" si="70"/>
        <v/>
      </c>
      <c r="N204" s="207" t="str">
        <f t="shared" ca="1" si="70"/>
        <v/>
      </c>
      <c r="O204" s="207" t="str">
        <f t="shared" ca="1" si="70"/>
        <v/>
      </c>
      <c r="P204" s="207" t="str">
        <f t="shared" ca="1" si="70"/>
        <v/>
      </c>
      <c r="Q204" s="207" t="str">
        <f t="shared" ca="1" si="70"/>
        <v/>
      </c>
      <c r="R204" s="207" t="str">
        <f t="shared" ca="1" si="70"/>
        <v/>
      </c>
      <c r="S204" s="4"/>
      <c r="T204" s="4"/>
    </row>
    <row r="205" spans="1:20" ht="14.25" hidden="1" x14ac:dyDescent="0.2">
      <c r="A205" s="999" t="s">
        <v>89</v>
      </c>
      <c r="B205" s="808" t="s">
        <v>405</v>
      </c>
      <c r="C205" s="676"/>
      <c r="D205" s="66"/>
      <c r="E205" s="367" t="str">
        <f>'variant 1'!$E$62</f>
        <v>tapwater</v>
      </c>
      <c r="F205" s="220"/>
      <c r="G205" s="220" t="s">
        <v>407</v>
      </c>
      <c r="H205" s="33"/>
      <c r="I205" s="631">
        <f>'variant 1'!$AW$304</f>
        <v>0</v>
      </c>
      <c r="J205" s="627">
        <f t="shared" ca="1" si="68"/>
        <v>304</v>
      </c>
      <c r="K205" s="627">
        <f t="shared" ca="1" si="69"/>
        <v>49</v>
      </c>
      <c r="L205" s="33"/>
      <c r="M205" s="207" t="str">
        <f t="shared" ca="1" si="70"/>
        <v/>
      </c>
      <c r="N205" s="207" t="str">
        <f t="shared" ca="1" si="70"/>
        <v/>
      </c>
      <c r="O205" s="207" t="str">
        <f t="shared" ca="1" si="70"/>
        <v/>
      </c>
      <c r="P205" s="207" t="str">
        <f t="shared" ca="1" si="70"/>
        <v/>
      </c>
      <c r="Q205" s="207" t="str">
        <f t="shared" ca="1" si="70"/>
        <v/>
      </c>
      <c r="R205" s="207" t="str">
        <f t="shared" ca="1" si="70"/>
        <v/>
      </c>
      <c r="S205" s="4"/>
      <c r="T205" s="4"/>
    </row>
    <row r="206" spans="1:20" ht="14.25" hidden="1" x14ac:dyDescent="0.2">
      <c r="A206" s="999" t="s">
        <v>89</v>
      </c>
      <c r="B206" s="808" t="s">
        <v>405</v>
      </c>
      <c r="C206" s="676"/>
      <c r="D206" s="66"/>
      <c r="E206" s="367" t="str">
        <f>'variant 1'!$E$63</f>
        <v>verlichting</v>
      </c>
      <c r="F206" s="220"/>
      <c r="G206" s="220" t="s">
        <v>407</v>
      </c>
      <c r="H206" s="33"/>
      <c r="I206" s="631">
        <f>'variant 1'!$AW$305</f>
        <v>0</v>
      </c>
      <c r="J206" s="627">
        <f t="shared" ca="1" si="68"/>
        <v>305</v>
      </c>
      <c r="K206" s="627">
        <f t="shared" ca="1" si="69"/>
        <v>49</v>
      </c>
      <c r="L206" s="33"/>
      <c r="M206" s="207" t="str">
        <f t="shared" ca="1" si="70"/>
        <v/>
      </c>
      <c r="N206" s="207" t="str">
        <f t="shared" ca="1" si="70"/>
        <v/>
      </c>
      <c r="O206" s="207" t="str">
        <f t="shared" ca="1" si="70"/>
        <v/>
      </c>
      <c r="P206" s="207" t="str">
        <f t="shared" ca="1" si="70"/>
        <v/>
      </c>
      <c r="Q206" s="207" t="str">
        <f t="shared" ca="1" si="70"/>
        <v/>
      </c>
      <c r="R206" s="207" t="str">
        <f t="shared" ca="1" si="70"/>
        <v/>
      </c>
      <c r="S206" s="4"/>
      <c r="T206" s="4"/>
    </row>
    <row r="207" spans="1:20" ht="14.25" hidden="1" x14ac:dyDescent="0.2">
      <c r="A207" s="999" t="s">
        <v>89</v>
      </c>
      <c r="B207" s="808" t="s">
        <v>405</v>
      </c>
      <c r="C207" s="676"/>
      <c r="D207" s="66"/>
      <c r="E207" s="367" t="str">
        <f>'variant 1'!$E$64</f>
        <v>ventilatoren</v>
      </c>
      <c r="F207" s="220"/>
      <c r="G207" s="220" t="s">
        <v>407</v>
      </c>
      <c r="H207" s="33"/>
      <c r="I207" s="631">
        <f>'variant 1'!$AW$306</f>
        <v>0</v>
      </c>
      <c r="J207" s="627">
        <f t="shared" ca="1" si="68"/>
        <v>306</v>
      </c>
      <c r="K207" s="627">
        <f t="shared" ca="1" si="69"/>
        <v>49</v>
      </c>
      <c r="L207" s="33"/>
      <c r="M207" s="207" t="str">
        <f t="shared" ca="1" si="70"/>
        <v/>
      </c>
      <c r="N207" s="207" t="str">
        <f t="shared" ca="1" si="70"/>
        <v/>
      </c>
      <c r="O207" s="207" t="str">
        <f t="shared" ca="1" si="70"/>
        <v/>
      </c>
      <c r="P207" s="207" t="str">
        <f t="shared" ca="1" si="70"/>
        <v/>
      </c>
      <c r="Q207" s="207" t="str">
        <f t="shared" ca="1" si="70"/>
        <v/>
      </c>
      <c r="R207" s="207" t="str">
        <f t="shared" ca="1" si="70"/>
        <v/>
      </c>
      <c r="S207" s="4"/>
      <c r="T207" s="4"/>
    </row>
    <row r="208" spans="1:20" ht="14.25" hidden="1" x14ac:dyDescent="0.2">
      <c r="A208" s="999" t="s">
        <v>89</v>
      </c>
      <c r="B208" s="808" t="s">
        <v>405</v>
      </c>
      <c r="C208" s="676"/>
      <c r="D208" s="66"/>
      <c r="E208" s="367" t="str">
        <f>'variant 1'!$E$66</f>
        <v>overig elektra</v>
      </c>
      <c r="F208" s="220"/>
      <c r="G208" s="220" t="s">
        <v>407</v>
      </c>
      <c r="H208" s="33"/>
      <c r="I208" s="631">
        <f>'variant 1'!$AW$308</f>
        <v>0</v>
      </c>
      <c r="J208" s="627">
        <f t="shared" ca="1" si="68"/>
        <v>308</v>
      </c>
      <c r="K208" s="627">
        <f t="shared" ca="1" si="69"/>
        <v>49</v>
      </c>
      <c r="L208" s="33"/>
      <c r="M208" s="207" t="str">
        <f t="shared" ca="1" si="70"/>
        <v/>
      </c>
      <c r="N208" s="207" t="str">
        <f t="shared" ca="1" si="70"/>
        <v/>
      </c>
      <c r="O208" s="207" t="str">
        <f t="shared" ca="1" si="70"/>
        <v/>
      </c>
      <c r="P208" s="207" t="str">
        <f t="shared" ca="1" si="70"/>
        <v/>
      </c>
      <c r="Q208" s="207" t="str">
        <f t="shared" ca="1" si="70"/>
        <v/>
      </c>
      <c r="R208" s="207" t="str">
        <f t="shared" ca="1" si="70"/>
        <v/>
      </c>
      <c r="S208" s="4"/>
      <c r="T208" s="4"/>
    </row>
    <row r="209" spans="1:20" ht="14.25" hidden="1" x14ac:dyDescent="0.2">
      <c r="A209" s="999" t="s">
        <v>89</v>
      </c>
      <c r="B209" s="808" t="s">
        <v>405</v>
      </c>
      <c r="C209" s="676"/>
      <c r="D209" s="66"/>
      <c r="E209" s="367" t="str">
        <f>'variant 1'!$E$68</f>
        <v>mobiliteit</v>
      </c>
      <c r="F209" s="220"/>
      <c r="G209" s="220" t="s">
        <v>407</v>
      </c>
      <c r="H209" s="33"/>
      <c r="I209" s="631">
        <f>'variant 1'!$AW$309</f>
        <v>0</v>
      </c>
      <c r="J209" s="627">
        <f t="shared" ca="1" si="68"/>
        <v>309</v>
      </c>
      <c r="K209" s="627">
        <f t="shared" ca="1" si="69"/>
        <v>49</v>
      </c>
      <c r="L209" s="33"/>
      <c r="M209" s="207" t="str">
        <f t="shared" ca="1" si="70"/>
        <v/>
      </c>
      <c r="N209" s="207" t="str">
        <f t="shared" ca="1" si="70"/>
        <v/>
      </c>
      <c r="O209" s="207" t="str">
        <f t="shared" ca="1" si="70"/>
        <v/>
      </c>
      <c r="P209" s="207" t="str">
        <f t="shared" ca="1" si="70"/>
        <v/>
      </c>
      <c r="Q209" s="207" t="str">
        <f t="shared" ca="1" si="70"/>
        <v/>
      </c>
      <c r="R209" s="207" t="str">
        <f t="shared" ca="1" si="70"/>
        <v/>
      </c>
      <c r="S209" s="4"/>
      <c r="T209" s="4"/>
    </row>
    <row r="210" spans="1:20" ht="14.25" hidden="1" x14ac:dyDescent="0.2">
      <c r="A210" s="999" t="s">
        <v>89</v>
      </c>
      <c r="B210" s="808" t="s">
        <v>405</v>
      </c>
      <c r="C210" s="676"/>
      <c r="D210" s="66"/>
      <c r="E210" s="367" t="str">
        <f>'variant 1'!$E$312</f>
        <v>warmtekracht (vermeden CO2 emissie)</v>
      </c>
      <c r="F210" s="220"/>
      <c r="G210" s="220" t="s">
        <v>407</v>
      </c>
      <c r="H210" s="33"/>
      <c r="I210" s="631">
        <f>'variant 1'!$AW$312</f>
        <v>0</v>
      </c>
      <c r="J210" s="627">
        <f t="shared" ca="1" si="68"/>
        <v>312</v>
      </c>
      <c r="K210" s="627">
        <f t="shared" ca="1" si="69"/>
        <v>49</v>
      </c>
      <c r="L210" s="33"/>
      <c r="M210" s="207" t="str">
        <f t="shared" ca="1" si="70"/>
        <v/>
      </c>
      <c r="N210" s="207" t="str">
        <f t="shared" ca="1" si="70"/>
        <v/>
      </c>
      <c r="O210" s="207" t="str">
        <f t="shared" ca="1" si="70"/>
        <v/>
      </c>
      <c r="P210" s="207" t="str">
        <f t="shared" ca="1" si="70"/>
        <v/>
      </c>
      <c r="Q210" s="207" t="str">
        <f t="shared" ca="1" si="70"/>
        <v/>
      </c>
      <c r="R210" s="207" t="str">
        <f t="shared" ca="1" si="70"/>
        <v/>
      </c>
      <c r="S210" s="4"/>
      <c r="T210" s="4"/>
    </row>
    <row r="211" spans="1:20" ht="14.25" hidden="1" x14ac:dyDescent="0.2">
      <c r="A211" s="999" t="s">
        <v>89</v>
      </c>
      <c r="B211" s="808" t="s">
        <v>405</v>
      </c>
      <c r="C211" s="676"/>
      <c r="D211" s="66"/>
      <c r="E211" s="367" t="str">
        <f>'variant 1'!$E$313</f>
        <v>zonnepanelen (vermeden CO2 emissie)</v>
      </c>
      <c r="F211" s="220"/>
      <c r="G211" s="220" t="s">
        <v>407</v>
      </c>
      <c r="H211" s="33"/>
      <c r="I211" s="631">
        <f>'variant 1'!$AW$313</f>
        <v>0</v>
      </c>
      <c r="J211" s="627">
        <f t="shared" ca="1" si="68"/>
        <v>313</v>
      </c>
      <c r="K211" s="627">
        <f t="shared" ca="1" si="69"/>
        <v>49</v>
      </c>
      <c r="L211" s="33"/>
      <c r="M211" s="207" t="str">
        <f t="shared" ca="1" si="70"/>
        <v/>
      </c>
      <c r="N211" s="207" t="str">
        <f t="shared" ca="1" si="70"/>
        <v/>
      </c>
      <c r="O211" s="207" t="str">
        <f t="shared" ca="1" si="70"/>
        <v/>
      </c>
      <c r="P211" s="207" t="str">
        <f t="shared" ca="1" si="70"/>
        <v/>
      </c>
      <c r="Q211" s="207" t="str">
        <f t="shared" ca="1" si="70"/>
        <v/>
      </c>
      <c r="R211" s="207" t="str">
        <f t="shared" ca="1" si="70"/>
        <v/>
      </c>
      <c r="S211" s="4"/>
      <c r="T211" s="4"/>
    </row>
    <row r="212" spans="1:20" ht="15" hidden="1" x14ac:dyDescent="0.2">
      <c r="A212" s="999" t="s">
        <v>89</v>
      </c>
      <c r="B212" s="808" t="s">
        <v>405</v>
      </c>
      <c r="C212" s="676"/>
      <c r="D212" s="66"/>
      <c r="E212" s="220" t="s">
        <v>258</v>
      </c>
      <c r="F212" s="220"/>
      <c r="G212" s="220" t="s">
        <v>407</v>
      </c>
      <c r="H212" s="33"/>
      <c r="I212" s="629"/>
      <c r="J212" s="629"/>
      <c r="K212" s="629"/>
      <c r="L212" s="33"/>
      <c r="M212" s="207" t="str">
        <f t="shared" ref="M212:R212" ca="1" si="71">IF(M203="","",SUM(M203:M211))</f>
        <v/>
      </c>
      <c r="N212" s="207" t="str">
        <f t="shared" ca="1" si="71"/>
        <v/>
      </c>
      <c r="O212" s="207" t="str">
        <f t="shared" ca="1" si="71"/>
        <v/>
      </c>
      <c r="P212" s="207" t="str">
        <f t="shared" ca="1" si="71"/>
        <v/>
      </c>
      <c r="Q212" s="207" t="str">
        <f t="shared" ca="1" si="71"/>
        <v/>
      </c>
      <c r="R212" s="207" t="str">
        <f t="shared" ca="1" si="71"/>
        <v/>
      </c>
      <c r="S212" s="4"/>
      <c r="T212" s="4"/>
    </row>
    <row r="213" spans="1:20" s="614" customFormat="1" ht="5.25" hidden="1" x14ac:dyDescent="0.2">
      <c r="A213" s="995" t="s">
        <v>89</v>
      </c>
      <c r="B213" s="807" t="s">
        <v>405</v>
      </c>
      <c r="C213" s="671"/>
      <c r="D213" s="613"/>
      <c r="E213" s="645"/>
      <c r="F213" s="645"/>
      <c r="G213" s="645"/>
      <c r="H213" s="645"/>
      <c r="I213" s="646"/>
      <c r="J213" s="646"/>
      <c r="K213" s="646"/>
      <c r="L213" s="645"/>
      <c r="M213" s="645"/>
      <c r="N213" s="680"/>
      <c r="O213" s="645"/>
      <c r="P213" s="645"/>
      <c r="Q213" s="645"/>
      <c r="R213" s="645"/>
      <c r="S213" s="613"/>
      <c r="T213" s="613"/>
    </row>
    <row r="214" spans="1:20" ht="15" hidden="1" x14ac:dyDescent="0.2">
      <c r="A214" s="994" t="s">
        <v>89</v>
      </c>
      <c r="B214" s="808" t="s">
        <v>405</v>
      </c>
      <c r="C214" s="676"/>
      <c r="D214" s="66"/>
      <c r="E214" s="758" t="str">
        <f>"resultaten tov "&amp;$F$5</f>
        <v>resultaten tov variant 1</v>
      </c>
      <c r="F214" s="758"/>
      <c r="G214" s="759" t="s">
        <v>407</v>
      </c>
      <c r="H214" s="33"/>
      <c r="I214" s="632"/>
      <c r="J214" s="632"/>
      <c r="K214" s="632"/>
      <c r="L214" s="33"/>
      <c r="M214" s="760" t="str">
        <f t="shared" ref="M214:R214" ca="1" si="72">IF(M212="","",M212-INDEX($L212:$S212,MATCH($F$5,$L$8:$S$8,0)))</f>
        <v/>
      </c>
      <c r="N214" s="760" t="str">
        <f t="shared" ca="1" si="72"/>
        <v/>
      </c>
      <c r="O214" s="760" t="str">
        <f t="shared" ca="1" si="72"/>
        <v/>
      </c>
      <c r="P214" s="760" t="str">
        <f t="shared" ca="1" si="72"/>
        <v/>
      </c>
      <c r="Q214" s="760" t="str">
        <f t="shared" ca="1" si="72"/>
        <v/>
      </c>
      <c r="R214" s="760" t="str">
        <f t="shared" ca="1" si="72"/>
        <v/>
      </c>
      <c r="S214" s="4"/>
      <c r="T214" s="4"/>
    </row>
    <row r="215" spans="1:20" ht="15" hidden="1" x14ac:dyDescent="0.2">
      <c r="A215" s="994" t="s">
        <v>89</v>
      </c>
      <c r="B215" s="808" t="s">
        <v>405</v>
      </c>
      <c r="C215" s="676"/>
      <c r="D215" s="66"/>
      <c r="E215" s="761"/>
      <c r="F215" s="761"/>
      <c r="G215" s="759" t="s">
        <v>150</v>
      </c>
      <c r="H215" s="33"/>
      <c r="I215" s="633"/>
      <c r="J215" s="633"/>
      <c r="K215" s="633"/>
      <c r="L215" s="33"/>
      <c r="M215" s="765" t="str">
        <f t="shared" ref="M215:R215" ca="1" si="73">IFERROR(M214/INDEX($L212:$S212,MATCH($F$5,$L$8:$S$8,0)),"")</f>
        <v/>
      </c>
      <c r="N215" s="765" t="str">
        <f t="shared" ca="1" si="73"/>
        <v/>
      </c>
      <c r="O215" s="765" t="str">
        <f t="shared" ca="1" si="73"/>
        <v/>
      </c>
      <c r="P215" s="765" t="str">
        <f t="shared" ca="1" si="73"/>
        <v/>
      </c>
      <c r="Q215" s="765" t="str">
        <f t="shared" ca="1" si="73"/>
        <v/>
      </c>
      <c r="R215" s="765" t="str">
        <f t="shared" ca="1" si="73"/>
        <v/>
      </c>
      <c r="S215" s="4"/>
      <c r="T215" s="4"/>
    </row>
    <row r="216" spans="1:20" ht="15" hidden="1" x14ac:dyDescent="0.2">
      <c r="A216" s="999" t="s">
        <v>89</v>
      </c>
      <c r="B216" s="808" t="s">
        <v>300</v>
      </c>
      <c r="C216" s="676"/>
      <c r="D216" s="66"/>
      <c r="E216" s="4"/>
      <c r="F216" s="4"/>
      <c r="G216" s="4"/>
      <c r="H216" s="33"/>
      <c r="I216" s="78"/>
      <c r="J216" s="78"/>
      <c r="K216" s="78"/>
      <c r="L216" s="33"/>
      <c r="M216" s="13"/>
      <c r="N216" s="13"/>
      <c r="O216" s="13"/>
      <c r="P216" s="13"/>
      <c r="Q216" s="13"/>
      <c r="R216" s="13"/>
      <c r="S216" s="4"/>
      <c r="T216" s="4"/>
    </row>
    <row r="217" spans="1:20" ht="21" hidden="1" x14ac:dyDescent="0.2">
      <c r="A217" s="994" t="s">
        <v>89</v>
      </c>
      <c r="B217" s="808" t="s">
        <v>300</v>
      </c>
      <c r="C217" s="676"/>
      <c r="D217" s="66"/>
      <c r="E217" s="215" t="s">
        <v>411</v>
      </c>
      <c r="F217" s="215"/>
      <c r="G217" s="215"/>
      <c r="H217" s="4"/>
      <c r="I217" s="626"/>
      <c r="J217" s="626"/>
      <c r="K217" s="626"/>
      <c r="L217" s="33"/>
      <c r="M217" s="641"/>
      <c r="N217" s="641"/>
      <c r="O217" s="641"/>
      <c r="P217" s="641"/>
      <c r="Q217" s="641"/>
      <c r="R217" s="641"/>
      <c r="S217" s="4"/>
      <c r="T217" s="4"/>
    </row>
    <row r="218" spans="1:20" ht="14.25" hidden="1" x14ac:dyDescent="0.2">
      <c r="A218" s="999" t="s">
        <v>89</v>
      </c>
      <c r="B218" s="808" t="s">
        <v>300</v>
      </c>
      <c r="C218" s="676"/>
      <c r="D218" s="66"/>
      <c r="E218" s="630" t="str">
        <f>"locatie 1"&amp;IF('woningen|utiliteit'!$L$17="","",": "&amp;'woningen|utiliteit'!$L$17)</f>
        <v>locatie 1</v>
      </c>
      <c r="F218" s="220"/>
      <c r="G218" s="220" t="s">
        <v>70</v>
      </c>
      <c r="H218" s="33"/>
      <c r="I218" s="640" t="str">
        <f>'variant 1'!$O$222</f>
        <v>-</v>
      </c>
      <c r="J218" s="627">
        <f t="shared" ref="J218:J242" ca="1" si="74">ROW(INDIRECT(RIGHT((_xlfn.FORMULATEXT($I218)),LEN(_xlfn.FORMULATEXT($I218))-1)))</f>
        <v>222</v>
      </c>
      <c r="K218" s="627">
        <f t="shared" ref="K218:K242" ca="1" si="75">COLUMN(INDIRECT(RIGHT((_xlfn.FORMULATEXT($I218)),LEN(_xlfn.FORMULATEXT($I218))-1)))</f>
        <v>15</v>
      </c>
      <c r="L218" s="33"/>
      <c r="M218" s="272" t="str">
        <f t="shared" ref="M218:R221" ca="1" si="76">IF(M18=0,"",IFERROR(INDIRECT(ADDRESS($J218,$K218,,,M$8)),0))</f>
        <v/>
      </c>
      <c r="N218" s="272" t="str">
        <f t="shared" ca="1" si="76"/>
        <v/>
      </c>
      <c r="O218" s="272" t="str">
        <f t="shared" ca="1" si="76"/>
        <v/>
      </c>
      <c r="P218" s="272" t="str">
        <f t="shared" ca="1" si="76"/>
        <v/>
      </c>
      <c r="Q218" s="272" t="str">
        <f t="shared" ca="1" si="76"/>
        <v/>
      </c>
      <c r="R218" s="272" t="str">
        <f t="shared" ca="1" si="76"/>
        <v/>
      </c>
      <c r="S218" s="4"/>
      <c r="T218" s="4"/>
    </row>
    <row r="219" spans="1:20" ht="14.25" hidden="1" x14ac:dyDescent="0.2">
      <c r="A219" s="999" t="s">
        <v>89</v>
      </c>
      <c r="B219" s="808" t="s">
        <v>300</v>
      </c>
      <c r="C219" s="676"/>
      <c r="D219" s="66"/>
      <c r="E219" s="630" t="str">
        <f>"locatie 2"&amp;IF('woningen|utiliteit'!$L$31="","",": "&amp;'woningen|utiliteit'!$L$31)</f>
        <v>locatie 2</v>
      </c>
      <c r="F219" s="220"/>
      <c r="G219" s="220" t="s">
        <v>70</v>
      </c>
      <c r="H219" s="33"/>
      <c r="I219" s="640" t="str">
        <f>'variant 1'!$AA$222</f>
        <v>-</v>
      </c>
      <c r="J219" s="627">
        <f t="shared" ca="1" si="74"/>
        <v>222</v>
      </c>
      <c r="K219" s="627">
        <f t="shared" ca="1" si="75"/>
        <v>27</v>
      </c>
      <c r="L219" s="33"/>
      <c r="M219" s="272" t="str">
        <f t="shared" ca="1" si="76"/>
        <v/>
      </c>
      <c r="N219" s="272" t="str">
        <f t="shared" ca="1" si="76"/>
        <v/>
      </c>
      <c r="O219" s="272" t="str">
        <f t="shared" ca="1" si="76"/>
        <v/>
      </c>
      <c r="P219" s="272" t="str">
        <f t="shared" ca="1" si="76"/>
        <v/>
      </c>
      <c r="Q219" s="272" t="str">
        <f t="shared" ca="1" si="76"/>
        <v/>
      </c>
      <c r="R219" s="272" t="str">
        <f t="shared" ca="1" si="76"/>
        <v/>
      </c>
      <c r="S219" s="4"/>
      <c r="T219" s="4"/>
    </row>
    <row r="220" spans="1:20" ht="14.25" hidden="1" x14ac:dyDescent="0.2">
      <c r="A220" s="999" t="s">
        <v>89</v>
      </c>
      <c r="B220" s="808" t="s">
        <v>300</v>
      </c>
      <c r="C220" s="676"/>
      <c r="D220" s="66"/>
      <c r="E220" s="630" t="str">
        <f>"locatie 3"&amp;IF('woningen|utiliteit'!$L$45="","",": "&amp;'woningen|utiliteit'!$L$45)</f>
        <v>locatie 3</v>
      </c>
      <c r="F220" s="220"/>
      <c r="G220" s="220" t="s">
        <v>70</v>
      </c>
      <c r="H220" s="33"/>
      <c r="I220" s="640" t="str">
        <f>'variant 1'!$AM$222</f>
        <v>-</v>
      </c>
      <c r="J220" s="627">
        <f t="shared" ca="1" si="74"/>
        <v>222</v>
      </c>
      <c r="K220" s="627">
        <f t="shared" ca="1" si="75"/>
        <v>39</v>
      </c>
      <c r="L220" s="33"/>
      <c r="M220" s="272" t="str">
        <f t="shared" ca="1" si="76"/>
        <v/>
      </c>
      <c r="N220" s="272" t="str">
        <f t="shared" ca="1" si="76"/>
        <v/>
      </c>
      <c r="O220" s="272" t="str">
        <f t="shared" ca="1" si="76"/>
        <v/>
      </c>
      <c r="P220" s="272" t="str">
        <f t="shared" ca="1" si="76"/>
        <v/>
      </c>
      <c r="Q220" s="272" t="str">
        <f t="shared" ca="1" si="76"/>
        <v/>
      </c>
      <c r="R220" s="272" t="str">
        <f t="shared" ca="1" si="76"/>
        <v/>
      </c>
      <c r="S220" s="4"/>
      <c r="T220" s="4"/>
    </row>
    <row r="221" spans="1:20" ht="14.25" hidden="1" x14ac:dyDescent="0.2">
      <c r="A221" s="999" t="s">
        <v>89</v>
      </c>
      <c r="B221" s="808" t="s">
        <v>300</v>
      </c>
      <c r="C221" s="676"/>
      <c r="D221" s="66"/>
      <c r="E221" s="630" t="str">
        <f>"locatie 4"&amp;IF('woningen|utiliteit'!$L$59="","",": "&amp;'woningen|utiliteit'!$L$59)</f>
        <v>locatie 4</v>
      </c>
      <c r="F221" s="220"/>
      <c r="G221" s="220" t="s">
        <v>70</v>
      </c>
      <c r="H221" s="33"/>
      <c r="I221" s="640" t="str">
        <f>'variant 1'!$AY$222</f>
        <v>-</v>
      </c>
      <c r="J221" s="627">
        <f t="shared" ca="1" si="74"/>
        <v>222</v>
      </c>
      <c r="K221" s="627">
        <f t="shared" ca="1" si="75"/>
        <v>51</v>
      </c>
      <c r="L221" s="33"/>
      <c r="M221" s="272" t="str">
        <f t="shared" ca="1" si="76"/>
        <v/>
      </c>
      <c r="N221" s="272" t="str">
        <f t="shared" ca="1" si="76"/>
        <v/>
      </c>
      <c r="O221" s="272" t="str">
        <f t="shared" ca="1" si="76"/>
        <v/>
      </c>
      <c r="P221" s="272" t="str">
        <f t="shared" ca="1" si="76"/>
        <v/>
      </c>
      <c r="Q221" s="272" t="str">
        <f t="shared" ca="1" si="76"/>
        <v/>
      </c>
      <c r="R221" s="272" t="str">
        <f t="shared" ca="1" si="76"/>
        <v/>
      </c>
      <c r="S221" s="4"/>
      <c r="T221" s="4"/>
    </row>
    <row r="222" spans="1:20" ht="15" hidden="1" x14ac:dyDescent="0.2">
      <c r="A222" s="999" t="s">
        <v>89</v>
      </c>
      <c r="B222" s="808" t="s">
        <v>300</v>
      </c>
      <c r="C222" s="676"/>
      <c r="D222" s="66"/>
      <c r="E222" s="4"/>
      <c r="F222" s="4"/>
      <c r="G222" s="4"/>
      <c r="H222" s="33"/>
      <c r="I222" s="78"/>
      <c r="J222" s="78"/>
      <c r="K222" s="78"/>
      <c r="L222" s="33"/>
      <c r="M222" s="13"/>
      <c r="N222" s="13"/>
      <c r="O222" s="13"/>
      <c r="P222" s="13"/>
      <c r="Q222" s="13"/>
      <c r="R222" s="13"/>
      <c r="S222" s="4"/>
      <c r="T222" s="4"/>
    </row>
    <row r="223" spans="1:20" ht="21" hidden="1" x14ac:dyDescent="0.2">
      <c r="A223" s="994" t="s">
        <v>89</v>
      </c>
      <c r="B223" s="808" t="s">
        <v>300</v>
      </c>
      <c r="C223" s="676"/>
      <c r="D223" s="66"/>
      <c r="E223" s="215" t="s">
        <v>412</v>
      </c>
      <c r="F223" s="215"/>
      <c r="G223" s="215"/>
      <c r="H223" s="4"/>
      <c r="I223" s="626"/>
      <c r="J223" s="626"/>
      <c r="K223" s="626"/>
      <c r="L223" s="33"/>
      <c r="M223" s="641"/>
      <c r="N223" s="641"/>
      <c r="O223" s="641"/>
      <c r="P223" s="641"/>
      <c r="Q223" s="641"/>
      <c r="R223" s="641"/>
      <c r="S223" s="4"/>
      <c r="T223" s="4"/>
    </row>
    <row r="224" spans="1:20" ht="14.25" hidden="1" x14ac:dyDescent="0.2">
      <c r="A224" s="999" t="s">
        <v>89</v>
      </c>
      <c r="B224" s="808" t="s">
        <v>300</v>
      </c>
      <c r="C224" s="676"/>
      <c r="D224" s="66"/>
      <c r="E224" s="630" t="str">
        <f>"locatie 1"&amp;IF('woningen|utiliteit'!$L$17="","",": "&amp;'woningen|utiliteit'!$L$17)</f>
        <v>locatie 1</v>
      </c>
      <c r="F224" s="220"/>
      <c r="G224" s="220" t="s">
        <v>70</v>
      </c>
      <c r="H224" s="33"/>
      <c r="I224" s="640" t="str">
        <f>'variant 1'!$P$222</f>
        <v>-</v>
      </c>
      <c r="J224" s="627">
        <f t="shared" ca="1" si="74"/>
        <v>222</v>
      </c>
      <c r="K224" s="627">
        <f t="shared" ca="1" si="75"/>
        <v>16</v>
      </c>
      <c r="L224" s="33"/>
      <c r="M224" s="272" t="str">
        <f t="shared" ref="M224:R227" ca="1" si="77">IF(M18=0,"",IFERROR(INDIRECT(ADDRESS($J224,$K224,,,M$8)),0))</f>
        <v/>
      </c>
      <c r="N224" s="272" t="str">
        <f t="shared" ca="1" si="77"/>
        <v/>
      </c>
      <c r="O224" s="272" t="str">
        <f t="shared" ca="1" si="77"/>
        <v/>
      </c>
      <c r="P224" s="272" t="str">
        <f t="shared" ca="1" si="77"/>
        <v/>
      </c>
      <c r="Q224" s="272" t="str">
        <f t="shared" ca="1" si="77"/>
        <v/>
      </c>
      <c r="R224" s="272" t="str">
        <f t="shared" ca="1" si="77"/>
        <v/>
      </c>
      <c r="S224" s="4"/>
      <c r="T224" s="4"/>
    </row>
    <row r="225" spans="1:20" ht="14.25" hidden="1" x14ac:dyDescent="0.2">
      <c r="A225" s="999" t="s">
        <v>89</v>
      </c>
      <c r="B225" s="808" t="s">
        <v>300</v>
      </c>
      <c r="C225" s="676"/>
      <c r="D225" s="66"/>
      <c r="E225" s="630" t="str">
        <f>"locatie 2"&amp;IF('woningen|utiliteit'!$L$31="","",": "&amp;'woningen|utiliteit'!$L$31)</f>
        <v>locatie 2</v>
      </c>
      <c r="F225" s="220"/>
      <c r="G225" s="220" t="s">
        <v>70</v>
      </c>
      <c r="H225" s="33"/>
      <c r="I225" s="640" t="str">
        <f>'variant 1'!$AB$222</f>
        <v>-</v>
      </c>
      <c r="J225" s="627">
        <f t="shared" ca="1" si="74"/>
        <v>222</v>
      </c>
      <c r="K225" s="627">
        <f t="shared" ca="1" si="75"/>
        <v>28</v>
      </c>
      <c r="L225" s="33"/>
      <c r="M225" s="272" t="str">
        <f t="shared" ca="1" si="77"/>
        <v/>
      </c>
      <c r="N225" s="272" t="str">
        <f t="shared" ca="1" si="77"/>
        <v/>
      </c>
      <c r="O225" s="272" t="str">
        <f t="shared" ca="1" si="77"/>
        <v/>
      </c>
      <c r="P225" s="272" t="str">
        <f t="shared" ca="1" si="77"/>
        <v/>
      </c>
      <c r="Q225" s="272" t="str">
        <f t="shared" ca="1" si="77"/>
        <v/>
      </c>
      <c r="R225" s="272" t="str">
        <f t="shared" ca="1" si="77"/>
        <v/>
      </c>
      <c r="S225" s="4"/>
      <c r="T225" s="4"/>
    </row>
    <row r="226" spans="1:20" ht="14.25" hidden="1" x14ac:dyDescent="0.2">
      <c r="A226" s="999" t="s">
        <v>89</v>
      </c>
      <c r="B226" s="808" t="s">
        <v>300</v>
      </c>
      <c r="C226" s="676"/>
      <c r="D226" s="66"/>
      <c r="E226" s="630" t="str">
        <f>"locatie 3"&amp;IF('woningen|utiliteit'!$L$45="","",": "&amp;'woningen|utiliteit'!$L$45)</f>
        <v>locatie 3</v>
      </c>
      <c r="F226" s="220"/>
      <c r="G226" s="220" t="s">
        <v>70</v>
      </c>
      <c r="H226" s="33"/>
      <c r="I226" s="640" t="str">
        <f>'variant 1'!$AN$222</f>
        <v>-</v>
      </c>
      <c r="J226" s="627">
        <f t="shared" ca="1" si="74"/>
        <v>222</v>
      </c>
      <c r="K226" s="627">
        <f t="shared" ca="1" si="75"/>
        <v>40</v>
      </c>
      <c r="L226" s="33"/>
      <c r="M226" s="272" t="str">
        <f t="shared" ca="1" si="77"/>
        <v/>
      </c>
      <c r="N226" s="272" t="str">
        <f t="shared" ca="1" si="77"/>
        <v/>
      </c>
      <c r="O226" s="272" t="str">
        <f t="shared" ca="1" si="77"/>
        <v/>
      </c>
      <c r="P226" s="272" t="str">
        <f t="shared" ca="1" si="77"/>
        <v/>
      </c>
      <c r="Q226" s="272" t="str">
        <f t="shared" ca="1" si="77"/>
        <v/>
      </c>
      <c r="R226" s="272" t="str">
        <f t="shared" ca="1" si="77"/>
        <v/>
      </c>
      <c r="S226" s="4"/>
      <c r="T226" s="4"/>
    </row>
    <row r="227" spans="1:20" ht="14.25" hidden="1" x14ac:dyDescent="0.2">
      <c r="A227" s="999" t="s">
        <v>89</v>
      </c>
      <c r="B227" s="808" t="s">
        <v>300</v>
      </c>
      <c r="C227" s="676"/>
      <c r="D227" s="66"/>
      <c r="E227" s="630" t="str">
        <f>"locatie 4"&amp;IF('woningen|utiliteit'!$L$59="","",": "&amp;'woningen|utiliteit'!$L$59)</f>
        <v>locatie 4</v>
      </c>
      <c r="F227" s="220"/>
      <c r="G227" s="220" t="s">
        <v>70</v>
      </c>
      <c r="H227" s="33"/>
      <c r="I227" s="640" t="str">
        <f>'variant 1'!$AZ$222</f>
        <v>-</v>
      </c>
      <c r="J227" s="627">
        <f t="shared" ca="1" si="74"/>
        <v>222</v>
      </c>
      <c r="K227" s="627">
        <f t="shared" ca="1" si="75"/>
        <v>52</v>
      </c>
      <c r="L227" s="33"/>
      <c r="M227" s="272" t="str">
        <f t="shared" ca="1" si="77"/>
        <v/>
      </c>
      <c r="N227" s="272" t="str">
        <f t="shared" ca="1" si="77"/>
        <v/>
      </c>
      <c r="O227" s="272" t="str">
        <f t="shared" ca="1" si="77"/>
        <v/>
      </c>
      <c r="P227" s="272" t="str">
        <f t="shared" ca="1" si="77"/>
        <v/>
      </c>
      <c r="Q227" s="272" t="str">
        <f t="shared" ca="1" si="77"/>
        <v/>
      </c>
      <c r="R227" s="272" t="str">
        <f t="shared" ca="1" si="77"/>
        <v/>
      </c>
      <c r="S227" s="4"/>
      <c r="T227" s="4"/>
    </row>
    <row r="228" spans="1:20" ht="15" hidden="1" x14ac:dyDescent="0.2">
      <c r="A228" s="999" t="s">
        <v>89</v>
      </c>
      <c r="B228" s="808" t="s">
        <v>300</v>
      </c>
      <c r="C228" s="676"/>
      <c r="D228" s="66"/>
      <c r="E228" s="4"/>
      <c r="F228" s="4"/>
      <c r="G228" s="4"/>
      <c r="H228" s="33"/>
      <c r="I228" s="78"/>
      <c r="J228" s="78"/>
      <c r="K228" s="78"/>
      <c r="L228" s="33"/>
      <c r="M228" s="13"/>
      <c r="N228" s="13"/>
      <c r="O228" s="13"/>
      <c r="P228" s="13"/>
      <c r="Q228" s="13"/>
      <c r="R228" s="13"/>
      <c r="S228" s="4"/>
      <c r="T228" s="4"/>
    </row>
    <row r="229" spans="1:20" ht="21" hidden="1" x14ac:dyDescent="0.2">
      <c r="A229" s="994" t="s">
        <v>89</v>
      </c>
      <c r="B229" s="808" t="s">
        <v>300</v>
      </c>
      <c r="C229" s="676"/>
      <c r="D229" s="66"/>
      <c r="E229" s="215" t="s">
        <v>413</v>
      </c>
      <c r="F229" s="215"/>
      <c r="G229" s="215"/>
      <c r="H229" s="4"/>
      <c r="I229" s="626"/>
      <c r="J229" s="626"/>
      <c r="K229" s="626"/>
      <c r="L229" s="33"/>
      <c r="M229" s="641"/>
      <c r="N229" s="641"/>
      <c r="O229" s="641"/>
      <c r="P229" s="641"/>
      <c r="Q229" s="641"/>
      <c r="R229" s="641"/>
      <c r="S229" s="4"/>
      <c r="T229" s="4"/>
    </row>
    <row r="230" spans="1:20" ht="14.25" hidden="1" x14ac:dyDescent="0.2">
      <c r="A230" s="999" t="s">
        <v>89</v>
      </c>
      <c r="B230" s="808" t="s">
        <v>300</v>
      </c>
      <c r="C230" s="676"/>
      <c r="D230" s="66"/>
      <c r="E230" s="630" t="str">
        <f>"locatie 1"&amp;IF('woningen|utiliteit'!$L$17="","",": "&amp;'woningen|utiliteit'!$L$17)</f>
        <v>locatie 1</v>
      </c>
      <c r="F230" s="220"/>
      <c r="G230" s="220" t="s">
        <v>70</v>
      </c>
      <c r="H230" s="33"/>
      <c r="I230" s="640" t="str">
        <f>'variant 1'!$Q$222</f>
        <v>-</v>
      </c>
      <c r="J230" s="627">
        <f t="shared" ca="1" si="74"/>
        <v>222</v>
      </c>
      <c r="K230" s="627">
        <f t="shared" ca="1" si="75"/>
        <v>17</v>
      </c>
      <c r="L230" s="33"/>
      <c r="M230" s="272" t="str">
        <f t="shared" ref="M230:R233" ca="1" si="78">IF(M18=0,"",IFERROR(INDIRECT(ADDRESS($J230,$K230,,,M$8)),0))</f>
        <v/>
      </c>
      <c r="N230" s="272" t="str">
        <f t="shared" ca="1" si="78"/>
        <v/>
      </c>
      <c r="O230" s="272" t="str">
        <f t="shared" ca="1" si="78"/>
        <v/>
      </c>
      <c r="P230" s="272" t="str">
        <f t="shared" ca="1" si="78"/>
        <v/>
      </c>
      <c r="Q230" s="272" t="str">
        <f t="shared" ca="1" si="78"/>
        <v/>
      </c>
      <c r="R230" s="272" t="str">
        <f t="shared" ca="1" si="78"/>
        <v/>
      </c>
      <c r="S230" s="4"/>
      <c r="T230" s="4"/>
    </row>
    <row r="231" spans="1:20" ht="14.25" hidden="1" x14ac:dyDescent="0.2">
      <c r="A231" s="999" t="s">
        <v>89</v>
      </c>
      <c r="B231" s="808" t="s">
        <v>300</v>
      </c>
      <c r="C231" s="676"/>
      <c r="D231" s="66"/>
      <c r="E231" s="630" t="str">
        <f>"locatie 2"&amp;IF('woningen|utiliteit'!$L$31="","",": "&amp;'woningen|utiliteit'!$L$31)</f>
        <v>locatie 2</v>
      </c>
      <c r="F231" s="220"/>
      <c r="G231" s="220" t="s">
        <v>70</v>
      </c>
      <c r="H231" s="33"/>
      <c r="I231" s="640" t="str">
        <f>'variant 1'!$AC$222</f>
        <v>-</v>
      </c>
      <c r="J231" s="627">
        <f t="shared" ca="1" si="74"/>
        <v>222</v>
      </c>
      <c r="K231" s="627">
        <f t="shared" ca="1" si="75"/>
        <v>29</v>
      </c>
      <c r="L231" s="33"/>
      <c r="M231" s="272" t="str">
        <f t="shared" ca="1" si="78"/>
        <v/>
      </c>
      <c r="N231" s="272" t="str">
        <f t="shared" ca="1" si="78"/>
        <v/>
      </c>
      <c r="O231" s="272" t="str">
        <f t="shared" ca="1" si="78"/>
        <v/>
      </c>
      <c r="P231" s="272" t="str">
        <f t="shared" ca="1" si="78"/>
        <v/>
      </c>
      <c r="Q231" s="272" t="str">
        <f t="shared" ca="1" si="78"/>
        <v/>
      </c>
      <c r="R231" s="272" t="str">
        <f t="shared" ca="1" si="78"/>
        <v/>
      </c>
      <c r="S231" s="4"/>
      <c r="T231" s="4"/>
    </row>
    <row r="232" spans="1:20" ht="14.25" hidden="1" x14ac:dyDescent="0.2">
      <c r="A232" s="999" t="s">
        <v>89</v>
      </c>
      <c r="B232" s="808" t="s">
        <v>300</v>
      </c>
      <c r="C232" s="676"/>
      <c r="D232" s="66"/>
      <c r="E232" s="630" t="str">
        <f>"locatie 3"&amp;IF('woningen|utiliteit'!$L$45="","",": "&amp;'woningen|utiliteit'!$L$45)</f>
        <v>locatie 3</v>
      </c>
      <c r="F232" s="220"/>
      <c r="G232" s="220" t="s">
        <v>70</v>
      </c>
      <c r="H232" s="33"/>
      <c r="I232" s="640" t="str">
        <f>'variant 1'!$AO$222</f>
        <v>-</v>
      </c>
      <c r="J232" s="627">
        <f t="shared" ca="1" si="74"/>
        <v>222</v>
      </c>
      <c r="K232" s="627">
        <f t="shared" ca="1" si="75"/>
        <v>41</v>
      </c>
      <c r="L232" s="33"/>
      <c r="M232" s="272" t="str">
        <f t="shared" ca="1" si="78"/>
        <v/>
      </c>
      <c r="N232" s="272" t="str">
        <f t="shared" ca="1" si="78"/>
        <v/>
      </c>
      <c r="O232" s="272" t="str">
        <f t="shared" ca="1" si="78"/>
        <v/>
      </c>
      <c r="P232" s="272" t="str">
        <f t="shared" ca="1" si="78"/>
        <v/>
      </c>
      <c r="Q232" s="272" t="str">
        <f t="shared" ca="1" si="78"/>
        <v/>
      </c>
      <c r="R232" s="272" t="str">
        <f t="shared" ca="1" si="78"/>
        <v/>
      </c>
      <c r="S232" s="4"/>
      <c r="T232" s="4"/>
    </row>
    <row r="233" spans="1:20" ht="14.25" hidden="1" x14ac:dyDescent="0.2">
      <c r="A233" s="999" t="s">
        <v>89</v>
      </c>
      <c r="B233" s="808" t="s">
        <v>300</v>
      </c>
      <c r="C233" s="676"/>
      <c r="D233" s="66"/>
      <c r="E233" s="630" t="str">
        <f>"locatie 4"&amp;IF('woningen|utiliteit'!$L$59="","",": "&amp;'woningen|utiliteit'!$L$59)</f>
        <v>locatie 4</v>
      </c>
      <c r="F233" s="220"/>
      <c r="G233" s="220" t="s">
        <v>70</v>
      </c>
      <c r="H233" s="33"/>
      <c r="I233" s="640" t="str">
        <f>'variant 1'!$BA$222</f>
        <v>-</v>
      </c>
      <c r="J233" s="627">
        <f t="shared" ca="1" si="74"/>
        <v>222</v>
      </c>
      <c r="K233" s="627">
        <f t="shared" ca="1" si="75"/>
        <v>53</v>
      </c>
      <c r="L233" s="33"/>
      <c r="M233" s="272" t="str">
        <f t="shared" ca="1" si="78"/>
        <v/>
      </c>
      <c r="N233" s="272" t="str">
        <f t="shared" ca="1" si="78"/>
        <v/>
      </c>
      <c r="O233" s="272" t="str">
        <f t="shared" ca="1" si="78"/>
        <v/>
      </c>
      <c r="P233" s="272" t="str">
        <f t="shared" ca="1" si="78"/>
        <v/>
      </c>
      <c r="Q233" s="272" t="str">
        <f t="shared" ca="1" si="78"/>
        <v/>
      </c>
      <c r="R233" s="272" t="str">
        <f t="shared" ca="1" si="78"/>
        <v/>
      </c>
      <c r="S233" s="4"/>
      <c r="T233" s="4"/>
    </row>
    <row r="234" spans="1:20" ht="15" hidden="1" x14ac:dyDescent="0.2">
      <c r="A234" s="999" t="s">
        <v>89</v>
      </c>
      <c r="B234" s="808" t="s">
        <v>414</v>
      </c>
      <c r="C234" s="676"/>
      <c r="D234" s="66"/>
      <c r="E234" s="4"/>
      <c r="F234" s="4"/>
      <c r="G234" s="4"/>
      <c r="H234" s="33"/>
      <c r="I234" s="78"/>
      <c r="J234" s="78"/>
      <c r="K234" s="78"/>
      <c r="L234" s="33"/>
      <c r="M234" s="13"/>
      <c r="N234" s="13"/>
      <c r="O234" s="13"/>
      <c r="P234" s="13"/>
      <c r="Q234" s="13"/>
      <c r="R234" s="13"/>
      <c r="S234" s="4"/>
      <c r="T234" s="4"/>
    </row>
    <row r="235" spans="1:20" ht="21" hidden="1" x14ac:dyDescent="0.2">
      <c r="A235" s="994" t="s">
        <v>89</v>
      </c>
      <c r="B235" s="808" t="s">
        <v>414</v>
      </c>
      <c r="C235" s="676"/>
      <c r="D235" s="66"/>
      <c r="E235" s="215" t="s">
        <v>415</v>
      </c>
      <c r="F235" s="215"/>
      <c r="G235" s="215"/>
      <c r="H235" s="4"/>
      <c r="I235" s="626"/>
      <c r="J235" s="626"/>
      <c r="K235" s="626"/>
      <c r="L235" s="33"/>
      <c r="M235" s="641"/>
      <c r="N235" s="641"/>
      <c r="O235" s="641"/>
      <c r="P235" s="641"/>
      <c r="Q235" s="641"/>
      <c r="R235" s="641"/>
      <c r="S235" s="4"/>
      <c r="T235" s="4"/>
    </row>
    <row r="236" spans="1:20" ht="14.25" hidden="1" x14ac:dyDescent="0.2">
      <c r="A236" s="999" t="s">
        <v>89</v>
      </c>
      <c r="B236" s="808" t="s">
        <v>414</v>
      </c>
      <c r="C236" s="676"/>
      <c r="D236" s="66"/>
      <c r="E236" s="630" t="str">
        <f>'variant 1'!E209</f>
        <v>warmtepomp (EPren;hp)</v>
      </c>
      <c r="F236" s="220"/>
      <c r="G236" s="220" t="s">
        <v>177</v>
      </c>
      <c r="H236" s="33"/>
      <c r="I236" s="631">
        <f>'variant 1'!J209</f>
        <v>0</v>
      </c>
      <c r="J236" s="627">
        <f t="shared" ca="1" si="74"/>
        <v>209</v>
      </c>
      <c r="K236" s="627">
        <f t="shared" ca="1" si="75"/>
        <v>10</v>
      </c>
      <c r="L236" s="33"/>
      <c r="M236" s="207" t="str">
        <f t="shared" ref="M236:R242" ca="1" si="79">IF(M$22=0,"",IFERROR(INDIRECT(ADDRESS($J236,$K236,,,M$8)),0))</f>
        <v/>
      </c>
      <c r="N236" s="207" t="str">
        <f t="shared" ca="1" si="79"/>
        <v/>
      </c>
      <c r="O236" s="207" t="str">
        <f t="shared" ca="1" si="79"/>
        <v/>
      </c>
      <c r="P236" s="207" t="str">
        <f t="shared" ca="1" si="79"/>
        <v/>
      </c>
      <c r="Q236" s="207" t="str">
        <f t="shared" ca="1" si="79"/>
        <v/>
      </c>
      <c r="R236" s="207" t="str">
        <f t="shared" ca="1" si="79"/>
        <v/>
      </c>
      <c r="S236" s="4"/>
      <c r="T236" s="4"/>
    </row>
    <row r="237" spans="1:20" ht="14.25" hidden="1" x14ac:dyDescent="0.2">
      <c r="A237" s="999" t="s">
        <v>89</v>
      </c>
      <c r="B237" s="808" t="s">
        <v>414</v>
      </c>
      <c r="C237" s="676"/>
      <c r="D237" s="66"/>
      <c r="E237" s="630" t="str">
        <f>'variant 1'!E210</f>
        <v>vrije koeling (EPren;gen;out)</v>
      </c>
      <c r="F237" s="220"/>
      <c r="G237" s="220" t="s">
        <v>177</v>
      </c>
      <c r="H237" s="33"/>
      <c r="I237" s="631">
        <f>'variant 1'!J210</f>
        <v>0</v>
      </c>
      <c r="J237" s="627">
        <f t="shared" ca="1" si="74"/>
        <v>210</v>
      </c>
      <c r="K237" s="627">
        <f t="shared" ca="1" si="75"/>
        <v>10</v>
      </c>
      <c r="L237" s="33"/>
      <c r="M237" s="207" t="str">
        <f t="shared" ca="1" si="79"/>
        <v/>
      </c>
      <c r="N237" s="207" t="str">
        <f t="shared" ca="1" si="79"/>
        <v/>
      </c>
      <c r="O237" s="207" t="str">
        <f t="shared" ca="1" si="79"/>
        <v/>
      </c>
      <c r="P237" s="207" t="str">
        <f t="shared" ca="1" si="79"/>
        <v/>
      </c>
      <c r="Q237" s="207" t="str">
        <f t="shared" ca="1" si="79"/>
        <v/>
      </c>
      <c r="R237" s="207" t="str">
        <f t="shared" ca="1" si="79"/>
        <v/>
      </c>
      <c r="S237" s="4"/>
      <c r="T237" s="4"/>
    </row>
    <row r="238" spans="1:20" ht="14.25" hidden="1" x14ac:dyDescent="0.2">
      <c r="A238" s="999" t="s">
        <v>89</v>
      </c>
      <c r="B238" s="808" t="s">
        <v>414</v>
      </c>
      <c r="C238" s="676"/>
      <c r="D238" s="66"/>
      <c r="E238" s="630" t="str">
        <f>'variant 1'!E211</f>
        <v>biomassagestookte toestellen (EPren;gen;out)</v>
      </c>
      <c r="F238" s="220"/>
      <c r="G238" s="220" t="s">
        <v>177</v>
      </c>
      <c r="H238" s="33"/>
      <c r="I238" s="631">
        <f>'variant 1'!J211</f>
        <v>0</v>
      </c>
      <c r="J238" s="627">
        <f t="shared" ca="1" si="74"/>
        <v>211</v>
      </c>
      <c r="K238" s="627">
        <f t="shared" ca="1" si="75"/>
        <v>10</v>
      </c>
      <c r="L238" s="33"/>
      <c r="M238" s="207" t="str">
        <f t="shared" ca="1" si="79"/>
        <v/>
      </c>
      <c r="N238" s="207" t="str">
        <f t="shared" ca="1" si="79"/>
        <v/>
      </c>
      <c r="O238" s="207" t="str">
        <f t="shared" ca="1" si="79"/>
        <v/>
      </c>
      <c r="P238" s="207" t="str">
        <f t="shared" ca="1" si="79"/>
        <v/>
      </c>
      <c r="Q238" s="207" t="str">
        <f t="shared" ca="1" si="79"/>
        <v/>
      </c>
      <c r="R238" s="207" t="str">
        <f t="shared" ca="1" si="79"/>
        <v/>
      </c>
      <c r="S238" s="4"/>
      <c r="T238" s="4"/>
    </row>
    <row r="239" spans="1:20" ht="14.25" hidden="1" x14ac:dyDescent="0.2">
      <c r="A239" s="999" t="s">
        <v>89</v>
      </c>
      <c r="B239" s="808" t="s">
        <v>414</v>
      </c>
      <c r="C239" s="676"/>
      <c r="D239" s="66"/>
      <c r="E239" s="630" t="str">
        <f>'variant 1'!E212</f>
        <v>externe warmte-/koudelevering (EPren;gen;out)</v>
      </c>
      <c r="F239" s="220"/>
      <c r="G239" s="220" t="s">
        <v>177</v>
      </c>
      <c r="H239" s="33"/>
      <c r="I239" s="631">
        <f>'variant 1'!J212</f>
        <v>0</v>
      </c>
      <c r="J239" s="627">
        <f t="shared" ca="1" si="74"/>
        <v>212</v>
      </c>
      <c r="K239" s="627">
        <f t="shared" ca="1" si="75"/>
        <v>10</v>
      </c>
      <c r="L239" s="33"/>
      <c r="M239" s="207" t="str">
        <f t="shared" ca="1" si="79"/>
        <v/>
      </c>
      <c r="N239" s="207" t="str">
        <f t="shared" ca="1" si="79"/>
        <v/>
      </c>
      <c r="O239" s="207" t="str">
        <f t="shared" ca="1" si="79"/>
        <v/>
      </c>
      <c r="P239" s="207" t="str">
        <f t="shared" ca="1" si="79"/>
        <v/>
      </c>
      <c r="Q239" s="207" t="str">
        <f t="shared" ca="1" si="79"/>
        <v/>
      </c>
      <c r="R239" s="207" t="str">
        <f t="shared" ca="1" si="79"/>
        <v/>
      </c>
      <c r="S239" s="4"/>
      <c r="T239" s="4"/>
    </row>
    <row r="240" spans="1:20" ht="14.25" hidden="1" x14ac:dyDescent="0.2">
      <c r="A240" s="999" t="s">
        <v>89</v>
      </c>
      <c r="B240" s="808" t="s">
        <v>414</v>
      </c>
      <c r="C240" s="676"/>
      <c r="D240" s="66"/>
      <c r="E240" s="630" t="str">
        <f>'variant 1'!E213</f>
        <v>absorptiekoeling op ext. warmtelevering (EPren;gen;out)</v>
      </c>
      <c r="F240" s="220"/>
      <c r="G240" s="220" t="s">
        <v>177</v>
      </c>
      <c r="H240" s="33"/>
      <c r="I240" s="631">
        <f>'variant 1'!J213</f>
        <v>0</v>
      </c>
      <c r="J240" s="627">
        <f t="shared" ca="1" si="74"/>
        <v>213</v>
      </c>
      <c r="K240" s="627">
        <f t="shared" ca="1" si="75"/>
        <v>10</v>
      </c>
      <c r="L240" s="33"/>
      <c r="M240" s="207" t="str">
        <f t="shared" ca="1" si="79"/>
        <v/>
      </c>
      <c r="N240" s="207" t="str">
        <f t="shared" ca="1" si="79"/>
        <v/>
      </c>
      <c r="O240" s="207" t="str">
        <f t="shared" ca="1" si="79"/>
        <v/>
      </c>
      <c r="P240" s="207" t="str">
        <f t="shared" ca="1" si="79"/>
        <v/>
      </c>
      <c r="Q240" s="207" t="str">
        <f t="shared" ca="1" si="79"/>
        <v/>
      </c>
      <c r="R240" s="207" t="str">
        <f t="shared" ca="1" si="79"/>
        <v/>
      </c>
      <c r="S240" s="4"/>
      <c r="T240" s="4"/>
    </row>
    <row r="241" spans="1:20" ht="14.25" hidden="1" x14ac:dyDescent="0.2">
      <c r="A241" s="999" t="s">
        <v>89</v>
      </c>
      <c r="B241" s="808" t="s">
        <v>414</v>
      </c>
      <c r="C241" s="676"/>
      <c r="D241" s="66"/>
      <c r="E241" s="630" t="str">
        <f>'variant 1'!E214</f>
        <v>zonneboiler (EPren;sol;prac)</v>
      </c>
      <c r="F241" s="220"/>
      <c r="G241" s="220" t="s">
        <v>177</v>
      </c>
      <c r="H241" s="33"/>
      <c r="I241" s="631">
        <f>'variant 1'!J214</f>
        <v>0</v>
      </c>
      <c r="J241" s="627">
        <f t="shared" ca="1" si="74"/>
        <v>214</v>
      </c>
      <c r="K241" s="627">
        <f t="shared" ca="1" si="75"/>
        <v>10</v>
      </c>
      <c r="L241" s="33"/>
      <c r="M241" s="207" t="str">
        <f t="shared" ca="1" si="79"/>
        <v/>
      </c>
      <c r="N241" s="207" t="str">
        <f t="shared" ca="1" si="79"/>
        <v/>
      </c>
      <c r="O241" s="207" t="str">
        <f t="shared" ca="1" si="79"/>
        <v/>
      </c>
      <c r="P241" s="207" t="str">
        <f t="shared" ca="1" si="79"/>
        <v/>
      </c>
      <c r="Q241" s="207" t="str">
        <f t="shared" ca="1" si="79"/>
        <v/>
      </c>
      <c r="R241" s="207" t="str">
        <f t="shared" ca="1" si="79"/>
        <v/>
      </c>
      <c r="S241" s="4"/>
      <c r="T241" s="4"/>
    </row>
    <row r="242" spans="1:20" ht="14.25" hidden="1" x14ac:dyDescent="0.2">
      <c r="A242" s="999" t="s">
        <v>89</v>
      </c>
      <c r="B242" s="808" t="s">
        <v>414</v>
      </c>
      <c r="C242" s="676"/>
      <c r="D242" s="66"/>
      <c r="E242" s="630" t="str">
        <f>'variant 1'!E215</f>
        <v>hernieuwbaar opgewekte elektriciteit (EPren;el)</v>
      </c>
      <c r="F242" s="220"/>
      <c r="G242" s="220" t="s">
        <v>177</v>
      </c>
      <c r="H242" s="33"/>
      <c r="I242" s="631">
        <f>'variant 1'!J215</f>
        <v>0</v>
      </c>
      <c r="J242" s="627">
        <f t="shared" ca="1" si="74"/>
        <v>215</v>
      </c>
      <c r="K242" s="627">
        <f t="shared" ca="1" si="75"/>
        <v>10</v>
      </c>
      <c r="L242" s="33"/>
      <c r="M242" s="207" t="str">
        <f t="shared" ca="1" si="79"/>
        <v/>
      </c>
      <c r="N242" s="207" t="str">
        <f t="shared" ca="1" si="79"/>
        <v/>
      </c>
      <c r="O242" s="207" t="str">
        <f t="shared" ca="1" si="79"/>
        <v/>
      </c>
      <c r="P242" s="207" t="str">
        <f t="shared" ca="1" si="79"/>
        <v/>
      </c>
      <c r="Q242" s="207" t="str">
        <f t="shared" ca="1" si="79"/>
        <v/>
      </c>
      <c r="R242" s="207" t="str">
        <f t="shared" ca="1" si="79"/>
        <v/>
      </c>
      <c r="S242" s="4"/>
      <c r="T242" s="4"/>
    </row>
    <row r="243" spans="1:20" ht="15" hidden="1" x14ac:dyDescent="0.2">
      <c r="A243" s="999" t="s">
        <v>89</v>
      </c>
      <c r="B243" s="808" t="s">
        <v>414</v>
      </c>
      <c r="C243" s="676"/>
      <c r="D243" s="66"/>
      <c r="E243" s="220" t="s">
        <v>258</v>
      </c>
      <c r="F243" s="220"/>
      <c r="G243" s="220" t="s">
        <v>177</v>
      </c>
      <c r="H243" s="33"/>
      <c r="I243" s="78"/>
      <c r="J243" s="78"/>
      <c r="K243" s="78"/>
      <c r="L243" s="33"/>
      <c r="M243" s="207">
        <f t="shared" ref="M243:R243" ca="1" si="80">SUM(M236:M242)</f>
        <v>0</v>
      </c>
      <c r="N243" s="207">
        <f t="shared" ca="1" si="80"/>
        <v>0</v>
      </c>
      <c r="O243" s="207">
        <f t="shared" ca="1" si="80"/>
        <v>0</v>
      </c>
      <c r="P243" s="207">
        <f t="shared" ca="1" si="80"/>
        <v>0</v>
      </c>
      <c r="Q243" s="207">
        <f t="shared" ca="1" si="80"/>
        <v>0</v>
      </c>
      <c r="R243" s="207">
        <f t="shared" ca="1" si="80"/>
        <v>0</v>
      </c>
      <c r="S243" s="4"/>
      <c r="T243" s="4"/>
    </row>
    <row r="244" spans="1:20" ht="15" x14ac:dyDescent="0.2">
      <c r="A244" s="994" t="s">
        <v>89</v>
      </c>
      <c r="B244" s="808" t="s">
        <v>416</v>
      </c>
      <c r="C244" s="676"/>
      <c r="D244" s="65"/>
      <c r="E244" s="32"/>
      <c r="F244" s="32"/>
      <c r="G244" s="32"/>
      <c r="H244" s="33"/>
      <c r="I244" s="78"/>
      <c r="J244" s="78"/>
      <c r="K244" s="78"/>
      <c r="L244" s="33"/>
      <c r="M244" s="32"/>
      <c r="N244" s="32"/>
      <c r="O244" s="32"/>
      <c r="P244" s="32"/>
      <c r="Q244" s="32"/>
      <c r="R244" s="32"/>
      <c r="S244" s="4"/>
      <c r="T244" s="4"/>
    </row>
    <row r="245" spans="1:20" ht="255" x14ac:dyDescent="0.2">
      <c r="A245" s="994" t="s">
        <v>89</v>
      </c>
      <c r="B245" s="808" t="s">
        <v>416</v>
      </c>
      <c r="C245" s="676"/>
      <c r="D245" s="67"/>
      <c r="E245" s="762" t="s">
        <v>416</v>
      </c>
      <c r="F245" s="763" t="s">
        <v>417</v>
      </c>
      <c r="G245" s="764"/>
      <c r="H245" s="4"/>
      <c r="I245" s="71"/>
      <c r="J245" s="71"/>
      <c r="K245" s="71"/>
      <c r="L245" s="4"/>
      <c r="M245" s="9"/>
      <c r="N245" s="9"/>
      <c r="O245" s="9"/>
      <c r="P245" s="9"/>
      <c r="Q245" s="9"/>
      <c r="R245" s="9"/>
      <c r="S245" s="4"/>
      <c r="T245" s="4"/>
    </row>
    <row r="246" spans="1:20" ht="14.25" x14ac:dyDescent="0.2">
      <c r="A246" s="994" t="s">
        <v>89</v>
      </c>
      <c r="B246" s="808" t="s">
        <v>418</v>
      </c>
      <c r="C246" s="676"/>
      <c r="D246" s="37"/>
      <c r="E246" s="84"/>
      <c r="F246" s="4"/>
      <c r="G246" s="4"/>
      <c r="H246" s="4"/>
      <c r="I246" s="71"/>
      <c r="J246" s="71"/>
      <c r="K246" s="71"/>
      <c r="L246" s="4"/>
      <c r="M246" s="9"/>
      <c r="N246" s="9"/>
      <c r="O246" s="9"/>
      <c r="P246" s="9"/>
      <c r="Q246" s="9"/>
      <c r="R246" s="9"/>
      <c r="S246" s="4"/>
      <c r="T246" s="4"/>
    </row>
    <row r="247" spans="1:20" ht="255" x14ac:dyDescent="0.2">
      <c r="A247" s="994" t="s">
        <v>89</v>
      </c>
      <c r="B247" s="808" t="s">
        <v>418</v>
      </c>
      <c r="C247" s="676"/>
      <c r="D247" s="37"/>
      <c r="E247" s="762" t="s">
        <v>419</v>
      </c>
      <c r="F247" s="763" t="s">
        <v>417</v>
      </c>
      <c r="G247" s="764"/>
      <c r="H247" s="4"/>
      <c r="I247" s="71"/>
      <c r="J247" s="71"/>
      <c r="K247" s="71"/>
      <c r="L247" s="4"/>
      <c r="M247" s="9"/>
      <c r="N247" s="9"/>
      <c r="O247" s="9"/>
      <c r="P247" s="9"/>
      <c r="Q247" s="9"/>
      <c r="R247" s="9"/>
      <c r="S247" s="4"/>
      <c r="T247" s="4"/>
    </row>
    <row r="248" spans="1:20" ht="14.25" x14ac:dyDescent="0.2">
      <c r="A248" s="1000"/>
      <c r="B248" s="808" t="s">
        <v>418</v>
      </c>
      <c r="C248" s="676"/>
      <c r="D248" s="37"/>
      <c r="E248" s="4"/>
      <c r="F248" s="4"/>
      <c r="G248" s="4"/>
      <c r="H248" s="4"/>
      <c r="I248" s="71"/>
      <c r="J248" s="71"/>
      <c r="K248" s="71"/>
      <c r="L248" s="4"/>
      <c r="M248" s="9"/>
      <c r="N248" s="9"/>
      <c r="O248" s="9"/>
      <c r="P248" s="9"/>
      <c r="Q248" s="9"/>
      <c r="R248" s="9"/>
      <c r="S248" s="4"/>
      <c r="T248" s="4"/>
    </row>
  </sheetData>
  <sheetProtection algorithmName="SHA-512" hashValue="rlfJtpt0QXzqc0EED/I47uNwaIQMUw/UKVDLaktikXsfuiT5vuwjzw1QYiZG5vW3ud91o/AyPHu43lU0EZI3iQ==" saltValue="uwvmve+Fx8cimc+qpVccGw==" spinCount="100000" sheet="1" objects="1" scenarios="1" formatColumns="0" autoFilter="0"/>
  <autoFilter ref="B8:B248" xr:uid="{74ED3B3D-4A23-4A2F-BBEB-0D2274B171B4}">
    <filterColumn colId="0">
      <filters>
        <filter val="algemeen"/>
        <filter val="CO2 emissie"/>
        <filter val="grafiek CO2 emissie"/>
        <filter val="grafiek primair energiegebruik"/>
        <filter val="primair energiegebruik"/>
      </filters>
    </filterColumn>
  </autoFilter>
  <mergeCells count="5">
    <mergeCell ref="F4:G4"/>
    <mergeCell ref="F6:G6"/>
    <mergeCell ref="F5:G5"/>
    <mergeCell ref="B5:B7"/>
    <mergeCell ref="E3:G3"/>
  </mergeCells>
  <phoneticPr fontId="0" type="noConversion"/>
  <conditionalFormatting sqref="F5">
    <cfRule type="expression" dxfId="1082" priority="4440">
      <formula>ISERROR(MATCH(F5,$M$8:$R$8,0))</formula>
    </cfRule>
  </conditionalFormatting>
  <conditionalFormatting sqref="F6">
    <cfRule type="expression" dxfId="1081" priority="90">
      <formula>F6=""</formula>
    </cfRule>
  </conditionalFormatting>
  <conditionalFormatting sqref="G2">
    <cfRule type="expression" dxfId="1080" priority="13">
      <formula>$G$2&lt;&gt;""</formula>
    </cfRule>
  </conditionalFormatting>
  <conditionalFormatting sqref="M10:R10">
    <cfRule type="expression" dxfId="1079" priority="9">
      <formula>M$22=0</formula>
    </cfRule>
  </conditionalFormatting>
  <conditionalFormatting sqref="M11:R14">
    <cfRule type="expression" dxfId="1078" priority="6">
      <formula>M$22=0</formula>
    </cfRule>
  </conditionalFormatting>
  <conditionalFormatting sqref="M11:R243">
    <cfRule type="expression" dxfId="1077" priority="5229">
      <formula>M11&lt;&gt;INDEX($L11:$S11,MATCH($F$5,$L$8:$S$8,0))</formula>
    </cfRule>
  </conditionalFormatting>
  <conditionalFormatting sqref="M13:R14">
    <cfRule type="expression" dxfId="1076" priority="7">
      <formula>M13="nee"</formula>
    </cfRule>
  </conditionalFormatting>
  <conditionalFormatting sqref="M17:R17">
    <cfRule type="expression" dxfId="1075" priority="53">
      <formula>M$22=0</formula>
    </cfRule>
  </conditionalFormatting>
  <conditionalFormatting sqref="M18:R22 M29:R29">
    <cfRule type="expression" dxfId="1074" priority="55">
      <formula>M$22=0</formula>
    </cfRule>
  </conditionalFormatting>
  <conditionalFormatting sqref="M24:R24 M31:R31 M37:R37 M43:R43 M49:R49 M55:R55 M61:R61 M77:R77 M87:R87 M102:R102 M117:R117 M132:R132 M147:R147 M157:R157 M172:R172 M187:R187 M217:R217 M223:R223 M229:R229">
    <cfRule type="expression" dxfId="1073" priority="54">
      <formula>M$22=0</formula>
    </cfRule>
  </conditionalFormatting>
  <conditionalFormatting sqref="M67:R67">
    <cfRule type="expression" dxfId="1072" priority="52">
      <formula>M$22=0</formula>
    </cfRule>
  </conditionalFormatting>
  <conditionalFormatting sqref="M72:R72">
    <cfRule type="expression" dxfId="1071" priority="80">
      <formula>M$22=0</formula>
    </cfRule>
  </conditionalFormatting>
  <conditionalFormatting sqref="M74:R74">
    <cfRule type="expression" dxfId="1070" priority="47">
      <formula>OR(M$22=0,M72="")</formula>
    </cfRule>
  </conditionalFormatting>
  <conditionalFormatting sqref="M75:R75">
    <cfRule type="expression" dxfId="1069" priority="34">
      <formula>OR(M$22=0,M72="")</formula>
    </cfRule>
  </conditionalFormatting>
  <conditionalFormatting sqref="M82:R82">
    <cfRule type="expression" dxfId="1068" priority="84">
      <formula>M$22=0</formula>
    </cfRule>
  </conditionalFormatting>
  <conditionalFormatting sqref="M84:R84">
    <cfRule type="expression" dxfId="1067" priority="33">
      <formula>OR(M$22=0,M82="")</formula>
    </cfRule>
  </conditionalFormatting>
  <conditionalFormatting sqref="M85:R85">
    <cfRule type="expression" dxfId="1066" priority="32">
      <formula>OR(M$22=0,M82="")</formula>
    </cfRule>
  </conditionalFormatting>
  <conditionalFormatting sqref="M97:R97">
    <cfRule type="expression" dxfId="1065" priority="77">
      <formula>M$18=0</formula>
    </cfRule>
  </conditionalFormatting>
  <conditionalFormatting sqref="M99:R99">
    <cfRule type="expression" dxfId="1064" priority="31">
      <formula>OR(M$22=0,M97="")</formula>
    </cfRule>
  </conditionalFormatting>
  <conditionalFormatting sqref="M100:R100">
    <cfRule type="expression" dxfId="1063" priority="30">
      <formula>OR(M$22=0,M97="")</formula>
    </cfRule>
  </conditionalFormatting>
  <conditionalFormatting sqref="M112:R112">
    <cfRule type="expression" dxfId="1062" priority="74">
      <formula>M$19=0</formula>
    </cfRule>
  </conditionalFormatting>
  <conditionalFormatting sqref="M114:R114">
    <cfRule type="expression" dxfId="1061" priority="29">
      <formula>OR(M$22=0,M112="")</formula>
    </cfRule>
  </conditionalFormatting>
  <conditionalFormatting sqref="M115:R115">
    <cfRule type="expression" dxfId="1060" priority="28">
      <formula>OR(M$22=0,M112="")</formula>
    </cfRule>
  </conditionalFormatting>
  <conditionalFormatting sqref="M127:R127">
    <cfRule type="expression" dxfId="1059" priority="71">
      <formula>M$20=0</formula>
    </cfRule>
  </conditionalFormatting>
  <conditionalFormatting sqref="M129:R129">
    <cfRule type="expression" dxfId="1058" priority="27">
      <formula>OR(M$22=0,M127="")</formula>
    </cfRule>
  </conditionalFormatting>
  <conditionalFormatting sqref="M130:R130">
    <cfRule type="expression" dxfId="1057" priority="26">
      <formula>OR(M$22=0,M127="")</formula>
    </cfRule>
  </conditionalFormatting>
  <conditionalFormatting sqref="M142:R142">
    <cfRule type="expression" dxfId="1056" priority="68">
      <formula>M$21=0</formula>
    </cfRule>
  </conditionalFormatting>
  <conditionalFormatting sqref="M144:R144">
    <cfRule type="expression" dxfId="1055" priority="25">
      <formula>OR(M$22=0,M142="")</formula>
    </cfRule>
  </conditionalFormatting>
  <conditionalFormatting sqref="M145:R145">
    <cfRule type="expression" dxfId="1054" priority="24">
      <formula>OR(M$22=0,M142="")</formula>
    </cfRule>
  </conditionalFormatting>
  <conditionalFormatting sqref="M152:R152">
    <cfRule type="expression" dxfId="1053" priority="88">
      <formula>M$22=0</formula>
    </cfRule>
  </conditionalFormatting>
  <conditionalFormatting sqref="M154:R154">
    <cfRule type="expression" dxfId="1052" priority="23">
      <formula>OR(M$22=0,M152="")</formula>
    </cfRule>
  </conditionalFormatting>
  <conditionalFormatting sqref="M155:R155">
    <cfRule type="expression" dxfId="1051" priority="22">
      <formula>OR(M$22=0,M152="")</formula>
    </cfRule>
  </conditionalFormatting>
  <conditionalFormatting sqref="M167:R167">
    <cfRule type="expression" dxfId="1050" priority="65">
      <formula>M$18=0</formula>
    </cfRule>
  </conditionalFormatting>
  <conditionalFormatting sqref="M169:R169">
    <cfRule type="expression" dxfId="1049" priority="21">
      <formula>OR(M$22=0,M167="")</formula>
    </cfRule>
  </conditionalFormatting>
  <conditionalFormatting sqref="M170:R170">
    <cfRule type="expression" dxfId="1048" priority="20">
      <formula>OR(M$22=0,M167="")</formula>
    </cfRule>
  </conditionalFormatting>
  <conditionalFormatting sqref="M182:R182">
    <cfRule type="expression" dxfId="1047" priority="62">
      <formula>M$19=0</formula>
    </cfRule>
  </conditionalFormatting>
  <conditionalFormatting sqref="M184:R184">
    <cfRule type="expression" dxfId="1046" priority="19">
      <formula>OR(M$22=0,M182="")</formula>
    </cfRule>
  </conditionalFormatting>
  <conditionalFormatting sqref="M185:R185">
    <cfRule type="expression" dxfId="1045" priority="18">
      <formula>OR(M$22=0,M182="")</formula>
    </cfRule>
  </conditionalFormatting>
  <conditionalFormatting sqref="M197:R197">
    <cfRule type="expression" dxfId="1044" priority="59">
      <formula>M$20=0</formula>
    </cfRule>
  </conditionalFormatting>
  <conditionalFormatting sqref="M199:R199">
    <cfRule type="expression" dxfId="1043" priority="17">
      <formula>OR(M$22=0,M197="")</formula>
    </cfRule>
  </conditionalFormatting>
  <conditionalFormatting sqref="M200:R200">
    <cfRule type="expression" dxfId="1042" priority="16">
      <formula>OR(M$22=0,M197="")</formula>
    </cfRule>
  </conditionalFormatting>
  <conditionalFormatting sqref="M202:R202">
    <cfRule type="expression" dxfId="1041" priority="51">
      <formula>M$22=0</formula>
    </cfRule>
  </conditionalFormatting>
  <conditionalFormatting sqref="M212:R212">
    <cfRule type="expression" dxfId="1040" priority="56">
      <formula>M$21=0</formula>
    </cfRule>
  </conditionalFormatting>
  <conditionalFormatting sqref="M214:R214">
    <cfRule type="expression" dxfId="1039" priority="15">
      <formula>OR(M$22=0,M212="")</formula>
    </cfRule>
  </conditionalFormatting>
  <conditionalFormatting sqref="M215:R215">
    <cfRule type="expression" dxfId="1038" priority="14">
      <formula>OR(M$22=0,M212="")</formula>
    </cfRule>
  </conditionalFormatting>
  <conditionalFormatting sqref="M235:R235">
    <cfRule type="expression" dxfId="1037" priority="50">
      <formula>M$22=0</formula>
    </cfRule>
  </conditionalFormatting>
  <conditionalFormatting sqref="M243:R243">
    <cfRule type="expression" dxfId="1036" priority="49">
      <formula>M$22=0</formula>
    </cfRule>
  </conditionalFormatting>
  <conditionalFormatting sqref="AA45:AI46 AM45:AU46 AY45:BG46">
    <cfRule type="expression" dxfId="1035" priority="2">
      <formula>OR(AA$19="",AA$24=0)</formula>
    </cfRule>
  </conditionalFormatting>
  <conditionalFormatting sqref="AA46:AI46 AM46:AU46 AY46:BG46">
    <cfRule type="expression" dxfId="1034" priority="3">
      <formula>AND(AA$19&lt;&gt;"",AA$24&gt;0,AA46&lt;&gt;"",ISERROR(MATCH(AA46,isolatiepakketten_gebouwschil_namen,0))=TRUE)</formula>
    </cfRule>
  </conditionalFormatting>
  <dataValidations count="7">
    <dataValidation type="textLength" errorStyle="warning" allowBlank="1" showInputMessage="1" showErrorMessage="1" errorTitle="Maximaal 30 karakters" error="Maximaal 30 karakters" sqref="F4 E3" xr:uid="{00000000-0002-0000-0900-000000000000}">
      <formula1>0</formula1>
      <formula2>30</formula2>
    </dataValidation>
    <dataValidation type="textLength" allowBlank="1" showInputMessage="1" showErrorMessage="1" errorTitle="Maximaal 65 karakters" error="Maximaal 65 karakters" sqref="F6" xr:uid="{00000000-0002-0000-0900-000001000000}">
      <formula1>0</formula1>
      <formula2>65</formula2>
    </dataValidation>
    <dataValidation allowBlank="1" showInputMessage="1" showErrorMessage="1" promptTitle="Gegevensfilter (links)" prompt="Het pijltje links geeft toegang tot het gegevensfilter, waarmee informatie zichtbaar/onzichtbaar gemaakt kan worden." sqref="D8" xr:uid="{00000000-0002-0000-0900-000002000000}"/>
    <dataValidation allowBlank="1" showInputMessage="1" showErrorMessage="1" promptTitle="Variant als referentie" prompt="In een deel van de resultaattabellen worden rekenresultaten vergeleken met de uitkomsten van de referentie._x000a__x000a_Hier kan worden aangegeven welke variant als referentie wordt gebruikt." sqref="D5" xr:uid="{995A1EFA-29D1-48E0-8869-7C56F160CE2C}"/>
    <dataValidation type="list" allowBlank="1" showInputMessage="1" showErrorMessage="1" sqref="F5" xr:uid="{1035C938-A7A3-459C-9239-438A32BB37BA}">
      <formula1>$M$8:$R$8</formula1>
    </dataValidation>
    <dataValidation allowBlank="1" showInputMessage="1" showErrorMessage="1" promptTitle="Energiepakket / energiebehoefte" sqref="X45:BG45" xr:uid="{9AB8A177-EA8F-4336-B185-7BCE83419705}"/>
    <dataValidation type="list" allowBlank="1" showInputMessage="1" showErrorMessage="1" promptTitle="Energiepakket / energiebehoefte" sqref="AY46:BG46 AA46:AI46 AM46:AU46" xr:uid="{50F3C6AD-EDC4-481A-9038-4BE381B8F08C}">
      <formula1>isolatiepakketten_gebouwschil_namen</formula1>
    </dataValidation>
  </dataValidations>
  <printOptions horizontalCentered="1" verticalCentered="1"/>
  <pageMargins left="0.39370078740157483" right="0.39370078740157483" top="0.39370078740157483" bottom="0.59055118110236227" header="0.19685039370078741" footer="0.39370078740157483"/>
  <pageSetup paperSize="9" scale="54" orientation="portrait" horizontalDpi="4294967293" verticalDpi="4294967293" r:id="rId1"/>
  <headerFooter alignWithMargins="0"/>
  <ignoredErrors>
    <ignoredError sqref="N154:R154" evalError="1"/>
  </ignoredError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3" filterMode="1">
    <tabColor theme="6" tint="-0.499984740745262"/>
    <pageSetUpPr fitToPage="1"/>
  </sheetPr>
  <dimension ref="A1:EC551"/>
  <sheetViews>
    <sheetView showGridLines="0" showRowColHeaders="0" zoomScaleNormal="100" workbookViewId="0">
      <pane xSplit="8" ySplit="9" topLeftCell="I10" activePane="bottomRight" state="frozen"/>
      <selection pane="topRight" activeCell="I1" sqref="I1"/>
      <selection pane="bottomLeft" activeCell="A10" sqref="A10"/>
      <selection pane="bottomRight" activeCell="F5" sqref="F5:G5"/>
    </sheetView>
  </sheetViews>
  <sheetFormatPr defaultRowHeight="14.25" x14ac:dyDescent="0.2"/>
  <cols>
    <col min="1" max="1" width="0.5703125" style="233" customWidth="1"/>
    <col min="2" max="3" width="2.7109375" style="598" customWidth="1"/>
    <col min="4" max="4" width="2.7109375" style="868" customWidth="1"/>
    <col min="5" max="6" width="31.42578125" customWidth="1"/>
    <col min="7" max="7" width="21" customWidth="1"/>
    <col min="8" max="8" width="0.5703125" customWidth="1"/>
    <col min="9" max="24" width="12.7109375" customWidth="1"/>
    <col min="25" max="25" width="12.7109375" style="60" customWidth="1"/>
    <col min="26" max="39" width="12.7109375" customWidth="1"/>
    <col min="40" max="44" width="13.7109375" customWidth="1"/>
    <col min="45" max="45" width="13.7109375" style="274" customWidth="1"/>
    <col min="46" max="102" width="13.7109375" customWidth="1"/>
  </cols>
  <sheetData>
    <row r="1" spans="1:133" s="832" customFormat="1" ht="21" x14ac:dyDescent="0.2">
      <c r="A1" s="826"/>
      <c r="B1" s="826"/>
      <c r="C1" s="826"/>
      <c r="D1" s="826"/>
      <c r="E1" s="829" t="str">
        <f>disclaimer!$E$7&amp;" - "&amp;"versie "&amp;TEXT(disclaimer!$E$8,"d mmm jjjj")</f>
        <v>Uniforme Maatlat Gebouwde Omgeving 5.04 - versie 5 apr 2023</v>
      </c>
      <c r="F1" s="830"/>
      <c r="G1" s="830"/>
      <c r="H1" s="829"/>
      <c r="I1" s="830"/>
      <c r="J1" s="828"/>
      <c r="K1" s="831"/>
      <c r="L1" s="831"/>
      <c r="M1" s="831"/>
      <c r="N1" s="831"/>
      <c r="O1" s="835"/>
      <c r="P1" s="831"/>
      <c r="Q1" s="831"/>
      <c r="R1" s="831"/>
      <c r="S1" s="831"/>
      <c r="T1" s="831"/>
      <c r="U1" s="831"/>
      <c r="V1" s="831"/>
      <c r="W1" s="831"/>
      <c r="X1" s="831"/>
      <c r="Y1" s="831"/>
      <c r="Z1" s="831"/>
      <c r="AA1" s="835"/>
      <c r="AB1" s="831"/>
      <c r="AC1" s="831"/>
      <c r="AD1" s="831"/>
      <c r="AE1" s="831"/>
      <c r="AF1" s="831"/>
      <c r="AG1" s="831"/>
      <c r="AH1" s="831"/>
      <c r="AI1" s="831"/>
      <c r="AJ1" s="831"/>
      <c r="AK1" s="831"/>
      <c r="AL1" s="831"/>
      <c r="AM1" s="835"/>
      <c r="AN1" s="831"/>
      <c r="AO1" s="831"/>
      <c r="AP1" s="831"/>
      <c r="AQ1" s="831"/>
      <c r="AR1" s="831"/>
      <c r="AS1" s="831"/>
      <c r="AT1" s="831"/>
      <c r="AU1" s="831"/>
      <c r="AV1" s="831"/>
      <c r="AW1" s="831"/>
      <c r="AX1" s="831"/>
      <c r="AY1" s="831"/>
      <c r="AZ1" s="831"/>
      <c r="BA1" s="831"/>
      <c r="BB1" s="831"/>
      <c r="BC1" s="831"/>
      <c r="BD1" s="831"/>
      <c r="BE1" s="831"/>
      <c r="BF1" s="831"/>
      <c r="BG1" s="831"/>
      <c r="BH1" s="831"/>
    </row>
    <row r="2" spans="1:133" ht="23.25" x14ac:dyDescent="0.2">
      <c r="E2" s="59" t="s">
        <v>420</v>
      </c>
      <c r="F2" s="2"/>
      <c r="G2" s="2"/>
      <c r="H2" s="4"/>
      <c r="I2" s="693"/>
      <c r="J2" s="11"/>
      <c r="K2" s="11"/>
      <c r="L2" s="12"/>
      <c r="M2" s="16"/>
      <c r="N2" s="16"/>
      <c r="O2" s="16"/>
      <c r="P2" s="16"/>
      <c r="Q2" s="16"/>
      <c r="R2" s="5"/>
      <c r="S2" s="5"/>
      <c r="T2" s="16"/>
      <c r="U2" s="16"/>
      <c r="V2" s="16"/>
      <c r="W2" s="16"/>
      <c r="X2" s="16"/>
      <c r="Y2" s="20"/>
      <c r="Z2" s="19"/>
      <c r="AA2" s="5"/>
      <c r="AB2" s="5"/>
      <c r="AC2" s="5"/>
      <c r="AD2" s="5"/>
      <c r="AE2" s="5"/>
      <c r="AF2" s="5"/>
      <c r="AG2" s="5"/>
      <c r="AH2" s="5"/>
      <c r="AI2" s="5"/>
      <c r="AJ2" s="5"/>
      <c r="AK2" s="5"/>
      <c r="AL2" s="5"/>
      <c r="AM2" s="5"/>
      <c r="AN2" s="5"/>
      <c r="AO2" s="5"/>
      <c r="AP2" s="5"/>
      <c r="AQ2" s="5"/>
      <c r="AR2" s="5"/>
      <c r="AS2" s="22"/>
    </row>
    <row r="3" spans="1:133" ht="15.75" customHeight="1" x14ac:dyDescent="0.2">
      <c r="A3" s="863"/>
      <c r="B3" s="599"/>
      <c r="C3" s="599"/>
      <c r="E3" s="858" t="s">
        <v>52</v>
      </c>
      <c r="F3" s="1085" t="str">
        <f>IF('woningen|utiliteit'!$F$3="","",'woningen|utiliteit'!$F$3)</f>
        <v/>
      </c>
      <c r="G3" s="1086"/>
      <c r="H3" s="5"/>
      <c r="I3" s="5"/>
      <c r="J3" s="5"/>
      <c r="K3" s="5"/>
      <c r="L3" s="16"/>
      <c r="M3" s="5"/>
      <c r="N3" s="16"/>
      <c r="O3" s="16"/>
      <c r="P3" s="16"/>
      <c r="Q3" s="16"/>
      <c r="R3" s="16"/>
      <c r="S3" s="16"/>
      <c r="T3" s="16"/>
      <c r="U3" s="16"/>
      <c r="V3" s="5"/>
      <c r="W3" s="16"/>
      <c r="X3" s="16"/>
      <c r="Y3" s="20"/>
      <c r="Z3" s="16"/>
      <c r="AA3" s="16"/>
      <c r="AB3" s="16"/>
      <c r="AC3" s="16"/>
      <c r="AD3" s="16"/>
      <c r="AE3" s="5"/>
      <c r="AS3" s="60"/>
    </row>
    <row r="4" spans="1:133" ht="15.75" customHeight="1" x14ac:dyDescent="0.2">
      <c r="A4" s="863"/>
      <c r="B4" s="1087" t="s">
        <v>53</v>
      </c>
      <c r="C4" s="643"/>
      <c r="E4" s="859" t="s">
        <v>54</v>
      </c>
      <c r="F4" s="1081" t="str">
        <f>IF('woningen|utiliteit'!$F$4="","",'woningen|utiliteit'!$F$4)</f>
        <v/>
      </c>
      <c r="G4" s="1082"/>
      <c r="H4" s="4"/>
      <c r="I4" s="4"/>
      <c r="J4" s="10"/>
      <c r="K4" s="7"/>
      <c r="L4" s="9"/>
      <c r="M4" s="4"/>
      <c r="N4" s="9"/>
      <c r="O4" s="9"/>
      <c r="P4" s="16"/>
      <c r="Q4" s="9"/>
      <c r="R4" s="9"/>
      <c r="S4" s="9"/>
      <c r="T4" s="9"/>
      <c r="U4" s="9"/>
      <c r="V4" s="4"/>
      <c r="W4" s="9"/>
      <c r="X4" s="9"/>
      <c r="Y4" s="8"/>
      <c r="Z4" s="9"/>
      <c r="AA4" s="9"/>
      <c r="AB4" s="9"/>
      <c r="AC4" s="9"/>
      <c r="AD4" s="9"/>
      <c r="AE4" s="4"/>
      <c r="AF4" s="4"/>
      <c r="AG4" s="4"/>
      <c r="AH4" s="4"/>
      <c r="AI4" s="4"/>
      <c r="AJ4" s="4"/>
      <c r="AK4" s="4"/>
      <c r="AL4" s="4"/>
      <c r="AM4" s="4"/>
      <c r="AN4" s="4"/>
      <c r="AO4" s="4"/>
      <c r="AP4" s="4"/>
      <c r="AQ4" s="4"/>
      <c r="AR4" s="4"/>
      <c r="AS4" s="22"/>
    </row>
    <row r="5" spans="1:133" ht="15.75" customHeight="1" x14ac:dyDescent="0.2">
      <c r="A5" s="863"/>
      <c r="B5" s="1087"/>
      <c r="C5" s="643"/>
      <c r="E5" s="861" t="s">
        <v>55</v>
      </c>
      <c r="F5" s="1083"/>
      <c r="G5" s="1084"/>
      <c r="H5" s="4"/>
      <c r="I5" s="4"/>
      <c r="J5" s="4"/>
      <c r="K5" s="4"/>
      <c r="L5" s="9"/>
      <c r="M5" s="9"/>
      <c r="N5" s="9"/>
      <c r="O5" s="9"/>
      <c r="P5" s="16"/>
      <c r="Q5" s="9"/>
      <c r="R5" s="9"/>
      <c r="S5" s="9"/>
      <c r="T5" s="9"/>
      <c r="U5" s="9"/>
      <c r="V5" s="4"/>
      <c r="W5" s="9"/>
      <c r="X5" s="9"/>
      <c r="Y5" s="8"/>
      <c r="Z5" s="9"/>
      <c r="AA5" s="9"/>
      <c r="AB5" s="9"/>
      <c r="AC5" s="9"/>
      <c r="AD5" s="9"/>
      <c r="AE5" s="4"/>
      <c r="AF5" s="4"/>
      <c r="AG5" s="4"/>
      <c r="AH5" s="4"/>
      <c r="AI5" s="4"/>
      <c r="AJ5" s="4"/>
      <c r="AK5" s="4"/>
      <c r="AL5" s="4"/>
      <c r="AM5" s="4"/>
      <c r="AN5" s="4"/>
      <c r="AO5" s="4"/>
      <c r="AP5" s="4"/>
      <c r="AQ5" s="4"/>
      <c r="AR5" s="4"/>
      <c r="AS5" s="22"/>
    </row>
    <row r="6" spans="1:133" s="1007" customFormat="1" ht="15.75" x14ac:dyDescent="0.2">
      <c r="A6" s="1009"/>
      <c r="B6" s="1087"/>
      <c r="C6" s="1008"/>
      <c r="D6" s="1003"/>
      <c r="E6" s="1005"/>
      <c r="F6" s="1005"/>
      <c r="G6" s="1005"/>
      <c r="H6" s="1005"/>
      <c r="I6" s="1006"/>
      <c r="J6" s="1006"/>
      <c r="K6" s="1006"/>
      <c r="L6" s="1005"/>
      <c r="M6" s="1005"/>
      <c r="N6" s="1005"/>
      <c r="O6" s="1005"/>
      <c r="P6" s="1005"/>
      <c r="Q6" s="1005"/>
      <c r="R6" s="1005"/>
      <c r="S6" s="1008"/>
      <c r="T6" s="1008"/>
    </row>
    <row r="7" spans="1:133" s="1007" customFormat="1" ht="15.75" x14ac:dyDescent="0.2">
      <c r="A7" s="1009"/>
      <c r="B7" s="1087"/>
      <c r="C7" s="1010"/>
      <c r="D7" s="1003"/>
      <c r="E7" s="1008"/>
      <c r="F7" s="1005"/>
      <c r="G7" s="1005"/>
      <c r="H7" s="1005"/>
      <c r="I7" s="1005"/>
      <c r="J7" s="1006"/>
      <c r="K7" s="1006"/>
      <c r="L7" s="1006"/>
      <c r="M7" s="1005"/>
      <c r="N7" s="1005"/>
      <c r="O7" s="1005"/>
      <c r="P7" s="1005"/>
      <c r="Q7" s="1005"/>
      <c r="R7" s="1005"/>
      <c r="S7" s="1005"/>
      <c r="T7" s="1008"/>
      <c r="U7" s="1008"/>
    </row>
    <row r="8" spans="1:133" ht="19.5" x14ac:dyDescent="0.2">
      <c r="A8" s="668"/>
      <c r="B8" s="379"/>
      <c r="C8" s="612"/>
      <c r="D8" s="748" t="s">
        <v>50</v>
      </c>
      <c r="E8" s="652"/>
      <c r="F8" s="33"/>
      <c r="G8" s="33"/>
      <c r="H8" s="33"/>
      <c r="I8" s="1058"/>
      <c r="J8" s="1058"/>
      <c r="K8" s="1058"/>
      <c r="L8" s="1058"/>
      <c r="M8" s="1058"/>
      <c r="N8" s="1058"/>
      <c r="O8" s="1058"/>
      <c r="P8" s="1058"/>
      <c r="Q8" s="1058"/>
      <c r="R8" s="1058"/>
      <c r="S8" s="1058"/>
      <c r="T8" s="1058"/>
      <c r="U8" s="1058"/>
      <c r="V8" s="1058"/>
      <c r="W8" s="1058"/>
      <c r="X8" s="1058"/>
      <c r="Y8" s="1058"/>
      <c r="Z8" s="1058"/>
      <c r="AA8" s="1058"/>
      <c r="AB8" s="1058"/>
      <c r="AC8" s="1058"/>
      <c r="AD8" s="1058"/>
      <c r="AE8" s="1058"/>
      <c r="AF8" s="1058"/>
      <c r="AG8" s="1058"/>
      <c r="AH8" s="1058"/>
      <c r="AI8" s="1058"/>
      <c r="AJ8" s="1058"/>
      <c r="AK8" s="1058"/>
      <c r="AL8" s="1058"/>
      <c r="AM8" s="1058"/>
      <c r="AN8" s="1058"/>
      <c r="AO8" s="1058"/>
      <c r="AP8" s="1058"/>
      <c r="AQ8" s="1058"/>
      <c r="AR8" s="1058"/>
      <c r="AS8" s="1058"/>
      <c r="AT8" s="1058"/>
      <c r="AU8" s="1058"/>
      <c r="AV8" s="1058"/>
      <c r="AW8" s="1058"/>
      <c r="AX8" s="1058"/>
      <c r="AY8" s="1058"/>
      <c r="AZ8" s="1058"/>
      <c r="BA8" s="1058"/>
      <c r="BB8" s="1058"/>
      <c r="BC8" s="1058"/>
      <c r="BD8" s="1058"/>
      <c r="BE8" s="1058"/>
      <c r="BF8" s="1058"/>
      <c r="BG8" s="1058"/>
      <c r="BH8" s="1058"/>
      <c r="BI8" s="1058"/>
      <c r="BJ8" s="1058"/>
      <c r="BK8" s="1058"/>
      <c r="BL8" s="1058"/>
      <c r="BM8" s="1058"/>
      <c r="BN8" s="1058"/>
      <c r="BO8" s="1058"/>
      <c r="BP8" s="1058"/>
      <c r="BQ8" s="1058"/>
      <c r="BR8" s="1058"/>
      <c r="BS8" s="1058"/>
      <c r="BT8" s="1058"/>
      <c r="BU8" s="1058"/>
      <c r="BV8" s="1058"/>
      <c r="BW8" s="1058"/>
      <c r="BX8" s="1058"/>
      <c r="BY8" s="1058"/>
      <c r="BZ8" s="1058"/>
      <c r="CA8" s="1058"/>
      <c r="CB8" s="1058"/>
      <c r="CC8" s="1058"/>
      <c r="CD8" s="1058"/>
      <c r="CE8" s="1058"/>
      <c r="CF8" s="1058"/>
      <c r="CG8" s="1058"/>
      <c r="CH8" s="1058"/>
      <c r="CI8" s="1058"/>
      <c r="CJ8" s="1058"/>
      <c r="CK8" s="1058"/>
      <c r="CL8" s="1058"/>
      <c r="CM8" s="1058"/>
      <c r="CN8" s="1058"/>
      <c r="CO8" s="1058"/>
      <c r="CP8" s="1058"/>
      <c r="CQ8" s="1058"/>
      <c r="CR8" s="1058"/>
      <c r="CS8" s="1058"/>
      <c r="CT8" s="1058"/>
      <c r="CU8" s="1058"/>
      <c r="CV8" s="1058"/>
      <c r="CW8" s="1058"/>
      <c r="CX8" s="1058"/>
      <c r="CY8" s="1058"/>
      <c r="CZ8" s="1058"/>
      <c r="DA8" s="1058"/>
      <c r="DB8" s="1058"/>
      <c r="DC8" s="1058"/>
      <c r="DD8" s="1058"/>
      <c r="DE8" s="1058"/>
      <c r="DF8" s="1058"/>
      <c r="DG8" s="1058"/>
      <c r="DH8" s="1058"/>
      <c r="DI8" s="1058"/>
      <c r="DJ8" s="1058"/>
      <c r="DK8" s="1058"/>
      <c r="DL8" s="1058"/>
      <c r="DM8" s="1058"/>
      <c r="DN8" s="1058"/>
      <c r="DO8" s="1058"/>
      <c r="DP8" s="1058"/>
      <c r="DQ8" s="1058"/>
      <c r="DR8" s="1058"/>
      <c r="DS8" s="1058"/>
      <c r="DT8" s="1058"/>
    </row>
    <row r="9" spans="1:133" s="682" customFormat="1" ht="5.25" hidden="1" x14ac:dyDescent="0.2">
      <c r="A9" s="862"/>
      <c r="B9" s="678"/>
      <c r="C9" s="679"/>
      <c r="D9" s="1011"/>
      <c r="E9" s="680"/>
      <c r="F9" s="680"/>
      <c r="G9" s="680"/>
      <c r="H9" s="680"/>
      <c r="I9" s="681"/>
      <c r="J9" s="681"/>
      <c r="K9" s="681"/>
      <c r="L9" s="680"/>
      <c r="M9" s="680"/>
      <c r="N9" s="680"/>
      <c r="O9" s="680"/>
      <c r="P9" s="680"/>
      <c r="Q9" s="680"/>
      <c r="R9" s="680"/>
      <c r="S9" s="679"/>
      <c r="T9" s="679"/>
    </row>
    <row r="10" spans="1:133" ht="21" x14ac:dyDescent="0.2">
      <c r="B10" s="1036" t="s">
        <v>421</v>
      </c>
      <c r="C10" s="727"/>
      <c r="D10" s="1012"/>
      <c r="E10" s="493" t="s">
        <v>421</v>
      </c>
      <c r="F10" s="493"/>
      <c r="G10" s="493"/>
      <c r="H10" s="493"/>
      <c r="I10" s="493"/>
      <c r="J10" s="493"/>
      <c r="K10" s="493"/>
      <c r="L10" s="493"/>
      <c r="M10" s="493"/>
      <c r="N10" s="493"/>
      <c r="O10" s="493"/>
      <c r="P10" s="493"/>
      <c r="Q10" s="493"/>
      <c r="R10" s="493"/>
      <c r="S10" s="493"/>
      <c r="T10" s="493"/>
      <c r="U10" s="493"/>
      <c r="V10" s="493"/>
      <c r="W10" s="493"/>
      <c r="X10" s="493"/>
      <c r="Y10" s="493"/>
      <c r="Z10" s="493"/>
      <c r="AA10" s="493"/>
      <c r="AB10" s="493"/>
      <c r="AC10" s="493"/>
      <c r="AD10" s="493"/>
      <c r="AE10" s="493"/>
      <c r="AF10" s="493"/>
      <c r="AG10" s="493"/>
      <c r="AH10" s="493"/>
      <c r="AI10" s="493"/>
      <c r="AJ10" s="493"/>
      <c r="AK10" s="493"/>
      <c r="AL10" s="493"/>
      <c r="AM10" s="493"/>
      <c r="AN10" s="493"/>
      <c r="AO10" s="493"/>
      <c r="AP10" s="493"/>
      <c r="AQ10" s="493"/>
      <c r="AR10" s="493"/>
      <c r="AS10" s="493"/>
      <c r="AT10" s="493"/>
      <c r="AU10" s="493"/>
      <c r="AV10" s="493"/>
      <c r="AW10" s="493"/>
      <c r="AX10" s="493"/>
      <c r="AY10" s="493"/>
      <c r="AZ10" s="493"/>
      <c r="BA10" s="493"/>
      <c r="BB10" s="493"/>
      <c r="BC10" s="493"/>
      <c r="BD10" s="493"/>
      <c r="BE10" s="493"/>
      <c r="BF10" s="493"/>
      <c r="BG10" s="493"/>
      <c r="BH10" s="493"/>
      <c r="BI10" s="493"/>
      <c r="BJ10" s="493"/>
      <c r="BK10" s="493"/>
      <c r="BL10" s="493"/>
      <c r="BM10" s="493"/>
      <c r="BN10" s="493"/>
      <c r="BO10" s="493"/>
      <c r="BP10" s="493"/>
      <c r="BQ10" s="493"/>
      <c r="BR10" s="493"/>
      <c r="BS10" s="493"/>
      <c r="BT10" s="493"/>
      <c r="BU10" s="493"/>
      <c r="BV10" s="493"/>
      <c r="BW10" s="493"/>
      <c r="BX10" s="493"/>
      <c r="BY10" s="493"/>
      <c r="BZ10" s="493"/>
      <c r="CA10" s="493"/>
      <c r="CB10" s="493"/>
      <c r="CC10" s="493"/>
      <c r="CD10" s="493"/>
      <c r="CE10" s="493"/>
      <c r="CF10" s="493"/>
      <c r="CG10" s="493"/>
      <c r="CH10" s="493"/>
      <c r="CI10" s="493"/>
      <c r="CJ10" s="493"/>
      <c r="CK10" s="493"/>
      <c r="CL10" s="493"/>
      <c r="CM10" s="493"/>
      <c r="CN10" s="493"/>
      <c r="CO10" s="493"/>
      <c r="CP10" s="493"/>
      <c r="CQ10" s="493"/>
      <c r="CR10" s="493"/>
      <c r="CS10" s="493"/>
      <c r="CT10" s="493"/>
      <c r="CU10" s="493"/>
      <c r="CV10" s="493"/>
      <c r="CW10" s="493"/>
      <c r="CX10" s="493"/>
      <c r="CY10" s="493"/>
      <c r="CZ10" s="493"/>
      <c r="DA10" s="493"/>
      <c r="DB10" s="493"/>
      <c r="DC10" s="493"/>
      <c r="DD10" s="493"/>
      <c r="DE10" s="493"/>
      <c r="DF10" s="493"/>
      <c r="DG10" s="493"/>
      <c r="DH10" s="493"/>
      <c r="DI10" s="493"/>
      <c r="DJ10" s="493"/>
      <c r="DK10" s="493"/>
      <c r="DL10" s="493"/>
      <c r="DM10" s="493"/>
      <c r="DN10" s="493"/>
      <c r="DO10" s="493"/>
      <c r="DP10" s="493"/>
      <c r="DQ10" s="493"/>
      <c r="DR10" s="493"/>
      <c r="DS10" s="493"/>
      <c r="DT10" s="493"/>
      <c r="DU10" s="493"/>
      <c r="DV10" s="493"/>
      <c r="DW10" s="493"/>
      <c r="DX10" s="493"/>
      <c r="DY10" s="493"/>
      <c r="DZ10" s="493"/>
      <c r="EA10" s="493"/>
      <c r="EB10" s="493"/>
      <c r="EC10" s="493"/>
    </row>
    <row r="11" spans="1:133" x14ac:dyDescent="0.2">
      <c r="B11" s="1036" t="s">
        <v>421</v>
      </c>
      <c r="C11" s="727"/>
      <c r="D11" s="1013"/>
      <c r="E11" s="611" t="s">
        <v>422</v>
      </c>
      <c r="F11" s="440"/>
      <c r="G11" s="611" t="s">
        <v>423</v>
      </c>
      <c r="H11" s="440"/>
      <c r="I11" s="440">
        <f t="shared" ref="I11:EB11" ca="1" si="0">OFFSET(I11,0,-1)+1</f>
        <v>1</v>
      </c>
      <c r="J11" s="440">
        <f t="shared" ca="1" si="0"/>
        <v>2</v>
      </c>
      <c r="K11" s="440">
        <f t="shared" ca="1" si="0"/>
        <v>3</v>
      </c>
      <c r="L11" s="440">
        <f t="shared" ca="1" si="0"/>
        <v>4</v>
      </c>
      <c r="M11" s="440">
        <f t="shared" ca="1" si="0"/>
        <v>5</v>
      </c>
      <c r="N11" s="440">
        <f t="shared" ca="1" si="0"/>
        <v>6</v>
      </c>
      <c r="O11" s="440">
        <f t="shared" ca="1" si="0"/>
        <v>7</v>
      </c>
      <c r="P11" s="440">
        <f t="shared" ca="1" si="0"/>
        <v>8</v>
      </c>
      <c r="Q11" s="440">
        <f t="shared" ca="1" si="0"/>
        <v>9</v>
      </c>
      <c r="R11" s="440">
        <f t="shared" ca="1" si="0"/>
        <v>10</v>
      </c>
      <c r="S11" s="440">
        <f t="shared" ca="1" si="0"/>
        <v>11</v>
      </c>
      <c r="T11" s="440">
        <f t="shared" ca="1" si="0"/>
        <v>12</v>
      </c>
      <c r="U11" s="440">
        <f t="shared" ca="1" si="0"/>
        <v>13</v>
      </c>
      <c r="V11" s="440">
        <f t="shared" ca="1" si="0"/>
        <v>14</v>
      </c>
      <c r="W11" s="440">
        <f t="shared" ca="1" si="0"/>
        <v>15</v>
      </c>
      <c r="X11" s="440">
        <f t="shared" ca="1" si="0"/>
        <v>16</v>
      </c>
      <c r="Y11" s="440">
        <f t="shared" ca="1" si="0"/>
        <v>17</v>
      </c>
      <c r="Z11" s="440">
        <f t="shared" ca="1" si="0"/>
        <v>18</v>
      </c>
      <c r="AA11" s="440">
        <f t="shared" ca="1" si="0"/>
        <v>19</v>
      </c>
      <c r="AB11" s="440">
        <f t="shared" ca="1" si="0"/>
        <v>20</v>
      </c>
      <c r="AC11" s="440">
        <f t="shared" ca="1" si="0"/>
        <v>21</v>
      </c>
      <c r="AD11" s="440">
        <f t="shared" ca="1" si="0"/>
        <v>22</v>
      </c>
      <c r="AE11" s="440">
        <f t="shared" ca="1" si="0"/>
        <v>23</v>
      </c>
      <c r="AF11" s="440">
        <f t="shared" ca="1" si="0"/>
        <v>24</v>
      </c>
      <c r="AG11" s="440">
        <f t="shared" ca="1" si="0"/>
        <v>25</v>
      </c>
      <c r="AH11" s="440">
        <f t="shared" ca="1" si="0"/>
        <v>26</v>
      </c>
      <c r="AI11" s="440">
        <f t="shared" ca="1" si="0"/>
        <v>27</v>
      </c>
      <c r="AJ11" s="440">
        <f t="shared" ca="1" si="0"/>
        <v>28</v>
      </c>
      <c r="AK11" s="440">
        <f t="shared" ca="1" si="0"/>
        <v>29</v>
      </c>
      <c r="AL11" s="440">
        <f t="shared" ca="1" si="0"/>
        <v>30</v>
      </c>
      <c r="AM11" s="440">
        <f t="shared" ca="1" si="0"/>
        <v>31</v>
      </c>
      <c r="AN11" s="440">
        <f t="shared" ca="1" si="0"/>
        <v>32</v>
      </c>
      <c r="AO11" s="440">
        <f t="shared" ca="1" si="0"/>
        <v>33</v>
      </c>
      <c r="AP11" s="440">
        <f t="shared" ca="1" si="0"/>
        <v>34</v>
      </c>
      <c r="AQ11" s="440">
        <f t="shared" ca="1" si="0"/>
        <v>35</v>
      </c>
      <c r="AR11" s="440">
        <f t="shared" ca="1" si="0"/>
        <v>36</v>
      </c>
      <c r="AS11" s="440">
        <f t="shared" ca="1" si="0"/>
        <v>37</v>
      </c>
      <c r="AT11" s="440">
        <f t="shared" ca="1" si="0"/>
        <v>38</v>
      </c>
      <c r="AU11" s="440">
        <f t="shared" ca="1" si="0"/>
        <v>39</v>
      </c>
      <c r="AV11" s="440">
        <f t="shared" ca="1" si="0"/>
        <v>40</v>
      </c>
      <c r="AW11" s="440">
        <f t="shared" ca="1" si="0"/>
        <v>41</v>
      </c>
      <c r="AX11" s="440">
        <f t="shared" ca="1" si="0"/>
        <v>42</v>
      </c>
      <c r="AY11" s="440">
        <f t="shared" ca="1" si="0"/>
        <v>43</v>
      </c>
      <c r="AZ11" s="440">
        <f t="shared" ca="1" si="0"/>
        <v>44</v>
      </c>
      <c r="BA11" s="440">
        <f t="shared" ca="1" si="0"/>
        <v>45</v>
      </c>
      <c r="BB11" s="440">
        <f t="shared" ca="1" si="0"/>
        <v>46</v>
      </c>
      <c r="BC11" s="440">
        <f t="shared" ca="1" si="0"/>
        <v>47</v>
      </c>
      <c r="BD11" s="440">
        <f t="shared" ca="1" si="0"/>
        <v>48</v>
      </c>
      <c r="BE11" s="440">
        <f t="shared" ca="1" si="0"/>
        <v>49</v>
      </c>
      <c r="BF11" s="440">
        <f t="shared" ca="1" si="0"/>
        <v>50</v>
      </c>
      <c r="BG11" s="440">
        <f t="shared" ca="1" si="0"/>
        <v>51</v>
      </c>
      <c r="BH11" s="440">
        <f t="shared" ca="1" si="0"/>
        <v>52</v>
      </c>
      <c r="BI11" s="440">
        <f t="shared" ca="1" si="0"/>
        <v>53</v>
      </c>
      <c r="BJ11" s="440">
        <f t="shared" ca="1" si="0"/>
        <v>54</v>
      </c>
      <c r="BK11" s="440">
        <f t="shared" ca="1" si="0"/>
        <v>55</v>
      </c>
      <c r="BL11" s="440">
        <f t="shared" ca="1" si="0"/>
        <v>56</v>
      </c>
      <c r="BM11" s="440">
        <f t="shared" ca="1" si="0"/>
        <v>57</v>
      </c>
      <c r="BN11" s="440">
        <f t="shared" ca="1" si="0"/>
        <v>58</v>
      </c>
      <c r="BO11" s="440">
        <f t="shared" ca="1" si="0"/>
        <v>59</v>
      </c>
      <c r="BP11" s="440">
        <f t="shared" ca="1" si="0"/>
        <v>60</v>
      </c>
      <c r="BQ11" s="440">
        <f t="shared" ca="1" si="0"/>
        <v>61</v>
      </c>
      <c r="BR11" s="440">
        <f t="shared" ca="1" si="0"/>
        <v>62</v>
      </c>
      <c r="BS11" s="440">
        <f t="shared" ca="1" si="0"/>
        <v>63</v>
      </c>
      <c r="BT11" s="440">
        <f t="shared" ca="1" si="0"/>
        <v>64</v>
      </c>
      <c r="BU11" s="440">
        <f t="shared" ca="1" si="0"/>
        <v>65</v>
      </c>
      <c r="BV11" s="440">
        <f t="shared" ca="1" si="0"/>
        <v>66</v>
      </c>
      <c r="BW11" s="440">
        <f t="shared" ca="1" si="0"/>
        <v>67</v>
      </c>
      <c r="BX11" s="440">
        <f t="shared" ca="1" si="0"/>
        <v>68</v>
      </c>
      <c r="BY11" s="440">
        <f t="shared" ca="1" si="0"/>
        <v>69</v>
      </c>
      <c r="BZ11" s="440">
        <f t="shared" ca="1" si="0"/>
        <v>70</v>
      </c>
      <c r="CA11" s="440">
        <f t="shared" ca="1" si="0"/>
        <v>71</v>
      </c>
      <c r="CB11" s="440">
        <f t="shared" ca="1" si="0"/>
        <v>72</v>
      </c>
      <c r="CC11" s="440">
        <f t="shared" ca="1" si="0"/>
        <v>73</v>
      </c>
      <c r="CD11" s="440">
        <f t="shared" ca="1" si="0"/>
        <v>74</v>
      </c>
      <c r="CE11" s="440">
        <f t="shared" ca="1" si="0"/>
        <v>75</v>
      </c>
      <c r="CF11" s="440">
        <f t="shared" ca="1" si="0"/>
        <v>76</v>
      </c>
      <c r="CG11" s="440">
        <f t="shared" ca="1" si="0"/>
        <v>77</v>
      </c>
      <c r="CH11" s="440">
        <f t="shared" ca="1" si="0"/>
        <v>78</v>
      </c>
      <c r="CI11" s="440">
        <f t="shared" ca="1" si="0"/>
        <v>79</v>
      </c>
      <c r="CJ11" s="440">
        <f t="shared" ca="1" si="0"/>
        <v>80</v>
      </c>
      <c r="CK11" s="440">
        <f t="shared" ca="1" si="0"/>
        <v>81</v>
      </c>
      <c r="CL11" s="440">
        <f t="shared" ca="1" si="0"/>
        <v>82</v>
      </c>
      <c r="CM11" s="440">
        <f t="shared" ca="1" si="0"/>
        <v>83</v>
      </c>
      <c r="CN11" s="440">
        <f t="shared" ca="1" si="0"/>
        <v>84</v>
      </c>
      <c r="CO11" s="440">
        <f t="shared" ca="1" si="0"/>
        <v>85</v>
      </c>
      <c r="CP11" s="440">
        <f t="shared" ca="1" si="0"/>
        <v>86</v>
      </c>
      <c r="CQ11" s="440">
        <f t="shared" ca="1" si="0"/>
        <v>87</v>
      </c>
      <c r="CR11" s="440">
        <f t="shared" ca="1" si="0"/>
        <v>88</v>
      </c>
      <c r="CS11" s="440">
        <f t="shared" ca="1" si="0"/>
        <v>89</v>
      </c>
      <c r="CT11" s="440">
        <f t="shared" ca="1" si="0"/>
        <v>90</v>
      </c>
      <c r="CU11" s="440">
        <f t="shared" ca="1" si="0"/>
        <v>91</v>
      </c>
      <c r="CV11" s="440">
        <f t="shared" ca="1" si="0"/>
        <v>92</v>
      </c>
      <c r="CW11" s="440">
        <f t="shared" ca="1" si="0"/>
        <v>93</v>
      </c>
      <c r="CX11" s="440">
        <f t="shared" ca="1" si="0"/>
        <v>94</v>
      </c>
      <c r="CY11" s="440">
        <f t="shared" ca="1" si="0"/>
        <v>95</v>
      </c>
      <c r="CZ11" s="440">
        <f t="shared" ca="1" si="0"/>
        <v>96</v>
      </c>
      <c r="DA11" s="440">
        <f t="shared" ca="1" si="0"/>
        <v>97</v>
      </c>
      <c r="DB11" s="440">
        <f t="shared" ca="1" si="0"/>
        <v>98</v>
      </c>
      <c r="DC11" s="440">
        <f t="shared" ca="1" si="0"/>
        <v>99</v>
      </c>
      <c r="DD11" s="440">
        <f t="shared" ca="1" si="0"/>
        <v>100</v>
      </c>
      <c r="DE11" s="440">
        <f t="shared" ca="1" si="0"/>
        <v>101</v>
      </c>
      <c r="DF11" s="440">
        <f t="shared" ca="1" si="0"/>
        <v>102</v>
      </c>
      <c r="DG11" s="440">
        <f t="shared" ca="1" si="0"/>
        <v>103</v>
      </c>
      <c r="DH11" s="440">
        <f t="shared" ca="1" si="0"/>
        <v>104</v>
      </c>
      <c r="DI11" s="440">
        <f t="shared" ca="1" si="0"/>
        <v>105</v>
      </c>
      <c r="DJ11" s="440">
        <f t="shared" ca="1" si="0"/>
        <v>106</v>
      </c>
      <c r="DK11" s="440">
        <f t="shared" ca="1" si="0"/>
        <v>107</v>
      </c>
      <c r="DL11" s="440">
        <f t="shared" ca="1" si="0"/>
        <v>108</v>
      </c>
      <c r="DM11" s="440">
        <f t="shared" ca="1" si="0"/>
        <v>109</v>
      </c>
      <c r="DN11" s="440">
        <f t="shared" ca="1" si="0"/>
        <v>110</v>
      </c>
      <c r="DO11" s="440">
        <f t="shared" ca="1" si="0"/>
        <v>111</v>
      </c>
      <c r="DP11" s="440">
        <f t="shared" ca="1" si="0"/>
        <v>112</v>
      </c>
      <c r="DQ11" s="440">
        <f t="shared" ca="1" si="0"/>
        <v>113</v>
      </c>
      <c r="DR11" s="440">
        <f t="shared" ca="1" si="0"/>
        <v>114</v>
      </c>
      <c r="DS11" s="440">
        <f t="shared" ca="1" si="0"/>
        <v>115</v>
      </c>
      <c r="DT11" s="440">
        <f t="shared" ca="1" si="0"/>
        <v>116</v>
      </c>
      <c r="DU11" s="440">
        <f t="shared" ca="1" si="0"/>
        <v>117</v>
      </c>
      <c r="DV11" s="440">
        <f t="shared" ca="1" si="0"/>
        <v>118</v>
      </c>
      <c r="DW11" s="440">
        <f t="shared" ca="1" si="0"/>
        <v>119</v>
      </c>
      <c r="DX11" s="440">
        <f t="shared" ca="1" si="0"/>
        <v>120</v>
      </c>
      <c r="DY11" s="440">
        <f t="shared" ca="1" si="0"/>
        <v>121</v>
      </c>
      <c r="DZ11" s="440">
        <f t="shared" ca="1" si="0"/>
        <v>122</v>
      </c>
      <c r="EA11" s="440">
        <f t="shared" ca="1" si="0"/>
        <v>123</v>
      </c>
      <c r="EB11" s="440">
        <f t="shared" ca="1" si="0"/>
        <v>124</v>
      </c>
      <c r="EC11" s="440"/>
    </row>
    <row r="12" spans="1:133" ht="18.75" x14ac:dyDescent="0.2">
      <c r="B12" s="1036" t="s">
        <v>421</v>
      </c>
      <c r="C12" s="727"/>
      <c r="D12" s="1012"/>
      <c r="E12" s="609" t="s">
        <v>424</v>
      </c>
      <c r="F12" s="404"/>
      <c r="G12" s="609"/>
      <c r="H12" s="610"/>
      <c r="I12" s="610"/>
      <c r="J12" s="610"/>
      <c r="K12" s="610"/>
      <c r="L12" s="610"/>
      <c r="M12" s="610"/>
      <c r="N12" s="610"/>
      <c r="O12" s="610"/>
      <c r="P12" s="610"/>
      <c r="Q12" s="610"/>
      <c r="R12" s="610"/>
      <c r="S12" s="610"/>
      <c r="T12" s="610"/>
      <c r="U12" s="610"/>
      <c r="V12" s="610"/>
      <c r="W12" s="610"/>
      <c r="X12" s="610"/>
      <c r="Y12" s="610"/>
      <c r="Z12" s="610"/>
      <c r="AA12" s="610"/>
      <c r="AB12" s="610"/>
      <c r="AC12" s="610"/>
      <c r="AD12" s="610"/>
      <c r="AE12" s="610"/>
      <c r="AF12" s="610"/>
      <c r="AG12" s="610"/>
      <c r="AH12" s="610"/>
      <c r="AI12" s="610"/>
      <c r="AJ12" s="610"/>
      <c r="AK12" s="610"/>
      <c r="AL12" s="610"/>
      <c r="AM12" s="610"/>
      <c r="AN12" s="610"/>
      <c r="AO12" s="610"/>
      <c r="AP12" s="610"/>
      <c r="AQ12" s="610"/>
      <c r="AR12" s="610"/>
      <c r="AS12" s="610"/>
      <c r="AT12" s="610"/>
      <c r="AU12" s="610"/>
      <c r="AV12" s="610"/>
      <c r="AW12" s="610"/>
      <c r="AX12" s="610"/>
      <c r="AY12" s="610"/>
      <c r="AZ12" s="610"/>
      <c r="BA12" s="610"/>
      <c r="BB12" s="610"/>
      <c r="BC12" s="610"/>
      <c r="BD12" s="610"/>
      <c r="BE12" s="610"/>
      <c r="BF12" s="610"/>
      <c r="BG12" s="610"/>
      <c r="BH12" s="610"/>
      <c r="BI12" s="610"/>
      <c r="BJ12" s="610"/>
      <c r="BK12" s="610"/>
      <c r="BL12" s="610"/>
      <c r="BM12" s="610"/>
      <c r="BN12" s="610"/>
      <c r="BO12" s="610"/>
      <c r="BP12" s="610"/>
      <c r="BQ12" s="610"/>
      <c r="BR12" s="610"/>
      <c r="BS12" s="610"/>
      <c r="BT12" s="610"/>
      <c r="BU12" s="610"/>
      <c r="BV12" s="610"/>
      <c r="BW12" s="610"/>
      <c r="BX12" s="610"/>
      <c r="BY12" s="610"/>
      <c r="BZ12" s="610"/>
      <c r="CA12" s="610"/>
      <c r="CB12" s="610"/>
      <c r="CC12" s="610"/>
      <c r="CD12" s="610"/>
      <c r="CE12" s="610"/>
      <c r="CF12" s="610"/>
      <c r="CG12" s="610"/>
      <c r="CH12" s="610"/>
      <c r="CI12" s="610"/>
      <c r="CJ12" s="610"/>
      <c r="CK12" s="610"/>
      <c r="CL12" s="610"/>
      <c r="CM12" s="610"/>
      <c r="CN12" s="610"/>
      <c r="CO12" s="610"/>
      <c r="CP12" s="610"/>
      <c r="CQ12" s="610"/>
      <c r="CR12" s="610"/>
      <c r="CS12" s="610"/>
      <c r="CT12" s="610"/>
      <c r="CU12" s="610"/>
      <c r="CV12" s="610"/>
      <c r="CW12" s="610"/>
      <c r="CX12" s="610"/>
      <c r="CY12" s="610"/>
      <c r="CZ12" s="610"/>
      <c r="DA12" s="610"/>
      <c r="DB12" s="610"/>
      <c r="DC12" s="610"/>
      <c r="DD12" s="610"/>
      <c r="DE12" s="610"/>
      <c r="DF12" s="610"/>
      <c r="DG12" s="610"/>
      <c r="DH12" s="610"/>
      <c r="DI12" s="610"/>
      <c r="DJ12" s="610"/>
      <c r="DK12" s="610"/>
      <c r="DL12" s="610"/>
      <c r="DM12" s="610"/>
      <c r="DN12" s="610"/>
      <c r="DO12" s="610"/>
      <c r="DP12" s="610"/>
      <c r="DQ12" s="610"/>
      <c r="DR12" s="610"/>
      <c r="DS12" s="610"/>
      <c r="DT12" s="610"/>
      <c r="DU12" s="688" t="s">
        <v>425</v>
      </c>
      <c r="DV12" s="688" t="s">
        <v>425</v>
      </c>
      <c r="DW12" s="688" t="s">
        <v>425</v>
      </c>
      <c r="DX12" s="688" t="s">
        <v>425</v>
      </c>
      <c r="DY12" s="688" t="s">
        <v>425</v>
      </c>
      <c r="DZ12" s="688" t="s">
        <v>425</v>
      </c>
      <c r="EA12" s="688" t="s">
        <v>425</v>
      </c>
      <c r="EB12" s="688" t="s">
        <v>425</v>
      </c>
      <c r="EC12" s="610"/>
    </row>
    <row r="13" spans="1:133" ht="25.5" x14ac:dyDescent="0.2">
      <c r="B13" s="1036" t="s">
        <v>421</v>
      </c>
      <c r="C13" s="727"/>
      <c r="D13" s="751" t="s">
        <v>50</v>
      </c>
      <c r="E13" s="395" t="s">
        <v>426</v>
      </c>
      <c r="F13" s="396"/>
      <c r="G13" s="395" t="s">
        <v>427</v>
      </c>
      <c r="H13" s="408"/>
      <c r="I13" s="494" t="s">
        <v>72</v>
      </c>
      <c r="J13" s="494" t="s">
        <v>428</v>
      </c>
      <c r="K13" s="494" t="s">
        <v>429</v>
      </c>
      <c r="L13" s="494" t="s">
        <v>430</v>
      </c>
      <c r="M13" s="494" t="s">
        <v>431</v>
      </c>
      <c r="N13" s="494" t="s">
        <v>432</v>
      </c>
      <c r="O13" s="494" t="s">
        <v>433</v>
      </c>
      <c r="P13" s="494" t="s">
        <v>1190</v>
      </c>
      <c r="Q13" s="494" t="s">
        <v>1156</v>
      </c>
      <c r="R13" s="494" t="s">
        <v>1157</v>
      </c>
      <c r="S13" s="494" t="s">
        <v>1158</v>
      </c>
      <c r="T13" s="494" t="s">
        <v>1144</v>
      </c>
      <c r="U13" s="494" t="s">
        <v>1145</v>
      </c>
      <c r="V13" s="494" t="s">
        <v>1191</v>
      </c>
      <c r="W13" s="494" t="s">
        <v>1159</v>
      </c>
      <c r="X13" s="494" t="s">
        <v>1160</v>
      </c>
      <c r="Y13" s="494" t="s">
        <v>1161</v>
      </c>
      <c r="Z13" s="494" t="s">
        <v>1146</v>
      </c>
      <c r="AA13" s="494" t="s">
        <v>1147</v>
      </c>
      <c r="AB13" s="494" t="s">
        <v>1187</v>
      </c>
      <c r="AC13" s="494" t="s">
        <v>1181</v>
      </c>
      <c r="AD13" s="494" t="s">
        <v>1182</v>
      </c>
      <c r="AE13" s="494" t="s">
        <v>1183</v>
      </c>
      <c r="AF13" s="494" t="s">
        <v>1184</v>
      </c>
      <c r="AG13" s="494" t="s">
        <v>1185</v>
      </c>
      <c r="AH13" s="494" t="s">
        <v>1186</v>
      </c>
      <c r="AI13" s="494" t="s">
        <v>1188</v>
      </c>
      <c r="AJ13" s="494" t="s">
        <v>1180</v>
      </c>
      <c r="AK13" s="494" t="s">
        <v>1179</v>
      </c>
      <c r="AL13" s="494" t="s">
        <v>1178</v>
      </c>
      <c r="AM13" s="494" t="s">
        <v>1177</v>
      </c>
      <c r="AN13" s="494" t="s">
        <v>1176</v>
      </c>
      <c r="AO13" s="494" t="s">
        <v>1175</v>
      </c>
      <c r="AP13" s="494" t="s">
        <v>1192</v>
      </c>
      <c r="AQ13" s="494" t="s">
        <v>1162</v>
      </c>
      <c r="AR13" s="494" t="s">
        <v>1163</v>
      </c>
      <c r="AS13" s="494" t="s">
        <v>1164</v>
      </c>
      <c r="AT13" s="494" t="s">
        <v>1148</v>
      </c>
      <c r="AU13" s="494" t="s">
        <v>1149</v>
      </c>
      <c r="AV13" s="494" t="s">
        <v>1193</v>
      </c>
      <c r="AW13" s="494" t="s">
        <v>1165</v>
      </c>
      <c r="AX13" s="494" t="s">
        <v>1166</v>
      </c>
      <c r="AY13" s="494" t="s">
        <v>1167</v>
      </c>
      <c r="AZ13" s="494" t="s">
        <v>1150</v>
      </c>
      <c r="BA13" s="494" t="s">
        <v>1151</v>
      </c>
      <c r="BB13" s="494" t="s">
        <v>1189</v>
      </c>
      <c r="BC13" s="494" t="s">
        <v>1168</v>
      </c>
      <c r="BD13" s="494" t="s">
        <v>1169</v>
      </c>
      <c r="BE13" s="494" t="s">
        <v>1170</v>
      </c>
      <c r="BF13" s="494" t="s">
        <v>1171</v>
      </c>
      <c r="BG13" s="494" t="s">
        <v>1152</v>
      </c>
      <c r="BH13" s="494" t="s">
        <v>1153</v>
      </c>
      <c r="BI13" s="494" t="s">
        <v>1194</v>
      </c>
      <c r="BJ13" s="494" t="s">
        <v>1172</v>
      </c>
      <c r="BK13" s="494" t="s">
        <v>1173</v>
      </c>
      <c r="BL13" s="494" t="s">
        <v>1174</v>
      </c>
      <c r="BM13" s="494" t="s">
        <v>1154</v>
      </c>
      <c r="BN13" s="494" t="s">
        <v>1155</v>
      </c>
      <c r="BO13" s="1042" t="s">
        <v>1100</v>
      </c>
      <c r="BP13" s="1042" t="s">
        <v>1127</v>
      </c>
      <c r="BQ13" s="1042" t="s">
        <v>1105</v>
      </c>
      <c r="BR13" s="1042" t="s">
        <v>1107</v>
      </c>
      <c r="BS13" s="1042" t="s">
        <v>1101</v>
      </c>
      <c r="BT13" s="1042" t="s">
        <v>1106</v>
      </c>
      <c r="BU13" s="1042" t="s">
        <v>1102</v>
      </c>
      <c r="BV13" s="1042" t="s">
        <v>1103</v>
      </c>
      <c r="BW13" s="1042" t="s">
        <v>1104</v>
      </c>
      <c r="BX13" s="1042" t="s">
        <v>1108</v>
      </c>
      <c r="BY13" s="1042" t="s">
        <v>1109</v>
      </c>
      <c r="BZ13" s="1042" t="s">
        <v>1110</v>
      </c>
      <c r="CA13" s="1042" t="s">
        <v>1111</v>
      </c>
      <c r="CB13" s="1042" t="s">
        <v>1112</v>
      </c>
      <c r="CC13" s="1042" t="s">
        <v>1113</v>
      </c>
      <c r="CD13" s="1042" t="s">
        <v>1114</v>
      </c>
      <c r="CE13" s="1042" t="s">
        <v>1115</v>
      </c>
      <c r="CF13" s="1042" t="s">
        <v>1116</v>
      </c>
      <c r="CG13" s="1042" t="s">
        <v>1117</v>
      </c>
      <c r="CH13" s="1042" t="s">
        <v>1118</v>
      </c>
      <c r="CI13" s="1042" t="s">
        <v>1128</v>
      </c>
      <c r="CJ13" s="1042" t="s">
        <v>1119</v>
      </c>
      <c r="CK13" s="1042" t="s">
        <v>1129</v>
      </c>
      <c r="CL13" s="1042" t="s">
        <v>1120</v>
      </c>
      <c r="CM13" s="1042" t="s">
        <v>1121</v>
      </c>
      <c r="CN13" s="1042" t="s">
        <v>1122</v>
      </c>
      <c r="CO13" s="1042" t="s">
        <v>1123</v>
      </c>
      <c r="CP13" s="1042" t="s">
        <v>1124</v>
      </c>
      <c r="CQ13" s="1042" t="s">
        <v>1125</v>
      </c>
      <c r="CR13" s="1042" t="s">
        <v>1126</v>
      </c>
      <c r="CS13" s="494" t="s">
        <v>434</v>
      </c>
      <c r="CT13" s="494" t="s">
        <v>435</v>
      </c>
      <c r="CU13" s="494" t="s">
        <v>436</v>
      </c>
      <c r="CV13" s="494" t="s">
        <v>437</v>
      </c>
      <c r="CW13" s="494" t="s">
        <v>438</v>
      </c>
      <c r="CX13" s="494" t="s">
        <v>439</v>
      </c>
      <c r="CY13" s="494" t="s">
        <v>440</v>
      </c>
      <c r="CZ13" s="494" t="s">
        <v>441</v>
      </c>
      <c r="DA13" s="494" t="s">
        <v>442</v>
      </c>
      <c r="DB13" s="494" t="s">
        <v>443</v>
      </c>
      <c r="DC13" s="494" t="s">
        <v>444</v>
      </c>
      <c r="DD13" s="494" t="s">
        <v>445</v>
      </c>
      <c r="DE13" s="494" t="s">
        <v>446</v>
      </c>
      <c r="DF13" s="494" t="s">
        <v>447</v>
      </c>
      <c r="DG13" s="494" t="s">
        <v>448</v>
      </c>
      <c r="DH13" s="494" t="s">
        <v>449</v>
      </c>
      <c r="DI13" s="494" t="s">
        <v>450</v>
      </c>
      <c r="DJ13" s="494" t="s">
        <v>451</v>
      </c>
      <c r="DK13" s="494" t="s">
        <v>452</v>
      </c>
      <c r="DL13" s="494" t="s">
        <v>453</v>
      </c>
      <c r="DM13" s="494" t="s">
        <v>454</v>
      </c>
      <c r="DN13" s="494" t="s">
        <v>455</v>
      </c>
      <c r="DO13" s="494" t="s">
        <v>456</v>
      </c>
      <c r="DP13" s="494" t="s">
        <v>457</v>
      </c>
      <c r="DQ13" s="494" t="s">
        <v>458</v>
      </c>
      <c r="DR13" s="494" t="s">
        <v>459</v>
      </c>
      <c r="DS13" s="494" t="s">
        <v>460</v>
      </c>
      <c r="DT13" s="494" t="s">
        <v>461</v>
      </c>
      <c r="DU13" s="1048"/>
      <c r="DV13" s="557"/>
      <c r="DW13" s="557"/>
      <c r="DX13" s="557"/>
      <c r="DY13" s="557"/>
      <c r="DZ13" s="557"/>
      <c r="EA13" s="557"/>
      <c r="EB13" s="557"/>
      <c r="EC13" s="408"/>
    </row>
    <row r="14" spans="1:133" ht="51" x14ac:dyDescent="0.2">
      <c r="B14" s="1036" t="s">
        <v>421</v>
      </c>
      <c r="C14" s="727"/>
      <c r="D14" s="1012"/>
      <c r="E14" s="395" t="s">
        <v>124</v>
      </c>
      <c r="F14" s="396"/>
      <c r="G14" s="395" t="s">
        <v>462</v>
      </c>
      <c r="H14" s="408"/>
      <c r="I14" s="494" t="s">
        <v>463</v>
      </c>
      <c r="J14" s="494" t="s">
        <v>463</v>
      </c>
      <c r="K14" s="494" t="s">
        <v>463</v>
      </c>
      <c r="L14" s="494" t="s">
        <v>463</v>
      </c>
      <c r="M14" s="494" t="s">
        <v>463</v>
      </c>
      <c r="N14" s="494" t="s">
        <v>464</v>
      </c>
      <c r="O14" s="494" t="s">
        <v>464</v>
      </c>
      <c r="P14" s="494" t="s">
        <v>463</v>
      </c>
      <c r="Q14" s="494" t="s">
        <v>463</v>
      </c>
      <c r="R14" s="494" t="s">
        <v>463</v>
      </c>
      <c r="S14" s="494" t="s">
        <v>463</v>
      </c>
      <c r="T14" s="494" t="s">
        <v>463</v>
      </c>
      <c r="U14" s="494" t="s">
        <v>463</v>
      </c>
      <c r="V14" s="494" t="s">
        <v>463</v>
      </c>
      <c r="W14" s="494" t="s">
        <v>463</v>
      </c>
      <c r="X14" s="494" t="s">
        <v>463</v>
      </c>
      <c r="Y14" s="494" t="s">
        <v>463</v>
      </c>
      <c r="Z14" s="494" t="s">
        <v>463</v>
      </c>
      <c r="AA14" s="494" t="s">
        <v>463</v>
      </c>
      <c r="AB14" s="494" t="s">
        <v>463</v>
      </c>
      <c r="AC14" s="494" t="s">
        <v>463</v>
      </c>
      <c r="AD14" s="494" t="s">
        <v>463</v>
      </c>
      <c r="AE14" s="494" t="s">
        <v>463</v>
      </c>
      <c r="AF14" s="494" t="s">
        <v>463</v>
      </c>
      <c r="AG14" s="494" t="s">
        <v>463</v>
      </c>
      <c r="AH14" s="494" t="s">
        <v>463</v>
      </c>
      <c r="AI14" s="494" t="s">
        <v>463</v>
      </c>
      <c r="AJ14" s="494" t="s">
        <v>463</v>
      </c>
      <c r="AK14" s="494" t="s">
        <v>463</v>
      </c>
      <c r="AL14" s="494" t="s">
        <v>463</v>
      </c>
      <c r="AM14" s="494" t="s">
        <v>463</v>
      </c>
      <c r="AN14" s="494" t="s">
        <v>463</v>
      </c>
      <c r="AO14" s="494" t="s">
        <v>463</v>
      </c>
      <c r="AP14" s="494" t="s">
        <v>464</v>
      </c>
      <c r="AQ14" s="494" t="s">
        <v>464</v>
      </c>
      <c r="AR14" s="494" t="s">
        <v>464</v>
      </c>
      <c r="AS14" s="494" t="s">
        <v>464</v>
      </c>
      <c r="AT14" s="494" t="s">
        <v>464</v>
      </c>
      <c r="AU14" s="494" t="s">
        <v>464</v>
      </c>
      <c r="AV14" s="494" t="s">
        <v>464</v>
      </c>
      <c r="AW14" s="494" t="s">
        <v>464</v>
      </c>
      <c r="AX14" s="494" t="s">
        <v>464</v>
      </c>
      <c r="AY14" s="494" t="s">
        <v>464</v>
      </c>
      <c r="AZ14" s="494" t="s">
        <v>464</v>
      </c>
      <c r="BA14" s="494" t="s">
        <v>464</v>
      </c>
      <c r="BB14" s="494" t="s">
        <v>464</v>
      </c>
      <c r="BC14" s="494" t="s">
        <v>464</v>
      </c>
      <c r="BD14" s="494" t="s">
        <v>464</v>
      </c>
      <c r="BE14" s="494" t="s">
        <v>464</v>
      </c>
      <c r="BF14" s="494" t="s">
        <v>464</v>
      </c>
      <c r="BG14" s="494" t="s">
        <v>464</v>
      </c>
      <c r="BH14" s="494" t="s">
        <v>464</v>
      </c>
      <c r="BI14" s="494" t="s">
        <v>464</v>
      </c>
      <c r="BJ14" s="494" t="s">
        <v>464</v>
      </c>
      <c r="BK14" s="494" t="s">
        <v>464</v>
      </c>
      <c r="BL14" s="494" t="s">
        <v>464</v>
      </c>
      <c r="BM14" s="494" t="s">
        <v>464</v>
      </c>
      <c r="BN14" s="494" t="s">
        <v>464</v>
      </c>
      <c r="BO14" s="1042" t="s">
        <v>469</v>
      </c>
      <c r="BP14" s="1042" t="s">
        <v>469</v>
      </c>
      <c r="BQ14" s="1042" t="s">
        <v>469</v>
      </c>
      <c r="BR14" s="1042" t="s">
        <v>473</v>
      </c>
      <c r="BS14" s="1042" t="s">
        <v>473</v>
      </c>
      <c r="BT14" s="1042" t="s">
        <v>473</v>
      </c>
      <c r="BU14" s="1042" t="s">
        <v>472</v>
      </c>
      <c r="BV14" s="1042" t="s">
        <v>472</v>
      </c>
      <c r="BW14" s="1042" t="s">
        <v>472</v>
      </c>
      <c r="BX14" s="1042" t="s">
        <v>471</v>
      </c>
      <c r="BY14" s="1042" t="s">
        <v>471</v>
      </c>
      <c r="BZ14" s="1042" t="s">
        <v>471</v>
      </c>
      <c r="CA14" s="1042" t="s">
        <v>465</v>
      </c>
      <c r="CB14" s="1042" t="s">
        <v>465</v>
      </c>
      <c r="CC14" s="1042" t="s">
        <v>465</v>
      </c>
      <c r="CD14" s="1042" t="s">
        <v>466</v>
      </c>
      <c r="CE14" s="1042" t="s">
        <v>466</v>
      </c>
      <c r="CF14" s="1042" t="s">
        <v>468</v>
      </c>
      <c r="CG14" s="1042" t="s">
        <v>468</v>
      </c>
      <c r="CH14" s="1042" t="s">
        <v>468</v>
      </c>
      <c r="CI14" s="1042" t="s">
        <v>467</v>
      </c>
      <c r="CJ14" s="1042" t="s">
        <v>467</v>
      </c>
      <c r="CK14" s="1042" t="s">
        <v>467</v>
      </c>
      <c r="CL14" s="1042" t="s">
        <v>900</v>
      </c>
      <c r="CM14" s="1042" t="s">
        <v>900</v>
      </c>
      <c r="CN14" s="1042" t="s">
        <v>900</v>
      </c>
      <c r="CO14" s="1042" t="s">
        <v>470</v>
      </c>
      <c r="CP14" s="1042" t="s">
        <v>470</v>
      </c>
      <c r="CQ14" s="1042" t="s">
        <v>470</v>
      </c>
      <c r="CR14" s="1042" t="s">
        <v>470</v>
      </c>
      <c r="CS14" s="494" t="s">
        <v>465</v>
      </c>
      <c r="CT14" s="494" t="s">
        <v>465</v>
      </c>
      <c r="CU14" s="494" t="s">
        <v>465</v>
      </c>
      <c r="CV14" s="494" t="s">
        <v>465</v>
      </c>
      <c r="CW14" s="494" t="s">
        <v>466</v>
      </c>
      <c r="CX14" s="494" t="s">
        <v>466</v>
      </c>
      <c r="CY14" s="494" t="s">
        <v>466</v>
      </c>
      <c r="CZ14" s="494" t="s">
        <v>467</v>
      </c>
      <c r="DA14" s="494" t="s">
        <v>467</v>
      </c>
      <c r="DB14" s="494" t="s">
        <v>468</v>
      </c>
      <c r="DC14" s="494" t="s">
        <v>469</v>
      </c>
      <c r="DD14" s="494" t="s">
        <v>469</v>
      </c>
      <c r="DE14" s="494" t="s">
        <v>469</v>
      </c>
      <c r="DF14" s="494" t="s">
        <v>469</v>
      </c>
      <c r="DG14" s="494" t="s">
        <v>469</v>
      </c>
      <c r="DH14" s="494" t="s">
        <v>469</v>
      </c>
      <c r="DI14" s="494" t="s">
        <v>470</v>
      </c>
      <c r="DJ14" s="494" t="s">
        <v>471</v>
      </c>
      <c r="DK14" s="494" t="s">
        <v>471</v>
      </c>
      <c r="DL14" s="494" t="s">
        <v>471</v>
      </c>
      <c r="DM14" s="494" t="s">
        <v>471</v>
      </c>
      <c r="DN14" s="494" t="s">
        <v>471</v>
      </c>
      <c r="DO14" s="494" t="s">
        <v>472</v>
      </c>
      <c r="DP14" s="494" t="s">
        <v>472</v>
      </c>
      <c r="DQ14" s="494" t="s">
        <v>473</v>
      </c>
      <c r="DR14" s="494" t="s">
        <v>473</v>
      </c>
      <c r="DS14" s="494" t="s">
        <v>473</v>
      </c>
      <c r="DT14" s="494" t="s">
        <v>473</v>
      </c>
      <c r="DU14" s="463"/>
      <c r="DV14" s="463"/>
      <c r="DW14" s="558"/>
      <c r="DX14" s="558"/>
      <c r="DY14" s="558"/>
      <c r="DZ14" s="558"/>
      <c r="EA14" s="558"/>
      <c r="EB14" s="558"/>
      <c r="EC14" s="408"/>
    </row>
    <row r="15" spans="1:133" x14ac:dyDescent="0.2">
      <c r="B15" s="1036" t="s">
        <v>421</v>
      </c>
      <c r="C15" s="727"/>
      <c r="D15" s="1012"/>
      <c r="E15" s="395" t="s">
        <v>474</v>
      </c>
      <c r="F15" s="396"/>
      <c r="G15" s="395" t="s">
        <v>475</v>
      </c>
      <c r="H15" s="408"/>
      <c r="I15" s="709">
        <v>0</v>
      </c>
      <c r="J15" s="709">
        <v>0</v>
      </c>
      <c r="K15" s="709">
        <v>0</v>
      </c>
      <c r="L15" s="709">
        <v>0</v>
      </c>
      <c r="M15" s="709">
        <v>0</v>
      </c>
      <c r="N15" s="709">
        <v>1</v>
      </c>
      <c r="O15" s="709">
        <v>1</v>
      </c>
      <c r="P15" s="709">
        <v>0</v>
      </c>
      <c r="Q15" s="709">
        <v>0</v>
      </c>
      <c r="R15" s="709">
        <v>0</v>
      </c>
      <c r="S15" s="709">
        <v>0</v>
      </c>
      <c r="T15" s="709">
        <v>0</v>
      </c>
      <c r="U15" s="709">
        <v>0</v>
      </c>
      <c r="V15" s="709">
        <v>0</v>
      </c>
      <c r="W15" s="709">
        <v>0</v>
      </c>
      <c r="X15" s="709">
        <v>0</v>
      </c>
      <c r="Y15" s="709">
        <v>0</v>
      </c>
      <c r="Z15" s="709">
        <v>0</v>
      </c>
      <c r="AA15" s="709">
        <v>0</v>
      </c>
      <c r="AB15" s="709">
        <v>0</v>
      </c>
      <c r="AC15" s="709">
        <v>0</v>
      </c>
      <c r="AD15" s="709">
        <v>0</v>
      </c>
      <c r="AE15" s="709">
        <v>0</v>
      </c>
      <c r="AF15" s="709">
        <v>0</v>
      </c>
      <c r="AG15" s="709">
        <v>0</v>
      </c>
      <c r="AH15" s="709">
        <v>0</v>
      </c>
      <c r="AI15" s="709">
        <v>0</v>
      </c>
      <c r="AJ15" s="709">
        <v>0</v>
      </c>
      <c r="AK15" s="709">
        <v>0</v>
      </c>
      <c r="AL15" s="709">
        <v>0</v>
      </c>
      <c r="AM15" s="709">
        <v>0</v>
      </c>
      <c r="AN15" s="709">
        <v>0</v>
      </c>
      <c r="AO15" s="709">
        <v>0</v>
      </c>
      <c r="AP15" s="709">
        <v>1</v>
      </c>
      <c r="AQ15" s="709">
        <v>1</v>
      </c>
      <c r="AR15" s="709">
        <v>1</v>
      </c>
      <c r="AS15" s="709">
        <v>1</v>
      </c>
      <c r="AT15" s="709">
        <v>1</v>
      </c>
      <c r="AU15" s="709">
        <v>1</v>
      </c>
      <c r="AV15" s="709">
        <v>1</v>
      </c>
      <c r="AW15" s="709">
        <v>1</v>
      </c>
      <c r="AX15" s="709">
        <v>1</v>
      </c>
      <c r="AY15" s="709">
        <v>1</v>
      </c>
      <c r="AZ15" s="709">
        <v>1</v>
      </c>
      <c r="BA15" s="709">
        <v>1</v>
      </c>
      <c r="BB15" s="709">
        <v>1</v>
      </c>
      <c r="BC15" s="709">
        <v>1</v>
      </c>
      <c r="BD15" s="709">
        <v>1</v>
      </c>
      <c r="BE15" s="709">
        <v>1</v>
      </c>
      <c r="BF15" s="709">
        <v>1</v>
      </c>
      <c r="BG15" s="709">
        <v>1</v>
      </c>
      <c r="BH15" s="709">
        <v>1</v>
      </c>
      <c r="BI15" s="709">
        <v>1</v>
      </c>
      <c r="BJ15" s="709">
        <v>1</v>
      </c>
      <c r="BK15" s="709">
        <v>1</v>
      </c>
      <c r="BL15" s="709">
        <v>1</v>
      </c>
      <c r="BM15" s="709">
        <v>1</v>
      </c>
      <c r="BN15" s="709">
        <v>1</v>
      </c>
      <c r="BO15" s="1043">
        <v>1</v>
      </c>
      <c r="BP15" s="1043">
        <v>1</v>
      </c>
      <c r="BQ15" s="1043">
        <v>1</v>
      </c>
      <c r="BR15" s="1043">
        <v>1</v>
      </c>
      <c r="BS15" s="1043">
        <v>1</v>
      </c>
      <c r="BT15" s="1043">
        <v>1</v>
      </c>
      <c r="BU15" s="1043">
        <v>1</v>
      </c>
      <c r="BV15" s="1043">
        <v>1</v>
      </c>
      <c r="BW15" s="1043">
        <v>1</v>
      </c>
      <c r="BX15" s="1043">
        <v>1</v>
      </c>
      <c r="BY15" s="1043">
        <v>1</v>
      </c>
      <c r="BZ15" s="1043">
        <v>1</v>
      </c>
      <c r="CA15" s="1043">
        <v>1</v>
      </c>
      <c r="CB15" s="1043">
        <v>1</v>
      </c>
      <c r="CC15" s="1043">
        <v>1</v>
      </c>
      <c r="CD15" s="1043">
        <v>1</v>
      </c>
      <c r="CE15" s="1043">
        <v>1</v>
      </c>
      <c r="CF15" s="1043">
        <v>1</v>
      </c>
      <c r="CG15" s="1043">
        <v>1</v>
      </c>
      <c r="CH15" s="1043">
        <v>1</v>
      </c>
      <c r="CI15" s="1043">
        <v>1</v>
      </c>
      <c r="CJ15" s="1043">
        <v>1</v>
      </c>
      <c r="CK15" s="1043">
        <v>1</v>
      </c>
      <c r="CL15" s="1043">
        <v>1</v>
      </c>
      <c r="CM15" s="1043">
        <v>1</v>
      </c>
      <c r="CN15" s="1043">
        <v>1</v>
      </c>
      <c r="CO15" s="1043">
        <v>1</v>
      </c>
      <c r="CP15" s="1043">
        <v>1</v>
      </c>
      <c r="CQ15" s="1043">
        <v>1</v>
      </c>
      <c r="CR15" s="1043">
        <v>1</v>
      </c>
      <c r="CS15" s="709">
        <v>0</v>
      </c>
      <c r="CT15" s="709">
        <v>1</v>
      </c>
      <c r="CU15" s="709">
        <v>1</v>
      </c>
      <c r="CV15" s="709">
        <v>1</v>
      </c>
      <c r="CW15" s="709">
        <v>0</v>
      </c>
      <c r="CX15" s="709">
        <v>0</v>
      </c>
      <c r="CY15" s="709">
        <v>0</v>
      </c>
      <c r="CZ15" s="709">
        <v>1</v>
      </c>
      <c r="DA15" s="709">
        <v>1</v>
      </c>
      <c r="DB15" s="709">
        <v>0</v>
      </c>
      <c r="DC15" s="709">
        <v>0</v>
      </c>
      <c r="DD15" s="709">
        <v>0</v>
      </c>
      <c r="DE15" s="709">
        <v>0</v>
      </c>
      <c r="DF15" s="709">
        <v>1</v>
      </c>
      <c r="DG15" s="709">
        <v>1</v>
      </c>
      <c r="DH15" s="709">
        <v>1</v>
      </c>
      <c r="DI15" s="709">
        <v>1</v>
      </c>
      <c r="DJ15" s="709">
        <v>0</v>
      </c>
      <c r="DK15" s="709">
        <v>0</v>
      </c>
      <c r="DL15" s="709">
        <v>1</v>
      </c>
      <c r="DM15" s="709">
        <v>1</v>
      </c>
      <c r="DN15" s="709">
        <v>1</v>
      </c>
      <c r="DO15" s="709">
        <v>1</v>
      </c>
      <c r="DP15" s="709">
        <v>1</v>
      </c>
      <c r="DQ15" s="709">
        <v>0</v>
      </c>
      <c r="DR15" s="709">
        <v>0</v>
      </c>
      <c r="DS15" s="709">
        <v>0</v>
      </c>
      <c r="DT15" s="709">
        <v>1</v>
      </c>
      <c r="DU15" s="1049"/>
      <c r="DV15" s="1050"/>
      <c r="DW15" s="1050"/>
      <c r="DX15" s="1050"/>
      <c r="DY15" s="1050"/>
      <c r="DZ15" s="1050"/>
      <c r="EA15" s="1050"/>
      <c r="EB15" s="1050"/>
      <c r="EC15" s="408"/>
    </row>
    <row r="16" spans="1:133" x14ac:dyDescent="0.2">
      <c r="B16" s="1036" t="s">
        <v>421</v>
      </c>
      <c r="C16" s="727"/>
      <c r="D16" s="1012"/>
      <c r="E16" s="495" t="s">
        <v>80</v>
      </c>
      <c r="F16" s="496"/>
      <c r="G16" s="395" t="s">
        <v>476</v>
      </c>
      <c r="H16" s="408"/>
      <c r="I16" s="407">
        <v>180.72</v>
      </c>
      <c r="J16" s="407">
        <v>133.32</v>
      </c>
      <c r="K16" s="407">
        <v>94.44</v>
      </c>
      <c r="L16" s="407">
        <v>110.07</v>
      </c>
      <c r="M16" s="407">
        <v>87.1</v>
      </c>
      <c r="N16" s="407">
        <v>36.709850993377479</v>
      </c>
      <c r="O16" s="407">
        <v>97.875757575757589</v>
      </c>
      <c r="P16" s="407">
        <v>173.61</v>
      </c>
      <c r="Q16" s="407">
        <v>175.18</v>
      </c>
      <c r="R16" s="407">
        <v>167.43</v>
      </c>
      <c r="S16" s="407">
        <v>190.82</v>
      </c>
      <c r="T16" s="407">
        <v>211.2</v>
      </c>
      <c r="U16" s="407">
        <v>224.46</v>
      </c>
      <c r="V16" s="407">
        <v>122.07</v>
      </c>
      <c r="W16" s="407">
        <v>135.15</v>
      </c>
      <c r="X16" s="407">
        <v>135.02000000000001</v>
      </c>
      <c r="Y16" s="407">
        <v>142.93</v>
      </c>
      <c r="Z16" s="407">
        <v>153.47</v>
      </c>
      <c r="AA16" s="407">
        <v>133.93</v>
      </c>
      <c r="AB16" s="407">
        <v>129</v>
      </c>
      <c r="AC16" s="407">
        <v>104.39</v>
      </c>
      <c r="AD16" s="407">
        <v>115.61</v>
      </c>
      <c r="AE16" s="407">
        <v>112.82</v>
      </c>
      <c r="AF16" s="407">
        <v>128.79</v>
      </c>
      <c r="AG16" s="407">
        <v>138.44</v>
      </c>
      <c r="AH16" s="407">
        <v>132.91999999999999</v>
      </c>
      <c r="AI16" s="407">
        <v>114.74</v>
      </c>
      <c r="AJ16" s="407">
        <v>102.04</v>
      </c>
      <c r="AK16" s="407">
        <v>113.83</v>
      </c>
      <c r="AL16" s="407">
        <v>114.65</v>
      </c>
      <c r="AM16" s="407">
        <v>123.6</v>
      </c>
      <c r="AN16" s="407">
        <v>130.75</v>
      </c>
      <c r="AO16" s="407">
        <v>118.78</v>
      </c>
      <c r="AP16" s="407">
        <v>105.15</v>
      </c>
      <c r="AQ16" s="407">
        <v>81.22</v>
      </c>
      <c r="AR16" s="407">
        <v>85.99</v>
      </c>
      <c r="AS16" s="407">
        <v>101.6</v>
      </c>
      <c r="AT16" s="407">
        <v>123.4</v>
      </c>
      <c r="AU16" s="407">
        <v>123.4</v>
      </c>
      <c r="AV16" s="407">
        <v>70.739999999999995</v>
      </c>
      <c r="AW16" s="407">
        <v>80.36</v>
      </c>
      <c r="AX16" s="407">
        <v>68.430000000000007</v>
      </c>
      <c r="AY16" s="407">
        <v>72.86</v>
      </c>
      <c r="AZ16" s="407">
        <v>86.19</v>
      </c>
      <c r="BA16" s="407">
        <v>65.75</v>
      </c>
      <c r="BB16" s="407">
        <v>63.54</v>
      </c>
      <c r="BC16" s="407">
        <v>65.09</v>
      </c>
      <c r="BD16" s="407">
        <v>78.400000000000006</v>
      </c>
      <c r="BE16" s="407">
        <v>64.58</v>
      </c>
      <c r="BF16" s="407">
        <v>86.01</v>
      </c>
      <c r="BG16" s="407">
        <v>73.14</v>
      </c>
      <c r="BH16" s="407">
        <v>28.23</v>
      </c>
      <c r="BI16" s="407">
        <v>64.97</v>
      </c>
      <c r="BJ16" s="407">
        <v>82.3</v>
      </c>
      <c r="BK16" s="407">
        <v>67.7</v>
      </c>
      <c r="BL16" s="407">
        <v>94.11</v>
      </c>
      <c r="BM16" s="407">
        <v>73.97</v>
      </c>
      <c r="BN16" s="407">
        <v>69.930000000000007</v>
      </c>
      <c r="BO16" s="1044">
        <v>297.8</v>
      </c>
      <c r="BP16" s="1044">
        <v>2741</v>
      </c>
      <c r="BQ16" s="1044">
        <v>9456</v>
      </c>
      <c r="BR16" s="1044">
        <v>176.12</v>
      </c>
      <c r="BS16" s="1044">
        <v>1283.5999999999999</v>
      </c>
      <c r="BT16" s="1044">
        <v>6967</v>
      </c>
      <c r="BU16" s="1044">
        <v>409.7</v>
      </c>
      <c r="BV16" s="1044">
        <v>1181.7</v>
      </c>
      <c r="BW16" s="1044">
        <v>3336.6</v>
      </c>
      <c r="BX16" s="1044">
        <v>918.89</v>
      </c>
      <c r="BY16" s="1044">
        <v>3464</v>
      </c>
      <c r="BZ16" s="1044">
        <v>8624.5</v>
      </c>
      <c r="CA16" s="1044">
        <v>179.9</v>
      </c>
      <c r="CB16" s="1044">
        <v>712.2</v>
      </c>
      <c r="CC16" s="1044">
        <v>4340.9399999999996</v>
      </c>
      <c r="CD16" s="1044">
        <v>298.33999999999997</v>
      </c>
      <c r="CE16" s="1044">
        <v>940</v>
      </c>
      <c r="CF16" s="1044">
        <v>325.27</v>
      </c>
      <c r="CG16" s="1044">
        <v>2148.6999999999998</v>
      </c>
      <c r="CH16" s="1044">
        <v>8076.85</v>
      </c>
      <c r="CI16" s="1044">
        <v>469.56</v>
      </c>
      <c r="CJ16" s="1044">
        <v>3353.15</v>
      </c>
      <c r="CK16" s="1044">
        <v>19657.400000000001</v>
      </c>
      <c r="CL16" s="1044">
        <v>1999.52</v>
      </c>
      <c r="CM16" s="1044">
        <v>10894.08</v>
      </c>
      <c r="CN16" s="1044">
        <v>24218.560000000001</v>
      </c>
      <c r="CO16" s="1044">
        <v>580.70000000000005</v>
      </c>
      <c r="CP16" s="1044">
        <v>2757.01</v>
      </c>
      <c r="CQ16" s="1044">
        <v>9295.2000000000007</v>
      </c>
      <c r="CR16" s="1044">
        <v>80.38</v>
      </c>
      <c r="CS16" s="407">
        <v>1814.9799999999998</v>
      </c>
      <c r="CT16" s="407">
        <v>2392.92</v>
      </c>
      <c r="CU16" s="407">
        <v>5036</v>
      </c>
      <c r="CV16" s="407">
        <v>10811.93</v>
      </c>
      <c r="CW16" s="407">
        <v>82.7</v>
      </c>
      <c r="CX16" s="407">
        <v>158.08999999999997</v>
      </c>
      <c r="CY16" s="407">
        <v>1814.9799999999998</v>
      </c>
      <c r="CZ16" s="407">
        <v>5704.88</v>
      </c>
      <c r="DA16" s="407">
        <v>35207.519999999997</v>
      </c>
      <c r="DB16" s="407">
        <v>877.48</v>
      </c>
      <c r="DC16" s="407">
        <v>82.7</v>
      </c>
      <c r="DD16" s="407">
        <v>158.08999999999997</v>
      </c>
      <c r="DE16" s="407">
        <v>1680.46</v>
      </c>
      <c r="DF16" s="407">
        <v>4383</v>
      </c>
      <c r="DG16" s="407">
        <v>24631.52</v>
      </c>
      <c r="DH16" s="407">
        <v>24436.33</v>
      </c>
      <c r="DI16" s="407">
        <v>3792.4500000000003</v>
      </c>
      <c r="DJ16" s="407">
        <v>158.08999999999997</v>
      </c>
      <c r="DK16" s="407">
        <v>2360</v>
      </c>
      <c r="DL16" s="407">
        <v>3833</v>
      </c>
      <c r="DM16" s="407">
        <v>8511.6</v>
      </c>
      <c r="DN16" s="407">
        <v>15729</v>
      </c>
      <c r="DO16" s="407">
        <v>3154.25</v>
      </c>
      <c r="DP16" s="407">
        <v>8714.7799999999988</v>
      </c>
      <c r="DQ16" s="407">
        <v>82.7</v>
      </c>
      <c r="DR16" s="407">
        <v>158.08999999999997</v>
      </c>
      <c r="DS16" s="407">
        <v>1553.2399999999998</v>
      </c>
      <c r="DT16" s="407">
        <v>23023.339999999997</v>
      </c>
      <c r="DU16" s="559"/>
      <c r="DV16" s="380"/>
      <c r="DW16" s="380"/>
      <c r="DX16" s="380"/>
      <c r="DY16" s="380"/>
      <c r="DZ16" s="380"/>
      <c r="EA16" s="380"/>
      <c r="EB16" s="380"/>
      <c r="EC16" s="497"/>
    </row>
    <row r="17" spans="2:133" ht="25.5" hidden="1" x14ac:dyDescent="0.2">
      <c r="B17" s="1036"/>
      <c r="C17" s="727"/>
      <c r="D17" s="1012"/>
      <c r="E17" s="495" t="s">
        <v>1097</v>
      </c>
      <c r="F17" s="496"/>
      <c r="G17" s="395" t="s">
        <v>70</v>
      </c>
      <c r="H17" s="408"/>
      <c r="I17" s="407" t="s">
        <v>1098</v>
      </c>
      <c r="J17" s="407" t="s">
        <v>1098</v>
      </c>
      <c r="K17" s="407" t="s">
        <v>1098</v>
      </c>
      <c r="L17" s="407" t="s">
        <v>1098</v>
      </c>
      <c r="M17" s="407" t="s">
        <v>1098</v>
      </c>
      <c r="N17" s="407" t="s">
        <v>1098</v>
      </c>
      <c r="O17" s="407" t="s">
        <v>1098</v>
      </c>
      <c r="P17" s="407" t="s">
        <v>506</v>
      </c>
      <c r="Q17" s="407" t="s">
        <v>505</v>
      </c>
      <c r="R17" s="407" t="s">
        <v>504</v>
      </c>
      <c r="S17" s="407" t="s">
        <v>503</v>
      </c>
      <c r="T17" s="407" t="s">
        <v>1098</v>
      </c>
      <c r="U17" s="407" t="s">
        <v>1131</v>
      </c>
      <c r="V17" s="407" t="s">
        <v>506</v>
      </c>
      <c r="W17" s="407" t="s">
        <v>505</v>
      </c>
      <c r="X17" s="407" t="s">
        <v>504</v>
      </c>
      <c r="Y17" s="407" t="s">
        <v>503</v>
      </c>
      <c r="Z17" s="407" t="s">
        <v>1098</v>
      </c>
      <c r="AA17" s="407" t="s">
        <v>1131</v>
      </c>
      <c r="AB17" s="407" t="s">
        <v>506</v>
      </c>
      <c r="AC17" s="407" t="s">
        <v>506</v>
      </c>
      <c r="AD17" s="407" t="s">
        <v>505</v>
      </c>
      <c r="AE17" s="407" t="s">
        <v>504</v>
      </c>
      <c r="AF17" s="407" t="s">
        <v>503</v>
      </c>
      <c r="AG17" s="407" t="s">
        <v>1098</v>
      </c>
      <c r="AH17" s="407" t="s">
        <v>1131</v>
      </c>
      <c r="AI17" s="407" t="s">
        <v>506</v>
      </c>
      <c r="AJ17" s="407" t="s">
        <v>506</v>
      </c>
      <c r="AK17" s="407" t="s">
        <v>505</v>
      </c>
      <c r="AL17" s="407" t="s">
        <v>504</v>
      </c>
      <c r="AM17" s="407" t="s">
        <v>503</v>
      </c>
      <c r="AN17" s="407" t="s">
        <v>1098</v>
      </c>
      <c r="AO17" s="407" t="s">
        <v>1131</v>
      </c>
      <c r="AP17" s="407" t="s">
        <v>506</v>
      </c>
      <c r="AQ17" s="407" t="s">
        <v>505</v>
      </c>
      <c r="AR17" s="407" t="s">
        <v>504</v>
      </c>
      <c r="AS17" s="407" t="s">
        <v>503</v>
      </c>
      <c r="AT17" s="407" t="s">
        <v>1098</v>
      </c>
      <c r="AU17" s="407" t="s">
        <v>1131</v>
      </c>
      <c r="AV17" s="407" t="s">
        <v>506</v>
      </c>
      <c r="AW17" s="407" t="s">
        <v>505</v>
      </c>
      <c r="AX17" s="407" t="s">
        <v>504</v>
      </c>
      <c r="AY17" s="407" t="s">
        <v>503</v>
      </c>
      <c r="AZ17" s="407" t="s">
        <v>1098</v>
      </c>
      <c r="BA17" s="407" t="s">
        <v>1131</v>
      </c>
      <c r="BB17" s="407" t="s">
        <v>506</v>
      </c>
      <c r="BC17" s="407" t="s">
        <v>506</v>
      </c>
      <c r="BD17" s="407" t="s">
        <v>505</v>
      </c>
      <c r="BE17" s="407" t="s">
        <v>504</v>
      </c>
      <c r="BF17" s="407" t="s">
        <v>503</v>
      </c>
      <c r="BG17" s="407" t="s">
        <v>1098</v>
      </c>
      <c r="BH17" s="407" t="s">
        <v>1131</v>
      </c>
      <c r="BI17" s="407" t="s">
        <v>506</v>
      </c>
      <c r="BJ17" s="407" t="s">
        <v>505</v>
      </c>
      <c r="BK17" s="407" t="s">
        <v>504</v>
      </c>
      <c r="BL17" s="407" t="s">
        <v>503</v>
      </c>
      <c r="BM17" s="407" t="s">
        <v>1098</v>
      </c>
      <c r="BN17" s="407" t="s">
        <v>1131</v>
      </c>
      <c r="BO17" s="1044" t="s">
        <v>503</v>
      </c>
      <c r="BP17" s="1044" t="s">
        <v>503</v>
      </c>
      <c r="BQ17" s="1044" t="s">
        <v>503</v>
      </c>
      <c r="BR17" s="1044" t="s">
        <v>503</v>
      </c>
      <c r="BS17" s="1044" t="s">
        <v>503</v>
      </c>
      <c r="BT17" s="1044" t="s">
        <v>503</v>
      </c>
      <c r="BU17" s="1044" t="s">
        <v>503</v>
      </c>
      <c r="BV17" s="1044" t="s">
        <v>503</v>
      </c>
      <c r="BW17" s="1044" t="s">
        <v>503</v>
      </c>
      <c r="BX17" s="1044" t="s">
        <v>503</v>
      </c>
      <c r="BY17" s="1044" t="s">
        <v>503</v>
      </c>
      <c r="BZ17" s="1044" t="s">
        <v>503</v>
      </c>
      <c r="CA17" s="1044" t="s">
        <v>503</v>
      </c>
      <c r="CB17" s="1044" t="s">
        <v>503</v>
      </c>
      <c r="CC17" s="1044" t="s">
        <v>503</v>
      </c>
      <c r="CD17" s="1044" t="s">
        <v>503</v>
      </c>
      <c r="CE17" s="1044" t="s">
        <v>503</v>
      </c>
      <c r="CF17" s="1044" t="s">
        <v>503</v>
      </c>
      <c r="CG17" s="1044" t="s">
        <v>503</v>
      </c>
      <c r="CH17" s="1044" t="s">
        <v>503</v>
      </c>
      <c r="CI17" s="1044" t="s">
        <v>503</v>
      </c>
      <c r="CJ17" s="1044" t="s">
        <v>503</v>
      </c>
      <c r="CK17" s="1044" t="s">
        <v>503</v>
      </c>
      <c r="CL17" s="1044" t="s">
        <v>503</v>
      </c>
      <c r="CM17" s="1044" t="s">
        <v>503</v>
      </c>
      <c r="CN17" s="1044" t="s">
        <v>503</v>
      </c>
      <c r="CO17" s="1044" t="s">
        <v>503</v>
      </c>
      <c r="CP17" s="1044" t="s">
        <v>503</v>
      </c>
      <c r="CQ17" s="1044" t="s">
        <v>503</v>
      </c>
      <c r="CR17" s="1044" t="s">
        <v>503</v>
      </c>
      <c r="CS17" s="407" t="s">
        <v>1098</v>
      </c>
      <c r="CT17" s="407" t="s">
        <v>1098</v>
      </c>
      <c r="CU17" s="407" t="s">
        <v>1098</v>
      </c>
      <c r="CV17" s="407" t="s">
        <v>1098</v>
      </c>
      <c r="CW17" s="407" t="s">
        <v>1098</v>
      </c>
      <c r="CX17" s="407" t="s">
        <v>1098</v>
      </c>
      <c r="CY17" s="407" t="s">
        <v>1098</v>
      </c>
      <c r="CZ17" s="407" t="s">
        <v>1098</v>
      </c>
      <c r="DA17" s="407" t="s">
        <v>1098</v>
      </c>
      <c r="DB17" s="407" t="s">
        <v>1098</v>
      </c>
      <c r="DC17" s="407" t="s">
        <v>1098</v>
      </c>
      <c r="DD17" s="407" t="s">
        <v>1098</v>
      </c>
      <c r="DE17" s="407" t="s">
        <v>1098</v>
      </c>
      <c r="DF17" s="407" t="s">
        <v>1098</v>
      </c>
      <c r="DG17" s="407" t="s">
        <v>1098</v>
      </c>
      <c r="DH17" s="407" t="s">
        <v>1098</v>
      </c>
      <c r="DI17" s="407" t="s">
        <v>1098</v>
      </c>
      <c r="DJ17" s="407" t="s">
        <v>1098</v>
      </c>
      <c r="DK17" s="407" t="s">
        <v>1098</v>
      </c>
      <c r="DL17" s="407" t="s">
        <v>1098</v>
      </c>
      <c r="DM17" s="407" t="s">
        <v>1098</v>
      </c>
      <c r="DN17" s="407" t="s">
        <v>1098</v>
      </c>
      <c r="DO17" s="407" t="s">
        <v>1098</v>
      </c>
      <c r="DP17" s="407" t="s">
        <v>1098</v>
      </c>
      <c r="DQ17" s="407" t="s">
        <v>1098</v>
      </c>
      <c r="DR17" s="407" t="s">
        <v>1098</v>
      </c>
      <c r="DS17" s="407" t="s">
        <v>1098</v>
      </c>
      <c r="DT17" s="407" t="s">
        <v>1098</v>
      </c>
      <c r="DU17" s="559"/>
      <c r="DV17" s="380"/>
      <c r="DW17" s="380"/>
      <c r="DX17" s="380"/>
      <c r="DY17" s="380"/>
      <c r="DZ17" s="380"/>
      <c r="EA17" s="380"/>
      <c r="EB17" s="380" t="s">
        <v>501</v>
      </c>
      <c r="EC17" s="497"/>
    </row>
    <row r="18" spans="2:133" ht="18.75" x14ac:dyDescent="0.2">
      <c r="B18" s="1036" t="s">
        <v>421</v>
      </c>
      <c r="C18" s="727"/>
      <c r="D18" s="1012"/>
      <c r="E18" s="609" t="s">
        <v>477</v>
      </c>
      <c r="F18" s="404"/>
      <c r="G18" s="609"/>
      <c r="H18" s="610"/>
      <c r="I18" s="610"/>
      <c r="J18" s="610"/>
      <c r="K18" s="610"/>
      <c r="L18" s="610"/>
      <c r="M18" s="610"/>
      <c r="N18" s="610"/>
      <c r="O18" s="610"/>
      <c r="P18" s="610"/>
      <c r="Q18" s="610"/>
      <c r="R18" s="610"/>
      <c r="S18" s="610"/>
      <c r="T18" s="610"/>
      <c r="U18" s="610"/>
      <c r="V18" s="610"/>
      <c r="W18" s="610"/>
      <c r="X18" s="610"/>
      <c r="Y18" s="610"/>
      <c r="Z18" s="610"/>
      <c r="AA18" s="610"/>
      <c r="AB18" s="610"/>
      <c r="AC18" s="610"/>
      <c r="AD18" s="610"/>
      <c r="AE18" s="610"/>
      <c r="AF18" s="610"/>
      <c r="AG18" s="610"/>
      <c r="AH18" s="610"/>
      <c r="AI18" s="610"/>
      <c r="AJ18" s="610"/>
      <c r="AK18" s="610"/>
      <c r="AL18" s="610"/>
      <c r="AM18" s="610"/>
      <c r="AN18" s="610"/>
      <c r="AO18" s="610"/>
      <c r="AP18" s="610"/>
      <c r="AQ18" s="610"/>
      <c r="AR18" s="610"/>
      <c r="AS18" s="610"/>
      <c r="AT18" s="610"/>
      <c r="AU18" s="610"/>
      <c r="AV18" s="610"/>
      <c r="AW18" s="610"/>
      <c r="AX18" s="610"/>
      <c r="AY18" s="610"/>
      <c r="AZ18" s="610"/>
      <c r="BA18" s="610"/>
      <c r="BB18" s="610"/>
      <c r="BC18" s="610"/>
      <c r="BD18" s="610"/>
      <c r="BE18" s="610"/>
      <c r="BF18" s="610"/>
      <c r="BG18" s="610"/>
      <c r="BH18" s="610"/>
      <c r="BI18" s="610"/>
      <c r="BJ18" s="610"/>
      <c r="BK18" s="610"/>
      <c r="BL18" s="610"/>
      <c r="BM18" s="610"/>
      <c r="BN18" s="610"/>
      <c r="BO18" s="610"/>
      <c r="BP18" s="610"/>
      <c r="BQ18" s="610"/>
      <c r="BR18" s="610"/>
      <c r="BS18" s="610"/>
      <c r="BT18" s="610"/>
      <c r="BU18" s="610"/>
      <c r="BV18" s="610"/>
      <c r="BW18" s="610"/>
      <c r="BX18" s="610"/>
      <c r="BY18" s="610"/>
      <c r="BZ18" s="610"/>
      <c r="CA18" s="610"/>
      <c r="CB18" s="610"/>
      <c r="CC18" s="610"/>
      <c r="CD18" s="610"/>
      <c r="CE18" s="610"/>
      <c r="CF18" s="610"/>
      <c r="CG18" s="610"/>
      <c r="CH18" s="610"/>
      <c r="CI18" s="610"/>
      <c r="CJ18" s="610"/>
      <c r="CK18" s="610"/>
      <c r="CL18" s="610"/>
      <c r="CM18" s="610"/>
      <c r="CN18" s="610"/>
      <c r="CO18" s="610"/>
      <c r="CP18" s="610"/>
      <c r="CQ18" s="610"/>
      <c r="CR18" s="610"/>
      <c r="CS18" s="610"/>
      <c r="CT18" s="610"/>
      <c r="CU18" s="610"/>
      <c r="CV18" s="610"/>
      <c r="CW18" s="610"/>
      <c r="CX18" s="610"/>
      <c r="CY18" s="610"/>
      <c r="CZ18" s="610"/>
      <c r="DA18" s="610"/>
      <c r="DB18" s="610"/>
      <c r="DC18" s="610"/>
      <c r="DD18" s="610"/>
      <c r="DE18" s="610"/>
      <c r="DF18" s="610"/>
      <c r="DG18" s="610"/>
      <c r="DH18" s="610"/>
      <c r="DI18" s="610"/>
      <c r="DJ18" s="610"/>
      <c r="DK18" s="610"/>
      <c r="DL18" s="610"/>
      <c r="DM18" s="610"/>
      <c r="DN18" s="610"/>
      <c r="DO18" s="610"/>
      <c r="DP18" s="610"/>
      <c r="DQ18" s="610"/>
      <c r="DR18" s="610"/>
      <c r="DS18" s="610"/>
      <c r="DT18" s="610"/>
      <c r="DU18" s="617"/>
      <c r="DV18" s="617"/>
      <c r="DW18" s="617"/>
      <c r="DX18" s="617"/>
      <c r="DY18" s="617"/>
      <c r="DZ18" s="617"/>
      <c r="EA18" s="617"/>
      <c r="EB18" s="617"/>
      <c r="EC18" s="610"/>
    </row>
    <row r="19" spans="2:133" x14ac:dyDescent="0.2">
      <c r="B19" s="1036" t="s">
        <v>421</v>
      </c>
      <c r="C19" s="727"/>
      <c r="D19" s="1012"/>
      <c r="E19" s="495" t="s">
        <v>478</v>
      </c>
      <c r="F19" s="496"/>
      <c r="G19" s="395" t="s">
        <v>476</v>
      </c>
      <c r="H19" s="408"/>
      <c r="I19" s="498">
        <v>71.3</v>
      </c>
      <c r="J19" s="498">
        <v>48.7</v>
      </c>
      <c r="K19" s="498">
        <v>60.96</v>
      </c>
      <c r="L19" s="498">
        <v>41.42</v>
      </c>
      <c r="M19" s="498">
        <v>60.3</v>
      </c>
      <c r="N19" s="498">
        <v>4.4385761589403971</v>
      </c>
      <c r="O19" s="498">
        <v>17.031515151515151</v>
      </c>
      <c r="P19" s="498">
        <v>104.99</v>
      </c>
      <c r="Q19" s="498">
        <v>108.71</v>
      </c>
      <c r="R19" s="498">
        <v>101.18</v>
      </c>
      <c r="S19" s="498">
        <v>105.49</v>
      </c>
      <c r="T19" s="498">
        <v>115.83</v>
      </c>
      <c r="U19" s="498">
        <v>99.17</v>
      </c>
      <c r="V19" s="498">
        <v>66.69</v>
      </c>
      <c r="W19" s="498">
        <v>65.75</v>
      </c>
      <c r="X19" s="498">
        <v>65.52</v>
      </c>
      <c r="Y19" s="498">
        <v>72.02</v>
      </c>
      <c r="Z19" s="498">
        <v>68.87</v>
      </c>
      <c r="AA19" s="498">
        <v>64.760000000000005</v>
      </c>
      <c r="AB19" s="498">
        <v>60.66</v>
      </c>
      <c r="AC19" s="498">
        <v>50.57</v>
      </c>
      <c r="AD19" s="498">
        <v>54.32</v>
      </c>
      <c r="AE19" s="498">
        <v>54.66</v>
      </c>
      <c r="AF19" s="498">
        <v>66.27</v>
      </c>
      <c r="AG19" s="498">
        <v>59.14</v>
      </c>
      <c r="AH19" s="498">
        <v>61.75</v>
      </c>
      <c r="AI19" s="498">
        <v>53.01</v>
      </c>
      <c r="AJ19" s="498">
        <v>47.2</v>
      </c>
      <c r="AK19" s="498">
        <v>51.25</v>
      </c>
      <c r="AL19" s="498">
        <v>51.86</v>
      </c>
      <c r="AM19" s="498">
        <v>54.05</v>
      </c>
      <c r="AN19" s="498">
        <v>55.69</v>
      </c>
      <c r="AO19" s="498">
        <v>52.8</v>
      </c>
      <c r="AP19" s="498">
        <v>52.58</v>
      </c>
      <c r="AQ19" s="498">
        <v>40.61</v>
      </c>
      <c r="AR19" s="498">
        <v>43</v>
      </c>
      <c r="AS19" s="498">
        <v>50.8</v>
      </c>
      <c r="AT19" s="498">
        <v>61.7</v>
      </c>
      <c r="AU19" s="498">
        <v>61.7</v>
      </c>
      <c r="AV19" s="498">
        <v>70.739999999999995</v>
      </c>
      <c r="AW19" s="498">
        <v>80.36</v>
      </c>
      <c r="AX19" s="498">
        <v>68.430000000000007</v>
      </c>
      <c r="AY19" s="498">
        <v>72.86</v>
      </c>
      <c r="AZ19" s="498">
        <v>86.19</v>
      </c>
      <c r="BA19" s="498">
        <v>65.75</v>
      </c>
      <c r="BB19" s="498">
        <v>63.54</v>
      </c>
      <c r="BC19" s="498">
        <v>65.09</v>
      </c>
      <c r="BD19" s="498">
        <v>78.400000000000006</v>
      </c>
      <c r="BE19" s="498">
        <v>64.58</v>
      </c>
      <c r="BF19" s="498">
        <v>86.01</v>
      </c>
      <c r="BG19" s="498">
        <v>73.14</v>
      </c>
      <c r="BH19" s="498">
        <v>28.23</v>
      </c>
      <c r="BI19" s="498">
        <v>64.97</v>
      </c>
      <c r="BJ19" s="498">
        <v>82.3</v>
      </c>
      <c r="BK19" s="498">
        <v>67.7</v>
      </c>
      <c r="BL19" s="498">
        <v>94.11</v>
      </c>
      <c r="BM19" s="498">
        <v>73.97</v>
      </c>
      <c r="BN19" s="498">
        <v>69.930000000000007</v>
      </c>
      <c r="BO19" s="1045">
        <v>255</v>
      </c>
      <c r="BP19" s="1045">
        <v>748</v>
      </c>
      <c r="BQ19" s="1045">
        <v>1788</v>
      </c>
      <c r="BR19" s="1045">
        <v>176.1</v>
      </c>
      <c r="BS19" s="1045">
        <v>1283.5999999999999</v>
      </c>
      <c r="BT19" s="1045">
        <v>4190</v>
      </c>
      <c r="BU19" s="1045">
        <v>408.8</v>
      </c>
      <c r="BV19" s="1045">
        <v>948.34</v>
      </c>
      <c r="BW19" s="1045">
        <v>3173.37</v>
      </c>
      <c r="BX19" s="1045">
        <v>870.97</v>
      </c>
      <c r="BY19" s="1045">
        <v>2383</v>
      </c>
      <c r="BZ19" s="1045">
        <v>3534.73</v>
      </c>
      <c r="CA19" s="1045">
        <v>179.9</v>
      </c>
      <c r="CB19" s="1045">
        <v>451.72</v>
      </c>
      <c r="CC19" s="1045">
        <v>2245.5</v>
      </c>
      <c r="CD19" s="1045">
        <v>298.33999999999997</v>
      </c>
      <c r="CE19" s="1045">
        <v>940</v>
      </c>
      <c r="CF19" s="1045">
        <v>235.87</v>
      </c>
      <c r="CG19" s="1045">
        <v>951</v>
      </c>
      <c r="CH19" s="1045">
        <v>2641.19</v>
      </c>
      <c r="CI19" s="1045">
        <v>469.56</v>
      </c>
      <c r="CJ19" s="1045">
        <v>0</v>
      </c>
      <c r="CK19" s="1045">
        <v>7307.5</v>
      </c>
      <c r="CL19" s="1045">
        <v>719.83</v>
      </c>
      <c r="CM19" s="1045">
        <v>3763.21</v>
      </c>
      <c r="CN19" s="1045">
        <v>8379.32</v>
      </c>
      <c r="CO19" s="1045">
        <v>213.95</v>
      </c>
      <c r="CP19" s="1045">
        <v>760.7</v>
      </c>
      <c r="CQ19" s="1045">
        <v>1675</v>
      </c>
      <c r="CR19" s="1045">
        <v>55.18</v>
      </c>
      <c r="CS19" s="498">
        <v>1121</v>
      </c>
      <c r="CT19" s="498">
        <v>1572</v>
      </c>
      <c r="CU19" s="498">
        <v>2828.2</v>
      </c>
      <c r="CV19" s="498">
        <v>3461.79</v>
      </c>
      <c r="CW19" s="498">
        <v>80.5</v>
      </c>
      <c r="CX19" s="498">
        <v>80.5</v>
      </c>
      <c r="CY19" s="498">
        <v>1121</v>
      </c>
      <c r="CZ19" s="498">
        <v>1462.2800000000002</v>
      </c>
      <c r="DA19" s="498">
        <v>7237.57</v>
      </c>
      <c r="DB19" s="498">
        <v>589.19000000000005</v>
      </c>
      <c r="DC19" s="498">
        <v>80.5</v>
      </c>
      <c r="DD19" s="498">
        <v>80.5</v>
      </c>
      <c r="DE19" s="498">
        <v>568.4</v>
      </c>
      <c r="DF19" s="498">
        <v>934.8</v>
      </c>
      <c r="DG19" s="498">
        <v>1975.8</v>
      </c>
      <c r="DH19" s="498">
        <v>4322</v>
      </c>
      <c r="DI19" s="498">
        <v>636.4</v>
      </c>
      <c r="DJ19" s="498">
        <v>80.5</v>
      </c>
      <c r="DK19" s="498">
        <v>1396</v>
      </c>
      <c r="DL19" s="498">
        <v>2019</v>
      </c>
      <c r="DM19" s="498">
        <v>3596.4</v>
      </c>
      <c r="DN19" s="498">
        <v>2427.84</v>
      </c>
      <c r="DO19" s="498">
        <v>2224</v>
      </c>
      <c r="DP19" s="498">
        <v>6897.64</v>
      </c>
      <c r="DQ19" s="498">
        <v>80.5</v>
      </c>
      <c r="DR19" s="498">
        <v>80.5</v>
      </c>
      <c r="DS19" s="498">
        <v>1459.89</v>
      </c>
      <c r="DT19" s="498">
        <v>18590.400000000001</v>
      </c>
      <c r="DU19" s="559"/>
      <c r="DV19" s="559"/>
      <c r="DW19" s="559"/>
      <c r="DX19" s="559"/>
      <c r="DY19" s="380"/>
      <c r="DZ19" s="559"/>
      <c r="EA19" s="380"/>
      <c r="EB19" s="380"/>
      <c r="EC19" s="497"/>
    </row>
    <row r="20" spans="2:133" x14ac:dyDescent="0.2">
      <c r="B20" s="1036" t="s">
        <v>421</v>
      </c>
      <c r="C20" s="727"/>
      <c r="D20" s="1012"/>
      <c r="E20" s="495" t="s">
        <v>479</v>
      </c>
      <c r="F20" s="496"/>
      <c r="G20" s="395" t="s">
        <v>476</v>
      </c>
      <c r="H20" s="395"/>
      <c r="I20" s="498">
        <v>178.16000000000003</v>
      </c>
      <c r="J20" s="498">
        <v>113.25999999999999</v>
      </c>
      <c r="K20" s="498">
        <v>90.039999999999978</v>
      </c>
      <c r="L20" s="498">
        <v>41.56</v>
      </c>
      <c r="M20" s="498">
        <v>54.47</v>
      </c>
      <c r="N20" s="498">
        <v>7.112450331125828</v>
      </c>
      <c r="O20" s="498">
        <v>39.976212121212122</v>
      </c>
      <c r="P20" s="498">
        <v>145.97999999999999</v>
      </c>
      <c r="Q20" s="498">
        <v>136.58000000000001</v>
      </c>
      <c r="R20" s="498">
        <v>127.5</v>
      </c>
      <c r="S20" s="498">
        <v>141.47999999999999</v>
      </c>
      <c r="T20" s="498">
        <v>157.44</v>
      </c>
      <c r="U20" s="498">
        <v>168.32</v>
      </c>
      <c r="V20" s="498">
        <v>87.72</v>
      </c>
      <c r="W20" s="498">
        <v>96.78</v>
      </c>
      <c r="X20" s="498">
        <v>94.3</v>
      </c>
      <c r="Y20" s="498">
        <v>103.22</v>
      </c>
      <c r="Z20" s="498">
        <v>100.88</v>
      </c>
      <c r="AA20" s="498">
        <v>81.64</v>
      </c>
      <c r="AB20" s="498">
        <v>95.6</v>
      </c>
      <c r="AC20" s="498">
        <v>84.88</v>
      </c>
      <c r="AD20" s="498">
        <v>85.72</v>
      </c>
      <c r="AE20" s="498">
        <v>86.42</v>
      </c>
      <c r="AF20" s="498">
        <v>100.96</v>
      </c>
      <c r="AG20" s="498">
        <v>103.34</v>
      </c>
      <c r="AH20" s="498">
        <v>107.2</v>
      </c>
      <c r="AI20" s="498">
        <v>46.75</v>
      </c>
      <c r="AJ20" s="498">
        <v>41.6</v>
      </c>
      <c r="AK20" s="498">
        <v>40.71</v>
      </c>
      <c r="AL20" s="498">
        <v>41.75</v>
      </c>
      <c r="AM20" s="498">
        <v>51.35</v>
      </c>
      <c r="AN20" s="498">
        <v>48.51</v>
      </c>
      <c r="AO20" s="498">
        <v>51.52</v>
      </c>
      <c r="AP20" s="498">
        <v>38.025000000000006</v>
      </c>
      <c r="AQ20" s="498">
        <v>26.655000000000001</v>
      </c>
      <c r="AR20" s="498">
        <v>33.06</v>
      </c>
      <c r="AS20" s="498">
        <v>34.905000000000001</v>
      </c>
      <c r="AT20" s="498">
        <v>50.025000000000006</v>
      </c>
      <c r="AU20" s="498">
        <v>50.025000000000006</v>
      </c>
      <c r="AV20" s="498">
        <v>14.556000000000001</v>
      </c>
      <c r="AW20" s="498">
        <v>15.525</v>
      </c>
      <c r="AX20" s="498">
        <v>20.1875</v>
      </c>
      <c r="AY20" s="498">
        <v>18.350000000000001</v>
      </c>
      <c r="AZ20" s="498">
        <v>18.335999999999999</v>
      </c>
      <c r="BA20" s="498">
        <v>18.994285714285716</v>
      </c>
      <c r="BB20" s="498">
        <v>23.599999999999998</v>
      </c>
      <c r="BC20" s="498">
        <v>24.22666666666667</v>
      </c>
      <c r="BD20" s="498">
        <v>22.5625</v>
      </c>
      <c r="BE20" s="498">
        <v>20.546666666666667</v>
      </c>
      <c r="BF20" s="498">
        <v>23.319999999999997</v>
      </c>
      <c r="BG20" s="498">
        <v>17.68</v>
      </c>
      <c r="BH20" s="498">
        <v>15.053333333333333</v>
      </c>
      <c r="BI20" s="498">
        <v>15.984</v>
      </c>
      <c r="BJ20" s="498">
        <v>18.445714285714285</v>
      </c>
      <c r="BK20" s="498">
        <v>17.856000000000002</v>
      </c>
      <c r="BL20" s="498">
        <v>25.112500000000001</v>
      </c>
      <c r="BM20" s="498">
        <v>15.036</v>
      </c>
      <c r="BN20" s="498">
        <v>12.705</v>
      </c>
      <c r="BO20" s="1045">
        <v>127.34</v>
      </c>
      <c r="BP20" s="1045">
        <v>1419.32</v>
      </c>
      <c r="BQ20" s="1045">
        <v>4393.6000000000004</v>
      </c>
      <c r="BR20" s="1045">
        <v>74.510000000000005</v>
      </c>
      <c r="BS20" s="1045">
        <v>588.21</v>
      </c>
      <c r="BT20" s="1045">
        <v>1457.3</v>
      </c>
      <c r="BU20" s="1045">
        <v>308.70999999999998</v>
      </c>
      <c r="BV20" s="1045">
        <v>810.12</v>
      </c>
      <c r="BW20" s="1045">
        <v>1539.68</v>
      </c>
      <c r="BX20" s="1045">
        <v>559.06999999999994</v>
      </c>
      <c r="BY20" s="1045">
        <v>1177.73</v>
      </c>
      <c r="BZ20" s="1045">
        <v>3344.24</v>
      </c>
      <c r="CA20" s="1045">
        <v>121.97999999999999</v>
      </c>
      <c r="CB20" s="1045">
        <v>411.56</v>
      </c>
      <c r="CC20" s="1045">
        <v>2506.21</v>
      </c>
      <c r="CD20" s="1045">
        <v>152.71</v>
      </c>
      <c r="CE20" s="1045">
        <v>430.51</v>
      </c>
      <c r="CF20" s="1045">
        <v>178.21</v>
      </c>
      <c r="CG20" s="1045">
        <v>870.5</v>
      </c>
      <c r="CH20" s="1045">
        <v>3419.12</v>
      </c>
      <c r="CI20" s="1045">
        <v>233.9</v>
      </c>
      <c r="CJ20" s="1045">
        <v>1151.51</v>
      </c>
      <c r="CK20" s="1045">
        <v>4989</v>
      </c>
      <c r="CL20" s="1045">
        <v>1049.57</v>
      </c>
      <c r="CM20" s="1045">
        <v>3704.25</v>
      </c>
      <c r="CN20" s="1045">
        <v>7992.65</v>
      </c>
      <c r="CO20" s="1045">
        <v>456.91</v>
      </c>
      <c r="CP20" s="1045">
        <v>1133.43</v>
      </c>
      <c r="CQ20" s="1045">
        <v>4712.76</v>
      </c>
      <c r="CR20" s="1045">
        <v>51.63</v>
      </c>
      <c r="CS20" s="498">
        <v>447.8</v>
      </c>
      <c r="CT20" s="498">
        <v>950</v>
      </c>
      <c r="CU20" s="498">
        <v>1348.08</v>
      </c>
      <c r="CV20" s="498">
        <v>4427.46</v>
      </c>
      <c r="CW20" s="498">
        <v>66.25</v>
      </c>
      <c r="CX20" s="498">
        <v>154.85</v>
      </c>
      <c r="CY20" s="498">
        <v>447.8</v>
      </c>
      <c r="CZ20" s="498">
        <v>1370.91</v>
      </c>
      <c r="DA20" s="498">
        <v>7353.4800000000005</v>
      </c>
      <c r="DB20" s="498">
        <v>448.95000000000005</v>
      </c>
      <c r="DC20" s="498">
        <v>66.25</v>
      </c>
      <c r="DD20" s="498">
        <v>154.85</v>
      </c>
      <c r="DE20" s="498">
        <v>509.2</v>
      </c>
      <c r="DF20" s="498">
        <v>1495.6</v>
      </c>
      <c r="DG20" s="498">
        <v>2342.2999999999997</v>
      </c>
      <c r="DH20" s="498">
        <v>2291.8000000000002</v>
      </c>
      <c r="DI20" s="498">
        <v>1851.1899999999998</v>
      </c>
      <c r="DJ20" s="498">
        <v>154.85</v>
      </c>
      <c r="DK20" s="498">
        <v>1174.6000000000001</v>
      </c>
      <c r="DL20" s="498">
        <v>1438.8500000000001</v>
      </c>
      <c r="DM20" s="498">
        <v>2212.4</v>
      </c>
      <c r="DN20" s="498">
        <v>2185.1</v>
      </c>
      <c r="DO20" s="498">
        <v>403.4</v>
      </c>
      <c r="DP20" s="498">
        <v>3101.7400000000002</v>
      </c>
      <c r="DQ20" s="498">
        <v>66.25</v>
      </c>
      <c r="DR20" s="498">
        <v>154.85</v>
      </c>
      <c r="DS20" s="498">
        <v>702.63</v>
      </c>
      <c r="DT20" s="498">
        <v>2588.0199999999995</v>
      </c>
      <c r="DU20" s="559"/>
      <c r="DV20" s="559"/>
      <c r="DW20" s="559"/>
      <c r="DX20" s="559"/>
      <c r="DY20" s="380"/>
      <c r="DZ20" s="559"/>
      <c r="EA20" s="380"/>
      <c r="EB20" s="380"/>
      <c r="EC20" s="497"/>
    </row>
    <row r="21" spans="2:133" x14ac:dyDescent="0.2">
      <c r="B21" s="1036" t="s">
        <v>421</v>
      </c>
      <c r="C21" s="727"/>
      <c r="D21" s="1012"/>
      <c r="E21" s="495" t="s">
        <v>480</v>
      </c>
      <c r="F21" s="496"/>
      <c r="G21" s="395" t="s">
        <v>476</v>
      </c>
      <c r="H21" s="395"/>
      <c r="I21" s="498">
        <v>0</v>
      </c>
      <c r="J21" s="498">
        <v>0</v>
      </c>
      <c r="K21" s="498">
        <v>3.38</v>
      </c>
      <c r="L21" s="498">
        <v>0</v>
      </c>
      <c r="M21" s="498">
        <v>60.3</v>
      </c>
      <c r="N21" s="498">
        <v>4.3449337748344368</v>
      </c>
      <c r="O21" s="498">
        <v>17.815454545454543</v>
      </c>
      <c r="P21" s="498">
        <v>40.58</v>
      </c>
      <c r="Q21" s="498">
        <v>32.35</v>
      </c>
      <c r="R21" s="498">
        <v>21.01</v>
      </c>
      <c r="S21" s="498">
        <v>23.94</v>
      </c>
      <c r="T21" s="498">
        <v>26.91</v>
      </c>
      <c r="U21" s="498">
        <v>23.8</v>
      </c>
      <c r="V21" s="498">
        <v>24.76</v>
      </c>
      <c r="W21" s="498">
        <v>13.59</v>
      </c>
      <c r="X21" s="498">
        <v>17</v>
      </c>
      <c r="Y21" s="498">
        <v>20.73</v>
      </c>
      <c r="Z21" s="498">
        <v>16.829999999999998</v>
      </c>
      <c r="AA21" s="498">
        <v>0</v>
      </c>
      <c r="AB21" s="498">
        <v>24.28</v>
      </c>
      <c r="AC21" s="498">
        <v>16.77</v>
      </c>
      <c r="AD21" s="498">
        <v>0</v>
      </c>
      <c r="AE21" s="498">
        <v>0</v>
      </c>
      <c r="AF21" s="498">
        <v>27.66</v>
      </c>
      <c r="AG21" s="498">
        <v>12.24</v>
      </c>
      <c r="AH21" s="498">
        <v>0</v>
      </c>
      <c r="AI21" s="498">
        <v>19.45</v>
      </c>
      <c r="AJ21" s="498">
        <v>0</v>
      </c>
      <c r="AK21" s="498">
        <v>0</v>
      </c>
      <c r="AL21" s="498">
        <v>0</v>
      </c>
      <c r="AM21" s="498">
        <v>18.5</v>
      </c>
      <c r="AN21" s="498">
        <v>0</v>
      </c>
      <c r="AO21" s="498">
        <v>13.97</v>
      </c>
      <c r="AP21" s="498">
        <v>26.29</v>
      </c>
      <c r="AQ21" s="498">
        <v>0</v>
      </c>
      <c r="AR21" s="498">
        <v>0</v>
      </c>
      <c r="AS21" s="498">
        <v>25.4</v>
      </c>
      <c r="AT21" s="498">
        <v>30.85</v>
      </c>
      <c r="AU21" s="498">
        <v>30.85</v>
      </c>
      <c r="AV21" s="498">
        <v>14.148</v>
      </c>
      <c r="AW21" s="498">
        <v>10.045</v>
      </c>
      <c r="AX21" s="498">
        <v>17.107500000000002</v>
      </c>
      <c r="AY21" s="498">
        <v>18.215</v>
      </c>
      <c r="AZ21" s="498">
        <v>17.238</v>
      </c>
      <c r="BA21" s="498">
        <v>0</v>
      </c>
      <c r="BB21" s="498">
        <v>21.18</v>
      </c>
      <c r="BC21" s="498">
        <v>21.696666666666669</v>
      </c>
      <c r="BD21" s="498">
        <v>19.600000000000001</v>
      </c>
      <c r="BE21" s="498">
        <v>21.526666666666667</v>
      </c>
      <c r="BF21" s="498">
        <v>28.67</v>
      </c>
      <c r="BG21" s="498">
        <v>24.38</v>
      </c>
      <c r="BH21" s="498">
        <v>9.41</v>
      </c>
      <c r="BI21" s="498">
        <v>12.994</v>
      </c>
      <c r="BJ21" s="498">
        <v>11.757142857142856</v>
      </c>
      <c r="BK21" s="498">
        <v>13.540000000000001</v>
      </c>
      <c r="BL21" s="498">
        <v>23.5275</v>
      </c>
      <c r="BM21" s="498">
        <v>14.794</v>
      </c>
      <c r="BN21" s="498">
        <v>11.655000000000001</v>
      </c>
      <c r="BO21" s="1045">
        <v>110.21</v>
      </c>
      <c r="BP21" s="1045">
        <v>662</v>
      </c>
      <c r="BQ21" s="1045">
        <v>1716.3</v>
      </c>
      <c r="BR21" s="1045">
        <v>0</v>
      </c>
      <c r="BS21" s="1045">
        <v>280</v>
      </c>
      <c r="BT21" s="1045">
        <v>4190</v>
      </c>
      <c r="BU21" s="1045">
        <v>407.7</v>
      </c>
      <c r="BV21" s="1045">
        <v>914.14</v>
      </c>
      <c r="BW21" s="1045">
        <v>3114.57</v>
      </c>
      <c r="BX21" s="1045">
        <v>870.97</v>
      </c>
      <c r="BY21" s="1045">
        <v>2383</v>
      </c>
      <c r="BZ21" s="1045">
        <v>2862.53</v>
      </c>
      <c r="CA21" s="1045">
        <v>0</v>
      </c>
      <c r="CB21" s="1045">
        <v>414.66</v>
      </c>
      <c r="CC21" s="1045">
        <v>2439.2800000000002</v>
      </c>
      <c r="CD21" s="1045">
        <v>291.14</v>
      </c>
      <c r="CE21" s="1045">
        <v>446.8</v>
      </c>
      <c r="CF21" s="1045">
        <v>227.85</v>
      </c>
      <c r="CG21" s="1045">
        <v>1100.8</v>
      </c>
      <c r="CH21" s="1045">
        <v>2641.19</v>
      </c>
      <c r="CI21" s="1045">
        <v>342.94</v>
      </c>
      <c r="CJ21" s="1045">
        <v>3459.87</v>
      </c>
      <c r="CK21" s="1045">
        <v>7308.5</v>
      </c>
      <c r="CL21" s="1045">
        <v>708.92</v>
      </c>
      <c r="CM21" s="1045">
        <v>3230.54</v>
      </c>
      <c r="CN21" s="1045">
        <v>8030.72</v>
      </c>
      <c r="CO21" s="1045">
        <v>213.95</v>
      </c>
      <c r="CP21" s="1045">
        <v>760.7</v>
      </c>
      <c r="CQ21" s="1045">
        <v>1664.9</v>
      </c>
      <c r="CR21" s="1045">
        <v>0</v>
      </c>
      <c r="CS21" s="498">
        <v>1052</v>
      </c>
      <c r="CT21" s="498">
        <v>1608</v>
      </c>
      <c r="CU21" s="498">
        <v>2866</v>
      </c>
      <c r="CV21" s="498">
        <v>4266.08</v>
      </c>
      <c r="CW21" s="498">
        <v>80.5</v>
      </c>
      <c r="CX21" s="498">
        <v>80.5</v>
      </c>
      <c r="CY21" s="498">
        <v>1052</v>
      </c>
      <c r="CZ21" s="498">
        <v>1462</v>
      </c>
      <c r="DA21" s="498">
        <v>0</v>
      </c>
      <c r="DB21" s="498">
        <v>579.5</v>
      </c>
      <c r="DC21" s="498">
        <v>80.5</v>
      </c>
      <c r="DD21" s="498">
        <v>80.5</v>
      </c>
      <c r="DE21" s="498">
        <v>565.5</v>
      </c>
      <c r="DF21" s="498">
        <v>934.8</v>
      </c>
      <c r="DG21" s="498">
        <v>1871</v>
      </c>
      <c r="DH21" s="498">
        <v>2851.6</v>
      </c>
      <c r="DI21" s="498">
        <v>749.33999999999992</v>
      </c>
      <c r="DJ21" s="498">
        <v>80.5</v>
      </c>
      <c r="DK21" s="498">
        <v>1384</v>
      </c>
      <c r="DL21" s="498">
        <v>1987</v>
      </c>
      <c r="DM21" s="498">
        <v>3492</v>
      </c>
      <c r="DN21" s="498">
        <v>2404</v>
      </c>
      <c r="DO21" s="498">
        <v>2224</v>
      </c>
      <c r="DP21" s="498">
        <v>7230</v>
      </c>
      <c r="DQ21" s="498">
        <v>80.5</v>
      </c>
      <c r="DR21" s="498">
        <v>80.5</v>
      </c>
      <c r="DS21" s="498">
        <v>35</v>
      </c>
      <c r="DT21" s="498">
        <v>18719.400000000001</v>
      </c>
      <c r="DU21" s="559"/>
      <c r="DV21" s="559"/>
      <c r="DW21" s="559"/>
      <c r="DX21" s="559"/>
      <c r="DY21" s="380"/>
      <c r="DZ21" s="559"/>
      <c r="EA21" s="380"/>
      <c r="EB21" s="380"/>
      <c r="EC21" s="497"/>
    </row>
    <row r="22" spans="2:133" x14ac:dyDescent="0.2">
      <c r="B22" s="1036" t="s">
        <v>421</v>
      </c>
      <c r="C22" s="727"/>
      <c r="D22" s="1012"/>
      <c r="E22" s="495" t="s">
        <v>481</v>
      </c>
      <c r="F22" s="496"/>
      <c r="G22" s="395" t="s">
        <v>476</v>
      </c>
      <c r="H22" s="395"/>
      <c r="I22" s="498">
        <v>93.68</v>
      </c>
      <c r="J22" s="498">
        <v>70.739999999999995</v>
      </c>
      <c r="K22" s="498">
        <v>85.34</v>
      </c>
      <c r="L22" s="498">
        <v>62.38</v>
      </c>
      <c r="M22" s="498">
        <v>0</v>
      </c>
      <c r="N22" s="498">
        <v>0</v>
      </c>
      <c r="O22" s="498">
        <v>0</v>
      </c>
      <c r="P22" s="498">
        <v>95.57</v>
      </c>
      <c r="Q22" s="498">
        <v>102.32</v>
      </c>
      <c r="R22" s="498">
        <v>107.15</v>
      </c>
      <c r="S22" s="498">
        <v>118.04</v>
      </c>
      <c r="T22" s="498">
        <v>119.61</v>
      </c>
      <c r="U22" s="498">
        <v>131.37</v>
      </c>
      <c r="V22" s="498">
        <v>56.82</v>
      </c>
      <c r="W22" s="498">
        <v>58.62</v>
      </c>
      <c r="X22" s="498">
        <v>68.94</v>
      </c>
      <c r="Y22" s="498">
        <v>64.8</v>
      </c>
      <c r="Z22" s="498">
        <v>78.459999999999994</v>
      </c>
      <c r="AA22" s="498">
        <v>79.709999999999994</v>
      </c>
      <c r="AB22" s="498">
        <v>52.17</v>
      </c>
      <c r="AC22" s="498">
        <v>48.64</v>
      </c>
      <c r="AD22" s="498">
        <v>57.45</v>
      </c>
      <c r="AE22" s="498">
        <v>61.89</v>
      </c>
      <c r="AF22" s="498">
        <v>54.81</v>
      </c>
      <c r="AG22" s="498">
        <v>66.31</v>
      </c>
      <c r="AH22" s="498">
        <v>73.19</v>
      </c>
      <c r="AI22" s="498">
        <v>46.17</v>
      </c>
      <c r="AJ22" s="498">
        <v>50.88</v>
      </c>
      <c r="AK22" s="498">
        <v>55.77</v>
      </c>
      <c r="AL22" s="498">
        <v>60.68</v>
      </c>
      <c r="AM22" s="498">
        <v>50.49</v>
      </c>
      <c r="AN22" s="498">
        <v>59.61</v>
      </c>
      <c r="AO22" s="498">
        <v>60.57</v>
      </c>
      <c r="AP22" s="498">
        <v>0</v>
      </c>
      <c r="AQ22" s="498">
        <v>34.659999999999997</v>
      </c>
      <c r="AR22" s="498">
        <v>33.344999999999999</v>
      </c>
      <c r="AS22" s="498">
        <v>0</v>
      </c>
      <c r="AT22" s="498">
        <v>0</v>
      </c>
      <c r="AU22" s="498">
        <v>0</v>
      </c>
      <c r="AV22" s="498">
        <v>0</v>
      </c>
      <c r="AW22" s="498">
        <v>0</v>
      </c>
      <c r="AX22" s="498">
        <v>0</v>
      </c>
      <c r="AY22" s="498">
        <v>0</v>
      </c>
      <c r="AZ22" s="498">
        <v>0</v>
      </c>
      <c r="BA22" s="498">
        <v>15.114285714285714</v>
      </c>
      <c r="BB22" s="498">
        <v>0</v>
      </c>
      <c r="BC22" s="498">
        <v>0</v>
      </c>
      <c r="BD22" s="498">
        <v>0</v>
      </c>
      <c r="BE22" s="498">
        <v>0</v>
      </c>
      <c r="BF22" s="498">
        <v>0</v>
      </c>
      <c r="BG22" s="498">
        <v>0</v>
      </c>
      <c r="BH22" s="498">
        <v>0</v>
      </c>
      <c r="BI22" s="498">
        <v>0</v>
      </c>
      <c r="BJ22" s="498">
        <v>0</v>
      </c>
      <c r="BK22" s="498">
        <v>0</v>
      </c>
      <c r="BL22" s="498">
        <v>0</v>
      </c>
      <c r="BM22" s="498">
        <v>0</v>
      </c>
      <c r="BN22" s="498">
        <v>0</v>
      </c>
      <c r="BO22" s="1045">
        <v>0</v>
      </c>
      <c r="BP22" s="1045">
        <v>0</v>
      </c>
      <c r="BQ22" s="1045">
        <v>0</v>
      </c>
      <c r="BR22" s="1045">
        <v>0</v>
      </c>
      <c r="BS22" s="1045">
        <v>0</v>
      </c>
      <c r="BT22" s="1045">
        <v>0</v>
      </c>
      <c r="BU22" s="1045">
        <v>0</v>
      </c>
      <c r="BV22" s="1045">
        <v>0</v>
      </c>
      <c r="BW22" s="1045">
        <v>0</v>
      </c>
      <c r="BX22" s="1045">
        <v>0</v>
      </c>
      <c r="BY22" s="1045">
        <v>0</v>
      </c>
      <c r="BZ22" s="1045">
        <v>0</v>
      </c>
      <c r="CA22" s="1045">
        <v>0</v>
      </c>
      <c r="CB22" s="1045">
        <v>0</v>
      </c>
      <c r="CC22" s="1045">
        <v>0</v>
      </c>
      <c r="CD22" s="1045">
        <v>0</v>
      </c>
      <c r="CE22" s="1045">
        <v>0</v>
      </c>
      <c r="CF22" s="1045">
        <v>0</v>
      </c>
      <c r="CG22" s="1045">
        <v>0</v>
      </c>
      <c r="CH22" s="1045">
        <v>0</v>
      </c>
      <c r="CI22" s="1045">
        <v>0</v>
      </c>
      <c r="CJ22" s="1045">
        <v>0</v>
      </c>
      <c r="CK22" s="1045">
        <v>0</v>
      </c>
      <c r="CL22" s="1045">
        <v>0</v>
      </c>
      <c r="CM22" s="1045">
        <v>0</v>
      </c>
      <c r="CN22" s="1045">
        <v>0</v>
      </c>
      <c r="CO22" s="1045">
        <v>0</v>
      </c>
      <c r="CP22" s="1045">
        <v>0</v>
      </c>
      <c r="CQ22" s="1045">
        <v>0</v>
      </c>
      <c r="CR22" s="1045">
        <v>101.64</v>
      </c>
      <c r="CS22" s="498">
        <v>0</v>
      </c>
      <c r="CT22" s="498">
        <v>0</v>
      </c>
      <c r="CU22" s="498">
        <v>0</v>
      </c>
      <c r="CV22" s="498">
        <v>0</v>
      </c>
      <c r="CW22" s="498">
        <v>0</v>
      </c>
      <c r="CX22" s="498">
        <v>0</v>
      </c>
      <c r="CY22" s="498">
        <v>0</v>
      </c>
      <c r="CZ22" s="498">
        <v>0</v>
      </c>
      <c r="DA22" s="498">
        <v>0</v>
      </c>
      <c r="DB22" s="498">
        <v>0</v>
      </c>
      <c r="DC22" s="498">
        <v>0</v>
      </c>
      <c r="DD22" s="498">
        <v>0</v>
      </c>
      <c r="DE22" s="498">
        <v>0</v>
      </c>
      <c r="DF22" s="498">
        <v>0</v>
      </c>
      <c r="DG22" s="498">
        <v>0</v>
      </c>
      <c r="DH22" s="498">
        <v>0</v>
      </c>
      <c r="DI22" s="498">
        <v>0</v>
      </c>
      <c r="DJ22" s="498">
        <v>0</v>
      </c>
      <c r="DK22" s="498">
        <v>0</v>
      </c>
      <c r="DL22" s="498">
        <v>0</v>
      </c>
      <c r="DM22" s="498">
        <v>0</v>
      </c>
      <c r="DN22" s="498">
        <v>0</v>
      </c>
      <c r="DO22" s="498">
        <v>0</v>
      </c>
      <c r="DP22" s="498">
        <v>0</v>
      </c>
      <c r="DQ22" s="498">
        <v>0</v>
      </c>
      <c r="DR22" s="498">
        <v>0</v>
      </c>
      <c r="DS22" s="498">
        <v>1516.99</v>
      </c>
      <c r="DT22" s="498">
        <v>0</v>
      </c>
      <c r="DU22" s="559"/>
      <c r="DV22" s="559"/>
      <c r="DW22" s="559"/>
      <c r="DX22" s="559"/>
      <c r="DY22" s="380"/>
      <c r="DZ22" s="559"/>
      <c r="EA22" s="380"/>
      <c r="EB22" s="380"/>
      <c r="EC22" s="497"/>
    </row>
    <row r="23" spans="2:133" x14ac:dyDescent="0.2">
      <c r="B23" s="1036" t="s">
        <v>421</v>
      </c>
      <c r="C23" s="727"/>
      <c r="D23" s="1012"/>
      <c r="E23" s="495" t="s">
        <v>482</v>
      </c>
      <c r="F23" s="496"/>
      <c r="G23" s="395" t="s">
        <v>476</v>
      </c>
      <c r="H23" s="395"/>
      <c r="I23" s="498">
        <v>55.990000000000009</v>
      </c>
      <c r="J23" s="498">
        <v>28.45</v>
      </c>
      <c r="K23" s="498">
        <v>22.89</v>
      </c>
      <c r="L23" s="498">
        <v>16.36</v>
      </c>
      <c r="M23" s="498">
        <v>17.420000000000002</v>
      </c>
      <c r="N23" s="498">
        <v>4.3329635761589396</v>
      </c>
      <c r="O23" s="498">
        <v>23.74606060606061</v>
      </c>
      <c r="P23" s="498">
        <v>34.54</v>
      </c>
      <c r="Q23" s="498">
        <v>40.42</v>
      </c>
      <c r="R23" s="498">
        <v>33.200000000000003</v>
      </c>
      <c r="S23" s="498">
        <v>39.840000000000003</v>
      </c>
      <c r="T23" s="498">
        <v>46.58</v>
      </c>
      <c r="U23" s="498">
        <v>46.5</v>
      </c>
      <c r="V23" s="498">
        <v>23.520000000000003</v>
      </c>
      <c r="W23" s="498">
        <v>30.759999999999998</v>
      </c>
      <c r="X23" s="498">
        <v>24.709999999999997</v>
      </c>
      <c r="Y23" s="498">
        <v>26.98</v>
      </c>
      <c r="Z23" s="498">
        <v>30.53</v>
      </c>
      <c r="AA23" s="498">
        <v>22.130000000000003</v>
      </c>
      <c r="AB23" s="498">
        <v>24.360000000000003</v>
      </c>
      <c r="AC23" s="498">
        <v>20.98</v>
      </c>
      <c r="AD23" s="498">
        <v>27.04</v>
      </c>
      <c r="AE23" s="498">
        <v>19.760000000000002</v>
      </c>
      <c r="AF23" s="498">
        <v>23.87</v>
      </c>
      <c r="AG23" s="498">
        <v>27.560000000000002</v>
      </c>
      <c r="AH23" s="498">
        <v>28.16</v>
      </c>
      <c r="AI23" s="498">
        <v>21.18</v>
      </c>
      <c r="AJ23" s="498">
        <v>21.26</v>
      </c>
      <c r="AK23" s="498">
        <v>24.64</v>
      </c>
      <c r="AL23" s="498">
        <v>18.420000000000002</v>
      </c>
      <c r="AM23" s="498">
        <v>22.92</v>
      </c>
      <c r="AN23" s="498">
        <v>20.78</v>
      </c>
      <c r="AO23" s="498">
        <v>18.77</v>
      </c>
      <c r="AP23" s="498">
        <v>18.2</v>
      </c>
      <c r="AQ23" s="498">
        <v>17.07</v>
      </c>
      <c r="AR23" s="498">
        <v>12.594999999999999</v>
      </c>
      <c r="AS23" s="498">
        <v>18.079999999999998</v>
      </c>
      <c r="AT23" s="498">
        <v>18.535</v>
      </c>
      <c r="AU23" s="498">
        <v>18.535</v>
      </c>
      <c r="AV23" s="498">
        <v>16.478000000000002</v>
      </c>
      <c r="AW23" s="498">
        <v>17.52</v>
      </c>
      <c r="AX23" s="498">
        <v>10.719999999999999</v>
      </c>
      <c r="AY23" s="498">
        <v>12.477500000000001</v>
      </c>
      <c r="AZ23" s="498">
        <v>17.388000000000002</v>
      </c>
      <c r="BA23" s="498">
        <v>8.6242857142857137</v>
      </c>
      <c r="BB23" s="498">
        <v>11.263333333333332</v>
      </c>
      <c r="BC23" s="498">
        <v>14.083333333333334</v>
      </c>
      <c r="BD23" s="498">
        <v>17.317500000000003</v>
      </c>
      <c r="BE23" s="498">
        <v>10.306666666666667</v>
      </c>
      <c r="BF23" s="498">
        <v>15.66</v>
      </c>
      <c r="BG23" s="498">
        <v>13.066666666666666</v>
      </c>
      <c r="BH23" s="498">
        <v>3.8800000000000003</v>
      </c>
      <c r="BI23" s="498">
        <v>11.02</v>
      </c>
      <c r="BJ23" s="498">
        <v>13.662857142857142</v>
      </c>
      <c r="BK23" s="498">
        <v>10.241999999999999</v>
      </c>
      <c r="BL23" s="498">
        <v>15.725000000000001</v>
      </c>
      <c r="BM23" s="498">
        <v>14.24</v>
      </c>
      <c r="BN23" s="498">
        <v>13.373333333333335</v>
      </c>
      <c r="BO23" s="1045">
        <v>46.13</v>
      </c>
      <c r="BP23" s="1045">
        <v>739.81</v>
      </c>
      <c r="BQ23" s="1045">
        <v>2500.5</v>
      </c>
      <c r="BR23" s="1045">
        <v>34.86</v>
      </c>
      <c r="BS23" s="1045">
        <v>200.95000000000002</v>
      </c>
      <c r="BT23" s="1045">
        <v>419.4</v>
      </c>
      <c r="BU23" s="1045">
        <v>74</v>
      </c>
      <c r="BV23" s="1045">
        <v>187.78</v>
      </c>
      <c r="BW23" s="1045">
        <v>233.4</v>
      </c>
      <c r="BX23" s="1045">
        <v>184.82999999999998</v>
      </c>
      <c r="BY23" s="1045">
        <v>354.07</v>
      </c>
      <c r="BZ23" s="1045">
        <v>1909.0900000000001</v>
      </c>
      <c r="CA23" s="1045">
        <v>48.24</v>
      </c>
      <c r="CB23" s="1045">
        <v>173.49</v>
      </c>
      <c r="CC23" s="1045">
        <v>952.25</v>
      </c>
      <c r="CD23" s="1045">
        <v>60.870000000000005</v>
      </c>
      <c r="CE23" s="1045">
        <v>200.24</v>
      </c>
      <c r="CF23" s="1045">
        <v>69.09</v>
      </c>
      <c r="CG23" s="1045">
        <v>313.7</v>
      </c>
      <c r="CH23" s="1045">
        <v>1639.31</v>
      </c>
      <c r="CI23" s="1045">
        <v>82.899999999999991</v>
      </c>
      <c r="CJ23" s="1045">
        <v>412.8</v>
      </c>
      <c r="CK23" s="1045">
        <v>1843.6999999999998</v>
      </c>
      <c r="CL23" s="1045">
        <v>322.63</v>
      </c>
      <c r="CM23" s="1045">
        <v>1142.23</v>
      </c>
      <c r="CN23" s="1045">
        <v>2637.65</v>
      </c>
      <c r="CO23" s="1045">
        <v>95.710000000000008</v>
      </c>
      <c r="CP23" s="1045">
        <v>827.37</v>
      </c>
      <c r="CQ23" s="1045">
        <v>1373.1</v>
      </c>
      <c r="CR23" s="1045">
        <v>12.940000000000001</v>
      </c>
      <c r="CS23" s="498">
        <v>400.79999999999995</v>
      </c>
      <c r="CT23" s="498">
        <v>175.92</v>
      </c>
      <c r="CU23" s="498">
        <v>421.1</v>
      </c>
      <c r="CV23" s="498">
        <v>788.18000000000006</v>
      </c>
      <c r="CW23" s="498">
        <v>29.9</v>
      </c>
      <c r="CX23" s="498">
        <v>52.3</v>
      </c>
      <c r="CY23" s="498">
        <v>400.79999999999995</v>
      </c>
      <c r="CZ23" s="498">
        <v>529.32000000000005</v>
      </c>
      <c r="DA23" s="498">
        <v>15081.93</v>
      </c>
      <c r="DB23" s="498">
        <v>90.79</v>
      </c>
      <c r="DC23" s="498">
        <v>29.9</v>
      </c>
      <c r="DD23" s="498">
        <v>52.3</v>
      </c>
      <c r="DE23" s="498">
        <v>140.5</v>
      </c>
      <c r="DF23" s="498">
        <v>993.8</v>
      </c>
      <c r="DG23" s="498">
        <v>10229.200000000001</v>
      </c>
      <c r="DH23" s="498">
        <v>8977</v>
      </c>
      <c r="DI23" s="498">
        <v>962.82</v>
      </c>
      <c r="DJ23" s="498">
        <v>52.3</v>
      </c>
      <c r="DK23" s="498">
        <v>423.05999999999995</v>
      </c>
      <c r="DL23" s="498">
        <v>603.12</v>
      </c>
      <c r="DM23" s="498">
        <v>1198</v>
      </c>
      <c r="DN23" s="498">
        <v>4184</v>
      </c>
      <c r="DO23" s="498">
        <v>177.4</v>
      </c>
      <c r="DP23" s="498">
        <v>330.6</v>
      </c>
      <c r="DQ23" s="498">
        <v>29.9</v>
      </c>
      <c r="DR23" s="498">
        <v>52.3</v>
      </c>
      <c r="DS23" s="498">
        <v>137.89999999999998</v>
      </c>
      <c r="DT23" s="498">
        <v>305.60000000000002</v>
      </c>
      <c r="DU23" s="559"/>
      <c r="DV23" s="559"/>
      <c r="DW23" s="559"/>
      <c r="DX23" s="559"/>
      <c r="DY23" s="380"/>
      <c r="DZ23" s="559"/>
      <c r="EA23" s="380"/>
      <c r="EB23" s="380"/>
      <c r="EC23" s="497"/>
    </row>
    <row r="24" spans="2:133" x14ac:dyDescent="0.2">
      <c r="B24" s="1036" t="s">
        <v>421</v>
      </c>
      <c r="C24" s="727"/>
      <c r="D24" s="1012"/>
      <c r="E24" s="495" t="s">
        <v>483</v>
      </c>
      <c r="F24" s="496"/>
      <c r="G24" s="395" t="s">
        <v>476</v>
      </c>
      <c r="H24" s="395"/>
      <c r="I24" s="498">
        <v>2.4700000000000002</v>
      </c>
      <c r="J24" s="498">
        <v>2.4</v>
      </c>
      <c r="K24" s="498">
        <v>4.9400000000000004</v>
      </c>
      <c r="L24" s="498">
        <v>2.4700000000000002</v>
      </c>
      <c r="M24" s="498">
        <v>2.4700000000000002</v>
      </c>
      <c r="N24" s="498">
        <v>0</v>
      </c>
      <c r="O24" s="498">
        <v>0.37454545454545451</v>
      </c>
      <c r="P24" s="498">
        <v>9.27</v>
      </c>
      <c r="Q24" s="498">
        <v>8.4600000000000009</v>
      </c>
      <c r="R24" s="498">
        <v>8.8699999999999992</v>
      </c>
      <c r="S24" s="498">
        <v>10.18</v>
      </c>
      <c r="T24" s="498">
        <v>12.92</v>
      </c>
      <c r="U24" s="498">
        <v>10.52</v>
      </c>
      <c r="V24" s="498">
        <v>6.81</v>
      </c>
      <c r="W24" s="498">
        <v>6.46</v>
      </c>
      <c r="X24" s="498">
        <v>7.29</v>
      </c>
      <c r="Y24" s="498">
        <v>8</v>
      </c>
      <c r="Z24" s="498">
        <v>8.8800000000000008</v>
      </c>
      <c r="AA24" s="498">
        <v>8.16</v>
      </c>
      <c r="AB24" s="498">
        <v>7.91</v>
      </c>
      <c r="AC24" s="498">
        <v>6.51</v>
      </c>
      <c r="AD24" s="498">
        <v>5.56</v>
      </c>
      <c r="AE24" s="498">
        <v>5.15</v>
      </c>
      <c r="AF24" s="498">
        <v>7.61</v>
      </c>
      <c r="AG24" s="498">
        <v>6.81</v>
      </c>
      <c r="AH24" s="498">
        <v>5.38</v>
      </c>
      <c r="AI24" s="498">
        <v>7.21</v>
      </c>
      <c r="AJ24" s="498">
        <v>5.84</v>
      </c>
      <c r="AK24" s="498">
        <v>5.48</v>
      </c>
      <c r="AL24" s="498">
        <v>5.26</v>
      </c>
      <c r="AM24" s="498">
        <v>6.09</v>
      </c>
      <c r="AN24" s="498">
        <v>6.16</v>
      </c>
      <c r="AO24" s="498">
        <v>6.18</v>
      </c>
      <c r="AP24" s="498">
        <v>6.59</v>
      </c>
      <c r="AQ24" s="498">
        <v>5.62</v>
      </c>
      <c r="AR24" s="498">
        <v>4.68</v>
      </c>
      <c r="AS24" s="498">
        <v>4.4000000000000004</v>
      </c>
      <c r="AT24" s="498">
        <v>7.8</v>
      </c>
      <c r="AU24" s="498">
        <v>7.8</v>
      </c>
      <c r="AV24" s="498">
        <v>4.55</v>
      </c>
      <c r="AW24" s="498">
        <v>4.8600000000000003</v>
      </c>
      <c r="AX24" s="498">
        <v>4.26</v>
      </c>
      <c r="AY24" s="498">
        <v>4.0999999999999996</v>
      </c>
      <c r="AZ24" s="498">
        <v>4.2699999999999996</v>
      </c>
      <c r="BA24" s="498">
        <v>3.98</v>
      </c>
      <c r="BB24" s="498">
        <v>5.65</v>
      </c>
      <c r="BC24" s="498">
        <v>5.71</v>
      </c>
      <c r="BD24" s="498">
        <v>4.37</v>
      </c>
      <c r="BE24" s="498">
        <v>4.92</v>
      </c>
      <c r="BF24" s="498">
        <v>3.78</v>
      </c>
      <c r="BG24" s="498">
        <v>4.95</v>
      </c>
      <c r="BH24" s="498">
        <v>4.2</v>
      </c>
      <c r="BI24" s="498">
        <v>3.91</v>
      </c>
      <c r="BJ24" s="498">
        <v>3.44</v>
      </c>
      <c r="BK24" s="498">
        <v>2.46</v>
      </c>
      <c r="BL24" s="498">
        <v>4.33</v>
      </c>
      <c r="BM24" s="498">
        <v>3.01</v>
      </c>
      <c r="BN24" s="498">
        <v>3.2</v>
      </c>
      <c r="BO24" s="1045">
        <v>0</v>
      </c>
      <c r="BP24" s="1045">
        <v>24.2</v>
      </c>
      <c r="BQ24" s="1045">
        <v>11.26</v>
      </c>
      <c r="BR24" s="1045">
        <v>5</v>
      </c>
      <c r="BS24" s="1045">
        <v>4.99</v>
      </c>
      <c r="BT24" s="1045">
        <v>0</v>
      </c>
      <c r="BU24" s="1045">
        <v>5.85</v>
      </c>
      <c r="BV24" s="1045">
        <v>4.4000000000000004</v>
      </c>
      <c r="BW24" s="1045">
        <v>23.15</v>
      </c>
      <c r="BX24" s="1045">
        <v>2.6</v>
      </c>
      <c r="BY24" s="1045">
        <v>10.1</v>
      </c>
      <c r="BZ24" s="1045">
        <v>10.27</v>
      </c>
      <c r="CA24" s="1045">
        <v>4.4000000000000004</v>
      </c>
      <c r="CB24" s="1045">
        <v>15.37</v>
      </c>
      <c r="CC24" s="1045">
        <v>0</v>
      </c>
      <c r="CD24" s="1045">
        <v>0</v>
      </c>
      <c r="CE24" s="1045">
        <v>6.45</v>
      </c>
      <c r="CF24" s="1045">
        <v>2.2999999999999998</v>
      </c>
      <c r="CG24" s="1045">
        <v>5.83</v>
      </c>
      <c r="CH24" s="1045">
        <v>22.57</v>
      </c>
      <c r="CI24" s="1045">
        <v>4.7</v>
      </c>
      <c r="CJ24" s="1045">
        <v>0</v>
      </c>
      <c r="CK24" s="1045">
        <v>0</v>
      </c>
      <c r="CL24" s="1045">
        <v>4.75</v>
      </c>
      <c r="CM24" s="1045">
        <v>3.57</v>
      </c>
      <c r="CN24" s="1045">
        <v>5.09</v>
      </c>
      <c r="CO24" s="1045">
        <v>21.73</v>
      </c>
      <c r="CP24" s="1045">
        <v>3.58</v>
      </c>
      <c r="CQ24" s="1045">
        <v>2.04</v>
      </c>
      <c r="CR24" s="1045">
        <v>1.03</v>
      </c>
      <c r="CS24" s="498">
        <v>59.2</v>
      </c>
      <c r="CT24" s="498">
        <v>14.610000000000001</v>
      </c>
      <c r="CU24" s="498">
        <v>24</v>
      </c>
      <c r="CV24" s="498">
        <v>24.29</v>
      </c>
      <c r="CW24" s="498">
        <v>3.75</v>
      </c>
      <c r="CX24" s="498">
        <v>3.75</v>
      </c>
      <c r="CY24" s="498">
        <v>59.2</v>
      </c>
      <c r="CZ24" s="498">
        <v>7.41</v>
      </c>
      <c r="DA24" s="498">
        <v>12.21</v>
      </c>
      <c r="DB24" s="498">
        <v>2.4700000000000002</v>
      </c>
      <c r="DC24" s="498">
        <v>3.75</v>
      </c>
      <c r="DD24" s="498">
        <v>3.75</v>
      </c>
      <c r="DE24" s="498">
        <v>0</v>
      </c>
      <c r="DF24" s="498">
        <v>0</v>
      </c>
      <c r="DG24" s="498">
        <v>0</v>
      </c>
      <c r="DH24" s="498">
        <v>36.6</v>
      </c>
      <c r="DI24" s="498">
        <v>4.79</v>
      </c>
      <c r="DJ24" s="498">
        <v>3.75</v>
      </c>
      <c r="DK24" s="498">
        <v>6.14</v>
      </c>
      <c r="DL24" s="498">
        <v>7.4</v>
      </c>
      <c r="DM24" s="498">
        <v>2.4700000000000002</v>
      </c>
      <c r="DN24" s="498">
        <v>0</v>
      </c>
      <c r="DO24" s="498">
        <v>19.8</v>
      </c>
      <c r="DP24" s="498">
        <v>60.210000000000008</v>
      </c>
      <c r="DQ24" s="498">
        <v>3.75</v>
      </c>
      <c r="DR24" s="498">
        <v>3.75</v>
      </c>
      <c r="DS24" s="498">
        <v>9.89</v>
      </c>
      <c r="DT24" s="498">
        <v>73.22</v>
      </c>
      <c r="DU24" s="559"/>
      <c r="DV24" s="559"/>
      <c r="DW24" s="559"/>
      <c r="DX24" s="559"/>
      <c r="DY24" s="380"/>
      <c r="DZ24" s="559"/>
      <c r="EA24" s="380"/>
      <c r="EB24" s="380"/>
      <c r="EC24" s="497"/>
    </row>
    <row r="25" spans="2:133" x14ac:dyDescent="0.2">
      <c r="B25" s="1036" t="s">
        <v>421</v>
      </c>
      <c r="C25" s="727"/>
      <c r="D25" s="1012"/>
      <c r="E25" s="495" t="s">
        <v>258</v>
      </c>
      <c r="F25" s="496"/>
      <c r="G25" s="395" t="s">
        <v>476</v>
      </c>
      <c r="H25" s="395"/>
      <c r="I25" s="499">
        <f>0.7*I19+SUM(I20:I24)</f>
        <v>380.21000000000004</v>
      </c>
      <c r="J25" s="499">
        <f t="shared" ref="J25:CY25" si="1">0.7*J19+SUM(J20:J24)</f>
        <v>248.94</v>
      </c>
      <c r="K25" s="499">
        <f t="shared" si="1"/>
        <v>249.26199999999997</v>
      </c>
      <c r="L25" s="499">
        <f t="shared" si="1"/>
        <v>151.76400000000001</v>
      </c>
      <c r="M25" s="499">
        <f t="shared" si="1"/>
        <v>176.87</v>
      </c>
      <c r="N25" s="499">
        <f t="shared" si="1"/>
        <v>18.897350993377483</v>
      </c>
      <c r="O25" s="499">
        <f t="shared" si="1"/>
        <v>93.834333333333319</v>
      </c>
      <c r="P25" s="499">
        <f t="shared" si="1"/>
        <v>399.43299999999999</v>
      </c>
      <c r="Q25" s="499">
        <f t="shared" si="1"/>
        <v>396.22699999999998</v>
      </c>
      <c r="R25" s="499">
        <f t="shared" si="1"/>
        <v>368.55600000000004</v>
      </c>
      <c r="S25" s="499">
        <f t="shared" si="1"/>
        <v>407.32299999999998</v>
      </c>
      <c r="T25" s="499">
        <f t="shared" si="1"/>
        <v>444.54099999999994</v>
      </c>
      <c r="U25" s="499">
        <f t="shared" si="1"/>
        <v>449.92899999999997</v>
      </c>
      <c r="V25" s="499">
        <f t="shared" si="1"/>
        <v>246.31300000000002</v>
      </c>
      <c r="W25" s="499">
        <f t="shared" si="1"/>
        <v>252.23500000000001</v>
      </c>
      <c r="X25" s="499">
        <f t="shared" si="1"/>
        <v>258.10399999999998</v>
      </c>
      <c r="Y25" s="499">
        <f t="shared" si="1"/>
        <v>274.14400000000001</v>
      </c>
      <c r="Z25" s="499">
        <f t="shared" si="1"/>
        <v>283.78899999999999</v>
      </c>
      <c r="AA25" s="499">
        <f t="shared" si="1"/>
        <v>236.97199999999998</v>
      </c>
      <c r="AB25" s="499">
        <f t="shared" si="1"/>
        <v>246.78200000000001</v>
      </c>
      <c r="AC25" s="499">
        <f t="shared" si="1"/>
        <v>213.17899999999997</v>
      </c>
      <c r="AD25" s="499">
        <f t="shared" si="1"/>
        <v>213.79400000000001</v>
      </c>
      <c r="AE25" s="499">
        <f t="shared" si="1"/>
        <v>211.482</v>
      </c>
      <c r="AF25" s="499">
        <f t="shared" si="1"/>
        <v>261.29900000000004</v>
      </c>
      <c r="AG25" s="499">
        <f t="shared" si="1"/>
        <v>257.65800000000002</v>
      </c>
      <c r="AH25" s="499">
        <f t="shared" si="1"/>
        <v>257.15499999999997</v>
      </c>
      <c r="AI25" s="499">
        <f t="shared" si="1"/>
        <v>177.86700000000002</v>
      </c>
      <c r="AJ25" s="499">
        <f t="shared" si="1"/>
        <v>152.62</v>
      </c>
      <c r="AK25" s="499">
        <f t="shared" si="1"/>
        <v>162.47500000000002</v>
      </c>
      <c r="AL25" s="499">
        <f t="shared" si="1"/>
        <v>162.41200000000001</v>
      </c>
      <c r="AM25" s="499">
        <f t="shared" si="1"/>
        <v>187.185</v>
      </c>
      <c r="AN25" s="499">
        <f t="shared" si="1"/>
        <v>174.04300000000001</v>
      </c>
      <c r="AO25" s="499">
        <f t="shared" si="1"/>
        <v>187.97000000000003</v>
      </c>
      <c r="AP25" s="499">
        <f t="shared" si="1"/>
        <v>125.911</v>
      </c>
      <c r="AQ25" s="499">
        <f t="shared" si="1"/>
        <v>112.43199999999999</v>
      </c>
      <c r="AR25" s="499">
        <f t="shared" si="1"/>
        <v>113.78</v>
      </c>
      <c r="AS25" s="499">
        <f t="shared" si="1"/>
        <v>118.345</v>
      </c>
      <c r="AT25" s="499">
        <f t="shared" si="1"/>
        <v>150.39999999999998</v>
      </c>
      <c r="AU25" s="499">
        <f t="shared" si="1"/>
        <v>150.39999999999998</v>
      </c>
      <c r="AV25" s="499">
        <f t="shared" si="1"/>
        <v>99.25</v>
      </c>
      <c r="AW25" s="499">
        <f t="shared" si="1"/>
        <v>104.202</v>
      </c>
      <c r="AX25" s="499">
        <f t="shared" si="1"/>
        <v>100.176</v>
      </c>
      <c r="AY25" s="499">
        <f t="shared" si="1"/>
        <v>104.14449999999999</v>
      </c>
      <c r="AZ25" s="499">
        <f t="shared" si="1"/>
        <v>117.565</v>
      </c>
      <c r="BA25" s="499">
        <f t="shared" si="1"/>
        <v>92.737857142857138</v>
      </c>
      <c r="BB25" s="499">
        <f t="shared" si="1"/>
        <v>106.17133333333334</v>
      </c>
      <c r="BC25" s="499">
        <f t="shared" si="1"/>
        <v>111.27966666666667</v>
      </c>
      <c r="BD25" s="499">
        <f t="shared" si="1"/>
        <v>118.73</v>
      </c>
      <c r="BE25" s="499">
        <f t="shared" si="1"/>
        <v>102.506</v>
      </c>
      <c r="BF25" s="499">
        <f t="shared" si="1"/>
        <v>131.637</v>
      </c>
      <c r="BG25" s="499">
        <f t="shared" si="1"/>
        <v>111.27466666666666</v>
      </c>
      <c r="BH25" s="499">
        <f t="shared" si="1"/>
        <v>52.304333333333332</v>
      </c>
      <c r="BI25" s="499">
        <f t="shared" si="1"/>
        <v>89.387</v>
      </c>
      <c r="BJ25" s="499">
        <f t="shared" si="1"/>
        <v>104.91571428571427</v>
      </c>
      <c r="BK25" s="499">
        <f t="shared" si="1"/>
        <v>91.488</v>
      </c>
      <c r="BL25" s="499">
        <f t="shared" si="1"/>
        <v>134.572</v>
      </c>
      <c r="BM25" s="499">
        <f t="shared" si="1"/>
        <v>98.858999999999995</v>
      </c>
      <c r="BN25" s="499">
        <f t="shared" si="1"/>
        <v>89.884333333333331</v>
      </c>
      <c r="BO25" s="1046">
        <v>462.18</v>
      </c>
      <c r="BP25" s="1046">
        <v>3368.9299999999994</v>
      </c>
      <c r="BQ25" s="1046">
        <v>9873.260000000002</v>
      </c>
      <c r="BR25" s="1046">
        <v>237.64</v>
      </c>
      <c r="BS25" s="1046">
        <v>1972.67</v>
      </c>
      <c r="BT25" s="1046">
        <v>8999.7000000000007</v>
      </c>
      <c r="BU25" s="1046">
        <v>1082.42</v>
      </c>
      <c r="BV25" s="1046">
        <v>2580.2780000000002</v>
      </c>
      <c r="BW25" s="1046">
        <v>7132.1589999999997</v>
      </c>
      <c r="BX25" s="1046">
        <v>2227.1489999999999</v>
      </c>
      <c r="BY25" s="1046">
        <v>5593</v>
      </c>
      <c r="BZ25" s="1046">
        <v>10600.441000000001</v>
      </c>
      <c r="CA25" s="1046">
        <v>300.55</v>
      </c>
      <c r="CB25" s="1046">
        <v>1331.2840000000001</v>
      </c>
      <c r="CC25" s="1046">
        <v>7469.59</v>
      </c>
      <c r="CD25" s="1046">
        <v>713.55799999999999</v>
      </c>
      <c r="CE25" s="1046">
        <v>1742</v>
      </c>
      <c r="CF25" s="1046">
        <v>642.55899999999997</v>
      </c>
      <c r="CG25" s="1046">
        <v>2956.5299999999997</v>
      </c>
      <c r="CH25" s="1046">
        <v>9571.0229999999992</v>
      </c>
      <c r="CI25" s="1046">
        <v>993.13200000000006</v>
      </c>
      <c r="CJ25" s="1046">
        <v>5024.18</v>
      </c>
      <c r="CK25" s="1046">
        <v>19256.45</v>
      </c>
      <c r="CL25" s="1046">
        <v>2589.7509999999997</v>
      </c>
      <c r="CM25" s="1046">
        <v>10714.837</v>
      </c>
      <c r="CN25" s="1046">
        <v>24531.633999999998</v>
      </c>
      <c r="CO25" s="1046">
        <v>938.06500000000005</v>
      </c>
      <c r="CP25" s="1046">
        <v>3257.5699999999997</v>
      </c>
      <c r="CQ25" s="1046">
        <v>8925.2999999999993</v>
      </c>
      <c r="CR25" s="1046">
        <v>205.86600000000001</v>
      </c>
      <c r="CS25" s="499">
        <f t="shared" si="1"/>
        <v>2744.5</v>
      </c>
      <c r="CT25" s="499">
        <f t="shared" si="1"/>
        <v>3848.9300000000003</v>
      </c>
      <c r="CU25" s="499">
        <f t="shared" si="1"/>
        <v>6638.92</v>
      </c>
      <c r="CV25" s="499">
        <f t="shared" si="1"/>
        <v>11929.263000000003</v>
      </c>
      <c r="CW25" s="499">
        <f t="shared" si="1"/>
        <v>236.75</v>
      </c>
      <c r="CX25" s="499">
        <f t="shared" si="1"/>
        <v>347.75</v>
      </c>
      <c r="CY25" s="499">
        <f t="shared" si="1"/>
        <v>2744.5</v>
      </c>
      <c r="CZ25" s="499">
        <f t="shared" ref="CZ25:EB25" si="2">0.7*CZ19+SUM(CZ20:CZ24)</f>
        <v>4393.2359999999999</v>
      </c>
      <c r="DA25" s="499">
        <f t="shared" si="2"/>
        <v>27513.918999999998</v>
      </c>
      <c r="DB25" s="499">
        <f t="shared" si="2"/>
        <v>1534.143</v>
      </c>
      <c r="DC25" s="499">
        <f t="shared" si="2"/>
        <v>236.75</v>
      </c>
      <c r="DD25" s="499">
        <f t="shared" si="2"/>
        <v>347.75</v>
      </c>
      <c r="DE25" s="499">
        <f t="shared" si="2"/>
        <v>1613.08</v>
      </c>
      <c r="DF25" s="499">
        <f t="shared" si="2"/>
        <v>4078.5599999999995</v>
      </c>
      <c r="DG25" s="499">
        <f t="shared" si="2"/>
        <v>15825.56</v>
      </c>
      <c r="DH25" s="499">
        <f t="shared" si="2"/>
        <v>17182.400000000001</v>
      </c>
      <c r="DI25" s="499">
        <f t="shared" si="2"/>
        <v>4013.62</v>
      </c>
      <c r="DJ25" s="499">
        <f t="shared" si="2"/>
        <v>347.75</v>
      </c>
      <c r="DK25" s="499">
        <f t="shared" si="2"/>
        <v>3965</v>
      </c>
      <c r="DL25" s="499">
        <f t="shared" si="2"/>
        <v>5449.67</v>
      </c>
      <c r="DM25" s="499">
        <f t="shared" si="2"/>
        <v>9422.35</v>
      </c>
      <c r="DN25" s="499">
        <f t="shared" si="2"/>
        <v>10472.588</v>
      </c>
      <c r="DO25" s="499">
        <f t="shared" si="2"/>
        <v>4381.4000000000005</v>
      </c>
      <c r="DP25" s="499">
        <f t="shared" si="2"/>
        <v>15550.897999999999</v>
      </c>
      <c r="DQ25" s="499">
        <f t="shared" si="2"/>
        <v>236.75</v>
      </c>
      <c r="DR25" s="499">
        <f t="shared" si="2"/>
        <v>347.75</v>
      </c>
      <c r="DS25" s="499">
        <f t="shared" si="2"/>
        <v>3424.3329999999996</v>
      </c>
      <c r="DT25" s="499">
        <f t="shared" si="2"/>
        <v>34699.520000000004</v>
      </c>
      <c r="DU25" s="499">
        <f t="shared" si="2"/>
        <v>0</v>
      </c>
      <c r="DV25" s="499">
        <f t="shared" si="2"/>
        <v>0</v>
      </c>
      <c r="DW25" s="499">
        <f t="shared" si="2"/>
        <v>0</v>
      </c>
      <c r="DX25" s="499">
        <f t="shared" si="2"/>
        <v>0</v>
      </c>
      <c r="DY25" s="499">
        <f t="shared" si="2"/>
        <v>0</v>
      </c>
      <c r="DZ25" s="499">
        <f t="shared" si="2"/>
        <v>0</v>
      </c>
      <c r="EA25" s="499">
        <f t="shared" si="2"/>
        <v>0</v>
      </c>
      <c r="EB25" s="499">
        <f t="shared" si="2"/>
        <v>0</v>
      </c>
      <c r="EC25" s="497"/>
    </row>
    <row r="26" spans="2:133" x14ac:dyDescent="0.2">
      <c r="B26" s="1036" t="s">
        <v>421</v>
      </c>
      <c r="C26" s="727"/>
      <c r="D26" s="1013"/>
      <c r="E26" s="495" t="s">
        <v>484</v>
      </c>
      <c r="F26" s="496"/>
      <c r="G26" s="395" t="s">
        <v>139</v>
      </c>
      <c r="H26" s="395"/>
      <c r="I26" s="499">
        <f t="shared" ref="I26:O26" si="3">IF(I16=0,0,I25/I16)</f>
        <v>2.1038623284639222</v>
      </c>
      <c r="J26" s="499">
        <f t="shared" si="3"/>
        <v>1.8672367236723673</v>
      </c>
      <c r="K26" s="499">
        <f t="shared" si="3"/>
        <v>2.6393689114781869</v>
      </c>
      <c r="L26" s="499">
        <f t="shared" si="3"/>
        <v>1.3787953120741347</v>
      </c>
      <c r="M26" s="499">
        <f t="shared" si="3"/>
        <v>2.030654420206659</v>
      </c>
      <c r="N26" s="499">
        <f t="shared" si="3"/>
        <v>0.51477602011478052</v>
      </c>
      <c r="O26" s="499">
        <f t="shared" si="3"/>
        <v>0.95870862875011587</v>
      </c>
      <c r="P26" s="499">
        <f t="shared" ref="P26:CS26" si="4">IF(P16=0,0,P25/P16)</f>
        <v>2.3007488047923506</v>
      </c>
      <c r="Q26" s="499">
        <f t="shared" si="4"/>
        <v>2.2618278342276512</v>
      </c>
      <c r="R26" s="499">
        <f t="shared" si="4"/>
        <v>2.2012542555097654</v>
      </c>
      <c r="S26" s="499">
        <f t="shared" si="4"/>
        <v>2.1345928099779896</v>
      </c>
      <c r="T26" s="499">
        <f t="shared" si="4"/>
        <v>2.10483428030303</v>
      </c>
      <c r="U26" s="499">
        <f t="shared" si="4"/>
        <v>2.0044952330036532</v>
      </c>
      <c r="V26" s="499">
        <f t="shared" si="4"/>
        <v>2.01780126157123</v>
      </c>
      <c r="W26" s="499">
        <f t="shared" si="4"/>
        <v>1.8663337032926379</v>
      </c>
      <c r="X26" s="499">
        <f t="shared" si="4"/>
        <v>1.9115982817360389</v>
      </c>
      <c r="Y26" s="499">
        <f t="shared" si="4"/>
        <v>1.9180298047995521</v>
      </c>
      <c r="Z26" s="499">
        <f t="shared" si="4"/>
        <v>1.8491496709454616</v>
      </c>
      <c r="AA26" s="499">
        <f t="shared" si="4"/>
        <v>1.7693720600313594</v>
      </c>
      <c r="AB26" s="499">
        <f t="shared" si="4"/>
        <v>1.9130387596899225</v>
      </c>
      <c r="AC26" s="499">
        <f t="shared" si="4"/>
        <v>2.0421400517290924</v>
      </c>
      <c r="AD26" s="499">
        <f t="shared" si="4"/>
        <v>1.8492690943689993</v>
      </c>
      <c r="AE26" s="499">
        <f t="shared" si="4"/>
        <v>1.8745080659457545</v>
      </c>
      <c r="AF26" s="499">
        <f t="shared" si="4"/>
        <v>2.028876465564097</v>
      </c>
      <c r="AG26" s="499">
        <f t="shared" si="4"/>
        <v>1.8611528459982665</v>
      </c>
      <c r="AH26" s="499">
        <f t="shared" si="4"/>
        <v>1.9346599458320795</v>
      </c>
      <c r="AI26" s="499">
        <f t="shared" si="4"/>
        <v>1.5501743071291618</v>
      </c>
      <c r="AJ26" s="499">
        <f t="shared" si="4"/>
        <v>1.4956879655037241</v>
      </c>
      <c r="AK26" s="499">
        <f t="shared" si="4"/>
        <v>1.427347799349908</v>
      </c>
      <c r="AL26" s="499">
        <f t="shared" si="4"/>
        <v>1.4165896205843873</v>
      </c>
      <c r="AM26" s="499">
        <f t="shared" si="4"/>
        <v>1.5144417475728156</v>
      </c>
      <c r="AN26" s="499">
        <f t="shared" si="4"/>
        <v>1.331112810707457</v>
      </c>
      <c r="AO26" s="499">
        <f t="shared" si="4"/>
        <v>1.5825054723017344</v>
      </c>
      <c r="AP26" s="499">
        <f t="shared" si="4"/>
        <v>1.1974417498811221</v>
      </c>
      <c r="AQ26" s="499">
        <f t="shared" si="4"/>
        <v>1.3842895838463432</v>
      </c>
      <c r="AR26" s="499">
        <f t="shared" si="4"/>
        <v>1.3231771136178627</v>
      </c>
      <c r="AS26" s="499">
        <f t="shared" si="4"/>
        <v>1.1648129921259842</v>
      </c>
      <c r="AT26" s="499">
        <f t="shared" si="4"/>
        <v>1.218800648298217</v>
      </c>
      <c r="AU26" s="499">
        <f t="shared" si="4"/>
        <v>1.218800648298217</v>
      </c>
      <c r="AV26" s="499">
        <f t="shared" si="4"/>
        <v>1.4030251625671475</v>
      </c>
      <c r="AW26" s="499">
        <f t="shared" si="4"/>
        <v>1.2966898954703832</v>
      </c>
      <c r="AX26" s="499">
        <f t="shared" si="4"/>
        <v>1.4639193336256027</v>
      </c>
      <c r="AY26" s="499">
        <f t="shared" si="4"/>
        <v>1.4293782596760911</v>
      </c>
      <c r="AZ26" s="499">
        <f t="shared" si="4"/>
        <v>1.364021348184244</v>
      </c>
      <c r="BA26" s="499">
        <f t="shared" si="4"/>
        <v>1.4104617055947855</v>
      </c>
      <c r="BB26" s="499">
        <f t="shared" si="4"/>
        <v>1.6709369426083307</v>
      </c>
      <c r="BC26" s="499">
        <f t="shared" si="4"/>
        <v>1.7096276949864291</v>
      </c>
      <c r="BD26" s="499">
        <f t="shared" si="4"/>
        <v>1.5144132653061224</v>
      </c>
      <c r="BE26" s="499">
        <f t="shared" si="4"/>
        <v>1.5872716011148964</v>
      </c>
      <c r="BF26" s="499">
        <f t="shared" si="4"/>
        <v>1.5304848273456575</v>
      </c>
      <c r="BG26" s="499">
        <f t="shared" si="4"/>
        <v>1.5213927627381276</v>
      </c>
      <c r="BH26" s="499">
        <f t="shared" si="4"/>
        <v>1.8527925374896681</v>
      </c>
      <c r="BI26" s="499">
        <f t="shared" si="4"/>
        <v>1.375819609050331</v>
      </c>
      <c r="BJ26" s="499">
        <f t="shared" si="4"/>
        <v>1.2747960423537579</v>
      </c>
      <c r="BK26" s="499">
        <f t="shared" si="4"/>
        <v>1.3513737075332348</v>
      </c>
      <c r="BL26" s="499">
        <f t="shared" si="4"/>
        <v>1.4299436829242376</v>
      </c>
      <c r="BM26" s="499">
        <f t="shared" si="4"/>
        <v>1.3364742463160739</v>
      </c>
      <c r="BN26" s="499">
        <f t="shared" si="4"/>
        <v>1.2853472520139184</v>
      </c>
      <c r="BO26" s="1046">
        <v>1.5519811954331766</v>
      </c>
      <c r="BP26" s="1046">
        <v>1.2290879241152861</v>
      </c>
      <c r="BQ26" s="1046">
        <v>1.0441264805414554</v>
      </c>
      <c r="BR26" s="1046">
        <v>1.3493072904837609</v>
      </c>
      <c r="BS26" s="1046">
        <v>1.5368261140542228</v>
      </c>
      <c r="BT26" s="1046">
        <v>1.291761159753122</v>
      </c>
      <c r="BU26" s="1046">
        <v>2.6419819380034175</v>
      </c>
      <c r="BV26" s="1046">
        <v>2.1835305068968438</v>
      </c>
      <c r="BW26" s="1046">
        <v>2.1375528981598033</v>
      </c>
      <c r="BX26" s="1046">
        <v>2.4237384235327406</v>
      </c>
      <c r="BY26" s="1046">
        <v>1.6146073903002309</v>
      </c>
      <c r="BZ26" s="1046">
        <v>1.2291078903124819</v>
      </c>
      <c r="CA26" s="1046">
        <v>1.67065036131184</v>
      </c>
      <c r="CB26" s="1046">
        <v>1.8692558270148836</v>
      </c>
      <c r="CC26" s="1046">
        <v>1.7207309937478981</v>
      </c>
      <c r="CD26" s="1046">
        <v>2.3917610779647385</v>
      </c>
      <c r="CE26" s="1046">
        <v>1.8531914893617021</v>
      </c>
      <c r="CF26" s="1046">
        <v>1.9754634611246042</v>
      </c>
      <c r="CG26" s="1046">
        <v>1.3759622097081956</v>
      </c>
      <c r="CH26" s="1046">
        <v>1.1849945213790027</v>
      </c>
      <c r="CI26" s="1046">
        <v>2.115026833631485</v>
      </c>
      <c r="CJ26" s="1046">
        <v>1.4983463310618375</v>
      </c>
      <c r="CK26" s="1046">
        <v>0.97960310112222371</v>
      </c>
      <c r="CL26" s="1046">
        <v>1.2951863447227334</v>
      </c>
      <c r="CM26" s="1046">
        <v>0.98354675199741504</v>
      </c>
      <c r="CN26" s="1046">
        <v>1.0129270278662315</v>
      </c>
      <c r="CO26" s="1046">
        <v>1.6154038229722749</v>
      </c>
      <c r="CP26" s="1046">
        <v>1.181559007765659</v>
      </c>
      <c r="CQ26" s="1046">
        <v>0.96020526723470168</v>
      </c>
      <c r="CR26" s="1046">
        <v>2.5611594924110479</v>
      </c>
      <c r="CS26" s="499">
        <f t="shared" si="4"/>
        <v>1.5121378747975187</v>
      </c>
      <c r="CT26" s="499">
        <f t="shared" ref="CT26:DT26" si="5">IF(CT16=0,0,CT25/CT16)</f>
        <v>1.6084658074653562</v>
      </c>
      <c r="CU26" s="499">
        <f t="shared" si="5"/>
        <v>1.3182922954725973</v>
      </c>
      <c r="CV26" s="499">
        <f t="shared" si="5"/>
        <v>1.1033426039569256</v>
      </c>
      <c r="CW26" s="499">
        <f t="shared" si="5"/>
        <v>2.8627569528415959</v>
      </c>
      <c r="CX26" s="499">
        <f t="shared" si="5"/>
        <v>2.1996963754823207</v>
      </c>
      <c r="CY26" s="499">
        <f t="shared" si="5"/>
        <v>1.5121378747975187</v>
      </c>
      <c r="CZ26" s="499">
        <f t="shared" si="5"/>
        <v>0.77008385803031787</v>
      </c>
      <c r="DA26" s="499">
        <f t="shared" si="5"/>
        <v>0.78147847391693592</v>
      </c>
      <c r="DB26" s="499">
        <f t="shared" si="5"/>
        <v>1.74835095956603</v>
      </c>
      <c r="DC26" s="499">
        <f t="shared" si="5"/>
        <v>2.8627569528415959</v>
      </c>
      <c r="DD26" s="499">
        <f t="shared" si="5"/>
        <v>2.1996963754823207</v>
      </c>
      <c r="DE26" s="499">
        <f t="shared" si="5"/>
        <v>0.95990383585446837</v>
      </c>
      <c r="DF26" s="499">
        <f t="shared" si="5"/>
        <v>0.93054072553045852</v>
      </c>
      <c r="DG26" s="499">
        <f t="shared" si="5"/>
        <v>0.64249222134890571</v>
      </c>
      <c r="DH26" s="499">
        <f t="shared" si="5"/>
        <v>0.70314977740110729</v>
      </c>
      <c r="DI26" s="499">
        <f t="shared" si="5"/>
        <v>1.0583185012327123</v>
      </c>
      <c r="DJ26" s="499">
        <f t="shared" si="5"/>
        <v>2.1996963754823207</v>
      </c>
      <c r="DK26" s="499">
        <f t="shared" si="5"/>
        <v>1.6800847457627119</v>
      </c>
      <c r="DL26" s="499">
        <f t="shared" si="5"/>
        <v>1.421776676232716</v>
      </c>
      <c r="DM26" s="499">
        <f t="shared" si="5"/>
        <v>1.1070010338831713</v>
      </c>
      <c r="DN26" s="499">
        <f t="shared" si="5"/>
        <v>0.66581397418780597</v>
      </c>
      <c r="DO26" s="499">
        <f t="shared" si="5"/>
        <v>1.3890465245303956</v>
      </c>
      <c r="DP26" s="499">
        <f t="shared" si="5"/>
        <v>1.7844280635885246</v>
      </c>
      <c r="DQ26" s="499">
        <f t="shared" si="5"/>
        <v>2.8627569528415959</v>
      </c>
      <c r="DR26" s="499">
        <f t="shared" si="5"/>
        <v>2.1996963754823207</v>
      </c>
      <c r="DS26" s="499">
        <f t="shared" si="5"/>
        <v>2.2046386907367825</v>
      </c>
      <c r="DT26" s="499">
        <f t="shared" si="5"/>
        <v>1.5071453577109146</v>
      </c>
      <c r="DU26" s="499">
        <f t="shared" ref="DU26:EB26" si="6">IF(DU16=0,0,DU25/DU16)</f>
        <v>0</v>
      </c>
      <c r="DV26" s="499">
        <f t="shared" si="6"/>
        <v>0</v>
      </c>
      <c r="DW26" s="499">
        <f t="shared" si="6"/>
        <v>0</v>
      </c>
      <c r="DX26" s="499">
        <f t="shared" si="6"/>
        <v>0</v>
      </c>
      <c r="DY26" s="499">
        <f t="shared" si="6"/>
        <v>0</v>
      </c>
      <c r="DZ26" s="499">
        <f t="shared" si="6"/>
        <v>0</v>
      </c>
      <c r="EA26" s="499">
        <f t="shared" si="6"/>
        <v>0</v>
      </c>
      <c r="EB26" s="499">
        <f t="shared" si="6"/>
        <v>0</v>
      </c>
      <c r="EC26" s="497"/>
    </row>
    <row r="27" spans="2:133" x14ac:dyDescent="0.2">
      <c r="B27" s="1036" t="s">
        <v>421</v>
      </c>
      <c r="C27" s="727"/>
      <c r="D27" s="1013"/>
      <c r="E27" s="495" t="s">
        <v>485</v>
      </c>
      <c r="F27" s="496"/>
      <c r="G27" s="395" t="s">
        <v>139</v>
      </c>
      <c r="H27" s="395"/>
      <c r="I27" s="499">
        <f>IF(I16=0,0,I23/I16)</f>
        <v>0.30981629039397968</v>
      </c>
      <c r="J27" s="499">
        <f t="shared" ref="J27:CY27" si="7">IF(J16=0,0,J23/J16)</f>
        <v>0.2133963396339634</v>
      </c>
      <c r="K27" s="499">
        <f t="shared" si="7"/>
        <v>0.2423761118170267</v>
      </c>
      <c r="L27" s="499">
        <f t="shared" si="7"/>
        <v>0.14863268828927048</v>
      </c>
      <c r="M27" s="499">
        <f t="shared" si="7"/>
        <v>0.20000000000000004</v>
      </c>
      <c r="N27" s="499">
        <f t="shared" si="7"/>
        <v>0.11803272034366508</v>
      </c>
      <c r="O27" s="499">
        <f t="shared" si="7"/>
        <v>0.24261432242484288</v>
      </c>
      <c r="P27" s="499">
        <f t="shared" si="7"/>
        <v>0.19895167329070904</v>
      </c>
      <c r="Q27" s="499">
        <f t="shared" si="7"/>
        <v>0.23073410206644593</v>
      </c>
      <c r="R27" s="499">
        <f t="shared" si="7"/>
        <v>0.19829182344860541</v>
      </c>
      <c r="S27" s="499">
        <f t="shared" si="7"/>
        <v>0.20878314642071064</v>
      </c>
      <c r="T27" s="499">
        <f t="shared" si="7"/>
        <v>0.22054924242424243</v>
      </c>
      <c r="U27" s="499">
        <f t="shared" si="7"/>
        <v>0.20716385993049985</v>
      </c>
      <c r="V27" s="499">
        <f t="shared" si="7"/>
        <v>0.19267633325141317</v>
      </c>
      <c r="W27" s="499">
        <f t="shared" si="7"/>
        <v>0.22759896411394745</v>
      </c>
      <c r="X27" s="499">
        <f t="shared" si="7"/>
        <v>0.18300992445563616</v>
      </c>
      <c r="Y27" s="499">
        <f t="shared" si="7"/>
        <v>0.1887637304974463</v>
      </c>
      <c r="Z27" s="499">
        <f t="shared" si="7"/>
        <v>0.19893138724180623</v>
      </c>
      <c r="AA27" s="499">
        <f t="shared" si="7"/>
        <v>0.16523557082057794</v>
      </c>
      <c r="AB27" s="499">
        <f t="shared" si="7"/>
        <v>0.18883720930232561</v>
      </c>
      <c r="AC27" s="499">
        <f t="shared" si="7"/>
        <v>0.20097710508669414</v>
      </c>
      <c r="AD27" s="499">
        <f t="shared" si="7"/>
        <v>0.23388980192024911</v>
      </c>
      <c r="AE27" s="499">
        <f t="shared" si="7"/>
        <v>0.17514625066477577</v>
      </c>
      <c r="AF27" s="499">
        <f t="shared" si="7"/>
        <v>0.18534047674508891</v>
      </c>
      <c r="AG27" s="499">
        <f t="shared" si="7"/>
        <v>0.19907541173071369</v>
      </c>
      <c r="AH27" s="499">
        <f t="shared" si="7"/>
        <v>0.21185675594342462</v>
      </c>
      <c r="AI27" s="499">
        <f t="shared" si="7"/>
        <v>0.18459124978211611</v>
      </c>
      <c r="AJ27" s="499">
        <f t="shared" si="7"/>
        <v>0.20834966679733438</v>
      </c>
      <c r="AK27" s="499">
        <f t="shared" si="7"/>
        <v>0.21646314679785647</v>
      </c>
      <c r="AL27" s="499">
        <f t="shared" si="7"/>
        <v>0.16066288704753598</v>
      </c>
      <c r="AM27" s="499">
        <f t="shared" si="7"/>
        <v>0.18543689320388351</v>
      </c>
      <c r="AN27" s="499">
        <f t="shared" si="7"/>
        <v>0.15892925430210325</v>
      </c>
      <c r="AO27" s="499">
        <f t="shared" si="7"/>
        <v>0.1580232362350564</v>
      </c>
      <c r="AP27" s="499">
        <f t="shared" si="7"/>
        <v>0.17308606752258676</v>
      </c>
      <c r="AQ27" s="499">
        <f t="shared" si="7"/>
        <v>0.2101699088894361</v>
      </c>
      <c r="AR27" s="499">
        <f t="shared" si="7"/>
        <v>0.14647051982788695</v>
      </c>
      <c r="AS27" s="499">
        <f t="shared" si="7"/>
        <v>0.17795275590551179</v>
      </c>
      <c r="AT27" s="499">
        <f t="shared" si="7"/>
        <v>0.15020259319286872</v>
      </c>
      <c r="AU27" s="499">
        <f t="shared" si="7"/>
        <v>0.15020259319286872</v>
      </c>
      <c r="AV27" s="499">
        <f t="shared" si="7"/>
        <v>0.23293751767034213</v>
      </c>
      <c r="AW27" s="499">
        <f t="shared" si="7"/>
        <v>0.21801891488302638</v>
      </c>
      <c r="AX27" s="499">
        <f t="shared" si="7"/>
        <v>0.15665643723513076</v>
      </c>
      <c r="AY27" s="499">
        <f t="shared" si="7"/>
        <v>0.17125308811419163</v>
      </c>
      <c r="AZ27" s="499">
        <f t="shared" si="7"/>
        <v>0.20174034110685696</v>
      </c>
      <c r="BA27" s="499">
        <f t="shared" si="7"/>
        <v>0.13116784356328082</v>
      </c>
      <c r="BB27" s="499">
        <f t="shared" si="7"/>
        <v>0.17726366593222115</v>
      </c>
      <c r="BC27" s="499">
        <f t="shared" si="7"/>
        <v>0.21636708147692937</v>
      </c>
      <c r="BD27" s="499">
        <f t="shared" si="7"/>
        <v>0.22088647959183674</v>
      </c>
      <c r="BE27" s="499">
        <f t="shared" si="7"/>
        <v>0.15959533395272013</v>
      </c>
      <c r="BF27" s="499">
        <f t="shared" si="7"/>
        <v>0.18207185211021973</v>
      </c>
      <c r="BG27" s="499">
        <f t="shared" si="7"/>
        <v>0.17865281195880048</v>
      </c>
      <c r="BH27" s="499">
        <f t="shared" si="7"/>
        <v>0.13744243712362736</v>
      </c>
      <c r="BI27" s="499">
        <f t="shared" si="7"/>
        <v>0.16961674619054948</v>
      </c>
      <c r="BJ27" s="499">
        <f t="shared" si="7"/>
        <v>0.16601284499218885</v>
      </c>
      <c r="BK27" s="499">
        <f t="shared" si="7"/>
        <v>0.15128508124076809</v>
      </c>
      <c r="BL27" s="499">
        <f t="shared" si="7"/>
        <v>0.16709170120072259</v>
      </c>
      <c r="BM27" s="499">
        <f t="shared" si="7"/>
        <v>0.1925104772204948</v>
      </c>
      <c r="BN27" s="499">
        <f t="shared" si="7"/>
        <v>0.19123885790552458</v>
      </c>
      <c r="BO27" s="1046">
        <v>0.15490261920752182</v>
      </c>
      <c r="BP27" s="1046">
        <v>0.26990514410798977</v>
      </c>
      <c r="BQ27" s="1046">
        <v>0.26443527918781728</v>
      </c>
      <c r="BR27" s="1046">
        <v>0.19793322734499205</v>
      </c>
      <c r="BS27" s="1046">
        <v>0.15655188532253042</v>
      </c>
      <c r="BT27" s="1046">
        <v>6.0198076647050375E-2</v>
      </c>
      <c r="BU27" s="1046">
        <v>0.18061996582865511</v>
      </c>
      <c r="BV27" s="1046">
        <v>0.1589066598967589</v>
      </c>
      <c r="BW27" s="1046">
        <v>6.9951447581370257E-2</v>
      </c>
      <c r="BX27" s="1046">
        <v>0.2011448595588155</v>
      </c>
      <c r="BY27" s="1046">
        <v>0.10221420323325635</v>
      </c>
      <c r="BZ27" s="1046">
        <v>0.22135660038263089</v>
      </c>
      <c r="CA27" s="1046">
        <v>0.26814897165091717</v>
      </c>
      <c r="CB27" s="1046">
        <v>0.24359730412805392</v>
      </c>
      <c r="CC27" s="1046">
        <v>0.21936493017641343</v>
      </c>
      <c r="CD27" s="1046">
        <v>0.20402896024669842</v>
      </c>
      <c r="CE27" s="1046">
        <v>0.21302127659574469</v>
      </c>
      <c r="CF27" s="1046">
        <v>0.21240815322655027</v>
      </c>
      <c r="CG27" s="1046">
        <v>0.14599525294364035</v>
      </c>
      <c r="CH27" s="1046">
        <v>0.20296402681738548</v>
      </c>
      <c r="CI27" s="1046">
        <v>0.17654825794360676</v>
      </c>
      <c r="CJ27" s="1046">
        <v>0.1231081222134411</v>
      </c>
      <c r="CK27" s="1046">
        <v>9.3791650981309815E-2</v>
      </c>
      <c r="CL27" s="1046">
        <v>0.16135372489397456</v>
      </c>
      <c r="CM27" s="1046">
        <v>0.10484868846199037</v>
      </c>
      <c r="CN27" s="1046">
        <v>0.10891027377350264</v>
      </c>
      <c r="CO27" s="1046">
        <v>0.1648183227139659</v>
      </c>
      <c r="CP27" s="1046">
        <v>0.30009684404481662</v>
      </c>
      <c r="CQ27" s="1046">
        <v>0.14772140459592045</v>
      </c>
      <c r="CR27" s="1046">
        <v>0.16098531973127647</v>
      </c>
      <c r="CS27" s="499">
        <f t="shared" si="7"/>
        <v>0.22082887965707612</v>
      </c>
      <c r="CT27" s="499">
        <f t="shared" si="7"/>
        <v>7.3516874780602773E-2</v>
      </c>
      <c r="CU27" s="499">
        <f t="shared" si="7"/>
        <v>8.3617950754567127E-2</v>
      </c>
      <c r="CV27" s="499">
        <f t="shared" si="7"/>
        <v>7.2899103120349473E-2</v>
      </c>
      <c r="CW27" s="499">
        <f t="shared" si="7"/>
        <v>0.36154776299879077</v>
      </c>
      <c r="CX27" s="499">
        <f t="shared" si="7"/>
        <v>0.330824214055285</v>
      </c>
      <c r="CY27" s="499">
        <f t="shared" si="7"/>
        <v>0.22082887965707612</v>
      </c>
      <c r="CZ27" s="499">
        <f t="shared" ref="CZ27:EB27" si="8">IF(CZ16=0,0,CZ23/CZ16)</f>
        <v>9.2783722006422584E-2</v>
      </c>
      <c r="DA27" s="499">
        <f t="shared" si="8"/>
        <v>0.42837240453175918</v>
      </c>
      <c r="DB27" s="499">
        <f t="shared" si="8"/>
        <v>0.10346674568081324</v>
      </c>
      <c r="DC27" s="499">
        <f t="shared" si="8"/>
        <v>0.36154776299879077</v>
      </c>
      <c r="DD27" s="499">
        <f t="shared" si="8"/>
        <v>0.330824214055285</v>
      </c>
      <c r="DE27" s="499">
        <f t="shared" si="8"/>
        <v>8.3608059697939843E-2</v>
      </c>
      <c r="DF27" s="499">
        <f t="shared" si="8"/>
        <v>0.22673967602099018</v>
      </c>
      <c r="DG27" s="499">
        <f t="shared" si="8"/>
        <v>0.41528902804211842</v>
      </c>
      <c r="DH27" s="499">
        <f t="shared" si="8"/>
        <v>0.36736285686107528</v>
      </c>
      <c r="DI27" s="499">
        <f t="shared" si="8"/>
        <v>0.25387809990902976</v>
      </c>
      <c r="DJ27" s="499">
        <f t="shared" si="8"/>
        <v>0.330824214055285</v>
      </c>
      <c r="DK27" s="499">
        <f t="shared" si="8"/>
        <v>0.17926271186440676</v>
      </c>
      <c r="DL27" s="499">
        <f t="shared" si="8"/>
        <v>0.15734933472475868</v>
      </c>
      <c r="DM27" s="499">
        <f t="shared" si="8"/>
        <v>0.14074909535222518</v>
      </c>
      <c r="DN27" s="499">
        <f t="shared" si="8"/>
        <v>0.2660054676076038</v>
      </c>
      <c r="DO27" s="499">
        <f t="shared" si="8"/>
        <v>5.6241578822223984E-2</v>
      </c>
      <c r="DP27" s="499">
        <f t="shared" si="8"/>
        <v>3.7935553163705803E-2</v>
      </c>
      <c r="DQ27" s="499">
        <f t="shared" si="8"/>
        <v>0.36154776299879077</v>
      </c>
      <c r="DR27" s="499">
        <f t="shared" si="8"/>
        <v>0.330824214055285</v>
      </c>
      <c r="DS27" s="499">
        <f t="shared" si="8"/>
        <v>8.8782158584635978E-2</v>
      </c>
      <c r="DT27" s="499">
        <f t="shared" si="8"/>
        <v>1.3273486818159314E-2</v>
      </c>
      <c r="DU27" s="499">
        <f t="shared" si="8"/>
        <v>0</v>
      </c>
      <c r="DV27" s="499">
        <f t="shared" si="8"/>
        <v>0</v>
      </c>
      <c r="DW27" s="499">
        <f t="shared" si="8"/>
        <v>0</v>
      </c>
      <c r="DX27" s="499">
        <f t="shared" si="8"/>
        <v>0</v>
      </c>
      <c r="DY27" s="499">
        <f t="shared" si="8"/>
        <v>0</v>
      </c>
      <c r="DZ27" s="499">
        <f t="shared" si="8"/>
        <v>0</v>
      </c>
      <c r="EA27" s="499">
        <f t="shared" si="8"/>
        <v>0</v>
      </c>
      <c r="EB27" s="499">
        <f t="shared" si="8"/>
        <v>0</v>
      </c>
      <c r="EC27" s="497"/>
    </row>
    <row r="28" spans="2:133" ht="38.25" x14ac:dyDescent="0.2">
      <c r="B28" s="1036" t="s">
        <v>421</v>
      </c>
      <c r="C28" s="727"/>
      <c r="D28" s="1013"/>
      <c r="E28" s="519" t="s">
        <v>486</v>
      </c>
      <c r="F28" s="519"/>
      <c r="G28" s="519"/>
      <c r="H28" s="520"/>
      <c r="I28" s="521" t="s">
        <v>487</v>
      </c>
      <c r="J28" s="521" t="s">
        <v>487</v>
      </c>
      <c r="K28" s="521" t="s">
        <v>487</v>
      </c>
      <c r="L28" s="521" t="s">
        <v>487</v>
      </c>
      <c r="M28" s="521" t="s">
        <v>487</v>
      </c>
      <c r="N28" s="521" t="s">
        <v>487</v>
      </c>
      <c r="O28" s="521" t="s">
        <v>487</v>
      </c>
      <c r="P28" s="521" t="s">
        <v>1195</v>
      </c>
      <c r="Q28" s="521" t="s">
        <v>1195</v>
      </c>
      <c r="R28" s="521" t="s">
        <v>1195</v>
      </c>
      <c r="S28" s="521" t="s">
        <v>1195</v>
      </c>
      <c r="T28" s="521" t="s">
        <v>1195</v>
      </c>
      <c r="U28" s="521" t="s">
        <v>1195</v>
      </c>
      <c r="V28" s="521" t="s">
        <v>1195</v>
      </c>
      <c r="W28" s="521" t="s">
        <v>1195</v>
      </c>
      <c r="X28" s="521" t="s">
        <v>1195</v>
      </c>
      <c r="Y28" s="521" t="s">
        <v>1195</v>
      </c>
      <c r="Z28" s="521" t="s">
        <v>1195</v>
      </c>
      <c r="AA28" s="521" t="s">
        <v>1195</v>
      </c>
      <c r="AB28" s="521" t="s">
        <v>1195</v>
      </c>
      <c r="AC28" s="521" t="s">
        <v>1195</v>
      </c>
      <c r="AD28" s="521" t="s">
        <v>1195</v>
      </c>
      <c r="AE28" s="521" t="s">
        <v>1195</v>
      </c>
      <c r="AF28" s="521" t="s">
        <v>1195</v>
      </c>
      <c r="AG28" s="521" t="s">
        <v>1195</v>
      </c>
      <c r="AH28" s="521" t="s">
        <v>1195</v>
      </c>
      <c r="AI28" s="521" t="s">
        <v>1195</v>
      </c>
      <c r="AJ28" s="521" t="s">
        <v>1195</v>
      </c>
      <c r="AK28" s="521" t="s">
        <v>1195</v>
      </c>
      <c r="AL28" s="521" t="s">
        <v>1195</v>
      </c>
      <c r="AM28" s="521" t="s">
        <v>1195</v>
      </c>
      <c r="AN28" s="521" t="s">
        <v>1195</v>
      </c>
      <c r="AO28" s="521" t="s">
        <v>1195</v>
      </c>
      <c r="AP28" s="521" t="s">
        <v>1195</v>
      </c>
      <c r="AQ28" s="521" t="s">
        <v>1195</v>
      </c>
      <c r="AR28" s="521" t="s">
        <v>1195</v>
      </c>
      <c r="AS28" s="521" t="s">
        <v>1195</v>
      </c>
      <c r="AT28" s="521" t="s">
        <v>1195</v>
      </c>
      <c r="AU28" s="521" t="s">
        <v>1195</v>
      </c>
      <c r="AV28" s="521" t="s">
        <v>1195</v>
      </c>
      <c r="AW28" s="521" t="s">
        <v>1195</v>
      </c>
      <c r="AX28" s="521" t="s">
        <v>1195</v>
      </c>
      <c r="AY28" s="521" t="s">
        <v>1195</v>
      </c>
      <c r="AZ28" s="521" t="s">
        <v>1195</v>
      </c>
      <c r="BA28" s="521" t="s">
        <v>1195</v>
      </c>
      <c r="BB28" s="521" t="s">
        <v>1195</v>
      </c>
      <c r="BC28" s="521" t="s">
        <v>1195</v>
      </c>
      <c r="BD28" s="521" t="s">
        <v>1195</v>
      </c>
      <c r="BE28" s="521" t="s">
        <v>1195</v>
      </c>
      <c r="BF28" s="521" t="s">
        <v>1195</v>
      </c>
      <c r="BG28" s="521" t="s">
        <v>1195</v>
      </c>
      <c r="BH28" s="521" t="s">
        <v>1195</v>
      </c>
      <c r="BI28" s="521" t="s">
        <v>1195</v>
      </c>
      <c r="BJ28" s="521" t="s">
        <v>1195</v>
      </c>
      <c r="BK28" s="521" t="s">
        <v>1195</v>
      </c>
      <c r="BL28" s="521" t="s">
        <v>1195</v>
      </c>
      <c r="BM28" s="521" t="s">
        <v>1195</v>
      </c>
      <c r="BN28" s="521" t="s">
        <v>1195</v>
      </c>
      <c r="BO28" s="1047" t="s">
        <v>1099</v>
      </c>
      <c r="BP28" s="1047" t="s">
        <v>1099</v>
      </c>
      <c r="BQ28" s="1047" t="s">
        <v>1099</v>
      </c>
      <c r="BR28" s="1047" t="s">
        <v>1099</v>
      </c>
      <c r="BS28" s="1047" t="s">
        <v>1099</v>
      </c>
      <c r="BT28" s="1047" t="s">
        <v>1099</v>
      </c>
      <c r="BU28" s="1047" t="s">
        <v>1099</v>
      </c>
      <c r="BV28" s="1047" t="s">
        <v>1099</v>
      </c>
      <c r="BW28" s="1047" t="s">
        <v>1099</v>
      </c>
      <c r="BX28" s="1047" t="s">
        <v>1099</v>
      </c>
      <c r="BY28" s="1047" t="s">
        <v>1099</v>
      </c>
      <c r="BZ28" s="1047" t="s">
        <v>1099</v>
      </c>
      <c r="CA28" s="1047" t="s">
        <v>1099</v>
      </c>
      <c r="CB28" s="1047" t="s">
        <v>1099</v>
      </c>
      <c r="CC28" s="1047" t="s">
        <v>1099</v>
      </c>
      <c r="CD28" s="1047" t="s">
        <v>1099</v>
      </c>
      <c r="CE28" s="1047" t="s">
        <v>1099</v>
      </c>
      <c r="CF28" s="1047" t="s">
        <v>1099</v>
      </c>
      <c r="CG28" s="1047" t="s">
        <v>1099</v>
      </c>
      <c r="CH28" s="1047" t="s">
        <v>1099</v>
      </c>
      <c r="CI28" s="1047" t="s">
        <v>1099</v>
      </c>
      <c r="CJ28" s="1047" t="s">
        <v>1099</v>
      </c>
      <c r="CK28" s="1047" t="s">
        <v>1099</v>
      </c>
      <c r="CL28" s="1047" t="s">
        <v>1099</v>
      </c>
      <c r="CM28" s="1047" t="s">
        <v>1099</v>
      </c>
      <c r="CN28" s="1047" t="s">
        <v>1099</v>
      </c>
      <c r="CO28" s="1047" t="s">
        <v>1099</v>
      </c>
      <c r="CP28" s="1047" t="s">
        <v>1099</v>
      </c>
      <c r="CQ28" s="1047" t="s">
        <v>1099</v>
      </c>
      <c r="CR28" s="1047" t="s">
        <v>1099</v>
      </c>
      <c r="CS28" s="521" t="s">
        <v>488</v>
      </c>
      <c r="CT28" s="521" t="s">
        <v>488</v>
      </c>
      <c r="CU28" s="521" t="s">
        <v>488</v>
      </c>
      <c r="CV28" s="521" t="s">
        <v>488</v>
      </c>
      <c r="CW28" s="521" t="s">
        <v>488</v>
      </c>
      <c r="CX28" s="521" t="s">
        <v>488</v>
      </c>
      <c r="CY28" s="521" t="s">
        <v>488</v>
      </c>
      <c r="CZ28" s="521" t="s">
        <v>488</v>
      </c>
      <c r="DA28" s="521" t="s">
        <v>488</v>
      </c>
      <c r="DB28" s="521" t="s">
        <v>488</v>
      </c>
      <c r="DC28" s="521" t="s">
        <v>488</v>
      </c>
      <c r="DD28" s="521" t="s">
        <v>488</v>
      </c>
      <c r="DE28" s="521" t="s">
        <v>488</v>
      </c>
      <c r="DF28" s="521" t="s">
        <v>488</v>
      </c>
      <c r="DG28" s="521" t="s">
        <v>488</v>
      </c>
      <c r="DH28" s="521" t="s">
        <v>488</v>
      </c>
      <c r="DI28" s="521" t="s">
        <v>488</v>
      </c>
      <c r="DJ28" s="521" t="s">
        <v>488</v>
      </c>
      <c r="DK28" s="521" t="s">
        <v>488</v>
      </c>
      <c r="DL28" s="521" t="s">
        <v>488</v>
      </c>
      <c r="DM28" s="521" t="s">
        <v>488</v>
      </c>
      <c r="DN28" s="521" t="s">
        <v>488</v>
      </c>
      <c r="DO28" s="521" t="s">
        <v>488</v>
      </c>
      <c r="DP28" s="521" t="s">
        <v>488</v>
      </c>
      <c r="DQ28" s="521" t="s">
        <v>488</v>
      </c>
      <c r="DR28" s="521" t="s">
        <v>488</v>
      </c>
      <c r="DS28" s="521" t="s">
        <v>488</v>
      </c>
      <c r="DT28" s="521" t="s">
        <v>488</v>
      </c>
      <c r="DU28" s="521"/>
      <c r="DV28" s="521"/>
      <c r="DW28" s="521"/>
      <c r="DX28" s="521"/>
      <c r="DY28" s="521"/>
      <c r="DZ28" s="521"/>
      <c r="EA28" s="521"/>
      <c r="EB28" s="521"/>
      <c r="EC28" s="521"/>
    </row>
    <row r="29" spans="2:133" x14ac:dyDescent="0.2">
      <c r="B29" s="1036" t="s">
        <v>421</v>
      </c>
      <c r="C29" s="727"/>
      <c r="D29" s="1013"/>
      <c r="E29" s="5"/>
      <c r="F29" s="5"/>
      <c r="G29" s="5"/>
      <c r="H29" s="16"/>
      <c r="I29" s="85"/>
      <c r="J29" s="85"/>
      <c r="K29" s="85"/>
      <c r="L29" s="85"/>
      <c r="M29" s="85"/>
      <c r="N29" s="85"/>
      <c r="O29" s="85"/>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c r="AO29" s="85"/>
      <c r="AP29" s="85"/>
      <c r="AQ29" s="85"/>
      <c r="AR29" s="85"/>
      <c r="AS29" s="85"/>
      <c r="AT29" s="85"/>
      <c r="AU29" s="85"/>
      <c r="AV29" s="85"/>
      <c r="AW29" s="85"/>
      <c r="AX29" s="85"/>
      <c r="AY29" s="85"/>
      <c r="AZ29" s="85"/>
      <c r="BA29" s="85"/>
      <c r="BB29" s="85"/>
      <c r="BC29" s="85"/>
      <c r="BD29" s="85"/>
      <c r="BE29" s="85"/>
      <c r="BF29" s="85"/>
      <c r="BG29" s="85"/>
      <c r="BH29" s="85"/>
      <c r="BI29" s="85"/>
      <c r="BJ29" s="85"/>
      <c r="BK29" s="85"/>
      <c r="BL29" s="85"/>
      <c r="BM29" s="85"/>
      <c r="BN29" s="85"/>
      <c r="BO29" s="85"/>
      <c r="BP29" s="85"/>
      <c r="BQ29" s="85"/>
      <c r="BR29" s="85"/>
      <c r="BS29" s="85"/>
      <c r="BT29" s="85"/>
      <c r="BU29" s="85"/>
      <c r="BV29" s="85"/>
      <c r="BW29" s="85"/>
      <c r="BX29" s="85"/>
      <c r="BY29" s="85"/>
      <c r="BZ29" s="85"/>
      <c r="CA29" s="85"/>
      <c r="CB29" s="85"/>
      <c r="CC29" s="85"/>
      <c r="CD29" s="85"/>
      <c r="CE29" s="85"/>
      <c r="CF29" s="85"/>
      <c r="CG29" s="85"/>
      <c r="CH29" s="85"/>
      <c r="CI29" s="85"/>
      <c r="CJ29" s="85"/>
      <c r="CK29" s="85"/>
      <c r="CL29" s="85"/>
      <c r="CM29" s="85"/>
      <c r="CN29" s="85"/>
      <c r="CO29" s="85"/>
      <c r="CP29" s="85"/>
      <c r="CQ29" s="85"/>
      <c r="CR29" s="85"/>
      <c r="CS29" s="85"/>
    </row>
    <row r="30" spans="2:133" hidden="1" x14ac:dyDescent="0.2">
      <c r="B30" s="1036" t="s">
        <v>489</v>
      </c>
      <c r="C30" s="727"/>
      <c r="D30" s="1013"/>
      <c r="E30" s="5"/>
      <c r="F30" s="5"/>
      <c r="G30" s="5"/>
      <c r="H30" s="16"/>
      <c r="I30" s="85"/>
      <c r="J30" s="16"/>
      <c r="K30" s="16"/>
      <c r="L30" s="16"/>
      <c r="M30" s="16"/>
      <c r="N30" s="16"/>
      <c r="O30" s="16"/>
      <c r="P30" s="16"/>
      <c r="Q30" s="16"/>
      <c r="R30" s="16"/>
      <c r="S30" s="16"/>
      <c r="T30" s="16"/>
      <c r="U30" s="16"/>
      <c r="V30" s="16"/>
      <c r="W30" s="16"/>
      <c r="X30" s="16"/>
      <c r="Y30" s="20"/>
      <c r="Z30" s="5"/>
      <c r="AA30" s="5"/>
      <c r="AB30" s="5"/>
      <c r="AC30" s="5"/>
      <c r="AD30" s="5"/>
      <c r="AE30" s="5"/>
      <c r="AF30" s="5"/>
      <c r="AG30" s="5"/>
      <c r="AH30" s="5"/>
      <c r="AI30" s="5"/>
      <c r="AJ30" s="5"/>
      <c r="AK30" s="5"/>
      <c r="AL30" s="5"/>
      <c r="AM30" s="5"/>
      <c r="AN30" s="5"/>
      <c r="AO30" s="5"/>
      <c r="AP30" s="5"/>
      <c r="AQ30" s="5"/>
      <c r="AR30" s="5"/>
      <c r="AS30" s="437"/>
    </row>
    <row r="31" spans="2:133" ht="21" hidden="1" x14ac:dyDescent="0.2">
      <c r="B31" s="1036" t="s">
        <v>489</v>
      </c>
      <c r="C31" s="727"/>
      <c r="D31" s="1012"/>
      <c r="E31" s="240" t="s">
        <v>489</v>
      </c>
      <c r="F31" s="240"/>
      <c r="G31" s="240"/>
      <c r="H31" s="240"/>
      <c r="I31" s="240"/>
      <c r="J31" s="240"/>
      <c r="K31" s="240"/>
      <c r="L31" s="240"/>
      <c r="M31" s="240"/>
      <c r="N31" s="240"/>
      <c r="O31" s="240"/>
      <c r="P31" s="240"/>
      <c r="Q31" s="240"/>
      <c r="R31" s="240"/>
      <c r="S31" s="240"/>
      <c r="T31" s="240"/>
      <c r="U31" s="240"/>
      <c r="V31" s="240"/>
      <c r="W31" s="240"/>
      <c r="X31" s="16"/>
      <c r="Y31" s="16"/>
      <c r="Z31" s="5"/>
      <c r="AA31" s="5"/>
      <c r="AB31" s="1033" t="s">
        <v>490</v>
      </c>
      <c r="AH31" s="5"/>
      <c r="AI31" s="5"/>
      <c r="AJ31" s="5"/>
      <c r="AK31" s="5"/>
      <c r="AL31" s="5"/>
      <c r="AM31" s="5"/>
      <c r="AN31" s="5"/>
      <c r="AO31" s="5"/>
      <c r="AP31" s="5"/>
      <c r="AQ31" s="5"/>
      <c r="AR31" s="5"/>
      <c r="AS31" s="437"/>
    </row>
    <row r="32" spans="2:133" hidden="1" x14ac:dyDescent="0.2">
      <c r="B32" s="1036" t="s">
        <v>489</v>
      </c>
      <c r="C32" s="727"/>
      <c r="D32" s="1013"/>
      <c r="E32" s="506" t="s">
        <v>491</v>
      </c>
      <c r="F32" s="506"/>
      <c r="G32" s="506" t="s">
        <v>423</v>
      </c>
      <c r="H32" s="507"/>
      <c r="I32" s="508">
        <f t="shared" ref="I32:V32" ca="1" si="9">OFFSET(I32,0,-1)+1</f>
        <v>1</v>
      </c>
      <c r="J32" s="508">
        <f t="shared" ca="1" si="9"/>
        <v>2</v>
      </c>
      <c r="K32" s="508">
        <f t="shared" ca="1" si="9"/>
        <v>3</v>
      </c>
      <c r="L32" s="508">
        <f t="shared" ca="1" si="9"/>
        <v>4</v>
      </c>
      <c r="M32" s="508">
        <f t="shared" ca="1" si="9"/>
        <v>5</v>
      </c>
      <c r="N32" s="508">
        <f t="shared" ca="1" si="9"/>
        <v>6</v>
      </c>
      <c r="O32" s="508">
        <f t="shared" ca="1" si="9"/>
        <v>7</v>
      </c>
      <c r="P32" s="508">
        <f t="shared" ca="1" si="9"/>
        <v>8</v>
      </c>
      <c r="Q32" s="508">
        <f t="shared" ca="1" si="9"/>
        <v>9</v>
      </c>
      <c r="R32" s="508">
        <f t="shared" ca="1" si="9"/>
        <v>10</v>
      </c>
      <c r="S32" s="508">
        <f t="shared" ca="1" si="9"/>
        <v>11</v>
      </c>
      <c r="T32" s="508">
        <f t="shared" ca="1" si="9"/>
        <v>12</v>
      </c>
      <c r="U32" s="508">
        <f t="shared" ca="1" si="9"/>
        <v>13</v>
      </c>
      <c r="V32" s="508">
        <f t="shared" ca="1" si="9"/>
        <v>14</v>
      </c>
      <c r="W32" s="508"/>
      <c r="X32" s="16"/>
      <c r="Y32" s="16"/>
      <c r="Z32" s="5"/>
      <c r="AA32" s="5"/>
      <c r="AH32" s="5"/>
      <c r="AI32" s="5"/>
      <c r="AJ32" s="5"/>
      <c r="AK32" s="5"/>
      <c r="AL32" s="5"/>
      <c r="AM32" s="5"/>
      <c r="AN32" s="5"/>
      <c r="AO32" s="5"/>
      <c r="AP32" s="5"/>
      <c r="AQ32" s="5"/>
      <c r="AR32" s="5"/>
      <c r="AS32" s="22"/>
    </row>
    <row r="33" spans="2:99" ht="18.75" hidden="1" x14ac:dyDescent="0.2">
      <c r="B33" s="1036" t="s">
        <v>489</v>
      </c>
      <c r="C33" s="727"/>
      <c r="D33" s="1012"/>
      <c r="E33" s="403" t="s">
        <v>492</v>
      </c>
      <c r="F33" s="404"/>
      <c r="G33" s="403"/>
      <c r="H33" s="509"/>
      <c r="I33" s="509"/>
      <c r="J33" s="509"/>
      <c r="K33" s="509"/>
      <c r="L33" s="509"/>
      <c r="M33" s="509"/>
      <c r="N33" s="509"/>
      <c r="O33" s="509"/>
      <c r="P33" s="688"/>
      <c r="Q33" s="688"/>
      <c r="R33" s="688" t="s">
        <v>493</v>
      </c>
      <c r="S33" s="688" t="s">
        <v>493</v>
      </c>
      <c r="T33" s="688" t="s">
        <v>493</v>
      </c>
      <c r="U33" s="688" t="s">
        <v>493</v>
      </c>
      <c r="V33" s="688" t="s">
        <v>493</v>
      </c>
      <c r="W33" s="509"/>
      <c r="X33" s="16"/>
      <c r="Y33" s="16"/>
      <c r="Z33" s="5"/>
      <c r="AA33" s="5"/>
      <c r="AB33" s="1020"/>
      <c r="AC33" s="1021"/>
      <c r="AD33" s="1022" t="s">
        <v>494</v>
      </c>
      <c r="AE33" s="1022" t="s">
        <v>495</v>
      </c>
      <c r="AF33" s="1022" t="s">
        <v>496</v>
      </c>
      <c r="AG33" s="1022" t="s">
        <v>497</v>
      </c>
      <c r="AH33" s="1022" t="s">
        <v>498</v>
      </c>
      <c r="AI33" s="1022" t="s">
        <v>499</v>
      </c>
      <c r="AJ33" s="5"/>
      <c r="AK33" s="5"/>
      <c r="AL33" s="5"/>
      <c r="AM33" s="5"/>
      <c r="AN33" s="5"/>
      <c r="AO33" s="5"/>
      <c r="AP33" s="22"/>
      <c r="AQ33" s="22"/>
      <c r="AR33" s="22"/>
      <c r="AS33" s="22"/>
    </row>
    <row r="34" spans="2:99" ht="25.5" hidden="1" x14ac:dyDescent="0.2">
      <c r="B34" s="1036" t="s">
        <v>489</v>
      </c>
      <c r="C34" s="727"/>
      <c r="D34" s="1013"/>
      <c r="E34" s="395" t="s">
        <v>500</v>
      </c>
      <c r="F34" s="396"/>
      <c r="G34" s="395" t="s">
        <v>70</v>
      </c>
      <c r="H34" s="408"/>
      <c r="I34" s="494" t="s">
        <v>1143</v>
      </c>
      <c r="J34" s="494" t="s">
        <v>1043</v>
      </c>
      <c r="K34" s="494" t="s">
        <v>1142</v>
      </c>
      <c r="L34" s="494" t="s">
        <v>1131</v>
      </c>
      <c r="M34" s="494" t="s">
        <v>1098</v>
      </c>
      <c r="N34" s="494" t="s">
        <v>503</v>
      </c>
      <c r="O34" s="494" t="s">
        <v>504</v>
      </c>
      <c r="P34" s="494" t="s">
        <v>505</v>
      </c>
      <c r="Q34" s="494" t="s">
        <v>506</v>
      </c>
      <c r="R34" s="557"/>
      <c r="S34" s="557"/>
      <c r="T34" s="557"/>
      <c r="U34" s="557"/>
      <c r="V34" s="557"/>
      <c r="W34" s="501"/>
      <c r="X34" s="16"/>
      <c r="Y34" s="16"/>
      <c r="Z34" s="5"/>
      <c r="AA34" s="5"/>
      <c r="AB34" s="1023"/>
      <c r="AC34" s="1021"/>
      <c r="AD34" s="1024" t="s">
        <v>136</v>
      </c>
      <c r="AE34" s="1024" t="s">
        <v>507</v>
      </c>
      <c r="AF34" s="1024" t="s">
        <v>507</v>
      </c>
      <c r="AG34" s="1024" t="s">
        <v>507</v>
      </c>
      <c r="AH34" s="1024" t="s">
        <v>163</v>
      </c>
      <c r="AI34" s="1024" t="s">
        <v>508</v>
      </c>
      <c r="AJ34" s="5"/>
      <c r="AK34" s="5"/>
      <c r="AL34" s="5"/>
      <c r="AM34" s="5"/>
      <c r="AN34" s="5"/>
      <c r="AO34" s="5"/>
      <c r="AP34" s="5"/>
      <c r="AQ34" s="5"/>
      <c r="AR34" s="5"/>
      <c r="AS34" s="22"/>
    </row>
    <row r="35" spans="2:99" hidden="1" x14ac:dyDescent="0.2">
      <c r="B35" s="1036" t="s">
        <v>489</v>
      </c>
      <c r="C35" s="727"/>
      <c r="D35" s="1014" t="s">
        <v>50</v>
      </c>
      <c r="E35" s="495" t="s">
        <v>509</v>
      </c>
      <c r="F35" s="496"/>
      <c r="G35" s="395" t="s">
        <v>507</v>
      </c>
      <c r="H35" s="395"/>
      <c r="I35" s="498">
        <v>3.5</v>
      </c>
      <c r="J35" s="498">
        <v>3.7</v>
      </c>
      <c r="K35" s="498">
        <v>3.5</v>
      </c>
      <c r="L35" s="498">
        <v>3.5</v>
      </c>
      <c r="M35" s="498">
        <v>3.5</v>
      </c>
      <c r="N35" s="498">
        <v>2.5</v>
      </c>
      <c r="O35" s="498">
        <v>1.3</v>
      </c>
      <c r="P35" s="498">
        <v>0.86</v>
      </c>
      <c r="Q35" s="498">
        <v>0.19</v>
      </c>
      <c r="R35" s="502"/>
      <c r="S35" s="502"/>
      <c r="T35" s="502"/>
      <c r="U35" s="502"/>
      <c r="V35" s="502"/>
      <c r="W35" s="503"/>
      <c r="X35" s="16"/>
      <c r="Y35" s="16"/>
      <c r="Z35" s="5"/>
      <c r="AA35" s="5"/>
      <c r="AB35" s="1025" t="s">
        <v>510</v>
      </c>
      <c r="AC35" s="1021"/>
      <c r="AD35" s="1021"/>
      <c r="AE35" s="1021"/>
      <c r="AF35" s="1021"/>
      <c r="AG35" s="1021"/>
      <c r="AH35" s="1021"/>
      <c r="AI35" s="1021"/>
      <c r="AJ35" s="5"/>
      <c r="AK35" s="5"/>
      <c r="AL35" s="5"/>
      <c r="AM35" s="5"/>
      <c r="AN35" s="5"/>
      <c r="AO35" s="5"/>
      <c r="AP35" s="5"/>
      <c r="AQ35" s="5"/>
      <c r="AR35" s="5"/>
      <c r="AS35" s="22"/>
    </row>
    <row r="36" spans="2:99" hidden="1" x14ac:dyDescent="0.2">
      <c r="B36" s="1036" t="s">
        <v>489</v>
      </c>
      <c r="C36" s="727"/>
      <c r="D36" s="1013"/>
      <c r="E36" s="495" t="s">
        <v>511</v>
      </c>
      <c r="F36" s="496"/>
      <c r="G36" s="395" t="s">
        <v>507</v>
      </c>
      <c r="H36" s="395"/>
      <c r="I36" s="498">
        <v>6</v>
      </c>
      <c r="J36" s="498">
        <v>4.7</v>
      </c>
      <c r="K36" s="498">
        <v>1.7</v>
      </c>
      <c r="L36" s="498">
        <v>4.5</v>
      </c>
      <c r="M36" s="498">
        <v>3.5</v>
      </c>
      <c r="N36" s="498">
        <v>2.5</v>
      </c>
      <c r="O36" s="498">
        <v>1.3</v>
      </c>
      <c r="P36" s="498">
        <v>0.86</v>
      </c>
      <c r="Q36" s="498">
        <v>0.22</v>
      </c>
      <c r="R36" s="502"/>
      <c r="S36" s="502"/>
      <c r="T36" s="502"/>
      <c r="U36" s="502"/>
      <c r="V36" s="502"/>
      <c r="W36" s="503"/>
      <c r="X36" s="16"/>
      <c r="Y36" s="16"/>
      <c r="Z36" s="5"/>
      <c r="AA36" s="5"/>
      <c r="AB36" s="1023" t="s">
        <v>512</v>
      </c>
      <c r="AC36" s="1021"/>
      <c r="AD36" s="1031">
        <v>10</v>
      </c>
      <c r="AE36" s="1031">
        <v>3.5</v>
      </c>
      <c r="AF36" s="1032">
        <v>0.17</v>
      </c>
      <c r="AG36" s="1026">
        <f>AE36+AF36</f>
        <v>3.67</v>
      </c>
      <c r="AH36" s="1028">
        <f>1/(AE36+AF36)</f>
        <v>0.27247956403269757</v>
      </c>
      <c r="AI36" s="1029">
        <f>AD36*AH36</f>
        <v>2.7247956403269757</v>
      </c>
      <c r="AJ36" s="5"/>
      <c r="AK36" s="5"/>
      <c r="AL36" s="5"/>
      <c r="AM36" s="5"/>
      <c r="AN36" s="5"/>
      <c r="AO36" s="5"/>
      <c r="AP36" s="5"/>
      <c r="AQ36" s="5"/>
      <c r="AR36" s="5"/>
      <c r="AS36" s="22"/>
    </row>
    <row r="37" spans="2:99" hidden="1" x14ac:dyDescent="0.2">
      <c r="B37" s="1036" t="s">
        <v>489</v>
      </c>
      <c r="C37" s="727"/>
      <c r="D37" s="1013"/>
      <c r="E37" s="495" t="s">
        <v>513</v>
      </c>
      <c r="F37" s="496"/>
      <c r="G37" s="395" t="s">
        <v>507</v>
      </c>
      <c r="H37" s="395"/>
      <c r="I37" s="498">
        <v>8</v>
      </c>
      <c r="J37" s="498">
        <v>6.3</v>
      </c>
      <c r="K37" s="498">
        <v>3.5</v>
      </c>
      <c r="L37" s="498">
        <v>6</v>
      </c>
      <c r="M37" s="498">
        <v>3.5</v>
      </c>
      <c r="N37" s="498">
        <v>2.5</v>
      </c>
      <c r="O37" s="498">
        <v>1.3</v>
      </c>
      <c r="P37" s="498">
        <v>0.86</v>
      </c>
      <c r="Q37" s="498">
        <v>0.22</v>
      </c>
      <c r="R37" s="502"/>
      <c r="S37" s="502"/>
      <c r="T37" s="502"/>
      <c r="U37" s="502"/>
      <c r="V37" s="502"/>
      <c r="W37" s="503"/>
      <c r="X37" s="20"/>
      <c r="Y37" s="20"/>
      <c r="Z37" s="5"/>
      <c r="AA37" s="5"/>
      <c r="AB37" s="1023" t="s">
        <v>514</v>
      </c>
      <c r="AD37" s="1031">
        <v>15</v>
      </c>
      <c r="AE37" s="1031">
        <v>0.5</v>
      </c>
      <c r="AF37" s="1027">
        <f>$AF$36</f>
        <v>0.17</v>
      </c>
      <c r="AG37" s="1026">
        <f>AE37+AF37</f>
        <v>0.67</v>
      </c>
      <c r="AH37" s="1028">
        <f>1/(AE37+AF37)</f>
        <v>1.4925373134328357</v>
      </c>
      <c r="AI37" s="1029">
        <f>AD37*AH37</f>
        <v>22.388059701492537</v>
      </c>
      <c r="AJ37" s="5"/>
      <c r="AK37" s="5"/>
      <c r="AL37" s="5"/>
      <c r="AM37" s="5"/>
      <c r="AN37" s="5"/>
      <c r="AO37" s="5"/>
      <c r="AP37" s="5"/>
      <c r="AQ37" s="5"/>
      <c r="AR37" s="5"/>
      <c r="AS37" s="22"/>
    </row>
    <row r="38" spans="2:99" hidden="1" x14ac:dyDescent="0.2">
      <c r="B38" s="1036" t="s">
        <v>489</v>
      </c>
      <c r="C38" s="727"/>
      <c r="D38" s="1013"/>
      <c r="E38" s="495" t="s">
        <v>515</v>
      </c>
      <c r="F38" s="496"/>
      <c r="G38" s="395" t="s">
        <v>507</v>
      </c>
      <c r="H38" s="395"/>
      <c r="I38" s="498">
        <v>8</v>
      </c>
      <c r="J38" s="498">
        <v>6.3</v>
      </c>
      <c r="K38" s="498">
        <v>3.5</v>
      </c>
      <c r="L38" s="498">
        <v>6</v>
      </c>
      <c r="M38" s="498">
        <v>3.5</v>
      </c>
      <c r="N38" s="498">
        <v>2.5</v>
      </c>
      <c r="O38" s="498">
        <v>1.3</v>
      </c>
      <c r="P38" s="498">
        <v>0.86</v>
      </c>
      <c r="Q38" s="498">
        <v>0.22</v>
      </c>
      <c r="R38" s="502"/>
      <c r="S38" s="502"/>
      <c r="T38" s="502"/>
      <c r="U38" s="502"/>
      <c r="V38" s="502"/>
      <c r="W38" s="503"/>
      <c r="X38" s="20"/>
      <c r="Y38" s="20"/>
      <c r="Z38" s="5"/>
      <c r="AA38" s="5"/>
      <c r="AB38" s="1023" t="s">
        <v>516</v>
      </c>
      <c r="AC38" s="1021"/>
      <c r="AD38" s="1031">
        <v>20</v>
      </c>
      <c r="AE38" s="1031">
        <v>0.22</v>
      </c>
      <c r="AF38" s="1027">
        <f>$AF$36</f>
        <v>0.17</v>
      </c>
      <c r="AG38" s="1026">
        <f>AE38+AF38</f>
        <v>0.39</v>
      </c>
      <c r="AH38" s="1028">
        <f>1/(AE38+AF38)</f>
        <v>2.5641025641025639</v>
      </c>
      <c r="AI38" s="1029">
        <f>AD38*AH38</f>
        <v>51.282051282051277</v>
      </c>
      <c r="AJ38" s="5"/>
      <c r="AK38" s="5"/>
      <c r="AL38" s="5"/>
      <c r="AM38" s="5"/>
      <c r="AN38" s="5"/>
      <c r="AO38" s="5"/>
      <c r="AP38" s="5"/>
      <c r="AQ38" s="5"/>
      <c r="AR38" s="5"/>
      <c r="AS38" s="22"/>
    </row>
    <row r="39" spans="2:99" hidden="1" x14ac:dyDescent="0.2">
      <c r="B39" s="1036" t="s">
        <v>489</v>
      </c>
      <c r="C39" s="727"/>
      <c r="D39" s="1013"/>
      <c r="E39" s="495" t="s">
        <v>517</v>
      </c>
      <c r="F39" s="504">
        <v>0.26</v>
      </c>
      <c r="G39" s="395" t="s">
        <v>163</v>
      </c>
      <c r="H39" s="395"/>
      <c r="I39" s="499">
        <f>1/(I35+$F39)</f>
        <v>0.26595744680851063</v>
      </c>
      <c r="J39" s="499">
        <f>1/(J35+$F39)</f>
        <v>0.25252525252525254</v>
      </c>
      <c r="K39" s="499">
        <f t="shared" ref="K39" si="10">1/(K35+$F39)</f>
        <v>0.26595744680851063</v>
      </c>
      <c r="L39" s="499">
        <f t="shared" ref="L39:V39" si="11">1/(L35+$F39)</f>
        <v>0.26595744680851063</v>
      </c>
      <c r="M39" s="499">
        <f t="shared" si="11"/>
        <v>0.26595744680851063</v>
      </c>
      <c r="N39" s="499">
        <f t="shared" si="11"/>
        <v>0.3623188405797102</v>
      </c>
      <c r="O39" s="499">
        <f t="shared" si="11"/>
        <v>0.64102564102564097</v>
      </c>
      <c r="P39" s="499">
        <f t="shared" si="11"/>
        <v>0.89285714285714279</v>
      </c>
      <c r="Q39" s="499">
        <f t="shared" si="11"/>
        <v>2.2222222222222223</v>
      </c>
      <c r="R39" s="499">
        <f t="shared" si="11"/>
        <v>3.8461538461538458</v>
      </c>
      <c r="S39" s="499">
        <f t="shared" si="11"/>
        <v>3.8461538461538458</v>
      </c>
      <c r="T39" s="499">
        <f t="shared" si="11"/>
        <v>3.8461538461538458</v>
      </c>
      <c r="U39" s="499">
        <f t="shared" si="11"/>
        <v>3.8461538461538458</v>
      </c>
      <c r="V39" s="499">
        <f t="shared" si="11"/>
        <v>3.8461538461538458</v>
      </c>
      <c r="W39" s="503"/>
      <c r="X39" s="20"/>
      <c r="Y39" s="20"/>
      <c r="Z39" s="5"/>
      <c r="AA39" s="5"/>
      <c r="AB39" s="1021"/>
      <c r="AC39" s="1021"/>
      <c r="AD39" s="1021"/>
      <c r="AE39" s="1021"/>
      <c r="AF39" s="1021"/>
      <c r="AG39" s="1021"/>
      <c r="AH39" s="1021"/>
      <c r="AI39" s="1021"/>
      <c r="AJ39" s="5"/>
      <c r="AK39" s="5"/>
      <c r="AL39" s="5"/>
      <c r="AM39" s="5"/>
      <c r="AN39" s="5"/>
      <c r="AO39" s="5"/>
      <c r="AP39" s="5"/>
      <c r="AQ39" s="5"/>
      <c r="AR39" s="5"/>
      <c r="AS39" s="22"/>
    </row>
    <row r="40" spans="2:99" hidden="1" x14ac:dyDescent="0.2">
      <c r="B40" s="1036" t="s">
        <v>489</v>
      </c>
      <c r="C40" s="727"/>
      <c r="D40" s="1013"/>
      <c r="E40" s="495" t="s">
        <v>518</v>
      </c>
      <c r="F40" s="505">
        <v>0.5</v>
      </c>
      <c r="G40" s="395" t="s">
        <v>163</v>
      </c>
      <c r="H40" s="395"/>
      <c r="I40" s="499">
        <f>I39*MAX($F40,1/(1+I39))</f>
        <v>0.21008403361344535</v>
      </c>
      <c r="J40" s="499">
        <f>J39*MAX($F40,1/(1+J39))</f>
        <v>0.20161290322580647</v>
      </c>
      <c r="K40" s="499">
        <f t="shared" ref="K40" si="12">K39*MAX($F40,1/(1+K39))</f>
        <v>0.21008403361344535</v>
      </c>
      <c r="L40" s="499">
        <f t="shared" ref="L40:V40" si="13">L39*MAX($F40,1/(1+L39))</f>
        <v>0.21008403361344535</v>
      </c>
      <c r="M40" s="499">
        <f t="shared" si="13"/>
        <v>0.21008403361344535</v>
      </c>
      <c r="N40" s="499">
        <f t="shared" si="13"/>
        <v>0.26595744680851069</v>
      </c>
      <c r="O40" s="499">
        <f t="shared" si="13"/>
        <v>0.39062499999999994</v>
      </c>
      <c r="P40" s="499">
        <f t="shared" si="13"/>
        <v>0.47169811320754712</v>
      </c>
      <c r="Q40" s="499">
        <f t="shared" si="13"/>
        <v>1.1111111111111112</v>
      </c>
      <c r="R40" s="499">
        <f t="shared" si="13"/>
        <v>1.9230769230769229</v>
      </c>
      <c r="S40" s="499">
        <f t="shared" si="13"/>
        <v>1.9230769230769229</v>
      </c>
      <c r="T40" s="499">
        <f t="shared" si="13"/>
        <v>1.9230769230769229</v>
      </c>
      <c r="U40" s="499">
        <f t="shared" si="13"/>
        <v>1.9230769230769229</v>
      </c>
      <c r="V40" s="499">
        <f t="shared" si="13"/>
        <v>1.9230769230769229</v>
      </c>
      <c r="W40" s="503"/>
      <c r="X40" s="20"/>
      <c r="Y40" s="20"/>
      <c r="Z40" s="5"/>
      <c r="AA40" s="5"/>
      <c r="AB40" s="1025" t="s">
        <v>519</v>
      </c>
      <c r="AC40" s="1021"/>
      <c r="AD40" s="1021"/>
      <c r="AE40" s="1021"/>
      <c r="AF40" s="1021"/>
      <c r="AG40" s="1021"/>
      <c r="AH40" s="1021"/>
      <c r="AI40" s="1021"/>
      <c r="AJ40" s="5"/>
      <c r="AK40" s="5"/>
      <c r="AL40" s="5"/>
      <c r="AM40" s="5"/>
      <c r="AN40" s="5"/>
      <c r="AO40" s="5"/>
      <c r="AP40" s="5"/>
      <c r="AQ40" s="5"/>
      <c r="AR40" s="5"/>
      <c r="AS40" s="22"/>
    </row>
    <row r="41" spans="2:99" hidden="1" x14ac:dyDescent="0.2">
      <c r="B41" s="1036" t="s">
        <v>489</v>
      </c>
      <c r="C41" s="727"/>
      <c r="D41" s="1013"/>
      <c r="E41" s="495" t="s">
        <v>520</v>
      </c>
      <c r="F41" s="504">
        <v>0.17</v>
      </c>
      <c r="G41" s="395" t="s">
        <v>163</v>
      </c>
      <c r="H41" s="395"/>
      <c r="I41" s="499">
        <f>1/($F41+I36)</f>
        <v>0.16207455429497569</v>
      </c>
      <c r="J41" s="499">
        <f>1/($F41+J36)</f>
        <v>0.20533880903490759</v>
      </c>
      <c r="K41" s="499">
        <f t="shared" ref="K41" si="14">1/($F41+K36)</f>
        <v>0.53475935828877008</v>
      </c>
      <c r="L41" s="499">
        <f t="shared" ref="L41:V41" si="15">1/($F41+L36)</f>
        <v>0.21413276231263384</v>
      </c>
      <c r="M41" s="499">
        <f t="shared" si="15"/>
        <v>0.27247956403269757</v>
      </c>
      <c r="N41" s="499">
        <f t="shared" si="15"/>
        <v>0.37453183520599254</v>
      </c>
      <c r="O41" s="499">
        <f t="shared" si="15"/>
        <v>0.68027210884353739</v>
      </c>
      <c r="P41" s="499">
        <f t="shared" si="15"/>
        <v>0.970873786407767</v>
      </c>
      <c r="Q41" s="499">
        <f t="shared" si="15"/>
        <v>2.5641025641025639</v>
      </c>
      <c r="R41" s="499">
        <f t="shared" si="15"/>
        <v>5.8823529411764701</v>
      </c>
      <c r="S41" s="499">
        <f t="shared" si="15"/>
        <v>5.8823529411764701</v>
      </c>
      <c r="T41" s="499">
        <f t="shared" si="15"/>
        <v>5.8823529411764701</v>
      </c>
      <c r="U41" s="499">
        <f t="shared" si="15"/>
        <v>5.8823529411764701</v>
      </c>
      <c r="V41" s="499">
        <f t="shared" si="15"/>
        <v>5.8823529411764701</v>
      </c>
      <c r="W41" s="503"/>
      <c r="X41" s="20"/>
      <c r="Y41" s="20"/>
      <c r="Z41" s="5"/>
      <c r="AA41" s="5"/>
      <c r="AB41" s="1023" t="s">
        <v>521</v>
      </c>
      <c r="AC41" s="1021"/>
      <c r="AD41" s="1026"/>
      <c r="AE41" s="1026"/>
      <c r="AF41" s="1027"/>
      <c r="AG41" s="1026"/>
      <c r="AH41" s="1028"/>
      <c r="AI41" s="1029">
        <f>SUM(AI36:AI38)</f>
        <v>76.394906623870781</v>
      </c>
      <c r="AJ41" s="5"/>
      <c r="AK41" s="5"/>
      <c r="AL41" s="5"/>
      <c r="AM41" s="5"/>
      <c r="AN41" s="5"/>
      <c r="AO41" s="5"/>
      <c r="AP41" s="5"/>
      <c r="AQ41" s="5"/>
      <c r="AR41" s="5"/>
      <c r="AS41" s="22"/>
    </row>
    <row r="42" spans="2:99" hidden="1" x14ac:dyDescent="0.2">
      <c r="B42" s="1036" t="s">
        <v>489</v>
      </c>
      <c r="C42" s="727"/>
      <c r="D42" s="1013"/>
      <c r="E42" s="495" t="s">
        <v>522</v>
      </c>
      <c r="F42" s="504">
        <v>0.17</v>
      </c>
      <c r="G42" s="395" t="s">
        <v>163</v>
      </c>
      <c r="H42" s="395"/>
      <c r="I42" s="499">
        <f t="shared" ref="I42:V43" si="16">1/($F42+I37)</f>
        <v>0.12239902080783353</v>
      </c>
      <c r="J42" s="499">
        <f t="shared" ref="J42:K42" si="17">1/($F42+J37)</f>
        <v>0.15455950540958269</v>
      </c>
      <c r="K42" s="499">
        <f t="shared" si="17"/>
        <v>0.27247956403269757</v>
      </c>
      <c r="L42" s="499">
        <f t="shared" si="16"/>
        <v>0.16207455429497569</v>
      </c>
      <c r="M42" s="499">
        <f t="shared" si="16"/>
        <v>0.27247956403269757</v>
      </c>
      <c r="N42" s="499">
        <f t="shared" si="16"/>
        <v>0.37453183520599254</v>
      </c>
      <c r="O42" s="499">
        <f t="shared" si="16"/>
        <v>0.68027210884353739</v>
      </c>
      <c r="P42" s="499">
        <f t="shared" si="16"/>
        <v>0.970873786407767</v>
      </c>
      <c r="Q42" s="499">
        <f t="shared" si="16"/>
        <v>2.5641025641025639</v>
      </c>
      <c r="R42" s="499">
        <f t="shared" si="16"/>
        <v>5.8823529411764701</v>
      </c>
      <c r="S42" s="499">
        <f t="shared" si="16"/>
        <v>5.8823529411764701</v>
      </c>
      <c r="T42" s="499">
        <f t="shared" si="16"/>
        <v>5.8823529411764701</v>
      </c>
      <c r="U42" s="499">
        <f t="shared" si="16"/>
        <v>5.8823529411764701</v>
      </c>
      <c r="V42" s="499">
        <f t="shared" si="16"/>
        <v>5.8823529411764701</v>
      </c>
      <c r="W42" s="503"/>
      <c r="X42" s="20"/>
      <c r="Y42" s="20"/>
      <c r="Z42" s="5"/>
      <c r="AA42" s="5"/>
      <c r="AB42" s="1023" t="s">
        <v>523</v>
      </c>
      <c r="AC42" s="1026"/>
      <c r="AD42" s="1026">
        <f>SUM(AD36:AD38)</f>
        <v>45</v>
      </c>
      <c r="AE42" s="1026"/>
      <c r="AF42" s="1027"/>
      <c r="AG42" s="1026"/>
      <c r="AH42" s="1028"/>
      <c r="AI42" s="1029"/>
      <c r="AJ42" s="5"/>
      <c r="AK42" s="5"/>
      <c r="AL42" s="5"/>
      <c r="AM42" s="5"/>
      <c r="AN42" s="5"/>
      <c r="AO42" s="5"/>
      <c r="AP42" s="5"/>
      <c r="AQ42" s="5"/>
      <c r="AR42" s="5"/>
      <c r="AS42" s="22"/>
      <c r="CU42" s="766"/>
    </row>
    <row r="43" spans="2:99" hidden="1" x14ac:dyDescent="0.2">
      <c r="B43" s="1036" t="s">
        <v>489</v>
      </c>
      <c r="C43" s="727"/>
      <c r="D43" s="1013"/>
      <c r="E43" s="495" t="s">
        <v>524</v>
      </c>
      <c r="F43" s="504">
        <v>0.17</v>
      </c>
      <c r="G43" s="395" t="s">
        <v>163</v>
      </c>
      <c r="H43" s="395"/>
      <c r="I43" s="499">
        <f t="shared" si="16"/>
        <v>0.12239902080783353</v>
      </c>
      <c r="J43" s="499">
        <f t="shared" ref="J43:K43" si="18">1/($F43+J38)</f>
        <v>0.15455950540958269</v>
      </c>
      <c r="K43" s="499">
        <f t="shared" si="18"/>
        <v>0.27247956403269757</v>
      </c>
      <c r="L43" s="499">
        <f t="shared" si="16"/>
        <v>0.16207455429497569</v>
      </c>
      <c r="M43" s="499">
        <f t="shared" si="16"/>
        <v>0.27247956403269757</v>
      </c>
      <c r="N43" s="499">
        <f t="shared" si="16"/>
        <v>0.37453183520599254</v>
      </c>
      <c r="O43" s="499">
        <f t="shared" si="16"/>
        <v>0.68027210884353739</v>
      </c>
      <c r="P43" s="499">
        <f t="shared" si="16"/>
        <v>0.970873786407767</v>
      </c>
      <c r="Q43" s="499">
        <f t="shared" si="16"/>
        <v>2.5641025641025639</v>
      </c>
      <c r="R43" s="499">
        <f t="shared" si="16"/>
        <v>5.8823529411764701</v>
      </c>
      <c r="S43" s="499">
        <f t="shared" si="16"/>
        <v>5.8823529411764701</v>
      </c>
      <c r="T43" s="499">
        <f t="shared" si="16"/>
        <v>5.8823529411764701</v>
      </c>
      <c r="U43" s="499">
        <f t="shared" si="16"/>
        <v>5.8823529411764701</v>
      </c>
      <c r="V43" s="499">
        <f t="shared" si="16"/>
        <v>5.8823529411764701</v>
      </c>
      <c r="W43" s="503"/>
      <c r="X43" s="20"/>
      <c r="Y43" s="20"/>
      <c r="Z43" s="5"/>
      <c r="AA43" s="5"/>
      <c r="AB43" s="1030" t="s">
        <v>525</v>
      </c>
      <c r="AC43" s="1030"/>
      <c r="AD43" s="1026"/>
      <c r="AE43" s="1026"/>
      <c r="AF43" s="1027"/>
      <c r="AG43" s="1026"/>
      <c r="AH43" s="1028">
        <f>AI41/AD42</f>
        <v>1.6976645916415729</v>
      </c>
      <c r="AI43" s="1029"/>
      <c r="AJ43" s="5"/>
      <c r="AK43" s="5"/>
      <c r="AL43" s="5"/>
      <c r="AM43" s="5"/>
      <c r="AN43" s="5"/>
      <c r="AO43" s="5"/>
      <c r="AP43" s="5"/>
      <c r="AQ43" s="5"/>
      <c r="AR43" s="5"/>
      <c r="AS43" s="22"/>
    </row>
    <row r="44" spans="2:99" hidden="1" x14ac:dyDescent="0.2">
      <c r="B44" s="1036" t="s">
        <v>489</v>
      </c>
      <c r="C44" s="727"/>
      <c r="D44" s="1013"/>
      <c r="E44" s="495" t="s">
        <v>526</v>
      </c>
      <c r="F44" s="496"/>
      <c r="G44" s="395" t="s">
        <v>163</v>
      </c>
      <c r="H44" s="395"/>
      <c r="I44" s="498">
        <v>1</v>
      </c>
      <c r="J44" s="498">
        <v>1.4</v>
      </c>
      <c r="K44" s="498">
        <v>1.4</v>
      </c>
      <c r="L44" s="498">
        <v>1.8</v>
      </c>
      <c r="M44" s="498">
        <v>1.8</v>
      </c>
      <c r="N44" s="498">
        <v>2.8</v>
      </c>
      <c r="O44" s="498">
        <v>2.8</v>
      </c>
      <c r="P44" s="498">
        <v>4.2</v>
      </c>
      <c r="Q44" s="498">
        <v>5.2</v>
      </c>
      <c r="R44" s="502"/>
      <c r="S44" s="502"/>
      <c r="T44" s="502"/>
      <c r="U44" s="502"/>
      <c r="V44" s="502"/>
      <c r="W44" s="503"/>
      <c r="X44" s="20"/>
      <c r="Y44" s="20"/>
      <c r="Z44" s="5"/>
      <c r="AA44" s="5"/>
      <c r="AB44" s="1030" t="s">
        <v>527</v>
      </c>
      <c r="AC44" s="1030"/>
      <c r="AD44" s="1026"/>
      <c r="AE44" s="1026"/>
      <c r="AF44" s="1027"/>
      <c r="AG44" s="1026">
        <f>1/AH43</f>
        <v>0.58904450556575516</v>
      </c>
      <c r="AH44" s="1028"/>
      <c r="AI44" s="1029"/>
      <c r="AJ44" s="5"/>
      <c r="AK44" s="5"/>
      <c r="AL44" s="5"/>
      <c r="AM44" s="5"/>
      <c r="AN44" s="5"/>
      <c r="AO44" s="5"/>
      <c r="AP44" s="5"/>
      <c r="AQ44" s="5"/>
      <c r="AR44" s="5"/>
      <c r="AS44" s="22"/>
    </row>
    <row r="45" spans="2:99" hidden="1" x14ac:dyDescent="0.2">
      <c r="B45" s="1036" t="s">
        <v>489</v>
      </c>
      <c r="C45" s="727"/>
      <c r="D45" s="1013"/>
      <c r="E45" s="495" t="s">
        <v>528</v>
      </c>
      <c r="F45" s="496"/>
      <c r="G45" s="395" t="s">
        <v>163</v>
      </c>
      <c r="H45" s="395"/>
      <c r="I45" s="498">
        <v>1.4</v>
      </c>
      <c r="J45" s="498">
        <v>2</v>
      </c>
      <c r="K45" s="498">
        <v>1.4</v>
      </c>
      <c r="L45" s="498">
        <v>2</v>
      </c>
      <c r="M45" s="498">
        <v>3.5</v>
      </c>
      <c r="N45" s="498">
        <v>3.5</v>
      </c>
      <c r="O45" s="498">
        <v>3.5</v>
      </c>
      <c r="P45" s="498">
        <v>3.5</v>
      </c>
      <c r="Q45" s="498">
        <v>3.5</v>
      </c>
      <c r="R45" s="502"/>
      <c r="S45" s="502"/>
      <c r="T45" s="502"/>
      <c r="U45" s="502"/>
      <c r="V45" s="502"/>
      <c r="W45" s="503"/>
      <c r="X45" s="20"/>
      <c r="Y45" s="20"/>
      <c r="Z45" s="5"/>
      <c r="AA45" s="5"/>
      <c r="AB45" s="1030" t="s">
        <v>529</v>
      </c>
      <c r="AC45" s="1030"/>
      <c r="AD45" s="1026"/>
      <c r="AE45" s="1026">
        <f>AG44-$AF$36</f>
        <v>0.41904450556575512</v>
      </c>
      <c r="AF45" s="1027"/>
      <c r="AG45" s="1026"/>
      <c r="AH45" s="1028"/>
      <c r="AI45" s="1029"/>
      <c r="AJ45" s="5"/>
      <c r="AK45" s="5"/>
      <c r="AL45" s="5"/>
      <c r="AM45" s="5"/>
      <c r="AN45" s="5"/>
      <c r="AO45" s="5"/>
      <c r="AP45" s="5"/>
      <c r="AQ45" s="5"/>
      <c r="AR45" s="5"/>
      <c r="AS45" s="22"/>
    </row>
    <row r="46" spans="2:99" hidden="1" x14ac:dyDescent="0.2">
      <c r="B46" s="1036" t="s">
        <v>489</v>
      </c>
      <c r="C46" s="727"/>
      <c r="D46" s="1013"/>
      <c r="E46" s="5"/>
      <c r="F46" s="5"/>
      <c r="G46" s="5"/>
      <c r="H46" s="16"/>
      <c r="I46" s="5"/>
      <c r="J46" s="5"/>
      <c r="K46" s="5"/>
      <c r="L46" s="5"/>
      <c r="M46" s="5"/>
      <c r="N46" s="5"/>
      <c r="O46" s="21"/>
      <c r="P46" s="21"/>
      <c r="Q46" s="16"/>
      <c r="R46" s="16"/>
      <c r="S46" s="16"/>
      <c r="T46" s="16"/>
      <c r="U46" s="16"/>
      <c r="V46" s="16"/>
      <c r="W46" s="16"/>
      <c r="X46" s="16"/>
      <c r="Y46" s="20"/>
      <c r="Z46" s="5"/>
      <c r="AA46" s="5"/>
      <c r="AB46" s="5"/>
      <c r="AC46" s="5"/>
      <c r="AD46" s="5"/>
      <c r="AE46" s="5"/>
      <c r="AF46" s="5"/>
      <c r="AG46" s="5"/>
      <c r="AH46" s="5"/>
      <c r="AI46" s="5"/>
      <c r="AJ46" s="5"/>
      <c r="AK46" s="5"/>
      <c r="AL46" s="5"/>
      <c r="AM46" s="5"/>
      <c r="AN46" s="5"/>
      <c r="AO46" s="5"/>
      <c r="AP46" s="5"/>
      <c r="AQ46" s="5"/>
      <c r="AR46" s="5"/>
      <c r="AS46" s="22"/>
    </row>
    <row r="47" spans="2:99" hidden="1" x14ac:dyDescent="0.2">
      <c r="B47" s="1036" t="s">
        <v>530</v>
      </c>
      <c r="C47" s="727"/>
      <c r="D47" s="1012"/>
      <c r="E47" s="5"/>
      <c r="F47" s="5"/>
      <c r="G47" s="5"/>
      <c r="H47" s="16"/>
      <c r="I47" s="16"/>
      <c r="J47" s="16"/>
      <c r="K47" s="16"/>
      <c r="L47" s="16"/>
      <c r="M47" s="16"/>
      <c r="N47" s="16"/>
      <c r="O47" s="16"/>
      <c r="P47" s="16"/>
      <c r="Q47" s="16"/>
      <c r="R47" s="16"/>
      <c r="S47" s="16"/>
      <c r="T47" s="16"/>
      <c r="U47" s="16"/>
      <c r="V47" s="16"/>
      <c r="W47" s="16"/>
      <c r="X47" s="16"/>
      <c r="Y47" s="20"/>
      <c r="Z47" s="5"/>
      <c r="AA47" s="5"/>
      <c r="AB47" s="5"/>
      <c r="AC47" s="5"/>
      <c r="AD47" s="5"/>
      <c r="AE47" s="5"/>
      <c r="AF47" s="5"/>
      <c r="AG47" s="5"/>
      <c r="AH47" s="5"/>
      <c r="AI47" s="5"/>
      <c r="AJ47" s="5"/>
      <c r="AK47" s="5"/>
      <c r="AL47" s="5"/>
      <c r="AM47" s="5"/>
      <c r="AN47" s="5"/>
      <c r="AO47" s="5"/>
      <c r="AP47" s="5"/>
      <c r="AQ47" s="5"/>
      <c r="AR47" s="5"/>
      <c r="AS47" s="22"/>
    </row>
    <row r="48" spans="2:99" ht="21" hidden="1" x14ac:dyDescent="0.2">
      <c r="B48" s="1036" t="s">
        <v>530</v>
      </c>
      <c r="C48" s="727"/>
      <c r="D48" s="1012"/>
      <c r="E48" s="240" t="s">
        <v>530</v>
      </c>
      <c r="F48" s="240"/>
      <c r="G48" s="240"/>
      <c r="H48" s="240"/>
      <c r="I48" s="240"/>
      <c r="J48" s="240"/>
      <c r="K48" s="240"/>
      <c r="L48" s="30"/>
      <c r="M48" s="5"/>
      <c r="N48" s="27"/>
      <c r="O48" s="5"/>
      <c r="P48" s="5"/>
      <c r="Q48" s="5"/>
      <c r="R48" s="5"/>
      <c r="S48" s="5"/>
      <c r="T48" s="5"/>
      <c r="U48" s="5"/>
      <c r="V48" s="5"/>
      <c r="X48" s="5"/>
      <c r="Y48" s="20"/>
      <c r="Z48" s="5"/>
      <c r="AA48" s="5"/>
      <c r="AB48" s="5"/>
      <c r="AC48" s="5"/>
      <c r="AD48" s="5"/>
      <c r="AE48" s="5"/>
      <c r="AF48" s="5"/>
      <c r="AG48" s="5"/>
      <c r="AH48" s="5"/>
      <c r="AI48" s="5"/>
      <c r="AJ48" s="5"/>
      <c r="AK48" s="5"/>
      <c r="AL48" s="5"/>
      <c r="AM48" s="5"/>
      <c r="AN48" s="5"/>
      <c r="AO48" s="5"/>
      <c r="AP48" s="5"/>
      <c r="AQ48" s="5"/>
      <c r="AR48" s="5"/>
      <c r="AS48" s="437"/>
    </row>
    <row r="49" spans="1:45" hidden="1" x14ac:dyDescent="0.2">
      <c r="B49" s="1036" t="s">
        <v>530</v>
      </c>
      <c r="C49" s="727"/>
      <c r="D49" s="1012"/>
      <c r="E49" s="386" t="s">
        <v>491</v>
      </c>
      <c r="F49" s="386"/>
      <c r="G49" s="386" t="s">
        <v>423</v>
      </c>
      <c r="H49" s="387"/>
      <c r="I49" s="387">
        <f ca="1">OFFSET(I49,0,-1)+1</f>
        <v>1</v>
      </c>
      <c r="J49" s="387">
        <f ca="1">OFFSET(J49,0,-1)+1</f>
        <v>2</v>
      </c>
      <c r="K49" s="387"/>
      <c r="L49" s="16"/>
      <c r="M49" s="16"/>
      <c r="N49" s="16"/>
      <c r="O49" s="16"/>
      <c r="P49" s="5"/>
      <c r="Q49" s="5"/>
      <c r="R49" s="5"/>
      <c r="X49" s="5"/>
      <c r="Y49" s="20"/>
      <c r="Z49" s="5"/>
      <c r="AA49" s="5"/>
      <c r="AB49" s="5"/>
      <c r="AC49" s="5"/>
      <c r="AD49" s="5"/>
      <c r="AE49" s="5"/>
      <c r="AF49" s="5"/>
      <c r="AG49" s="5"/>
      <c r="AH49" s="5"/>
      <c r="AI49" s="5"/>
      <c r="AJ49" s="5"/>
      <c r="AK49" s="5"/>
      <c r="AL49" s="5"/>
      <c r="AM49" s="5"/>
      <c r="AN49" s="5"/>
      <c r="AO49" s="5"/>
      <c r="AP49" s="5"/>
      <c r="AQ49" s="5"/>
      <c r="AR49" s="5"/>
      <c r="AS49" s="22"/>
    </row>
    <row r="50" spans="1:45" ht="25.5" hidden="1" x14ac:dyDescent="0.2">
      <c r="B50" s="1036" t="s">
        <v>530</v>
      </c>
      <c r="C50" s="727"/>
      <c r="D50" s="1012"/>
      <c r="E50" s="403" t="s">
        <v>531</v>
      </c>
      <c r="F50" s="404"/>
      <c r="G50" s="405"/>
      <c r="H50" s="406"/>
      <c r="I50" s="406" t="s">
        <v>532</v>
      </c>
      <c r="J50" s="406" t="s">
        <v>533</v>
      </c>
      <c r="K50" s="406"/>
      <c r="L50" s="20"/>
      <c r="M50" s="16"/>
      <c r="N50" s="16"/>
      <c r="O50" s="16"/>
      <c r="P50" s="5"/>
      <c r="Q50" s="5"/>
      <c r="R50" s="5"/>
      <c r="X50" s="5"/>
      <c r="Y50" s="20"/>
      <c r="Z50" s="5"/>
      <c r="AA50" s="5"/>
      <c r="AB50" s="5"/>
      <c r="AC50" s="5"/>
      <c r="AD50" s="5"/>
      <c r="AE50" s="5"/>
      <c r="AF50" s="5"/>
      <c r="AG50" s="5"/>
      <c r="AH50" s="5"/>
      <c r="AI50" s="5"/>
      <c r="AJ50" s="5"/>
      <c r="AK50" s="5"/>
      <c r="AL50" s="5"/>
      <c r="AM50" s="5"/>
      <c r="AN50" s="5"/>
      <c r="AO50" s="5"/>
      <c r="AP50" s="5"/>
      <c r="AQ50" s="5"/>
      <c r="AR50" s="5"/>
      <c r="AS50" s="22"/>
    </row>
    <row r="51" spans="1:45" hidden="1" x14ac:dyDescent="0.2">
      <c r="B51" s="1036" t="s">
        <v>530</v>
      </c>
      <c r="C51" s="727"/>
      <c r="D51" s="1012"/>
      <c r="E51" s="395" t="s">
        <v>534</v>
      </c>
      <c r="F51" s="396"/>
      <c r="G51" s="395" t="s">
        <v>70</v>
      </c>
      <c r="H51" s="408"/>
      <c r="I51" s="522" t="s">
        <v>535</v>
      </c>
      <c r="J51" s="522" t="s">
        <v>535</v>
      </c>
      <c r="K51" s="408"/>
      <c r="L51" s="20"/>
      <c r="M51" s="16"/>
      <c r="N51" s="16"/>
      <c r="O51" s="16"/>
      <c r="P51" s="5"/>
      <c r="Q51" s="5"/>
      <c r="R51" s="5"/>
      <c r="X51" s="5"/>
      <c r="Y51" s="20"/>
      <c r="Z51" s="5"/>
      <c r="AA51" s="5"/>
      <c r="AB51" s="5"/>
      <c r="AC51" s="5"/>
      <c r="AD51" s="5"/>
      <c r="AE51" s="5"/>
      <c r="AF51" s="5"/>
      <c r="AG51" s="5"/>
      <c r="AH51" s="5"/>
      <c r="AI51" s="5"/>
      <c r="AJ51" s="5"/>
      <c r="AK51" s="5"/>
      <c r="AL51" s="5"/>
      <c r="AM51" s="5"/>
      <c r="AN51" s="5"/>
      <c r="AO51" s="5"/>
      <c r="AP51" s="5"/>
      <c r="AQ51" s="5"/>
      <c r="AR51" s="5"/>
      <c r="AS51" s="22"/>
    </row>
    <row r="52" spans="1:45" hidden="1" x14ac:dyDescent="0.2">
      <c r="B52" s="1036" t="s">
        <v>530</v>
      </c>
      <c r="C52" s="727"/>
      <c r="D52" s="1012"/>
      <c r="E52" s="395" t="s">
        <v>536</v>
      </c>
      <c r="F52" s="396"/>
      <c r="G52" s="395" t="s">
        <v>70</v>
      </c>
      <c r="H52" s="408"/>
      <c r="I52" s="494" t="s">
        <v>537</v>
      </c>
      <c r="J52" s="494" t="s">
        <v>538</v>
      </c>
      <c r="K52" s="408"/>
      <c r="L52" s="20"/>
      <c r="M52" s="16"/>
      <c r="N52" s="16"/>
      <c r="O52" s="16"/>
      <c r="P52" s="5"/>
      <c r="Q52" s="5"/>
      <c r="R52" s="5"/>
      <c r="X52" s="5"/>
      <c r="Y52" s="20"/>
      <c r="Z52" s="5"/>
      <c r="AA52" s="5"/>
      <c r="AB52" s="5"/>
      <c r="AC52" s="5"/>
      <c r="AD52" s="5"/>
      <c r="AE52" s="5"/>
      <c r="AF52" s="5"/>
      <c r="AG52" s="5"/>
      <c r="AH52" s="5"/>
      <c r="AI52" s="5"/>
      <c r="AJ52" s="5"/>
      <c r="AK52" s="5"/>
      <c r="AL52" s="5"/>
      <c r="AM52" s="5"/>
      <c r="AN52" s="5"/>
      <c r="AO52" s="5"/>
      <c r="AP52" s="5"/>
      <c r="AQ52" s="5"/>
      <c r="AR52" s="5"/>
      <c r="AS52" s="22"/>
    </row>
    <row r="53" spans="1:45" hidden="1" x14ac:dyDescent="0.2">
      <c r="B53" s="1036" t="s">
        <v>530</v>
      </c>
      <c r="C53" s="727"/>
      <c r="D53" s="1012"/>
      <c r="E53" s="395" t="s">
        <v>539</v>
      </c>
      <c r="F53" s="396"/>
      <c r="G53" s="395" t="s">
        <v>70</v>
      </c>
      <c r="H53" s="408"/>
      <c r="I53" s="494" t="s">
        <v>540</v>
      </c>
      <c r="J53" s="494" t="s">
        <v>541</v>
      </c>
      <c r="K53" s="408"/>
      <c r="L53" s="20"/>
      <c r="M53" s="16"/>
      <c r="N53" s="16"/>
      <c r="O53" s="16"/>
      <c r="P53" s="5"/>
      <c r="Q53" s="5"/>
      <c r="R53" s="5"/>
      <c r="X53" s="5"/>
      <c r="Y53" s="20"/>
      <c r="Z53" s="5"/>
      <c r="AA53" s="5"/>
      <c r="AB53" s="5"/>
      <c r="AC53" s="5"/>
      <c r="AD53" s="5"/>
      <c r="AE53" s="5"/>
      <c r="AF53" s="5"/>
      <c r="AG53" s="5"/>
      <c r="AH53" s="5"/>
      <c r="AI53" s="5"/>
      <c r="AJ53" s="5"/>
      <c r="AK53" s="5"/>
      <c r="AL53" s="5"/>
      <c r="AM53" s="5"/>
      <c r="AN53" s="5"/>
      <c r="AO53" s="5"/>
      <c r="AP53" s="5"/>
      <c r="AQ53" s="5"/>
      <c r="AR53" s="5"/>
      <c r="AS53" s="22"/>
    </row>
    <row r="54" spans="1:45" hidden="1" x14ac:dyDescent="0.2">
      <c r="B54" s="1036" t="s">
        <v>530</v>
      </c>
      <c r="C54" s="727"/>
      <c r="D54" s="1012"/>
      <c r="E54" s="395" t="s">
        <v>146</v>
      </c>
      <c r="F54" s="396"/>
      <c r="G54" s="395" t="s">
        <v>70</v>
      </c>
      <c r="H54" s="408"/>
      <c r="I54" s="494" t="s">
        <v>542</v>
      </c>
      <c r="J54" s="494" t="s">
        <v>542</v>
      </c>
      <c r="K54" s="408"/>
      <c r="L54" s="20"/>
      <c r="M54" s="16"/>
      <c r="N54" s="16"/>
      <c r="O54" s="16"/>
      <c r="P54" s="5"/>
      <c r="Q54" s="5"/>
      <c r="R54" s="5"/>
      <c r="X54" s="5"/>
      <c r="Y54" s="20"/>
      <c r="Z54" s="5"/>
      <c r="AA54" s="5"/>
      <c r="AB54" s="5"/>
      <c r="AC54" s="5"/>
      <c r="AD54" s="5"/>
      <c r="AE54" s="5"/>
      <c r="AF54" s="5"/>
      <c r="AG54" s="5"/>
      <c r="AH54" s="5"/>
      <c r="AI54" s="5"/>
      <c r="AJ54" s="5"/>
      <c r="AK54" s="5"/>
      <c r="AL54" s="5"/>
      <c r="AM54" s="5"/>
      <c r="AN54" s="5"/>
      <c r="AO54" s="5"/>
      <c r="AP54" s="5"/>
      <c r="AQ54" s="5"/>
      <c r="AR54" s="5"/>
      <c r="AS54" s="22"/>
    </row>
    <row r="55" spans="1:45" hidden="1" x14ac:dyDescent="0.2">
      <c r="B55" s="1036" t="s">
        <v>530</v>
      </c>
      <c r="C55" s="727"/>
      <c r="D55" s="1012"/>
      <c r="E55" s="395" t="s">
        <v>543</v>
      </c>
      <c r="F55" s="396"/>
      <c r="G55" s="395"/>
      <c r="H55" s="408"/>
      <c r="I55" s="494" t="s">
        <v>544</v>
      </c>
      <c r="J55" s="494" t="s">
        <v>545</v>
      </c>
      <c r="K55" s="408"/>
      <c r="L55" s="20"/>
      <c r="M55" s="16"/>
      <c r="N55" s="16"/>
      <c r="O55" s="16"/>
      <c r="P55" s="5"/>
      <c r="Q55" s="5"/>
      <c r="R55" s="5"/>
      <c r="S55" s="5"/>
      <c r="T55" s="5"/>
      <c r="U55" s="5"/>
      <c r="V55" s="5"/>
      <c r="X55" s="5"/>
      <c r="Y55" s="20"/>
      <c r="Z55" s="5"/>
      <c r="AA55" s="5"/>
      <c r="AB55" s="5"/>
      <c r="AC55" s="5"/>
      <c r="AD55" s="5"/>
      <c r="AE55" s="5"/>
      <c r="AF55" s="5"/>
      <c r="AG55" s="5"/>
      <c r="AH55" s="5"/>
      <c r="AI55" s="5"/>
      <c r="AJ55" s="5"/>
      <c r="AK55" s="5"/>
      <c r="AL55" s="5"/>
      <c r="AM55" s="5"/>
      <c r="AN55" s="5"/>
      <c r="AO55" s="5"/>
      <c r="AP55" s="5"/>
      <c r="AQ55" s="5"/>
      <c r="AR55" s="5"/>
      <c r="AS55" s="22"/>
    </row>
    <row r="56" spans="1:45" hidden="1" x14ac:dyDescent="0.2">
      <c r="B56" s="1036" t="s">
        <v>530</v>
      </c>
      <c r="C56" s="727"/>
      <c r="D56" s="1012"/>
      <c r="E56" s="395" t="s">
        <v>546</v>
      </c>
      <c r="F56" s="396"/>
      <c r="G56" s="395" t="s">
        <v>70</v>
      </c>
      <c r="H56" s="408"/>
      <c r="I56" s="494" t="s">
        <v>547</v>
      </c>
      <c r="J56" s="494" t="s">
        <v>547</v>
      </c>
      <c r="K56" s="408"/>
      <c r="L56" s="20"/>
      <c r="M56" s="16"/>
      <c r="N56" s="16"/>
      <c r="O56" s="16"/>
      <c r="P56" s="5"/>
      <c r="Q56" s="5"/>
      <c r="R56" s="5"/>
      <c r="S56" s="5"/>
      <c r="T56" s="5"/>
      <c r="U56" s="5"/>
      <c r="V56" s="5"/>
      <c r="X56" s="5"/>
      <c r="Y56" s="20"/>
      <c r="Z56" s="5"/>
      <c r="AA56" s="5"/>
      <c r="AB56" s="5"/>
      <c r="AC56" s="5"/>
      <c r="AD56" s="5"/>
      <c r="AE56" s="5"/>
      <c r="AF56" s="5"/>
      <c r="AG56" s="5"/>
      <c r="AH56" s="5"/>
      <c r="AI56" s="5"/>
      <c r="AJ56" s="5"/>
      <c r="AK56" s="5"/>
      <c r="AL56" s="5"/>
      <c r="AM56" s="5"/>
      <c r="AN56" s="5"/>
      <c r="AO56" s="5"/>
      <c r="AP56" s="5"/>
      <c r="AQ56" s="5"/>
      <c r="AR56" s="5"/>
      <c r="AS56" s="22"/>
    </row>
    <row r="57" spans="1:45" hidden="1" x14ac:dyDescent="0.2">
      <c r="B57" s="1036" t="s">
        <v>530</v>
      </c>
      <c r="C57" s="727"/>
      <c r="D57" s="1012"/>
      <c r="E57" s="5"/>
      <c r="F57" s="5"/>
      <c r="G57" s="5"/>
      <c r="H57" s="16"/>
      <c r="I57" s="16"/>
      <c r="J57" s="16"/>
      <c r="K57" s="16"/>
      <c r="L57" s="16"/>
      <c r="M57" s="16"/>
      <c r="N57" s="16"/>
      <c r="O57" s="16"/>
      <c r="P57" s="16"/>
      <c r="Q57" s="16"/>
      <c r="R57" s="16"/>
      <c r="S57" s="16"/>
      <c r="T57" s="16"/>
      <c r="U57" s="16"/>
      <c r="V57" s="16"/>
      <c r="X57" s="16"/>
      <c r="Y57" s="20"/>
      <c r="Z57" s="5"/>
      <c r="AA57" s="5"/>
      <c r="AB57" s="5"/>
      <c r="AC57" s="5"/>
      <c r="AD57" s="5"/>
      <c r="AE57" s="5"/>
      <c r="AF57" s="5"/>
      <c r="AG57" s="5"/>
      <c r="AH57" s="5"/>
      <c r="AI57" s="5"/>
      <c r="AJ57" s="5"/>
      <c r="AK57" s="5"/>
      <c r="AL57" s="5"/>
      <c r="AM57" s="5"/>
      <c r="AN57" s="5"/>
      <c r="AO57" s="5"/>
      <c r="AP57" s="5"/>
      <c r="AQ57" s="5"/>
      <c r="AR57" s="5"/>
      <c r="AS57" s="22"/>
    </row>
    <row r="58" spans="1:45" hidden="1" x14ac:dyDescent="0.2">
      <c r="B58" s="1036" t="s">
        <v>548</v>
      </c>
      <c r="C58" s="727"/>
      <c r="D58" s="1012"/>
      <c r="E58" s="5"/>
      <c r="F58" s="5"/>
      <c r="G58" s="5"/>
      <c r="H58" s="16"/>
      <c r="I58" s="16"/>
      <c r="J58" s="16"/>
      <c r="K58" s="16"/>
      <c r="L58" s="16"/>
      <c r="M58" s="16"/>
      <c r="N58" s="16"/>
      <c r="O58" s="16"/>
      <c r="P58" s="16"/>
      <c r="Q58" s="16"/>
      <c r="R58" s="16"/>
      <c r="S58" s="16"/>
      <c r="T58" s="16"/>
      <c r="U58" s="16"/>
      <c r="V58" s="16"/>
      <c r="X58" s="16"/>
      <c r="Y58" s="20"/>
      <c r="Z58" s="5"/>
      <c r="AA58" s="5"/>
      <c r="AB58" s="5"/>
      <c r="AC58" s="5"/>
      <c r="AD58" s="5"/>
      <c r="AE58" s="5"/>
      <c r="AF58" s="5"/>
      <c r="AG58" s="5"/>
      <c r="AH58" s="5"/>
      <c r="AI58" s="5"/>
      <c r="AJ58" s="5"/>
      <c r="AK58" s="5"/>
      <c r="AL58" s="5"/>
      <c r="AM58" s="5"/>
      <c r="AN58" s="5"/>
      <c r="AO58" s="5"/>
      <c r="AP58" s="5"/>
      <c r="AQ58" s="5"/>
      <c r="AR58" s="5"/>
      <c r="AS58" s="22"/>
    </row>
    <row r="59" spans="1:45" ht="21" hidden="1" x14ac:dyDescent="0.2">
      <c r="B59" s="1036" t="s">
        <v>548</v>
      </c>
      <c r="C59" s="727"/>
      <c r="D59" s="1012"/>
      <c r="E59" s="240" t="s">
        <v>548</v>
      </c>
      <c r="F59" s="240"/>
      <c r="G59" s="240"/>
      <c r="H59" s="240"/>
      <c r="I59" s="240"/>
      <c r="J59" s="240"/>
      <c r="K59" s="240"/>
      <c r="L59" s="240"/>
      <c r="M59" s="240"/>
      <c r="N59" s="240"/>
      <c r="O59" s="240"/>
      <c r="P59" s="240"/>
      <c r="Q59" s="240"/>
      <c r="R59" s="240"/>
      <c r="S59" s="240"/>
      <c r="T59" s="240"/>
      <c r="U59" s="240"/>
      <c r="V59" s="5"/>
      <c r="X59" s="5"/>
      <c r="Y59" s="20"/>
      <c r="Z59" s="5"/>
      <c r="AA59" s="5"/>
      <c r="AB59" s="5"/>
      <c r="AC59" s="5"/>
      <c r="AD59" s="5"/>
      <c r="AE59" s="5"/>
      <c r="AF59" s="5"/>
      <c r="AG59" s="5"/>
      <c r="AH59" s="5"/>
      <c r="AI59" s="5"/>
      <c r="AJ59" s="5"/>
      <c r="AK59" s="5"/>
      <c r="AL59" s="5"/>
      <c r="AM59" s="5"/>
      <c r="AN59" s="5"/>
      <c r="AO59" s="5"/>
      <c r="AP59" s="5"/>
      <c r="AQ59" s="5"/>
      <c r="AR59" s="5"/>
      <c r="AS59" s="437"/>
    </row>
    <row r="60" spans="1:45" hidden="1" x14ac:dyDescent="0.2">
      <c r="B60" s="1036" t="s">
        <v>548</v>
      </c>
      <c r="C60" s="727"/>
      <c r="D60" s="1012"/>
      <c r="E60" s="386" t="s">
        <v>491</v>
      </c>
      <c r="F60" s="386"/>
      <c r="G60" s="386" t="s">
        <v>423</v>
      </c>
      <c r="H60" s="387"/>
      <c r="I60" s="387">
        <f ca="1">OFFSET(I60,0,-1)+1</f>
        <v>1</v>
      </c>
      <c r="J60" s="387">
        <f t="shared" ref="J60:T60" ca="1" si="19">OFFSET(J60,0,-1)+1</f>
        <v>2</v>
      </c>
      <c r="K60" s="387">
        <f t="shared" ca="1" si="19"/>
        <v>3</v>
      </c>
      <c r="L60" s="387">
        <f t="shared" ca="1" si="19"/>
        <v>4</v>
      </c>
      <c r="M60" s="387">
        <f t="shared" ca="1" si="19"/>
        <v>5</v>
      </c>
      <c r="N60" s="387">
        <f t="shared" ca="1" si="19"/>
        <v>6</v>
      </c>
      <c r="O60" s="387">
        <f t="shared" ca="1" si="19"/>
        <v>7</v>
      </c>
      <c r="P60" s="387">
        <f t="shared" ca="1" si="19"/>
        <v>8</v>
      </c>
      <c r="Q60" s="387">
        <f t="shared" ca="1" si="19"/>
        <v>9</v>
      </c>
      <c r="R60" s="387">
        <f t="shared" ca="1" si="19"/>
        <v>10</v>
      </c>
      <c r="S60" s="387">
        <f t="shared" ca="1" si="19"/>
        <v>11</v>
      </c>
      <c r="T60" s="387">
        <f t="shared" ca="1" si="19"/>
        <v>12</v>
      </c>
      <c r="U60" s="387"/>
      <c r="V60" s="16"/>
      <c r="W60" s="16"/>
      <c r="X60" s="16"/>
      <c r="Y60" s="20"/>
      <c r="Z60" s="5"/>
      <c r="AA60" s="5"/>
      <c r="AB60" s="5"/>
      <c r="AC60" s="5"/>
      <c r="AD60" s="5"/>
      <c r="AE60" s="5"/>
      <c r="AF60" s="5"/>
      <c r="AG60" s="5"/>
      <c r="AH60" s="5"/>
      <c r="AI60" s="5"/>
      <c r="AJ60" s="5"/>
      <c r="AK60" s="5"/>
      <c r="AL60" s="5"/>
      <c r="AM60" s="5"/>
      <c r="AN60" s="5"/>
      <c r="AO60" s="5"/>
      <c r="AP60" s="5"/>
      <c r="AQ60" s="5"/>
      <c r="AR60" s="5"/>
      <c r="AS60" s="22"/>
    </row>
    <row r="61" spans="1:45" ht="18.75" hidden="1" x14ac:dyDescent="0.2">
      <c r="B61" s="1036" t="s">
        <v>548</v>
      </c>
      <c r="C61" s="727"/>
      <c r="D61" s="1012"/>
      <c r="E61" s="403" t="s">
        <v>531</v>
      </c>
      <c r="F61" s="404"/>
      <c r="G61" s="405"/>
      <c r="H61" s="405"/>
      <c r="I61" s="405"/>
      <c r="J61" s="405"/>
      <c r="K61" s="405"/>
      <c r="L61" s="405"/>
      <c r="M61" s="405"/>
      <c r="N61" s="405"/>
      <c r="O61" s="405"/>
      <c r="P61" s="405"/>
      <c r="Q61" s="405"/>
      <c r="R61" s="405"/>
      <c r="S61" s="405"/>
      <c r="T61" s="405"/>
      <c r="U61" s="405"/>
      <c r="V61" s="20"/>
      <c r="W61" s="16"/>
      <c r="X61" s="16"/>
      <c r="Y61" s="20"/>
      <c r="Z61" s="5"/>
      <c r="AA61" s="5"/>
      <c r="AB61" s="5"/>
      <c r="AC61" s="5"/>
      <c r="AD61" s="5"/>
      <c r="AE61" s="5"/>
      <c r="AF61" s="5"/>
      <c r="AG61" s="5"/>
      <c r="AH61" s="5"/>
      <c r="AI61" s="5"/>
      <c r="AJ61" s="5"/>
      <c r="AK61" s="5"/>
      <c r="AL61" s="5"/>
      <c r="AM61" s="5"/>
      <c r="AN61" s="5"/>
      <c r="AO61" s="5"/>
      <c r="AP61" s="5"/>
      <c r="AQ61" s="5"/>
      <c r="AR61" s="5"/>
    </row>
    <row r="62" spans="1:45" ht="25.5" hidden="1" x14ac:dyDescent="0.2">
      <c r="B62" s="1036" t="s">
        <v>548</v>
      </c>
      <c r="C62" s="727"/>
      <c r="D62" s="1012"/>
      <c r="E62" s="395" t="s">
        <v>124</v>
      </c>
      <c r="F62" s="396"/>
      <c r="G62" s="395" t="s">
        <v>70</v>
      </c>
      <c r="H62" s="408"/>
      <c r="I62" s="545" t="str">
        <f>I$272</f>
        <v>kantoor</v>
      </c>
      <c r="J62" s="545" t="str">
        <f t="shared" ref="J62:T62" si="20">J$272</f>
        <v>bijeenkomst overig</v>
      </c>
      <c r="K62" s="545" t="str">
        <f t="shared" si="20"/>
        <v>bijeenkomst kinderopvang</v>
      </c>
      <c r="L62" s="545" t="str">
        <f t="shared" si="20"/>
        <v>onderwijs</v>
      </c>
      <c r="M62" s="545" t="str">
        <f t="shared" si="20"/>
        <v>gezondheid overig</v>
      </c>
      <c r="N62" s="545" t="str">
        <f t="shared" si="20"/>
        <v>gezondheid met bed</v>
      </c>
      <c r="O62" s="545" t="str">
        <f t="shared" si="20"/>
        <v>winkel</v>
      </c>
      <c r="P62" s="545" t="str">
        <f t="shared" si="20"/>
        <v>sport</v>
      </c>
      <c r="Q62" s="545" t="str">
        <f t="shared" si="20"/>
        <v>logies</v>
      </c>
      <c r="R62" s="545" t="str">
        <f t="shared" si="20"/>
        <v>cellengebouw</v>
      </c>
      <c r="S62" s="545" t="str">
        <f t="shared" si="20"/>
        <v>woning</v>
      </c>
      <c r="T62" s="545" t="str">
        <f t="shared" si="20"/>
        <v>woongebouw</v>
      </c>
      <c r="U62" s="408"/>
      <c r="V62" s="20"/>
      <c r="W62" s="16"/>
      <c r="X62" s="16"/>
      <c r="Y62" s="20"/>
      <c r="Z62" s="5"/>
      <c r="AA62" s="5"/>
      <c r="AB62" s="5"/>
      <c r="AC62" s="5"/>
      <c r="AD62" s="5"/>
      <c r="AE62" s="5"/>
      <c r="AF62" s="5"/>
      <c r="AG62" s="5"/>
      <c r="AH62" s="5"/>
      <c r="AI62" s="5"/>
      <c r="AJ62" s="5"/>
      <c r="AK62" s="5"/>
      <c r="AL62" s="5"/>
      <c r="AM62" s="5"/>
      <c r="AN62" s="5"/>
      <c r="AO62" s="5"/>
      <c r="AP62" s="5"/>
      <c r="AQ62" s="5"/>
      <c r="AR62" s="5"/>
      <c r="AS62" s="22"/>
    </row>
    <row r="63" spans="1:45" s="2" customFormat="1" hidden="1" x14ac:dyDescent="0.2">
      <c r="A63" s="309"/>
      <c r="B63" s="1036" t="s">
        <v>548</v>
      </c>
      <c r="C63" s="727"/>
      <c r="D63" s="1015"/>
      <c r="E63" s="246" t="s">
        <v>549</v>
      </c>
      <c r="F63" s="548"/>
      <c r="G63" s="246" t="s">
        <v>169</v>
      </c>
      <c r="H63" s="549"/>
      <c r="I63" s="550">
        <v>7.9</v>
      </c>
      <c r="J63" s="550">
        <v>6.3</v>
      </c>
      <c r="K63" s="550">
        <v>19.899999999999999</v>
      </c>
      <c r="L63" s="550">
        <v>26</v>
      </c>
      <c r="M63" s="550">
        <v>8</v>
      </c>
      <c r="N63" s="550">
        <v>38.9</v>
      </c>
      <c r="O63" s="550">
        <v>3</v>
      </c>
      <c r="P63" s="550">
        <v>3.3</v>
      </c>
      <c r="Q63" s="550">
        <v>8</v>
      </c>
      <c r="R63" s="550">
        <v>15.3</v>
      </c>
      <c r="S63" s="550">
        <v>7.3</v>
      </c>
      <c r="T63" s="550">
        <v>7.3</v>
      </c>
      <c r="U63" s="549"/>
      <c r="V63" s="8"/>
      <c r="W63" s="9"/>
      <c r="X63" s="9"/>
      <c r="Y63" s="8"/>
      <c r="Z63" s="4"/>
      <c r="AA63" s="4"/>
      <c r="AB63" s="4"/>
      <c r="AC63" s="4"/>
      <c r="AD63" s="4"/>
      <c r="AE63" s="4"/>
      <c r="AF63" s="4"/>
      <c r="AG63" s="4"/>
      <c r="AH63" s="4"/>
      <c r="AI63" s="4"/>
      <c r="AJ63" s="4"/>
      <c r="AK63" s="4"/>
      <c r="AL63" s="4"/>
      <c r="AM63" s="4"/>
      <c r="AN63" s="4"/>
      <c r="AO63" s="4"/>
      <c r="AP63" s="4"/>
      <c r="AQ63" s="4"/>
      <c r="AR63" s="4"/>
      <c r="AS63" s="22"/>
    </row>
    <row r="64" spans="1:45" s="2" customFormat="1" hidden="1" x14ac:dyDescent="0.2">
      <c r="A64" s="309"/>
      <c r="B64" s="1036" t="s">
        <v>548</v>
      </c>
      <c r="C64" s="727"/>
      <c r="D64" s="1015"/>
      <c r="E64" s="246" t="s">
        <v>550</v>
      </c>
      <c r="F64" s="548"/>
      <c r="G64" s="246" t="s">
        <v>169</v>
      </c>
      <c r="H64" s="549"/>
      <c r="I64" s="550">
        <v>4.5</v>
      </c>
      <c r="J64" s="550">
        <v>3.5</v>
      </c>
      <c r="K64" s="550">
        <v>11.1</v>
      </c>
      <c r="L64" s="550">
        <v>14.5</v>
      </c>
      <c r="M64" s="550">
        <v>4.5999999999999996</v>
      </c>
      <c r="N64" s="550">
        <v>21.1</v>
      </c>
      <c r="O64" s="550">
        <v>1.8</v>
      </c>
      <c r="P64" s="550">
        <v>2.2999999999999998</v>
      </c>
      <c r="Q64" s="550">
        <v>4.7</v>
      </c>
      <c r="R64" s="550">
        <v>8.6</v>
      </c>
      <c r="S64" s="550">
        <v>3.8</v>
      </c>
      <c r="T64" s="550">
        <v>3.8</v>
      </c>
      <c r="U64" s="549"/>
      <c r="V64" s="8"/>
      <c r="W64" s="9"/>
      <c r="X64" s="9"/>
      <c r="Y64" s="8"/>
      <c r="Z64" s="4"/>
      <c r="AA64" s="4"/>
      <c r="AB64" s="4"/>
      <c r="AC64" s="4"/>
      <c r="AD64" s="4"/>
      <c r="AE64" s="4"/>
      <c r="AF64" s="4"/>
      <c r="AG64" s="4"/>
      <c r="AH64" s="4"/>
      <c r="AI64" s="4"/>
      <c r="AJ64" s="4"/>
      <c r="AK64" s="4"/>
      <c r="AL64" s="4"/>
      <c r="AM64" s="4"/>
      <c r="AN64" s="4"/>
      <c r="AO64" s="4"/>
      <c r="AP64" s="4"/>
      <c r="AQ64" s="4"/>
      <c r="AR64" s="4"/>
      <c r="AS64" s="22"/>
    </row>
    <row r="65" spans="1:47" s="2" customFormat="1" hidden="1" x14ac:dyDescent="0.2">
      <c r="A65" s="309"/>
      <c r="B65" s="1036" t="s">
        <v>548</v>
      </c>
      <c r="C65" s="727"/>
      <c r="D65" s="1015"/>
      <c r="E65" s="246" t="s">
        <v>551</v>
      </c>
      <c r="F65" s="548"/>
      <c r="G65" s="246" t="s">
        <v>169</v>
      </c>
      <c r="H65" s="549"/>
      <c r="I65" s="550">
        <v>2.2999999999999998</v>
      </c>
      <c r="J65" s="550">
        <v>1.7</v>
      </c>
      <c r="K65" s="550">
        <v>5.5</v>
      </c>
      <c r="L65" s="550">
        <v>7.3</v>
      </c>
      <c r="M65" s="550">
        <v>2.2000000000000002</v>
      </c>
      <c r="N65" s="550">
        <v>10.9</v>
      </c>
      <c r="O65" s="550">
        <v>0.9</v>
      </c>
      <c r="P65" s="550">
        <v>1.2</v>
      </c>
      <c r="Q65" s="550">
        <v>2.2999999999999998</v>
      </c>
      <c r="R65" s="550">
        <v>4.3</v>
      </c>
      <c r="S65" s="550">
        <v>1.9</v>
      </c>
      <c r="T65" s="550">
        <v>1.9</v>
      </c>
      <c r="U65" s="549"/>
      <c r="V65" s="8"/>
      <c r="W65" s="9"/>
      <c r="X65" s="9"/>
      <c r="Y65" s="8"/>
      <c r="Z65" s="4"/>
      <c r="AA65" s="4"/>
      <c r="AB65" s="4"/>
      <c r="AC65" s="4"/>
      <c r="AD65" s="4"/>
      <c r="AE65" s="4"/>
      <c r="AF65" s="4"/>
      <c r="AG65" s="4"/>
      <c r="AH65" s="4"/>
      <c r="AI65" s="4"/>
      <c r="AJ65" s="4"/>
      <c r="AK65" s="4"/>
      <c r="AL65" s="4"/>
      <c r="AM65" s="4"/>
      <c r="AN65" s="4"/>
      <c r="AO65" s="4"/>
      <c r="AP65" s="4"/>
      <c r="AQ65" s="4"/>
      <c r="AR65" s="4"/>
      <c r="AS65" s="22"/>
    </row>
    <row r="66" spans="1:47" s="2" customFormat="1" hidden="1" x14ac:dyDescent="0.2">
      <c r="A66" s="309"/>
      <c r="B66" s="1036" t="s">
        <v>548</v>
      </c>
      <c r="C66" s="727"/>
      <c r="D66" s="1015"/>
      <c r="E66" s="246" t="s">
        <v>148</v>
      </c>
      <c r="F66" s="548"/>
      <c r="G66" s="246" t="s">
        <v>169</v>
      </c>
      <c r="H66" s="549"/>
      <c r="I66" s="586">
        <f>0.5*I65</f>
        <v>1.1499999999999999</v>
      </c>
      <c r="J66" s="586">
        <f t="shared" ref="J66:T66" si="21">0.5*J65</f>
        <v>0.85</v>
      </c>
      <c r="K66" s="586">
        <f t="shared" si="21"/>
        <v>2.75</v>
      </c>
      <c r="L66" s="586">
        <f t="shared" si="21"/>
        <v>3.65</v>
      </c>
      <c r="M66" s="586">
        <f t="shared" si="21"/>
        <v>1.1000000000000001</v>
      </c>
      <c r="N66" s="586">
        <f t="shared" si="21"/>
        <v>5.45</v>
      </c>
      <c r="O66" s="586">
        <f t="shared" si="21"/>
        <v>0.45</v>
      </c>
      <c r="P66" s="586">
        <f t="shared" si="21"/>
        <v>0.6</v>
      </c>
      <c r="Q66" s="586">
        <f t="shared" si="21"/>
        <v>1.1499999999999999</v>
      </c>
      <c r="R66" s="586">
        <f t="shared" si="21"/>
        <v>2.15</v>
      </c>
      <c r="S66" s="586">
        <f t="shared" si="21"/>
        <v>0.95</v>
      </c>
      <c r="T66" s="586">
        <f t="shared" si="21"/>
        <v>0.95</v>
      </c>
      <c r="U66" s="549"/>
      <c r="V66" s="8"/>
      <c r="W66" s="9"/>
      <c r="X66" s="9"/>
      <c r="Y66" s="8"/>
      <c r="Z66" s="4"/>
      <c r="AA66" s="4"/>
      <c r="AB66" s="4"/>
      <c r="AC66" s="4"/>
      <c r="AD66" s="4"/>
      <c r="AE66" s="4"/>
      <c r="AF66" s="4"/>
      <c r="AG66" s="4"/>
      <c r="AH66" s="4"/>
      <c r="AI66" s="4"/>
      <c r="AJ66" s="4"/>
      <c r="AK66" s="4"/>
      <c r="AL66" s="4"/>
      <c r="AM66" s="4"/>
      <c r="AN66" s="4"/>
      <c r="AO66" s="4"/>
      <c r="AP66" s="4"/>
      <c r="AQ66" s="4"/>
      <c r="AR66" s="4"/>
      <c r="AS66" s="22"/>
    </row>
    <row r="67" spans="1:47" ht="18.75" hidden="1" x14ac:dyDescent="0.2">
      <c r="B67" s="1036" t="s">
        <v>548</v>
      </c>
      <c r="C67" s="727"/>
      <c r="D67" s="1012"/>
      <c r="E67" s="403" t="s">
        <v>552</v>
      </c>
      <c r="F67" s="404"/>
      <c r="G67" s="405"/>
      <c r="H67" s="405"/>
      <c r="I67" s="405"/>
      <c r="J67" s="405"/>
      <c r="K67" s="405"/>
      <c r="L67" s="405"/>
      <c r="M67" s="405"/>
      <c r="N67" s="405"/>
      <c r="O67" s="405"/>
      <c r="P67" s="405"/>
      <c r="Q67" s="405"/>
      <c r="R67" s="405"/>
      <c r="S67" s="405"/>
      <c r="T67" s="405"/>
      <c r="U67" s="405"/>
      <c r="V67" s="20"/>
      <c r="W67" s="16"/>
      <c r="X67" s="16"/>
      <c r="Y67" s="20"/>
      <c r="Z67" s="5"/>
      <c r="AA67" s="5"/>
      <c r="AB67" s="5"/>
      <c r="AC67" s="5"/>
      <c r="AD67" s="5"/>
      <c r="AE67" s="5"/>
      <c r="AF67" s="5"/>
      <c r="AG67" s="5"/>
      <c r="AH67" s="5"/>
      <c r="AI67" s="5"/>
      <c r="AJ67" s="5"/>
      <c r="AK67" s="5"/>
      <c r="AL67" s="5"/>
      <c r="AM67" s="5"/>
      <c r="AN67" s="5"/>
      <c r="AO67" s="5"/>
      <c r="AP67" s="5"/>
      <c r="AQ67" s="5"/>
      <c r="AR67" s="5"/>
      <c r="AS67" s="22"/>
    </row>
    <row r="68" spans="1:47" ht="25.5" hidden="1" x14ac:dyDescent="0.2">
      <c r="B68" s="1036" t="s">
        <v>548</v>
      </c>
      <c r="C68" s="727"/>
      <c r="D68" s="1012"/>
      <c r="E68" s="395" t="s">
        <v>124</v>
      </c>
      <c r="F68" s="396"/>
      <c r="G68" s="395" t="s">
        <v>70</v>
      </c>
      <c r="H68" s="408"/>
      <c r="I68" s="545" t="str">
        <f>I$272</f>
        <v>kantoor</v>
      </c>
      <c r="J68" s="545" t="str">
        <f t="shared" ref="J68:T68" si="22">J$272</f>
        <v>bijeenkomst overig</v>
      </c>
      <c r="K68" s="545" t="str">
        <f t="shared" si="22"/>
        <v>bijeenkomst kinderopvang</v>
      </c>
      <c r="L68" s="545" t="str">
        <f t="shared" si="22"/>
        <v>onderwijs</v>
      </c>
      <c r="M68" s="545" t="str">
        <f t="shared" si="22"/>
        <v>gezondheid overig</v>
      </c>
      <c r="N68" s="545" t="str">
        <f t="shared" si="22"/>
        <v>gezondheid met bed</v>
      </c>
      <c r="O68" s="545" t="str">
        <f t="shared" si="22"/>
        <v>winkel</v>
      </c>
      <c r="P68" s="545" t="str">
        <f t="shared" si="22"/>
        <v>sport</v>
      </c>
      <c r="Q68" s="545" t="str">
        <f t="shared" si="22"/>
        <v>logies</v>
      </c>
      <c r="R68" s="545" t="str">
        <f t="shared" si="22"/>
        <v>cellengebouw</v>
      </c>
      <c r="S68" s="545" t="str">
        <f t="shared" si="22"/>
        <v>woning</v>
      </c>
      <c r="T68" s="545" t="str">
        <f t="shared" si="22"/>
        <v>woongebouw</v>
      </c>
      <c r="U68" s="408"/>
      <c r="V68" s="20"/>
      <c r="W68" s="16"/>
      <c r="X68" s="16"/>
      <c r="Y68" s="20"/>
      <c r="Z68" s="5"/>
      <c r="AA68" s="5"/>
      <c r="AB68" s="5"/>
      <c r="AC68" s="5"/>
      <c r="AD68" s="5"/>
      <c r="AE68" s="5"/>
      <c r="AF68" s="5"/>
      <c r="AG68" s="5"/>
      <c r="AH68" s="5"/>
      <c r="AI68" s="5"/>
      <c r="AJ68" s="5"/>
      <c r="AK68" s="5"/>
      <c r="AL68" s="5"/>
      <c r="AM68" s="5"/>
      <c r="AN68" s="5"/>
      <c r="AO68" s="5"/>
      <c r="AP68" s="5"/>
      <c r="AQ68" s="5"/>
      <c r="AR68" s="5"/>
      <c r="AS68" s="22"/>
    </row>
    <row r="69" spans="1:47" s="2" customFormat="1" hidden="1" x14ac:dyDescent="0.2">
      <c r="A69" s="309"/>
      <c r="B69" s="1036" t="s">
        <v>548</v>
      </c>
      <c r="C69" s="727"/>
      <c r="D69" s="1015"/>
      <c r="E69" s="246" t="str">
        <f>E63</f>
        <v>wisselstroom</v>
      </c>
      <c r="F69" s="548"/>
      <c r="G69" s="246" t="s">
        <v>169</v>
      </c>
      <c r="H69" s="549"/>
      <c r="I69" s="550">
        <v>15.2</v>
      </c>
      <c r="J69" s="550">
        <v>11</v>
      </c>
      <c r="K69" s="550">
        <v>30.7</v>
      </c>
      <c r="L69" s="550">
        <v>40.299999999999997</v>
      </c>
      <c r="M69" s="550">
        <v>14.1</v>
      </c>
      <c r="N69" s="550">
        <v>60</v>
      </c>
      <c r="O69" s="550">
        <v>10.199999999999999</v>
      </c>
      <c r="P69" s="550">
        <v>10.3</v>
      </c>
      <c r="Q69" s="550">
        <v>15.1</v>
      </c>
      <c r="R69" s="550">
        <v>40.5</v>
      </c>
      <c r="S69" s="550">
        <v>15.3</v>
      </c>
      <c r="T69" s="550">
        <v>15.3</v>
      </c>
      <c r="U69" s="549"/>
      <c r="V69" s="8"/>
      <c r="W69" s="9"/>
      <c r="X69" s="9"/>
      <c r="Y69" s="8"/>
      <c r="Z69" s="4"/>
      <c r="AA69" s="4"/>
      <c r="AB69" s="4"/>
      <c r="AC69" s="4"/>
      <c r="AD69" s="4"/>
      <c r="AE69" s="4"/>
      <c r="AF69" s="4"/>
      <c r="AG69" s="4"/>
      <c r="AH69" s="4"/>
      <c r="AI69" s="4"/>
      <c r="AJ69" s="4"/>
      <c r="AK69" s="4"/>
      <c r="AL69" s="4"/>
      <c r="AM69" s="4"/>
      <c r="AN69" s="4"/>
      <c r="AO69" s="4"/>
      <c r="AP69" s="4"/>
      <c r="AQ69" s="4"/>
      <c r="AR69" s="4"/>
      <c r="AS69" s="22"/>
    </row>
    <row r="70" spans="1:47" s="2" customFormat="1" hidden="1" x14ac:dyDescent="0.2">
      <c r="A70" s="309"/>
      <c r="B70" s="1036" t="s">
        <v>548</v>
      </c>
      <c r="C70" s="727"/>
      <c r="D70" s="1015"/>
      <c r="E70" s="246" t="str">
        <f>E64</f>
        <v>gelijkstroom (vóór 2007)</v>
      </c>
      <c r="F70" s="548"/>
      <c r="G70" s="246" t="s">
        <v>169</v>
      </c>
      <c r="H70" s="549"/>
      <c r="I70" s="550">
        <v>8.5</v>
      </c>
      <c r="J70" s="550">
        <v>5.9</v>
      </c>
      <c r="K70" s="550">
        <v>17.3</v>
      </c>
      <c r="L70" s="550">
        <v>22.6</v>
      </c>
      <c r="M70" s="550">
        <v>7.9</v>
      </c>
      <c r="N70" s="550">
        <v>34.299999999999997</v>
      </c>
      <c r="O70" s="550">
        <v>4</v>
      </c>
      <c r="P70" s="550">
        <v>5</v>
      </c>
      <c r="Q70" s="550">
        <v>8.6999999999999993</v>
      </c>
      <c r="R70" s="550">
        <v>20.7</v>
      </c>
      <c r="S70" s="550">
        <v>8.6</v>
      </c>
      <c r="T70" s="550">
        <v>8.6</v>
      </c>
      <c r="U70" s="549"/>
      <c r="V70" s="8"/>
      <c r="W70" s="9"/>
      <c r="X70" s="9"/>
      <c r="Y70" s="8"/>
      <c r="Z70" s="4"/>
      <c r="AA70" s="4"/>
      <c r="AB70" s="4"/>
      <c r="AC70" s="4"/>
      <c r="AD70" s="4"/>
      <c r="AE70" s="4"/>
      <c r="AF70" s="4"/>
      <c r="AG70" s="4"/>
      <c r="AH70" s="4"/>
      <c r="AI70" s="4"/>
      <c r="AJ70" s="4"/>
      <c r="AK70" s="4"/>
      <c r="AL70" s="4"/>
      <c r="AM70" s="4"/>
      <c r="AN70" s="4"/>
      <c r="AO70" s="4"/>
      <c r="AP70" s="4"/>
      <c r="AQ70" s="4"/>
      <c r="AR70" s="4"/>
      <c r="AS70" s="22"/>
    </row>
    <row r="71" spans="1:47" s="2" customFormat="1" hidden="1" x14ac:dyDescent="0.2">
      <c r="A71" s="309"/>
      <c r="B71" s="1036" t="s">
        <v>548</v>
      </c>
      <c r="C71" s="727"/>
      <c r="D71" s="1015"/>
      <c r="E71" s="246" t="str">
        <f>E65</f>
        <v>gelijkstroom (vanaf 2007)</v>
      </c>
      <c r="F71" s="548"/>
      <c r="G71" s="246" t="s">
        <v>169</v>
      </c>
      <c r="H71" s="549"/>
      <c r="I71" s="550">
        <v>4</v>
      </c>
      <c r="J71" s="550">
        <v>3.1</v>
      </c>
      <c r="K71" s="550">
        <v>8.6999999999999993</v>
      </c>
      <c r="L71" s="550">
        <v>11.3</v>
      </c>
      <c r="M71" s="550">
        <v>3.8</v>
      </c>
      <c r="N71" s="550">
        <v>17.7</v>
      </c>
      <c r="O71" s="550">
        <v>1.7</v>
      </c>
      <c r="P71" s="550">
        <v>3</v>
      </c>
      <c r="Q71" s="550">
        <v>4.0999999999999996</v>
      </c>
      <c r="R71" s="550">
        <v>7</v>
      </c>
      <c r="S71" s="550">
        <v>4.3</v>
      </c>
      <c r="T71" s="550">
        <v>4.3</v>
      </c>
      <c r="U71" s="549"/>
      <c r="V71" s="8"/>
      <c r="W71" s="9"/>
      <c r="X71" s="9"/>
      <c r="Y71" s="8"/>
      <c r="Z71" s="4"/>
      <c r="AA71" s="4"/>
      <c r="AB71" s="4"/>
      <c r="AC71" s="4"/>
      <c r="AD71" s="4"/>
      <c r="AE71" s="4"/>
      <c r="AF71" s="4"/>
      <c r="AG71" s="4"/>
      <c r="AH71" s="4"/>
      <c r="AI71" s="4"/>
      <c r="AJ71" s="4"/>
      <c r="AK71" s="4"/>
      <c r="AL71" s="4"/>
      <c r="AM71" s="4"/>
      <c r="AN71" s="4"/>
      <c r="AO71" s="4"/>
      <c r="AP71" s="4"/>
      <c r="AQ71" s="4"/>
      <c r="AR71" s="4"/>
      <c r="AS71" s="22"/>
    </row>
    <row r="72" spans="1:47" s="2" customFormat="1" hidden="1" x14ac:dyDescent="0.2">
      <c r="A72" s="309"/>
      <c r="B72" s="1036" t="s">
        <v>548</v>
      </c>
      <c r="C72" s="727"/>
      <c r="D72" s="1015"/>
      <c r="E72" s="246" t="str">
        <f>E66</f>
        <v>zeer energiezuinig</v>
      </c>
      <c r="F72" s="548"/>
      <c r="G72" s="246" t="s">
        <v>169</v>
      </c>
      <c r="H72" s="549"/>
      <c r="I72" s="586">
        <f t="shared" ref="I72:T72" si="23">0.5*I71</f>
        <v>2</v>
      </c>
      <c r="J72" s="586">
        <f t="shared" si="23"/>
        <v>1.55</v>
      </c>
      <c r="K72" s="586">
        <f t="shared" si="23"/>
        <v>4.3499999999999996</v>
      </c>
      <c r="L72" s="586">
        <f t="shared" si="23"/>
        <v>5.65</v>
      </c>
      <c r="M72" s="586">
        <f t="shared" si="23"/>
        <v>1.9</v>
      </c>
      <c r="N72" s="586">
        <f t="shared" si="23"/>
        <v>8.85</v>
      </c>
      <c r="O72" s="586">
        <f t="shared" si="23"/>
        <v>0.85</v>
      </c>
      <c r="P72" s="586">
        <f t="shared" si="23"/>
        <v>1.5</v>
      </c>
      <c r="Q72" s="586">
        <f t="shared" si="23"/>
        <v>2.0499999999999998</v>
      </c>
      <c r="R72" s="586">
        <f t="shared" si="23"/>
        <v>3.5</v>
      </c>
      <c r="S72" s="586">
        <f t="shared" si="23"/>
        <v>2.15</v>
      </c>
      <c r="T72" s="586">
        <f t="shared" si="23"/>
        <v>2.15</v>
      </c>
      <c r="U72" s="549"/>
      <c r="V72" s="8"/>
      <c r="W72" s="9"/>
      <c r="X72" s="9"/>
      <c r="Y72" s="8"/>
      <c r="Z72" s="4"/>
      <c r="AA72" s="4"/>
      <c r="AB72" s="4"/>
      <c r="AC72" s="4"/>
      <c r="AD72" s="4"/>
      <c r="AE72" s="4"/>
      <c r="AF72" s="4"/>
      <c r="AG72" s="4"/>
      <c r="AH72" s="4"/>
      <c r="AI72" s="4"/>
      <c r="AJ72" s="4"/>
      <c r="AK72" s="4"/>
      <c r="AL72" s="4"/>
      <c r="AM72" s="4"/>
      <c r="AN72" s="4"/>
      <c r="AO72" s="4"/>
      <c r="AP72" s="4"/>
      <c r="AQ72" s="4"/>
      <c r="AR72" s="4"/>
      <c r="AS72" s="22"/>
    </row>
    <row r="73" spans="1:47" hidden="1" x14ac:dyDescent="0.2">
      <c r="B73" s="1036" t="s">
        <v>548</v>
      </c>
      <c r="C73" s="727"/>
      <c r="D73" s="1012"/>
      <c r="E73" s="391" t="s">
        <v>553</v>
      </c>
      <c r="F73" s="391"/>
      <c r="G73" s="391"/>
      <c r="H73" s="391"/>
      <c r="I73" s="544"/>
      <c r="J73" s="544"/>
      <c r="K73" s="544"/>
      <c r="L73" s="544"/>
      <c r="M73" s="544"/>
      <c r="N73" s="544"/>
      <c r="O73" s="544"/>
      <c r="P73" s="544"/>
      <c r="Q73" s="544"/>
      <c r="R73" s="544"/>
      <c r="S73" s="544"/>
      <c r="T73" s="544"/>
      <c r="U73" s="544"/>
      <c r="V73" s="14"/>
      <c r="W73" s="14"/>
      <c r="X73" s="14"/>
      <c r="Y73" s="377"/>
      <c r="Z73" s="14"/>
      <c r="AA73" s="18"/>
      <c r="AB73" s="18"/>
      <c r="AC73" s="18"/>
      <c r="AD73" s="18"/>
      <c r="AE73" s="18"/>
      <c r="AF73" s="18"/>
      <c r="AG73" s="18"/>
      <c r="AH73" s="18"/>
      <c r="AI73" s="18"/>
      <c r="AJ73" s="18"/>
      <c r="AK73" s="18"/>
      <c r="AL73" s="18"/>
      <c r="AM73" s="18"/>
      <c r="AN73" s="18"/>
      <c r="AO73" s="18"/>
      <c r="AP73" s="18"/>
      <c r="AQ73" s="18"/>
      <c r="AR73" s="18"/>
      <c r="AS73" s="22"/>
    </row>
    <row r="74" spans="1:47" hidden="1" x14ac:dyDescent="0.2">
      <c r="B74" s="1036" t="s">
        <v>548</v>
      </c>
      <c r="C74" s="727"/>
      <c r="D74" s="1012"/>
      <c r="E74" s="5"/>
      <c r="F74" s="5"/>
      <c r="G74" s="5"/>
      <c r="H74" s="16"/>
      <c r="I74" s="16"/>
      <c r="J74" s="16"/>
      <c r="K74" s="5"/>
      <c r="L74" s="16"/>
      <c r="M74" s="16"/>
      <c r="N74" s="16"/>
      <c r="O74" s="16"/>
      <c r="P74" s="16"/>
      <c r="Q74" s="16"/>
      <c r="R74" s="16"/>
      <c r="S74" s="16"/>
      <c r="T74" s="16"/>
      <c r="U74" s="16"/>
      <c r="V74" s="16"/>
      <c r="W74" s="16"/>
      <c r="X74" s="16"/>
      <c r="Y74" s="20"/>
      <c r="Z74" s="5"/>
      <c r="AA74" s="5"/>
      <c r="AB74" s="5"/>
      <c r="AC74" s="5"/>
      <c r="AD74" s="5"/>
      <c r="AE74" s="5"/>
      <c r="AF74" s="5"/>
      <c r="AG74" s="5"/>
      <c r="AH74" s="5"/>
      <c r="AI74" s="5"/>
      <c r="AJ74" s="5"/>
      <c r="AK74" s="5"/>
      <c r="AL74" s="5"/>
      <c r="AM74" s="5"/>
      <c r="AN74" s="5"/>
      <c r="AO74" s="5"/>
      <c r="AP74" s="5"/>
      <c r="AQ74" s="5"/>
      <c r="AR74" s="5"/>
      <c r="AS74" s="22"/>
    </row>
    <row r="75" spans="1:47" x14ac:dyDescent="0.2">
      <c r="B75" s="1036" t="s">
        <v>554</v>
      </c>
      <c r="C75" s="727"/>
      <c r="D75" s="1012"/>
      <c r="E75" s="5"/>
      <c r="F75" s="5"/>
      <c r="G75" s="5"/>
      <c r="H75" s="16"/>
      <c r="I75" s="21"/>
      <c r="J75" s="21"/>
      <c r="K75" s="21"/>
      <c r="L75" s="21"/>
      <c r="M75" s="21"/>
      <c r="N75" s="21"/>
      <c r="O75" s="21"/>
      <c r="P75" s="21"/>
      <c r="Q75" s="16"/>
      <c r="R75" s="16"/>
      <c r="S75" s="16"/>
      <c r="T75" s="16"/>
      <c r="U75" s="16"/>
      <c r="V75" s="16"/>
      <c r="W75" s="16"/>
      <c r="X75" s="16"/>
      <c r="Y75" s="20"/>
      <c r="Z75" s="5"/>
      <c r="AA75" s="5"/>
      <c r="AB75" s="5"/>
      <c r="AC75" s="5"/>
      <c r="AD75" s="5"/>
      <c r="AE75" s="5"/>
      <c r="AF75" s="5"/>
      <c r="AG75" s="5"/>
      <c r="AH75" s="5"/>
      <c r="AI75" s="5"/>
      <c r="AJ75" s="5"/>
      <c r="AK75" s="5"/>
      <c r="AL75" s="5"/>
      <c r="AM75" s="5"/>
      <c r="AN75" s="5"/>
      <c r="AO75" s="5"/>
      <c r="AP75" s="5"/>
      <c r="AQ75" s="5"/>
      <c r="AR75" s="5"/>
      <c r="AS75" s="22"/>
    </row>
    <row r="76" spans="1:47" ht="21" x14ac:dyDescent="0.2">
      <c r="B76" s="1036" t="s">
        <v>554</v>
      </c>
      <c r="C76" s="727"/>
      <c r="D76" s="1012"/>
      <c r="E76" s="240" t="s">
        <v>555</v>
      </c>
      <c r="F76" s="240"/>
      <c r="G76" s="240"/>
      <c r="H76" s="240"/>
      <c r="I76" s="240"/>
      <c r="J76" s="240"/>
      <c r="K76" s="240"/>
      <c r="L76" s="240"/>
      <c r="M76" s="240"/>
      <c r="N76" s="240"/>
      <c r="O76" s="240"/>
      <c r="P76" s="240"/>
      <c r="Q76" s="240"/>
      <c r="R76" s="240"/>
      <c r="S76" s="240"/>
      <c r="T76" s="240"/>
      <c r="U76" s="240"/>
      <c r="V76" s="240"/>
      <c r="W76" s="240"/>
      <c r="X76" s="240"/>
      <c r="Y76" s="240"/>
      <c r="Z76" s="240"/>
      <c r="AA76" s="240"/>
      <c r="AB76" s="240"/>
      <c r="AC76" s="240"/>
      <c r="AD76" s="240"/>
      <c r="AE76" s="240"/>
      <c r="AF76" s="240"/>
      <c r="AG76" s="240"/>
      <c r="AH76" s="240"/>
      <c r="AI76" s="240"/>
      <c r="AJ76" s="240"/>
      <c r="AK76" s="240"/>
      <c r="AL76" s="240"/>
      <c r="AM76" s="240"/>
      <c r="AN76" s="240"/>
      <c r="AO76" s="240"/>
      <c r="AP76" s="240"/>
      <c r="AQ76" s="240"/>
      <c r="AR76" s="240"/>
      <c r="AS76" s="240"/>
      <c r="AT76" s="240"/>
      <c r="AU76" s="22"/>
    </row>
    <row r="77" spans="1:47" x14ac:dyDescent="0.2">
      <c r="B77" s="1036" t="s">
        <v>554</v>
      </c>
      <c r="C77" s="727"/>
      <c r="D77" s="1013"/>
      <c r="E77" s="506" t="s">
        <v>491</v>
      </c>
      <c r="F77" s="506"/>
      <c r="G77" s="506" t="s">
        <v>423</v>
      </c>
      <c r="H77" s="507"/>
      <c r="I77" s="508">
        <f t="shared" ref="I77:AS77" ca="1" si="24">OFFSET(I77,0,-1)+1</f>
        <v>1</v>
      </c>
      <c r="J77" s="508">
        <f t="shared" ca="1" si="24"/>
        <v>2</v>
      </c>
      <c r="K77" s="508">
        <f t="shared" ca="1" si="24"/>
        <v>3</v>
      </c>
      <c r="L77" s="508">
        <f t="shared" ca="1" si="24"/>
        <v>4</v>
      </c>
      <c r="M77" s="508">
        <f t="shared" ca="1" si="24"/>
        <v>5</v>
      </c>
      <c r="N77" s="508">
        <f t="shared" ca="1" si="24"/>
        <v>6</v>
      </c>
      <c r="O77" s="508">
        <f t="shared" ca="1" si="24"/>
        <v>7</v>
      </c>
      <c r="P77" s="508">
        <f t="shared" ca="1" si="24"/>
        <v>8</v>
      </c>
      <c r="Q77" s="508">
        <f t="shared" ca="1" si="24"/>
        <v>9</v>
      </c>
      <c r="R77" s="508">
        <f t="shared" ca="1" si="24"/>
        <v>10</v>
      </c>
      <c r="S77" s="508">
        <f t="shared" ca="1" si="24"/>
        <v>11</v>
      </c>
      <c r="T77" s="508">
        <f t="shared" ca="1" si="24"/>
        <v>12</v>
      </c>
      <c r="U77" s="508">
        <f t="shared" ca="1" si="24"/>
        <v>13</v>
      </c>
      <c r="V77" s="508">
        <f t="shared" ca="1" si="24"/>
        <v>14</v>
      </c>
      <c r="W77" s="508">
        <f t="shared" ca="1" si="24"/>
        <v>15</v>
      </c>
      <c r="X77" s="508">
        <f t="shared" ca="1" si="24"/>
        <v>16</v>
      </c>
      <c r="Y77" s="508">
        <f t="shared" ca="1" si="24"/>
        <v>17</v>
      </c>
      <c r="Z77" s="508">
        <f t="shared" ca="1" si="24"/>
        <v>18</v>
      </c>
      <c r="AA77" s="508">
        <f t="shared" ca="1" si="24"/>
        <v>19</v>
      </c>
      <c r="AB77" s="508">
        <f t="shared" ca="1" si="24"/>
        <v>20</v>
      </c>
      <c r="AC77" s="508">
        <f t="shared" ca="1" si="24"/>
        <v>21</v>
      </c>
      <c r="AD77" s="508">
        <f t="shared" ca="1" si="24"/>
        <v>22</v>
      </c>
      <c r="AE77" s="508">
        <f t="shared" ca="1" si="24"/>
        <v>23</v>
      </c>
      <c r="AF77" s="508">
        <f t="shared" ca="1" si="24"/>
        <v>24</v>
      </c>
      <c r="AG77" s="508">
        <f t="shared" ca="1" si="24"/>
        <v>25</v>
      </c>
      <c r="AH77" s="508">
        <f t="shared" ca="1" si="24"/>
        <v>26</v>
      </c>
      <c r="AI77" s="508">
        <f t="shared" ca="1" si="24"/>
        <v>27</v>
      </c>
      <c r="AJ77" s="508">
        <f t="shared" ca="1" si="24"/>
        <v>28</v>
      </c>
      <c r="AK77" s="508">
        <f t="shared" ca="1" si="24"/>
        <v>29</v>
      </c>
      <c r="AL77" s="508">
        <f t="shared" ca="1" si="24"/>
        <v>30</v>
      </c>
      <c r="AM77" s="508">
        <f t="shared" ca="1" si="24"/>
        <v>31</v>
      </c>
      <c r="AN77" s="508">
        <f t="shared" ca="1" si="24"/>
        <v>32</v>
      </c>
      <c r="AO77" s="508">
        <f t="shared" ca="1" si="24"/>
        <v>33</v>
      </c>
      <c r="AP77" s="508">
        <f t="shared" ca="1" si="24"/>
        <v>34</v>
      </c>
      <c r="AQ77" s="508">
        <f t="shared" ca="1" si="24"/>
        <v>35</v>
      </c>
      <c r="AR77" s="508">
        <f t="shared" ca="1" si="24"/>
        <v>36</v>
      </c>
      <c r="AS77" s="508">
        <f t="shared" ca="1" si="24"/>
        <v>37</v>
      </c>
      <c r="AT77" s="507"/>
      <c r="AU77" s="274"/>
    </row>
    <row r="78" spans="1:47" ht="18.75" x14ac:dyDescent="0.2">
      <c r="B78" s="1036" t="s">
        <v>554</v>
      </c>
      <c r="C78" s="727"/>
      <c r="D78" s="1012"/>
      <c r="E78" s="403" t="s">
        <v>556</v>
      </c>
      <c r="F78" s="404"/>
      <c r="G78" s="403"/>
      <c r="H78" s="509"/>
      <c r="I78" s="509"/>
      <c r="J78" s="509"/>
      <c r="K78" s="509"/>
      <c r="L78" s="509"/>
      <c r="M78" s="509"/>
      <c r="N78" s="509"/>
      <c r="O78" s="509"/>
      <c r="P78" s="509"/>
      <c r="Q78" s="509"/>
      <c r="R78" s="509"/>
      <c r="S78" s="509"/>
      <c r="T78" s="509"/>
      <c r="U78" s="509"/>
      <c r="V78" s="509"/>
      <c r="W78" s="509"/>
      <c r="X78" s="509"/>
      <c r="Y78" s="509"/>
      <c r="Z78" s="509"/>
      <c r="AA78" s="510"/>
      <c r="AB78" s="509"/>
      <c r="AC78" s="509"/>
      <c r="AD78" s="509"/>
      <c r="AE78" s="509"/>
      <c r="AF78" s="509"/>
      <c r="AG78" s="509"/>
      <c r="AH78" s="509"/>
      <c r="AI78" s="509"/>
      <c r="AJ78" s="509"/>
      <c r="AK78" s="509"/>
      <c r="AL78" s="509"/>
      <c r="AM78" s="688" t="s">
        <v>557</v>
      </c>
      <c r="AN78" s="688" t="s">
        <v>557</v>
      </c>
      <c r="AO78" s="688" t="s">
        <v>557</v>
      </c>
      <c r="AP78" s="688" t="s">
        <v>557</v>
      </c>
      <c r="AQ78" s="688" t="s">
        <v>557</v>
      </c>
      <c r="AR78" s="688" t="s">
        <v>557</v>
      </c>
      <c r="AS78" s="688" t="s">
        <v>557</v>
      </c>
      <c r="AT78" s="511"/>
      <c r="AU78" s="22"/>
    </row>
    <row r="79" spans="1:47" ht="38.25" x14ac:dyDescent="0.2">
      <c r="B79" s="1036" t="s">
        <v>554</v>
      </c>
      <c r="C79" s="727"/>
      <c r="D79" s="1012"/>
      <c r="E79" s="395" t="s">
        <v>558</v>
      </c>
      <c r="F79" s="396"/>
      <c r="G79" s="512"/>
      <c r="H79" s="408"/>
      <c r="I79" s="494" t="s">
        <v>559</v>
      </c>
      <c r="J79" s="494" t="s">
        <v>185</v>
      </c>
      <c r="K79" s="494" t="s">
        <v>560</v>
      </c>
      <c r="L79" s="494" t="s">
        <v>561</v>
      </c>
      <c r="M79" s="494" t="s">
        <v>562</v>
      </c>
      <c r="N79" s="494" t="s">
        <v>563</v>
      </c>
      <c r="O79" s="494" t="s">
        <v>1135</v>
      </c>
      <c r="P79" s="494" t="s">
        <v>564</v>
      </c>
      <c r="Q79" s="494" t="s">
        <v>565</v>
      </c>
      <c r="R79" s="494" t="s">
        <v>566</v>
      </c>
      <c r="S79" s="494" t="s">
        <v>567</v>
      </c>
      <c r="T79" s="494" t="s">
        <v>568</v>
      </c>
      <c r="U79" s="494" t="s">
        <v>569</v>
      </c>
      <c r="V79" s="494" t="s">
        <v>1093</v>
      </c>
      <c r="W79" s="494" t="s">
        <v>570</v>
      </c>
      <c r="X79" s="494" t="s">
        <v>571</v>
      </c>
      <c r="Y79" s="494" t="s">
        <v>572</v>
      </c>
      <c r="Z79" s="494" t="s">
        <v>573</v>
      </c>
      <c r="AA79" s="494" t="s">
        <v>574</v>
      </c>
      <c r="AB79" s="494" t="s">
        <v>575</v>
      </c>
      <c r="AC79" s="494" t="s">
        <v>576</v>
      </c>
      <c r="AD79" s="494" t="s">
        <v>577</v>
      </c>
      <c r="AE79" s="494" t="s">
        <v>578</v>
      </c>
      <c r="AF79" s="494" t="s">
        <v>579</v>
      </c>
      <c r="AG79" s="494" t="s">
        <v>580</v>
      </c>
      <c r="AH79" s="494" t="s">
        <v>581</v>
      </c>
      <c r="AI79" s="494" t="s">
        <v>182</v>
      </c>
      <c r="AJ79" s="494" t="s">
        <v>582</v>
      </c>
      <c r="AK79" s="494" t="s">
        <v>583</v>
      </c>
      <c r="AL79" s="494" t="s">
        <v>584</v>
      </c>
      <c r="AM79" s="562" t="s">
        <v>585</v>
      </c>
      <c r="AN79" s="562" t="s">
        <v>586</v>
      </c>
      <c r="AO79" s="563"/>
      <c r="AP79" s="563"/>
      <c r="AQ79" s="563"/>
      <c r="AR79" s="563"/>
      <c r="AS79" s="563"/>
      <c r="AT79" s="408"/>
      <c r="AU79" s="22"/>
    </row>
    <row r="80" spans="1:47" s="784" customFormat="1" ht="45" customHeight="1" x14ac:dyDescent="0.2">
      <c r="A80" s="779"/>
      <c r="B80" s="1037" t="s">
        <v>554</v>
      </c>
      <c r="C80" s="780"/>
      <c r="D80" s="1016"/>
      <c r="E80" s="396" t="s">
        <v>587</v>
      </c>
      <c r="F80" s="396"/>
      <c r="G80" s="781"/>
      <c r="H80" s="547"/>
      <c r="I80" s="782"/>
      <c r="J80" s="782"/>
      <c r="K80" s="782" t="s">
        <v>50</v>
      </c>
      <c r="L80" s="782" t="s">
        <v>50</v>
      </c>
      <c r="M80" s="782" t="s">
        <v>50</v>
      </c>
      <c r="N80" s="782" t="s">
        <v>50</v>
      </c>
      <c r="O80" s="513"/>
      <c r="P80" s="782" t="s">
        <v>50</v>
      </c>
      <c r="Q80" s="513"/>
      <c r="R80" s="782" t="s">
        <v>50</v>
      </c>
      <c r="S80" s="513"/>
      <c r="T80" s="782" t="s">
        <v>50</v>
      </c>
      <c r="U80" s="782"/>
      <c r="V80" s="782"/>
      <c r="W80" s="782"/>
      <c r="X80" s="782"/>
      <c r="Y80" s="782"/>
      <c r="Z80" s="782"/>
      <c r="AA80" s="782" t="s">
        <v>50</v>
      </c>
      <c r="AB80" s="782" t="s">
        <v>50</v>
      </c>
      <c r="AC80" s="782"/>
      <c r="AD80" s="782"/>
      <c r="AE80" s="782"/>
      <c r="AF80" s="782"/>
      <c r="AG80" s="782"/>
      <c r="AH80" s="782"/>
      <c r="AI80" s="782"/>
      <c r="AJ80" s="782"/>
      <c r="AK80" s="782"/>
      <c r="AL80" s="782"/>
      <c r="AM80" s="563" t="s">
        <v>588</v>
      </c>
      <c r="AN80" s="563" t="s">
        <v>588</v>
      </c>
      <c r="AO80" s="563"/>
      <c r="AP80" s="563"/>
      <c r="AQ80" s="563"/>
      <c r="AR80" s="563"/>
      <c r="AS80" s="563"/>
      <c r="AT80" s="547"/>
      <c r="AU80" s="783"/>
    </row>
    <row r="81" spans="2:48" x14ac:dyDescent="0.2">
      <c r="B81" s="1036" t="s">
        <v>554</v>
      </c>
      <c r="C81" s="727"/>
      <c r="D81" s="1013" t="s">
        <v>50</v>
      </c>
      <c r="E81" s="395" t="s">
        <v>589</v>
      </c>
      <c r="F81" s="396"/>
      <c r="G81" s="395"/>
      <c r="H81" s="408"/>
      <c r="I81" s="494" t="s">
        <v>590</v>
      </c>
      <c r="J81" s="494" t="s">
        <v>590</v>
      </c>
      <c r="K81" s="494" t="str">
        <f>gebouw</f>
        <v>gebouw</v>
      </c>
      <c r="L81" s="494" t="str">
        <f>gebouw</f>
        <v>gebouw</v>
      </c>
      <c r="M81" s="494" t="str">
        <f>gebouw</f>
        <v>gebouw</v>
      </c>
      <c r="N81" s="494" t="str">
        <f>gebouw</f>
        <v>gebouw</v>
      </c>
      <c r="O81" s="494" t="str">
        <f>gebouw</f>
        <v>gebouw</v>
      </c>
      <c r="P81" s="494" t="s">
        <v>590</v>
      </c>
      <c r="Q81" s="494" t="s">
        <v>590</v>
      </c>
      <c r="R81" s="494" t="str">
        <f>gebied</f>
        <v>gebied</v>
      </c>
      <c r="S81" s="494" t="str">
        <f>gebied</f>
        <v>gebied</v>
      </c>
      <c r="T81" s="494" t="s">
        <v>590</v>
      </c>
      <c r="U81" s="494" t="s">
        <v>591</v>
      </c>
      <c r="V81" s="494" t="str">
        <f t="shared" ref="V81:AC81" si="25">gebied</f>
        <v>gebied</v>
      </c>
      <c r="W81" s="494" t="str">
        <f t="shared" si="25"/>
        <v>gebied</v>
      </c>
      <c r="X81" s="494" t="str">
        <f t="shared" si="25"/>
        <v>gebied</v>
      </c>
      <c r="Y81" s="494" t="str">
        <f t="shared" si="25"/>
        <v>gebied</v>
      </c>
      <c r="Z81" s="494" t="str">
        <f t="shared" si="25"/>
        <v>gebied</v>
      </c>
      <c r="AA81" s="494" t="str">
        <f t="shared" si="25"/>
        <v>gebied</v>
      </c>
      <c r="AB81" s="494" t="str">
        <f t="shared" si="25"/>
        <v>gebied</v>
      </c>
      <c r="AC81" s="494" t="str">
        <f t="shared" si="25"/>
        <v>gebied</v>
      </c>
      <c r="AD81" s="494" t="str">
        <f>centraal</f>
        <v>centraal</v>
      </c>
      <c r="AE81" s="494" t="str">
        <f>centraal</f>
        <v>centraal</v>
      </c>
      <c r="AF81" s="494" t="str">
        <f>centraal</f>
        <v>centraal</v>
      </c>
      <c r="AG81" s="494" t="str">
        <f>gebouw</f>
        <v>gebouw</v>
      </c>
      <c r="AH81" s="494" t="str">
        <f>gebouw</f>
        <v>gebouw</v>
      </c>
      <c r="AI81" s="494" t="s">
        <v>590</v>
      </c>
      <c r="AJ81" s="494" t="s">
        <v>591</v>
      </c>
      <c r="AK81" s="494" t="s">
        <v>591</v>
      </c>
      <c r="AL81" s="494" t="s">
        <v>591</v>
      </c>
      <c r="AM81" s="560" t="s">
        <v>591</v>
      </c>
      <c r="AN81" s="560" t="s">
        <v>591</v>
      </c>
      <c r="AO81" s="560"/>
      <c r="AP81" s="560"/>
      <c r="AQ81" s="560"/>
      <c r="AR81" s="560"/>
      <c r="AS81" s="560"/>
      <c r="AT81" s="408"/>
      <c r="AU81" s="783"/>
    </row>
    <row r="82" spans="2:48" x14ac:dyDescent="0.2">
      <c r="B82" s="1036" t="s">
        <v>554</v>
      </c>
      <c r="C82" s="727"/>
      <c r="D82" s="1013" t="s">
        <v>50</v>
      </c>
      <c r="E82" s="395" t="s">
        <v>592</v>
      </c>
      <c r="F82" s="396"/>
      <c r="G82" s="395" t="s">
        <v>70</v>
      </c>
      <c r="H82" s="408"/>
      <c r="I82" s="409">
        <v>0</v>
      </c>
      <c r="J82" s="409">
        <v>0</v>
      </c>
      <c r="K82" s="409">
        <v>0</v>
      </c>
      <c r="L82" s="409">
        <v>0</v>
      </c>
      <c r="M82" s="409">
        <v>0</v>
      </c>
      <c r="N82" s="409">
        <v>0</v>
      </c>
      <c r="O82" s="409">
        <v>0</v>
      </c>
      <c r="P82" s="409">
        <v>0</v>
      </c>
      <c r="Q82" s="409">
        <v>0</v>
      </c>
      <c r="R82" s="409">
        <v>0</v>
      </c>
      <c r="S82" s="409">
        <v>0</v>
      </c>
      <c r="T82" s="409">
        <v>0</v>
      </c>
      <c r="U82" s="409">
        <v>0</v>
      </c>
      <c r="V82" s="409">
        <v>0</v>
      </c>
      <c r="W82" s="409">
        <v>0</v>
      </c>
      <c r="X82" s="409">
        <v>0</v>
      </c>
      <c r="Y82" s="409">
        <v>0</v>
      </c>
      <c r="Z82" s="409">
        <v>0</v>
      </c>
      <c r="AA82" s="409">
        <v>0</v>
      </c>
      <c r="AB82" s="409">
        <v>0</v>
      </c>
      <c r="AC82" s="409">
        <v>0</v>
      </c>
      <c r="AD82" s="409">
        <v>0</v>
      </c>
      <c r="AE82" s="409">
        <v>0</v>
      </c>
      <c r="AF82" s="409">
        <v>0</v>
      </c>
      <c r="AG82" s="409">
        <v>0</v>
      </c>
      <c r="AH82" s="409">
        <v>0</v>
      </c>
      <c r="AI82" s="409">
        <v>0</v>
      </c>
      <c r="AJ82" s="409">
        <v>0</v>
      </c>
      <c r="AK82" s="409">
        <v>0</v>
      </c>
      <c r="AL82" s="409">
        <v>0</v>
      </c>
      <c r="AM82" s="569">
        <v>1</v>
      </c>
      <c r="AN82" s="569">
        <v>1</v>
      </c>
      <c r="AO82" s="569"/>
      <c r="AP82" s="569"/>
      <c r="AQ82" s="569"/>
      <c r="AR82" s="569"/>
      <c r="AS82" s="569"/>
      <c r="AT82" s="408"/>
      <c r="AU82" s="22"/>
    </row>
    <row r="83" spans="2:48" x14ac:dyDescent="0.2">
      <c r="B83" s="1036" t="s">
        <v>554</v>
      </c>
      <c r="C83" s="727"/>
      <c r="D83" s="1013" t="s">
        <v>50</v>
      </c>
      <c r="E83" s="395" t="s">
        <v>593</v>
      </c>
      <c r="F83" s="396"/>
      <c r="G83" s="395" t="s">
        <v>70</v>
      </c>
      <c r="H83" s="408"/>
      <c r="I83" s="409">
        <v>0</v>
      </c>
      <c r="J83" s="409">
        <v>0</v>
      </c>
      <c r="K83" s="409">
        <v>1</v>
      </c>
      <c r="L83" s="409">
        <v>1</v>
      </c>
      <c r="M83" s="409">
        <v>1</v>
      </c>
      <c r="N83" s="409">
        <v>1</v>
      </c>
      <c r="O83" s="409">
        <v>1</v>
      </c>
      <c r="P83" s="409">
        <v>1</v>
      </c>
      <c r="Q83" s="409">
        <v>1</v>
      </c>
      <c r="R83" s="409">
        <v>1</v>
      </c>
      <c r="S83" s="409">
        <v>1</v>
      </c>
      <c r="T83" s="409">
        <v>0</v>
      </c>
      <c r="U83" s="409">
        <v>1</v>
      </c>
      <c r="V83" s="409">
        <v>1</v>
      </c>
      <c r="W83" s="409">
        <v>0</v>
      </c>
      <c r="X83" s="409">
        <v>0</v>
      </c>
      <c r="Y83" s="409">
        <v>0</v>
      </c>
      <c r="Z83" s="409">
        <v>0</v>
      </c>
      <c r="AA83" s="409">
        <v>0</v>
      </c>
      <c r="AB83" s="409">
        <v>0</v>
      </c>
      <c r="AC83" s="409">
        <v>0</v>
      </c>
      <c r="AD83" s="409">
        <v>0</v>
      </c>
      <c r="AE83" s="409">
        <v>0</v>
      </c>
      <c r="AF83" s="409">
        <v>0</v>
      </c>
      <c r="AG83" s="409">
        <v>0</v>
      </c>
      <c r="AH83" s="409">
        <v>0</v>
      </c>
      <c r="AI83" s="409">
        <v>0</v>
      </c>
      <c r="AJ83" s="409">
        <v>0</v>
      </c>
      <c r="AK83" s="409">
        <v>0</v>
      </c>
      <c r="AL83" s="409">
        <v>0</v>
      </c>
      <c r="AM83" s="569">
        <v>0</v>
      </c>
      <c r="AN83" s="569">
        <v>0</v>
      </c>
      <c r="AO83" s="569"/>
      <c r="AP83" s="569"/>
      <c r="AQ83" s="569"/>
      <c r="AR83" s="569"/>
      <c r="AS83" s="569"/>
      <c r="AT83" s="408"/>
      <c r="AU83" s="22"/>
    </row>
    <row r="84" spans="2:48" x14ac:dyDescent="0.2">
      <c r="B84" s="1036" t="s">
        <v>554</v>
      </c>
      <c r="C84" s="727"/>
      <c r="D84" s="1012"/>
      <c r="E84" s="395" t="s">
        <v>594</v>
      </c>
      <c r="F84" s="396"/>
      <c r="G84" s="395" t="s">
        <v>70</v>
      </c>
      <c r="H84" s="408"/>
      <c r="I84" s="409">
        <v>0</v>
      </c>
      <c r="J84" s="409">
        <v>0</v>
      </c>
      <c r="K84" s="409">
        <v>1</v>
      </c>
      <c r="L84" s="409">
        <v>1</v>
      </c>
      <c r="M84" s="409">
        <v>1</v>
      </c>
      <c r="N84" s="409">
        <v>1</v>
      </c>
      <c r="O84" s="409">
        <v>1</v>
      </c>
      <c r="P84" s="409">
        <v>0</v>
      </c>
      <c r="Q84" s="409">
        <v>1</v>
      </c>
      <c r="R84" s="409">
        <v>1</v>
      </c>
      <c r="S84" s="409">
        <v>1</v>
      </c>
      <c r="T84" s="409">
        <v>0</v>
      </c>
      <c r="U84" s="409">
        <v>0</v>
      </c>
      <c r="V84" s="409">
        <v>1</v>
      </c>
      <c r="W84" s="409">
        <v>0</v>
      </c>
      <c r="X84" s="409">
        <v>0</v>
      </c>
      <c r="Y84" s="409">
        <v>0</v>
      </c>
      <c r="Z84" s="409">
        <v>0</v>
      </c>
      <c r="AA84" s="409">
        <v>0</v>
      </c>
      <c r="AB84" s="409">
        <v>0</v>
      </c>
      <c r="AC84" s="409">
        <v>0</v>
      </c>
      <c r="AD84" s="409">
        <v>0</v>
      </c>
      <c r="AE84" s="409">
        <v>0</v>
      </c>
      <c r="AF84" s="409">
        <v>0</v>
      </c>
      <c r="AG84" s="409">
        <v>0</v>
      </c>
      <c r="AH84" s="409">
        <v>0</v>
      </c>
      <c r="AI84" s="409">
        <v>0</v>
      </c>
      <c r="AJ84" s="409">
        <v>0</v>
      </c>
      <c r="AK84" s="409">
        <v>0</v>
      </c>
      <c r="AL84" s="409">
        <v>0</v>
      </c>
      <c r="AM84" s="569">
        <v>0</v>
      </c>
      <c r="AN84" s="569">
        <v>0</v>
      </c>
      <c r="AO84" s="569"/>
      <c r="AP84" s="569"/>
      <c r="AQ84" s="569"/>
      <c r="AR84" s="569"/>
      <c r="AS84" s="569"/>
      <c r="AT84" s="408"/>
      <c r="AU84" s="22"/>
    </row>
    <row r="85" spans="2:48" ht="18.75" x14ac:dyDescent="0.2">
      <c r="B85" s="1036" t="s">
        <v>554</v>
      </c>
      <c r="C85" s="727"/>
      <c r="D85" s="1012"/>
      <c r="E85" s="403" t="s">
        <v>595</v>
      </c>
      <c r="F85" s="404"/>
      <c r="G85" s="405"/>
      <c r="H85" s="509"/>
      <c r="I85" s="509"/>
      <c r="J85" s="509"/>
      <c r="K85" s="509"/>
      <c r="L85" s="509"/>
      <c r="M85" s="509"/>
      <c r="N85" s="509"/>
      <c r="O85" s="509"/>
      <c r="P85" s="509"/>
      <c r="Q85" s="509"/>
      <c r="R85" s="509"/>
      <c r="S85" s="509"/>
      <c r="T85" s="509"/>
      <c r="U85" s="509"/>
      <c r="V85" s="509"/>
      <c r="W85" s="509"/>
      <c r="X85" s="509"/>
      <c r="Y85" s="509"/>
      <c r="Z85" s="509"/>
      <c r="AA85" s="514"/>
      <c r="AB85" s="509"/>
      <c r="AC85" s="509"/>
      <c r="AD85" s="509"/>
      <c r="AE85" s="509"/>
      <c r="AF85" s="509"/>
      <c r="AG85" s="509"/>
      <c r="AH85" s="509"/>
      <c r="AI85" s="509"/>
      <c r="AJ85" s="509"/>
      <c r="AK85" s="509"/>
      <c r="AL85" s="509"/>
      <c r="AM85" s="509"/>
      <c r="AN85" s="509"/>
      <c r="AO85" s="509"/>
      <c r="AP85" s="509"/>
      <c r="AQ85" s="509"/>
      <c r="AR85" s="509"/>
      <c r="AS85" s="509"/>
      <c r="AT85" s="515"/>
      <c r="AU85" s="22"/>
    </row>
    <row r="86" spans="2:48" x14ac:dyDescent="0.2">
      <c r="B86" s="1036" t="s">
        <v>554</v>
      </c>
      <c r="C86" s="727"/>
      <c r="D86" s="1013" t="s">
        <v>50</v>
      </c>
      <c r="E86" s="395" t="s">
        <v>596</v>
      </c>
      <c r="F86" s="396"/>
      <c r="G86" s="395" t="s">
        <v>70</v>
      </c>
      <c r="H86" s="408"/>
      <c r="I86" s="407">
        <v>0.95</v>
      </c>
      <c r="J86" s="407">
        <v>1</v>
      </c>
      <c r="K86" s="407">
        <v>1</v>
      </c>
      <c r="L86" s="407">
        <v>1</v>
      </c>
      <c r="M86" s="407">
        <v>1</v>
      </c>
      <c r="N86" s="407">
        <v>1</v>
      </c>
      <c r="O86" s="407">
        <v>1</v>
      </c>
      <c r="P86" s="407">
        <v>1</v>
      </c>
      <c r="Q86" s="407">
        <v>1</v>
      </c>
      <c r="R86" s="407">
        <v>1</v>
      </c>
      <c r="S86" s="407">
        <v>1</v>
      </c>
      <c r="T86" s="407">
        <v>1</v>
      </c>
      <c r="U86" s="407">
        <v>0.95</v>
      </c>
      <c r="V86" s="407">
        <v>0.95</v>
      </c>
      <c r="W86" s="407">
        <v>0.95</v>
      </c>
      <c r="X86" s="407">
        <v>0.95</v>
      </c>
      <c r="Y86" s="407">
        <v>0.95</v>
      </c>
      <c r="Z86" s="407">
        <v>0.95</v>
      </c>
      <c r="AA86" s="407">
        <v>0.95</v>
      </c>
      <c r="AB86" s="407">
        <v>0.95</v>
      </c>
      <c r="AC86" s="407">
        <v>0.95</v>
      </c>
      <c r="AD86" s="407">
        <v>0.95</v>
      </c>
      <c r="AE86" s="407">
        <v>0.95</v>
      </c>
      <c r="AF86" s="407">
        <v>0.95</v>
      </c>
      <c r="AG86" s="407">
        <v>0.9</v>
      </c>
      <c r="AH86" s="407">
        <v>0.9</v>
      </c>
      <c r="AI86" s="407">
        <v>0.95</v>
      </c>
      <c r="AJ86" s="407">
        <v>0.95</v>
      </c>
      <c r="AK86" s="407">
        <v>0.95</v>
      </c>
      <c r="AL86" s="407">
        <v>0.95</v>
      </c>
      <c r="AM86" s="570">
        <v>0.95</v>
      </c>
      <c r="AN86" s="570">
        <v>0.95</v>
      </c>
      <c r="AO86" s="570"/>
      <c r="AP86" s="570"/>
      <c r="AQ86" s="570"/>
      <c r="AR86" s="570"/>
      <c r="AS86" s="570"/>
      <c r="AT86" s="408"/>
      <c r="AU86" s="22"/>
    </row>
    <row r="87" spans="2:48" ht="18.75" x14ac:dyDescent="0.2">
      <c r="B87" s="1036" t="s">
        <v>554</v>
      </c>
      <c r="C87" s="727"/>
      <c r="D87" s="1012"/>
      <c r="E87" s="403" t="s">
        <v>597</v>
      </c>
      <c r="F87" s="404"/>
      <c r="G87" s="405"/>
      <c r="H87" s="509"/>
      <c r="I87" s="509"/>
      <c r="J87" s="509"/>
      <c r="K87" s="509"/>
      <c r="L87" s="509"/>
      <c r="M87" s="509"/>
      <c r="N87" s="509"/>
      <c r="O87" s="509"/>
      <c r="P87" s="509"/>
      <c r="Q87" s="509"/>
      <c r="R87" s="509"/>
      <c r="S87" s="509"/>
      <c r="T87" s="509"/>
      <c r="U87" s="509"/>
      <c r="V87" s="509"/>
      <c r="W87" s="509"/>
      <c r="X87" s="509"/>
      <c r="Y87" s="509"/>
      <c r="Z87" s="509"/>
      <c r="AA87" s="514"/>
      <c r="AB87" s="509"/>
      <c r="AC87" s="509"/>
      <c r="AD87" s="509"/>
      <c r="AE87" s="509"/>
      <c r="AF87" s="509"/>
      <c r="AG87" s="509"/>
      <c r="AH87" s="509"/>
      <c r="AI87" s="509"/>
      <c r="AJ87" s="509"/>
      <c r="AK87" s="509"/>
      <c r="AL87" s="509"/>
      <c r="AM87" s="509"/>
      <c r="AN87" s="509"/>
      <c r="AO87" s="509"/>
      <c r="AP87" s="509"/>
      <c r="AQ87" s="509"/>
      <c r="AR87" s="509"/>
      <c r="AS87" s="509"/>
      <c r="AT87" s="515"/>
      <c r="AU87" s="22"/>
    </row>
    <row r="88" spans="2:48" x14ac:dyDescent="0.2">
      <c r="B88" s="1036" t="s">
        <v>554</v>
      </c>
      <c r="C88" s="727"/>
      <c r="D88" s="1012"/>
      <c r="E88" s="395" t="s">
        <v>598</v>
      </c>
      <c r="F88" s="396"/>
      <c r="G88" s="395" t="s">
        <v>599</v>
      </c>
      <c r="H88" s="408"/>
      <c r="I88" s="494">
        <v>0</v>
      </c>
      <c r="J88" s="494">
        <v>0</v>
      </c>
      <c r="K88" s="494">
        <v>0</v>
      </c>
      <c r="L88" s="494">
        <v>0</v>
      </c>
      <c r="M88" s="494">
        <v>0</v>
      </c>
      <c r="N88" s="494">
        <v>0</v>
      </c>
      <c r="O88" s="494">
        <v>0</v>
      </c>
      <c r="P88" s="494">
        <v>0</v>
      </c>
      <c r="Q88" s="494">
        <v>0</v>
      </c>
      <c r="R88" s="494">
        <f>3/3.6</f>
        <v>0.83333333333333326</v>
      </c>
      <c r="S88" s="494">
        <f>3/3.6</f>
        <v>0.83333333333333326</v>
      </c>
      <c r="T88" s="494">
        <v>0</v>
      </c>
      <c r="U88" s="494">
        <f>10/3.6</f>
        <v>2.7777777777777777</v>
      </c>
      <c r="V88" s="494">
        <v>0</v>
      </c>
      <c r="W88" s="494">
        <f>8/3.6</f>
        <v>2.2222222222222223</v>
      </c>
      <c r="X88" s="494">
        <f t="shared" ref="X88:AC88" si="26">8/3.6</f>
        <v>2.2222222222222223</v>
      </c>
      <c r="Y88" s="494">
        <f t="shared" si="26"/>
        <v>2.2222222222222223</v>
      </c>
      <c r="Z88" s="494">
        <f t="shared" si="26"/>
        <v>2.2222222222222223</v>
      </c>
      <c r="AA88" s="494">
        <f t="shared" si="26"/>
        <v>2.2222222222222223</v>
      </c>
      <c r="AB88" s="494">
        <f t="shared" si="26"/>
        <v>2.2222222222222223</v>
      </c>
      <c r="AC88" s="494">
        <f t="shared" si="26"/>
        <v>2.2222222222222223</v>
      </c>
      <c r="AD88" s="494">
        <f>10/3.6</f>
        <v>2.7777777777777777</v>
      </c>
      <c r="AE88" s="494">
        <f>10/3.6</f>
        <v>2.7777777777777777</v>
      </c>
      <c r="AF88" s="494">
        <f>10/3.6</f>
        <v>2.7777777777777777</v>
      </c>
      <c r="AG88" s="494">
        <v>0</v>
      </c>
      <c r="AH88" s="494">
        <v>0</v>
      </c>
      <c r="AI88" s="494">
        <v>0</v>
      </c>
      <c r="AJ88" s="494">
        <v>0</v>
      </c>
      <c r="AK88" s="494">
        <f>10/3.6</f>
        <v>2.7777777777777777</v>
      </c>
      <c r="AL88" s="494">
        <f>10/3.6</f>
        <v>2.7777777777777777</v>
      </c>
      <c r="AM88" s="571">
        <v>0</v>
      </c>
      <c r="AN88" s="571">
        <v>0</v>
      </c>
      <c r="AO88" s="571"/>
      <c r="AP88" s="571"/>
      <c r="AQ88" s="571"/>
      <c r="AR88" s="571"/>
      <c r="AS88" s="571"/>
      <c r="AT88" s="408"/>
      <c r="AU88" s="22"/>
    </row>
    <row r="89" spans="2:48" x14ac:dyDescent="0.2">
      <c r="B89" s="1036" t="s">
        <v>554</v>
      </c>
      <c r="C89" s="727"/>
      <c r="D89" s="1012"/>
      <c r="E89" s="395" t="s">
        <v>600</v>
      </c>
      <c r="F89" s="396"/>
      <c r="G89" s="395" t="s">
        <v>599</v>
      </c>
      <c r="H89" s="408"/>
      <c r="I89" s="494">
        <v>0</v>
      </c>
      <c r="J89" s="494">
        <v>0</v>
      </c>
      <c r="K89" s="494">
        <v>0</v>
      </c>
      <c r="L89" s="494">
        <v>0</v>
      </c>
      <c r="M89" s="494">
        <v>0</v>
      </c>
      <c r="N89" s="494">
        <v>0</v>
      </c>
      <c r="O89" s="494">
        <v>0</v>
      </c>
      <c r="P89" s="494">
        <v>0</v>
      </c>
      <c r="Q89" s="494">
        <v>0</v>
      </c>
      <c r="R89" s="494">
        <f>3/3.6</f>
        <v>0.83333333333333326</v>
      </c>
      <c r="S89" s="494">
        <f>3/3.6</f>
        <v>0.83333333333333326</v>
      </c>
      <c r="T89" s="494">
        <v>0</v>
      </c>
      <c r="U89" s="494">
        <f>6/3.6</f>
        <v>1.6666666666666665</v>
      </c>
      <c r="V89" s="494">
        <v>0</v>
      </c>
      <c r="W89" s="494">
        <f>4/3.6</f>
        <v>1.1111111111111112</v>
      </c>
      <c r="X89" s="494">
        <f t="shared" ref="X89:AC89" si="27">4/3.6</f>
        <v>1.1111111111111112</v>
      </c>
      <c r="Y89" s="494">
        <f t="shared" si="27"/>
        <v>1.1111111111111112</v>
      </c>
      <c r="Z89" s="494">
        <f t="shared" si="27"/>
        <v>1.1111111111111112</v>
      </c>
      <c r="AA89" s="494">
        <f t="shared" si="27"/>
        <v>1.1111111111111112</v>
      </c>
      <c r="AB89" s="494">
        <f t="shared" si="27"/>
        <v>1.1111111111111112</v>
      </c>
      <c r="AC89" s="494">
        <f t="shared" si="27"/>
        <v>1.1111111111111112</v>
      </c>
      <c r="AD89" s="494">
        <f>6/3.6</f>
        <v>1.6666666666666665</v>
      </c>
      <c r="AE89" s="494">
        <f>6/3.6</f>
        <v>1.6666666666666665</v>
      </c>
      <c r="AF89" s="494">
        <f>6/3.6</f>
        <v>1.6666666666666665</v>
      </c>
      <c r="AG89" s="494">
        <v>0</v>
      </c>
      <c r="AH89" s="494">
        <v>0</v>
      </c>
      <c r="AI89" s="494">
        <v>0</v>
      </c>
      <c r="AJ89" s="494">
        <v>0</v>
      </c>
      <c r="AK89" s="494">
        <f>6/3.6</f>
        <v>1.6666666666666665</v>
      </c>
      <c r="AL89" s="494">
        <f>6/3.6</f>
        <v>1.6666666666666665</v>
      </c>
      <c r="AM89" s="571">
        <v>0</v>
      </c>
      <c r="AN89" s="571">
        <v>0</v>
      </c>
      <c r="AO89" s="571"/>
      <c r="AP89" s="571"/>
      <c r="AQ89" s="571"/>
      <c r="AR89" s="571"/>
      <c r="AS89" s="571"/>
      <c r="AT89" s="408"/>
      <c r="AU89" s="22"/>
    </row>
    <row r="90" spans="2:48" x14ac:dyDescent="0.2">
      <c r="B90" s="1036" t="s">
        <v>554</v>
      </c>
      <c r="C90" s="727"/>
      <c r="D90" s="1012"/>
      <c r="E90" s="395" t="s">
        <v>601</v>
      </c>
      <c r="F90" s="396"/>
      <c r="G90" s="395" t="s">
        <v>602</v>
      </c>
      <c r="H90" s="408"/>
      <c r="I90" s="494">
        <v>0</v>
      </c>
      <c r="J90" s="494">
        <v>0</v>
      </c>
      <c r="K90" s="494">
        <v>0</v>
      </c>
      <c r="L90" s="494">
        <v>0</v>
      </c>
      <c r="M90" s="494">
        <v>0</v>
      </c>
      <c r="N90" s="494">
        <v>0</v>
      </c>
      <c r="O90" s="494">
        <v>0</v>
      </c>
      <c r="P90" s="494">
        <v>0</v>
      </c>
      <c r="Q90" s="494">
        <v>0</v>
      </c>
      <c r="R90" s="494">
        <f>15/3.6</f>
        <v>4.166666666666667</v>
      </c>
      <c r="S90" s="494">
        <f>15/3.6</f>
        <v>4.166666666666667</v>
      </c>
      <c r="T90" s="494">
        <v>0</v>
      </c>
      <c r="U90" s="494">
        <f>60/3.6</f>
        <v>16.666666666666668</v>
      </c>
      <c r="V90" s="494">
        <v>0</v>
      </c>
      <c r="W90" s="494">
        <f>50/3.6</f>
        <v>13.888888888888889</v>
      </c>
      <c r="X90" s="494">
        <f t="shared" ref="X90:AC90" si="28">50/3.6</f>
        <v>13.888888888888889</v>
      </c>
      <c r="Y90" s="494">
        <f t="shared" si="28"/>
        <v>13.888888888888889</v>
      </c>
      <c r="Z90" s="494">
        <f t="shared" si="28"/>
        <v>13.888888888888889</v>
      </c>
      <c r="AA90" s="494">
        <f t="shared" si="28"/>
        <v>13.888888888888889</v>
      </c>
      <c r="AB90" s="494">
        <f t="shared" si="28"/>
        <v>13.888888888888889</v>
      </c>
      <c r="AC90" s="494">
        <f t="shared" si="28"/>
        <v>13.888888888888889</v>
      </c>
      <c r="AD90" s="494">
        <f>60/3.6</f>
        <v>16.666666666666668</v>
      </c>
      <c r="AE90" s="494">
        <f>60/3.6</f>
        <v>16.666666666666668</v>
      </c>
      <c r="AF90" s="494">
        <f>60/3.6</f>
        <v>16.666666666666668</v>
      </c>
      <c r="AG90" s="494">
        <v>0</v>
      </c>
      <c r="AH90" s="494">
        <v>0</v>
      </c>
      <c r="AI90" s="494">
        <v>0</v>
      </c>
      <c r="AJ90" s="494">
        <v>0</v>
      </c>
      <c r="AK90" s="494">
        <f>60/3.6</f>
        <v>16.666666666666668</v>
      </c>
      <c r="AL90" s="494">
        <f>60/3.6</f>
        <v>16.666666666666668</v>
      </c>
      <c r="AM90" s="571">
        <v>0</v>
      </c>
      <c r="AN90" s="571">
        <v>0</v>
      </c>
      <c r="AO90" s="571"/>
      <c r="AP90" s="571"/>
      <c r="AQ90" s="571"/>
      <c r="AR90" s="571"/>
      <c r="AS90" s="571"/>
      <c r="AT90" s="408"/>
      <c r="AU90" s="22"/>
    </row>
    <row r="91" spans="2:48" ht="18.75" x14ac:dyDescent="0.2">
      <c r="B91" s="1036" t="s">
        <v>554</v>
      </c>
      <c r="C91" s="727"/>
      <c r="D91" s="1012"/>
      <c r="E91" s="403" t="s">
        <v>603</v>
      </c>
      <c r="F91" s="833"/>
      <c r="G91" s="405"/>
      <c r="H91" s="509"/>
      <c r="I91" s="509"/>
      <c r="J91" s="509"/>
      <c r="K91" s="509"/>
      <c r="L91" s="509"/>
      <c r="M91" s="509"/>
      <c r="N91" s="509"/>
      <c r="O91" s="509"/>
      <c r="P91" s="509"/>
      <c r="Q91" s="509"/>
      <c r="R91" s="509"/>
      <c r="S91" s="509"/>
      <c r="T91" s="509"/>
      <c r="U91" s="509"/>
      <c r="V91" s="509"/>
      <c r="W91" s="509"/>
      <c r="X91" s="509"/>
      <c r="Y91" s="509"/>
      <c r="Z91" s="509"/>
      <c r="AA91" s="514"/>
      <c r="AB91" s="509"/>
      <c r="AC91" s="509"/>
      <c r="AD91" s="509"/>
      <c r="AE91" s="509"/>
      <c r="AF91" s="509"/>
      <c r="AG91" s="509"/>
      <c r="AH91" s="509"/>
      <c r="AI91" s="509"/>
      <c r="AJ91" s="509"/>
      <c r="AK91" s="509"/>
      <c r="AL91" s="509"/>
      <c r="AM91" s="509"/>
      <c r="AN91" s="509"/>
      <c r="AO91" s="509"/>
      <c r="AP91" s="509"/>
      <c r="AQ91" s="509"/>
      <c r="AR91" s="509"/>
      <c r="AS91" s="509"/>
      <c r="AT91" s="515"/>
      <c r="AU91" s="22"/>
    </row>
    <row r="92" spans="2:48" ht="38.25" x14ac:dyDescent="0.2">
      <c r="B92" s="1036" t="s">
        <v>554</v>
      </c>
      <c r="C92" s="727"/>
      <c r="D92" s="1012"/>
      <c r="E92" s="395" t="s">
        <v>604</v>
      </c>
      <c r="F92" s="396"/>
      <c r="G92" s="395" t="s">
        <v>70</v>
      </c>
      <c r="H92" s="408"/>
      <c r="I92" s="494" t="s">
        <v>605</v>
      </c>
      <c r="J92" s="494" t="s">
        <v>605</v>
      </c>
      <c r="K92" s="494" t="s">
        <v>156</v>
      </c>
      <c r="L92" s="494" t="s">
        <v>156</v>
      </c>
      <c r="M92" s="494" t="s">
        <v>156</v>
      </c>
      <c r="N92" s="494" t="s">
        <v>156</v>
      </c>
      <c r="O92" s="494" t="s">
        <v>156</v>
      </c>
      <c r="P92" s="494" t="s">
        <v>156</v>
      </c>
      <c r="Q92" s="494" t="s">
        <v>156</v>
      </c>
      <c r="R92" s="494" t="s">
        <v>156</v>
      </c>
      <c r="S92" s="494" t="s">
        <v>156</v>
      </c>
      <c r="T92" s="494" t="s">
        <v>156</v>
      </c>
      <c r="U92" s="494" t="s">
        <v>156</v>
      </c>
      <c r="V92" s="494" t="s">
        <v>156</v>
      </c>
      <c r="W92" s="494" t="s">
        <v>605</v>
      </c>
      <c r="X92" s="494" t="s">
        <v>605</v>
      </c>
      <c r="Y92" s="494" t="s">
        <v>606</v>
      </c>
      <c r="Z92" s="494" t="s">
        <v>607</v>
      </c>
      <c r="AA92" s="494" t="s">
        <v>607</v>
      </c>
      <c r="AB92" s="494" t="s">
        <v>607</v>
      </c>
      <c r="AC92" s="494" t="s">
        <v>607</v>
      </c>
      <c r="AD92" s="494" t="s">
        <v>608</v>
      </c>
      <c r="AE92" s="494" t="s">
        <v>609</v>
      </c>
      <c r="AF92" s="494" t="s">
        <v>610</v>
      </c>
      <c r="AG92" s="494" t="s">
        <v>605</v>
      </c>
      <c r="AH92" s="494" t="s">
        <v>605</v>
      </c>
      <c r="AI92" s="494" t="s">
        <v>605</v>
      </c>
      <c r="AJ92" s="494" t="s">
        <v>611</v>
      </c>
      <c r="AK92" s="494" t="s">
        <v>612</v>
      </c>
      <c r="AL92" s="494" t="s">
        <v>613</v>
      </c>
      <c r="AM92" s="560" t="s">
        <v>614</v>
      </c>
      <c r="AN92" s="560" t="s">
        <v>694</v>
      </c>
      <c r="AO92" s="560"/>
      <c r="AP92" s="560"/>
      <c r="AQ92" s="560"/>
      <c r="AR92" s="560"/>
      <c r="AS92" s="560"/>
      <c r="AT92" s="408"/>
      <c r="AU92" s="22"/>
      <c r="AV92" s="22"/>
    </row>
    <row r="93" spans="2:48" x14ac:dyDescent="0.2">
      <c r="B93" s="1036" t="s">
        <v>554</v>
      </c>
      <c r="C93" s="727"/>
      <c r="D93" s="1012"/>
      <c r="E93" s="395" t="s">
        <v>616</v>
      </c>
      <c r="F93" s="396"/>
      <c r="G93" s="395" t="s">
        <v>70</v>
      </c>
      <c r="H93" s="408"/>
      <c r="I93" s="516" t="str">
        <f t="shared" ref="I93:AS93" si="29">IF(OR(referentie_verwarming="",I92=""),"",IF(OR(I81&lt;&gt;gebouw),GJ,HLOOKUP(I92,ENERGIEDRAGERS,ROWS($E$221:$E$225),FALSE)))</f>
        <v>m3</v>
      </c>
      <c r="J93" s="516" t="str">
        <f t="shared" si="29"/>
        <v>m3</v>
      </c>
      <c r="K93" s="516" t="str">
        <f t="shared" si="29"/>
        <v>kWh</v>
      </c>
      <c r="L93" s="516" t="str">
        <f t="shared" si="29"/>
        <v>kWh</v>
      </c>
      <c r="M93" s="516" t="str">
        <f t="shared" si="29"/>
        <v>kWh</v>
      </c>
      <c r="N93" s="516" t="str">
        <f t="shared" si="29"/>
        <v>kWh</v>
      </c>
      <c r="O93" s="516" t="str">
        <f>IF(OR(referentie_verwarming="",O92=""),"",IF(OR(O81&lt;&gt;gebouw),GJ,HLOOKUP(O92,ENERGIEDRAGERS,ROWS($E$221:$E$225),FALSE)))</f>
        <v>kWh</v>
      </c>
      <c r="P93" s="516" t="str">
        <f t="shared" si="29"/>
        <v>kWh</v>
      </c>
      <c r="Q93" s="516" t="str">
        <f t="shared" si="29"/>
        <v>kWh</v>
      </c>
      <c r="R93" s="516" t="str">
        <f t="shared" si="29"/>
        <v>GJ</v>
      </c>
      <c r="S93" s="516" t="str">
        <f t="shared" si="29"/>
        <v>GJ</v>
      </c>
      <c r="T93" s="516" t="str">
        <f t="shared" si="29"/>
        <v>kWh</v>
      </c>
      <c r="U93" s="516" t="str">
        <f t="shared" si="29"/>
        <v>GJ</v>
      </c>
      <c r="V93" s="516" t="str">
        <f>IF(OR(referentie_verwarming="",V92=""),"",IF(OR(V81&lt;&gt;gebouw),GJ,HLOOKUP(V92,ENERGIEDRAGERS,ROWS($E$221:$E$225),FALSE)))</f>
        <v>GJ</v>
      </c>
      <c r="W93" s="516" t="str">
        <f t="shared" si="29"/>
        <v>GJ</v>
      </c>
      <c r="X93" s="516" t="str">
        <f t="shared" si="29"/>
        <v>GJ</v>
      </c>
      <c r="Y93" s="516" t="str">
        <f t="shared" si="29"/>
        <v>GJ</v>
      </c>
      <c r="Z93" s="516" t="str">
        <f t="shared" si="29"/>
        <v>GJ</v>
      </c>
      <c r="AA93" s="516" t="str">
        <f t="shared" si="29"/>
        <v>GJ</v>
      </c>
      <c r="AB93" s="516" t="str">
        <f t="shared" si="29"/>
        <v>GJ</v>
      </c>
      <c r="AC93" s="516" t="str">
        <f t="shared" si="29"/>
        <v>GJ</v>
      </c>
      <c r="AD93" s="516" t="str">
        <f t="shared" si="29"/>
        <v>GJ</v>
      </c>
      <c r="AE93" s="516" t="str">
        <f t="shared" si="29"/>
        <v>GJ</v>
      </c>
      <c r="AF93" s="516" t="str">
        <f t="shared" si="29"/>
        <v>GJ</v>
      </c>
      <c r="AG93" s="516" t="str">
        <f t="shared" si="29"/>
        <v>m3</v>
      </c>
      <c r="AH93" s="516" t="str">
        <f t="shared" si="29"/>
        <v>m3</v>
      </c>
      <c r="AI93" s="516" t="str">
        <f t="shared" si="29"/>
        <v>m3</v>
      </c>
      <c r="AJ93" s="516" t="str">
        <f t="shared" si="29"/>
        <v>GJ</v>
      </c>
      <c r="AK93" s="516" t="str">
        <f t="shared" si="29"/>
        <v>GJ</v>
      </c>
      <c r="AL93" s="516" t="str">
        <f t="shared" si="29"/>
        <v>GJ</v>
      </c>
      <c r="AM93" s="516" t="str">
        <f t="shared" si="29"/>
        <v>GJ</v>
      </c>
      <c r="AN93" s="565" t="str">
        <f t="shared" si="29"/>
        <v>GJ</v>
      </c>
      <c r="AO93" s="565" t="str">
        <f t="shared" si="29"/>
        <v/>
      </c>
      <c r="AP93" s="565" t="str">
        <f t="shared" si="29"/>
        <v/>
      </c>
      <c r="AQ93" s="565" t="str">
        <f t="shared" si="29"/>
        <v/>
      </c>
      <c r="AR93" s="565" t="str">
        <f t="shared" si="29"/>
        <v/>
      </c>
      <c r="AS93" s="565" t="str">
        <f t="shared" si="29"/>
        <v/>
      </c>
      <c r="AT93" s="408"/>
      <c r="AU93" s="22"/>
    </row>
    <row r="94" spans="2:48" x14ac:dyDescent="0.2">
      <c r="B94" s="1036" t="s">
        <v>554</v>
      </c>
      <c r="C94" s="727"/>
      <c r="D94" s="1013" t="s">
        <v>50</v>
      </c>
      <c r="E94" s="695" t="s">
        <v>617</v>
      </c>
      <c r="F94" s="696"/>
      <c r="G94" s="395" t="s">
        <v>150</v>
      </c>
      <c r="H94" s="408"/>
      <c r="I94" s="410">
        <v>1</v>
      </c>
      <c r="J94" s="410">
        <v>1</v>
      </c>
      <c r="K94" s="410">
        <v>0.9</v>
      </c>
      <c r="L94" s="410">
        <v>0.9</v>
      </c>
      <c r="M94" s="410">
        <v>1</v>
      </c>
      <c r="N94" s="410">
        <v>1</v>
      </c>
      <c r="O94" s="410">
        <v>0.6</v>
      </c>
      <c r="P94" s="410">
        <v>0.9</v>
      </c>
      <c r="Q94" s="410">
        <v>0.9</v>
      </c>
      <c r="R94" s="410">
        <v>0.8</v>
      </c>
      <c r="S94" s="410">
        <v>0.8</v>
      </c>
      <c r="T94" s="410">
        <v>1</v>
      </c>
      <c r="U94" s="410">
        <v>1</v>
      </c>
      <c r="V94" s="410">
        <v>1</v>
      </c>
      <c r="W94" s="410">
        <v>0.8</v>
      </c>
      <c r="X94" s="410">
        <v>0.8</v>
      </c>
      <c r="Y94" s="410">
        <v>0.8</v>
      </c>
      <c r="Z94" s="410">
        <v>0.8</v>
      </c>
      <c r="AA94" s="410">
        <v>0.8</v>
      </c>
      <c r="AB94" s="410">
        <v>0.8</v>
      </c>
      <c r="AC94" s="410">
        <v>0.8</v>
      </c>
      <c r="AD94" s="410">
        <v>0.8</v>
      </c>
      <c r="AE94" s="410">
        <v>0.8</v>
      </c>
      <c r="AF94" s="410">
        <v>1</v>
      </c>
      <c r="AG94" s="410">
        <v>1</v>
      </c>
      <c r="AH94" s="410">
        <v>1</v>
      </c>
      <c r="AI94" s="410">
        <v>1</v>
      </c>
      <c r="AJ94" s="410">
        <v>1</v>
      </c>
      <c r="AK94" s="410">
        <v>0.8</v>
      </c>
      <c r="AL94" s="410">
        <v>0.8</v>
      </c>
      <c r="AM94" s="578">
        <v>1</v>
      </c>
      <c r="AN94" s="578">
        <v>1</v>
      </c>
      <c r="AO94" s="578"/>
      <c r="AP94" s="578"/>
      <c r="AQ94" s="578"/>
      <c r="AR94" s="578"/>
      <c r="AS94" s="578"/>
      <c r="AT94" s="408"/>
      <c r="AU94" s="274"/>
    </row>
    <row r="95" spans="2:48" x14ac:dyDescent="0.2">
      <c r="B95" s="1036" t="s">
        <v>554</v>
      </c>
      <c r="C95" s="727"/>
      <c r="D95" s="1013" t="s">
        <v>50</v>
      </c>
      <c r="E95" s="695" t="s">
        <v>618</v>
      </c>
      <c r="F95" s="840"/>
      <c r="G95" s="395" t="s">
        <v>70</v>
      </c>
      <c r="H95" s="408"/>
      <c r="I95" s="517">
        <v>0.8</v>
      </c>
      <c r="J95" s="517">
        <v>0.97499999999999998</v>
      </c>
      <c r="K95" s="517">
        <v>5.2</v>
      </c>
      <c r="L95" s="517">
        <v>4.55</v>
      </c>
      <c r="M95" s="517">
        <v>5.2</v>
      </c>
      <c r="N95" s="517">
        <v>4.55</v>
      </c>
      <c r="O95" s="517">
        <v>3.8</v>
      </c>
      <c r="P95" s="517">
        <v>3.5</v>
      </c>
      <c r="Q95" s="517">
        <v>6</v>
      </c>
      <c r="R95" s="517">
        <v>5.2</v>
      </c>
      <c r="S95" s="517">
        <v>5.2</v>
      </c>
      <c r="T95" s="517">
        <v>1</v>
      </c>
      <c r="U95" s="517">
        <v>1</v>
      </c>
      <c r="V95" s="517">
        <v>15</v>
      </c>
      <c r="W95" s="517">
        <v>0.5</v>
      </c>
      <c r="X95" s="517">
        <v>0.44</v>
      </c>
      <c r="Y95" s="517">
        <v>0.4</v>
      </c>
      <c r="Z95" s="517">
        <v>0.26</v>
      </c>
      <c r="AA95" s="517">
        <v>0.36</v>
      </c>
      <c r="AB95" s="517">
        <v>0.48</v>
      </c>
      <c r="AC95" s="517">
        <v>0.72499999999999998</v>
      </c>
      <c r="AD95" s="517">
        <v>1</v>
      </c>
      <c r="AE95" s="517">
        <v>1</v>
      </c>
      <c r="AF95" s="517">
        <v>1</v>
      </c>
      <c r="AG95" s="517">
        <v>0.75</v>
      </c>
      <c r="AH95" s="517">
        <v>0.8</v>
      </c>
      <c r="AI95" s="517">
        <v>0.9</v>
      </c>
      <c r="AJ95" s="517">
        <v>1</v>
      </c>
      <c r="AK95" s="517">
        <v>1</v>
      </c>
      <c r="AL95" s="517">
        <v>1</v>
      </c>
      <c r="AM95" s="560">
        <v>1</v>
      </c>
      <c r="AN95" s="560">
        <v>1</v>
      </c>
      <c r="AO95" s="560"/>
      <c r="AP95" s="560"/>
      <c r="AQ95" s="560" t="s">
        <v>619</v>
      </c>
      <c r="AR95" s="560" t="s">
        <v>619</v>
      </c>
      <c r="AS95" s="560" t="s">
        <v>619</v>
      </c>
      <c r="AT95" s="408"/>
      <c r="AU95" s="274"/>
    </row>
    <row r="96" spans="2:48" x14ac:dyDescent="0.2">
      <c r="B96" s="1036" t="s">
        <v>554</v>
      </c>
      <c r="C96" s="727"/>
      <c r="D96" s="1012"/>
      <c r="E96" s="395" t="s">
        <v>620</v>
      </c>
      <c r="F96" s="396"/>
      <c r="G96" s="395" t="s">
        <v>70</v>
      </c>
      <c r="H96" s="408"/>
      <c r="I96" s="518">
        <v>0</v>
      </c>
      <c r="J96" s="518">
        <v>0</v>
      </c>
      <c r="K96" s="518">
        <v>28</v>
      </c>
      <c r="L96" s="518">
        <v>0</v>
      </c>
      <c r="M96" s="518">
        <v>28</v>
      </c>
      <c r="N96" s="518">
        <v>0</v>
      </c>
      <c r="O96" s="518">
        <v>0</v>
      </c>
      <c r="P96" s="518">
        <v>0</v>
      </c>
      <c r="Q96" s="518">
        <v>15</v>
      </c>
      <c r="R96" s="518">
        <v>28</v>
      </c>
      <c r="S96" s="518">
        <v>28</v>
      </c>
      <c r="T96" s="518">
        <v>0</v>
      </c>
      <c r="U96" s="518">
        <v>0</v>
      </c>
      <c r="V96" s="518">
        <v>0</v>
      </c>
      <c r="W96" s="518">
        <v>0</v>
      </c>
      <c r="X96" s="518">
        <v>0</v>
      </c>
      <c r="Y96" s="518">
        <v>0</v>
      </c>
      <c r="Z96" s="518">
        <v>0</v>
      </c>
      <c r="AA96" s="518">
        <v>0</v>
      </c>
      <c r="AB96" s="518">
        <v>0</v>
      </c>
      <c r="AC96" s="518">
        <v>0</v>
      </c>
      <c r="AD96" s="518">
        <v>0</v>
      </c>
      <c r="AE96" s="518">
        <v>0</v>
      </c>
      <c r="AF96" s="518">
        <v>0</v>
      </c>
      <c r="AG96" s="518">
        <v>0</v>
      </c>
      <c r="AH96" s="518">
        <v>0</v>
      </c>
      <c r="AI96" s="518">
        <v>0</v>
      </c>
      <c r="AJ96" s="518">
        <v>0</v>
      </c>
      <c r="AK96" s="518">
        <v>0</v>
      </c>
      <c r="AL96" s="518">
        <v>0</v>
      </c>
      <c r="AM96" s="569">
        <v>0</v>
      </c>
      <c r="AN96" s="569">
        <v>0</v>
      </c>
      <c r="AO96" s="569"/>
      <c r="AP96" s="569"/>
      <c r="AQ96" s="569"/>
      <c r="AR96" s="569"/>
      <c r="AS96" s="569"/>
      <c r="AT96" s="408"/>
      <c r="AU96" s="274"/>
    </row>
    <row r="97" spans="2:47" x14ac:dyDescent="0.2">
      <c r="B97" s="1036" t="s">
        <v>554</v>
      </c>
      <c r="C97" s="727"/>
      <c r="D97" s="1013" t="s">
        <v>50</v>
      </c>
      <c r="E97" s="395" t="s">
        <v>621</v>
      </c>
      <c r="F97" s="396"/>
      <c r="G97" s="395" t="s">
        <v>70</v>
      </c>
      <c r="H97" s="408"/>
      <c r="I97" s="517">
        <v>0</v>
      </c>
      <c r="J97" s="517">
        <v>0</v>
      </c>
      <c r="K97" s="517">
        <v>0</v>
      </c>
      <c r="L97" s="517">
        <v>0</v>
      </c>
      <c r="M97" s="517">
        <v>0</v>
      </c>
      <c r="N97" s="517">
        <v>0</v>
      </c>
      <c r="O97" s="517">
        <v>0</v>
      </c>
      <c r="P97" s="517">
        <v>0</v>
      </c>
      <c r="Q97" s="517">
        <v>0</v>
      </c>
      <c r="R97" s="517">
        <v>0</v>
      </c>
      <c r="S97" s="517">
        <v>0</v>
      </c>
      <c r="T97" s="517">
        <v>0</v>
      </c>
      <c r="U97" s="517">
        <v>0</v>
      </c>
      <c r="V97" s="517">
        <v>0</v>
      </c>
      <c r="W97" s="517">
        <v>0.32</v>
      </c>
      <c r="X97" s="517">
        <v>0.35</v>
      </c>
      <c r="Y97" s="517">
        <v>0.42</v>
      </c>
      <c r="Z97" s="517">
        <v>0.26</v>
      </c>
      <c r="AA97" s="517">
        <v>0.23</v>
      </c>
      <c r="AB97" s="517">
        <v>0.28499999999999998</v>
      </c>
      <c r="AC97" s="517">
        <v>0</v>
      </c>
      <c r="AD97" s="517">
        <v>0</v>
      </c>
      <c r="AE97" s="517">
        <v>0</v>
      </c>
      <c r="AF97" s="517">
        <v>0</v>
      </c>
      <c r="AG97" s="517">
        <v>0</v>
      </c>
      <c r="AH97" s="517">
        <v>0</v>
      </c>
      <c r="AI97" s="517">
        <v>0</v>
      </c>
      <c r="AJ97" s="517">
        <v>0</v>
      </c>
      <c r="AK97" s="517">
        <v>0</v>
      </c>
      <c r="AL97" s="517">
        <v>0</v>
      </c>
      <c r="AM97" s="560">
        <v>0</v>
      </c>
      <c r="AN97" s="560">
        <v>0</v>
      </c>
      <c r="AO97" s="560"/>
      <c r="AP97" s="560"/>
      <c r="AQ97" s="560"/>
      <c r="AR97" s="560"/>
      <c r="AS97" s="560"/>
      <c r="AT97" s="408"/>
      <c r="AU97" s="274"/>
    </row>
    <row r="98" spans="2:47" x14ac:dyDescent="0.2">
      <c r="B98" s="1036" t="s">
        <v>554</v>
      </c>
      <c r="C98" s="727"/>
      <c r="D98" s="1013" t="s">
        <v>50</v>
      </c>
      <c r="E98" s="395" t="s">
        <v>622</v>
      </c>
      <c r="F98" s="396"/>
      <c r="G98" s="395" t="s">
        <v>623</v>
      </c>
      <c r="H98" s="408"/>
      <c r="I98" s="407">
        <v>0</v>
      </c>
      <c r="J98" s="407">
        <v>0</v>
      </c>
      <c r="K98" s="407">
        <v>0</v>
      </c>
      <c r="L98" s="407">
        <v>0</v>
      </c>
      <c r="M98" s="407">
        <v>0</v>
      </c>
      <c r="N98" s="407">
        <v>0</v>
      </c>
      <c r="O98" s="407">
        <v>0</v>
      </c>
      <c r="P98" s="407">
        <v>0</v>
      </c>
      <c r="Q98" s="407">
        <v>0</v>
      </c>
      <c r="R98" s="407">
        <v>0</v>
      </c>
      <c r="S98" s="407">
        <v>0</v>
      </c>
      <c r="T98" s="407">
        <v>0</v>
      </c>
      <c r="U98" s="407">
        <v>0</v>
      </c>
      <c r="V98" s="407">
        <v>0</v>
      </c>
      <c r="W98" s="407">
        <v>0</v>
      </c>
      <c r="X98" s="407">
        <v>0</v>
      </c>
      <c r="Y98" s="407">
        <v>0</v>
      </c>
      <c r="Z98" s="407">
        <v>0</v>
      </c>
      <c r="AA98" s="407">
        <v>0</v>
      </c>
      <c r="AB98" s="407">
        <v>0</v>
      </c>
      <c r="AC98" s="407">
        <v>0</v>
      </c>
      <c r="AD98" s="407">
        <v>0.18</v>
      </c>
      <c r="AE98" s="407">
        <v>0.18</v>
      </c>
      <c r="AF98" s="407">
        <v>0</v>
      </c>
      <c r="AG98" s="407">
        <v>0</v>
      </c>
      <c r="AH98" s="407">
        <v>0</v>
      </c>
      <c r="AI98" s="407">
        <v>0</v>
      </c>
      <c r="AJ98" s="407">
        <v>0</v>
      </c>
      <c r="AK98" s="407">
        <v>0.18</v>
      </c>
      <c r="AL98" s="407">
        <v>0.18</v>
      </c>
      <c r="AM98" s="570">
        <v>0</v>
      </c>
      <c r="AN98" s="570">
        <v>0</v>
      </c>
      <c r="AO98" s="570"/>
      <c r="AP98" s="570"/>
      <c r="AQ98" s="570"/>
      <c r="AR98" s="570"/>
      <c r="AS98" s="570"/>
      <c r="AT98" s="408"/>
      <c r="AU98" s="274"/>
    </row>
    <row r="99" spans="2:47" ht="18.75" x14ac:dyDescent="0.2">
      <c r="B99" s="1036" t="s">
        <v>554</v>
      </c>
      <c r="C99" s="727"/>
      <c r="D99" s="1012"/>
      <c r="E99" s="403" t="s">
        <v>624</v>
      </c>
      <c r="F99" s="404"/>
      <c r="G99" s="405"/>
      <c r="H99" s="509"/>
      <c r="I99" s="509"/>
      <c r="J99" s="509"/>
      <c r="K99" s="509"/>
      <c r="L99" s="509"/>
      <c r="M99" s="509"/>
      <c r="N99" s="509"/>
      <c r="O99" s="509"/>
      <c r="P99" s="509"/>
      <c r="Q99" s="509"/>
      <c r="R99" s="509"/>
      <c r="S99" s="509"/>
      <c r="T99" s="509"/>
      <c r="U99" s="509"/>
      <c r="V99" s="509"/>
      <c r="W99" s="509"/>
      <c r="X99" s="509"/>
      <c r="Y99" s="509"/>
      <c r="Z99" s="509"/>
      <c r="AA99" s="514"/>
      <c r="AB99" s="509"/>
      <c r="AC99" s="509"/>
      <c r="AD99" s="509"/>
      <c r="AE99" s="509"/>
      <c r="AF99" s="509"/>
      <c r="AG99" s="509"/>
      <c r="AH99" s="509"/>
      <c r="AI99" s="509"/>
      <c r="AJ99" s="509"/>
      <c r="AK99" s="509"/>
      <c r="AL99" s="509"/>
      <c r="AM99" s="509"/>
      <c r="AN99" s="509"/>
      <c r="AO99" s="509"/>
      <c r="AP99" s="509"/>
      <c r="AQ99" s="509"/>
      <c r="AR99" s="509"/>
      <c r="AS99" s="509"/>
      <c r="AT99" s="515"/>
      <c r="AU99" s="22"/>
    </row>
    <row r="100" spans="2:47" ht="25.5" x14ac:dyDescent="0.2">
      <c r="B100" s="1036" t="s">
        <v>554</v>
      </c>
      <c r="C100" s="727"/>
      <c r="D100" s="1013"/>
      <c r="E100" s="395" t="s">
        <v>625</v>
      </c>
      <c r="F100" s="396"/>
      <c r="G100" s="395" t="s">
        <v>70</v>
      </c>
      <c r="H100" s="408"/>
      <c r="I100" s="494" t="s">
        <v>183</v>
      </c>
      <c r="J100" s="494" t="s">
        <v>183</v>
      </c>
      <c r="K100" s="494" t="s">
        <v>626</v>
      </c>
      <c r="L100" s="494" t="s">
        <v>626</v>
      </c>
      <c r="M100" s="494" t="s">
        <v>183</v>
      </c>
      <c r="N100" s="494" t="s">
        <v>183</v>
      </c>
      <c r="O100" s="494" t="s">
        <v>1095</v>
      </c>
      <c r="P100" s="494" t="s">
        <v>626</v>
      </c>
      <c r="Q100" s="494" t="s">
        <v>626</v>
      </c>
      <c r="R100" s="494" t="s">
        <v>627</v>
      </c>
      <c r="S100" s="494" t="s">
        <v>626</v>
      </c>
      <c r="T100" s="494" t="s">
        <v>183</v>
      </c>
      <c r="U100" s="494" t="s">
        <v>183</v>
      </c>
      <c r="V100" s="494" t="s">
        <v>183</v>
      </c>
      <c r="W100" s="494" t="s">
        <v>627</v>
      </c>
      <c r="X100" s="494" t="s">
        <v>627</v>
      </c>
      <c r="Y100" s="494" t="s">
        <v>627</v>
      </c>
      <c r="Z100" s="494" t="s">
        <v>627</v>
      </c>
      <c r="AA100" s="494" t="s">
        <v>627</v>
      </c>
      <c r="AB100" s="494" t="s">
        <v>627</v>
      </c>
      <c r="AC100" s="494" t="s">
        <v>627</v>
      </c>
      <c r="AD100" s="494" t="s">
        <v>627</v>
      </c>
      <c r="AE100" s="494" t="s">
        <v>627</v>
      </c>
      <c r="AF100" s="494" t="s">
        <v>183</v>
      </c>
      <c r="AG100" s="494" t="s">
        <v>183</v>
      </c>
      <c r="AH100" s="494" t="s">
        <v>183</v>
      </c>
      <c r="AI100" s="494" t="s">
        <v>183</v>
      </c>
      <c r="AJ100" s="494" t="s">
        <v>183</v>
      </c>
      <c r="AK100" s="494" t="s">
        <v>627</v>
      </c>
      <c r="AL100" s="494" t="s">
        <v>627</v>
      </c>
      <c r="AM100" s="560" t="s">
        <v>183</v>
      </c>
      <c r="AN100" s="560" t="s">
        <v>183</v>
      </c>
      <c r="AO100" s="560"/>
      <c r="AP100" s="560"/>
      <c r="AQ100" s="560"/>
      <c r="AR100" s="560"/>
      <c r="AS100" s="560"/>
      <c r="AT100" s="408"/>
      <c r="AU100" s="22"/>
    </row>
    <row r="101" spans="2:47" x14ac:dyDescent="0.2">
      <c r="B101" s="1036" t="s">
        <v>554</v>
      </c>
      <c r="C101" s="727"/>
      <c r="D101" s="1012"/>
      <c r="E101" s="395" t="s">
        <v>604</v>
      </c>
      <c r="F101" s="396"/>
      <c r="G101" s="395" t="s">
        <v>70</v>
      </c>
      <c r="H101" s="408"/>
      <c r="I101" s="494" t="s">
        <v>605</v>
      </c>
      <c r="J101" s="494" t="s">
        <v>628</v>
      </c>
      <c r="K101" s="494" t="s">
        <v>156</v>
      </c>
      <c r="L101" s="494" t="str">
        <f>elektriciteit</f>
        <v>elektriciteit</v>
      </c>
      <c r="M101" s="494" t="s">
        <v>605</v>
      </c>
      <c r="N101" s="494" t="s">
        <v>605</v>
      </c>
      <c r="O101" s="494" t="s">
        <v>605</v>
      </c>
      <c r="P101" s="494" t="s">
        <v>156</v>
      </c>
      <c r="Q101" s="494" t="str">
        <f>elektriciteit</f>
        <v>elektriciteit</v>
      </c>
      <c r="R101" s="494" t="s">
        <v>605</v>
      </c>
      <c r="S101" s="494" t="str">
        <f>elektriciteit</f>
        <v>elektriciteit</v>
      </c>
      <c r="T101" s="494" t="s">
        <v>628</v>
      </c>
      <c r="U101" s="494" t="s">
        <v>605</v>
      </c>
      <c r="V101" s="494" t="s">
        <v>605</v>
      </c>
      <c r="W101" s="494" t="s">
        <v>605</v>
      </c>
      <c r="X101" s="494" t="s">
        <v>605</v>
      </c>
      <c r="Y101" s="494" t="s">
        <v>605</v>
      </c>
      <c r="Z101" s="494" t="s">
        <v>605</v>
      </c>
      <c r="AA101" s="494" t="s">
        <v>605</v>
      </c>
      <c r="AB101" s="494" t="s">
        <v>605</v>
      </c>
      <c r="AC101" s="494" t="s">
        <v>605</v>
      </c>
      <c r="AD101" s="494" t="s">
        <v>605</v>
      </c>
      <c r="AE101" s="494" t="s">
        <v>605</v>
      </c>
      <c r="AF101" s="494" t="s">
        <v>605</v>
      </c>
      <c r="AG101" s="494" t="s">
        <v>628</v>
      </c>
      <c r="AH101" s="494" t="s">
        <v>628</v>
      </c>
      <c r="AI101" s="494" t="s">
        <v>628</v>
      </c>
      <c r="AJ101" s="494" t="s">
        <v>628</v>
      </c>
      <c r="AK101" s="494" t="s">
        <v>605</v>
      </c>
      <c r="AL101" s="494" t="s">
        <v>605</v>
      </c>
      <c r="AM101" s="560" t="s">
        <v>605</v>
      </c>
      <c r="AN101" s="560"/>
      <c r="AO101" s="560"/>
      <c r="AP101" s="560"/>
      <c r="AQ101" s="560"/>
      <c r="AR101" s="560"/>
      <c r="AS101" s="560"/>
      <c r="AT101" s="408"/>
      <c r="AU101" s="22"/>
    </row>
    <row r="102" spans="2:47" x14ac:dyDescent="0.2">
      <c r="B102" s="1036" t="s">
        <v>554</v>
      </c>
      <c r="C102" s="727"/>
      <c r="D102" s="1013"/>
      <c r="E102" s="395" t="s">
        <v>616</v>
      </c>
      <c r="F102" s="396"/>
      <c r="G102" s="395" t="s">
        <v>70</v>
      </c>
      <c r="H102" s="408"/>
      <c r="I102" s="516" t="str">
        <f t="shared" ref="I102:AS102" si="30">IF(OR(I79="",I94=1,I101=""),"",IF(OR(I81&lt;&gt;gebouw),GJ,HLOOKUP(I101,ENERGIEDRAGERS,ROWS($E$221:$E$225),FALSE)))</f>
        <v/>
      </c>
      <c r="J102" s="516" t="str">
        <f t="shared" si="30"/>
        <v/>
      </c>
      <c r="K102" s="516" t="str">
        <f t="shared" si="30"/>
        <v>kWh</v>
      </c>
      <c r="L102" s="516" t="str">
        <f t="shared" si="30"/>
        <v>kWh</v>
      </c>
      <c r="M102" s="516" t="str">
        <f t="shared" si="30"/>
        <v/>
      </c>
      <c r="N102" s="516" t="str">
        <f t="shared" si="30"/>
        <v/>
      </c>
      <c r="O102" s="516" t="str">
        <f>IF(OR(O79="",O94=1,O101=""),"",IF(OR(O81&lt;&gt;gebouw),GJ,HLOOKUP(O101,ENERGIEDRAGERS,ROWS($E$221:$E$225),FALSE)))</f>
        <v>m3</v>
      </c>
      <c r="P102" s="516" t="str">
        <f t="shared" si="30"/>
        <v>kWh</v>
      </c>
      <c r="Q102" s="516" t="str">
        <f t="shared" si="30"/>
        <v>kWh</v>
      </c>
      <c r="R102" s="516" t="str">
        <f t="shared" si="30"/>
        <v>GJ</v>
      </c>
      <c r="S102" s="516" t="str">
        <f t="shared" si="30"/>
        <v>GJ</v>
      </c>
      <c r="T102" s="516" t="str">
        <f t="shared" si="30"/>
        <v/>
      </c>
      <c r="U102" s="516" t="str">
        <f t="shared" si="30"/>
        <v/>
      </c>
      <c r="V102" s="516" t="str">
        <f>IF(OR(V79="",V94=1,V101=""),"",IF(OR(V81&lt;&gt;gebouw),GJ,HLOOKUP(V101,ENERGIEDRAGERS,ROWS($E$221:$E$225),FALSE)))</f>
        <v/>
      </c>
      <c r="W102" s="516" t="str">
        <f t="shared" si="30"/>
        <v>GJ</v>
      </c>
      <c r="X102" s="516" t="str">
        <f t="shared" si="30"/>
        <v>GJ</v>
      </c>
      <c r="Y102" s="516" t="str">
        <f t="shared" si="30"/>
        <v>GJ</v>
      </c>
      <c r="Z102" s="516" t="str">
        <f t="shared" si="30"/>
        <v>GJ</v>
      </c>
      <c r="AA102" s="516" t="str">
        <f t="shared" si="30"/>
        <v>GJ</v>
      </c>
      <c r="AB102" s="516" t="str">
        <f t="shared" si="30"/>
        <v>GJ</v>
      </c>
      <c r="AC102" s="516" t="str">
        <f t="shared" si="30"/>
        <v>GJ</v>
      </c>
      <c r="AD102" s="516" t="str">
        <f t="shared" si="30"/>
        <v>GJ</v>
      </c>
      <c r="AE102" s="516" t="str">
        <f t="shared" si="30"/>
        <v>GJ</v>
      </c>
      <c r="AF102" s="516" t="str">
        <f t="shared" si="30"/>
        <v/>
      </c>
      <c r="AG102" s="516" t="str">
        <f t="shared" si="30"/>
        <v/>
      </c>
      <c r="AH102" s="516" t="str">
        <f t="shared" si="30"/>
        <v/>
      </c>
      <c r="AI102" s="516" t="str">
        <f t="shared" si="30"/>
        <v/>
      </c>
      <c r="AJ102" s="516" t="str">
        <f t="shared" si="30"/>
        <v/>
      </c>
      <c r="AK102" s="516" t="str">
        <f t="shared" si="30"/>
        <v>GJ</v>
      </c>
      <c r="AL102" s="516" t="str">
        <f t="shared" si="30"/>
        <v>GJ</v>
      </c>
      <c r="AM102" s="565" t="str">
        <f t="shared" si="30"/>
        <v/>
      </c>
      <c r="AN102" s="565" t="str">
        <f t="shared" si="30"/>
        <v/>
      </c>
      <c r="AO102" s="565" t="str">
        <f t="shared" si="30"/>
        <v/>
      </c>
      <c r="AP102" s="565" t="str">
        <f t="shared" si="30"/>
        <v/>
      </c>
      <c r="AQ102" s="565" t="str">
        <f t="shared" si="30"/>
        <v/>
      </c>
      <c r="AR102" s="565" t="str">
        <f t="shared" si="30"/>
        <v/>
      </c>
      <c r="AS102" s="565" t="str">
        <f t="shared" si="30"/>
        <v/>
      </c>
      <c r="AT102" s="408"/>
      <c r="AU102" s="22"/>
    </row>
    <row r="103" spans="2:47" x14ac:dyDescent="0.2">
      <c r="B103" s="1036" t="s">
        <v>554</v>
      </c>
      <c r="C103" s="727"/>
      <c r="D103" s="1013"/>
      <c r="E103" s="395" t="s">
        <v>629</v>
      </c>
      <c r="F103" s="396"/>
      <c r="G103" s="395" t="s">
        <v>70</v>
      </c>
      <c r="H103" s="408"/>
      <c r="I103" s="517">
        <v>0.95</v>
      </c>
      <c r="J103" s="517">
        <v>0.95</v>
      </c>
      <c r="K103" s="517">
        <v>1</v>
      </c>
      <c r="L103" s="517">
        <v>1</v>
      </c>
      <c r="M103" s="517">
        <v>1</v>
      </c>
      <c r="N103" s="517">
        <v>1</v>
      </c>
      <c r="O103" s="517">
        <v>0.95</v>
      </c>
      <c r="P103" s="517">
        <v>1</v>
      </c>
      <c r="Q103" s="517">
        <v>1</v>
      </c>
      <c r="R103" s="517">
        <v>0.8</v>
      </c>
      <c r="S103" s="517">
        <v>1</v>
      </c>
      <c r="T103" s="517">
        <v>1</v>
      </c>
      <c r="U103" s="517">
        <v>0.9</v>
      </c>
      <c r="V103" s="517">
        <v>0.8</v>
      </c>
      <c r="W103" s="517">
        <v>0.8</v>
      </c>
      <c r="X103" s="517">
        <v>0.8</v>
      </c>
      <c r="Y103" s="517">
        <v>0.8</v>
      </c>
      <c r="Z103" s="517">
        <v>0.8</v>
      </c>
      <c r="AA103" s="517">
        <v>0.8</v>
      </c>
      <c r="AB103" s="517">
        <v>0.8</v>
      </c>
      <c r="AC103" s="517">
        <v>0.8</v>
      </c>
      <c r="AD103" s="517">
        <v>0.8</v>
      </c>
      <c r="AE103" s="517">
        <v>0.8</v>
      </c>
      <c r="AF103" s="517">
        <v>0.9</v>
      </c>
      <c r="AG103" s="517">
        <v>1</v>
      </c>
      <c r="AH103" s="517">
        <v>1</v>
      </c>
      <c r="AI103" s="517">
        <v>1</v>
      </c>
      <c r="AJ103" s="517">
        <v>1</v>
      </c>
      <c r="AK103" s="517">
        <v>0.9</v>
      </c>
      <c r="AL103" s="517">
        <v>0.9</v>
      </c>
      <c r="AM103" s="560"/>
      <c r="AN103" s="560"/>
      <c r="AO103" s="560"/>
      <c r="AP103" s="560"/>
      <c r="AQ103" s="560"/>
      <c r="AR103" s="560"/>
      <c r="AS103" s="560"/>
      <c r="AT103" s="408"/>
      <c r="AU103" s="22"/>
    </row>
    <row r="104" spans="2:47" ht="18.75" x14ac:dyDescent="0.2">
      <c r="B104" s="1036" t="s">
        <v>554</v>
      </c>
      <c r="C104" s="727"/>
      <c r="D104" s="1012"/>
      <c r="E104" s="403" t="s">
        <v>630</v>
      </c>
      <c r="F104" s="404"/>
      <c r="G104" s="405"/>
      <c r="H104" s="509"/>
      <c r="I104" s="509"/>
      <c r="J104" s="509"/>
      <c r="K104" s="509"/>
      <c r="L104" s="509"/>
      <c r="M104" s="509"/>
      <c r="N104" s="509"/>
      <c r="O104" s="509"/>
      <c r="P104" s="509"/>
      <c r="Q104" s="509"/>
      <c r="R104" s="509"/>
      <c r="S104" s="509"/>
      <c r="T104" s="509"/>
      <c r="U104" s="509"/>
      <c r="V104" s="509"/>
      <c r="W104" s="509"/>
      <c r="X104" s="509"/>
      <c r="Y104" s="509"/>
      <c r="Z104" s="509"/>
      <c r="AA104" s="514"/>
      <c r="AB104" s="509"/>
      <c r="AC104" s="509"/>
      <c r="AD104" s="509"/>
      <c r="AE104" s="509"/>
      <c r="AF104" s="509"/>
      <c r="AG104" s="509"/>
      <c r="AH104" s="509"/>
      <c r="AI104" s="509"/>
      <c r="AJ104" s="509"/>
      <c r="AK104" s="509"/>
      <c r="AL104" s="509"/>
      <c r="AM104" s="509"/>
      <c r="AN104" s="509"/>
      <c r="AO104" s="509"/>
      <c r="AP104" s="509"/>
      <c r="AQ104" s="509"/>
      <c r="AR104" s="509"/>
      <c r="AS104" s="509"/>
      <c r="AT104" s="515"/>
      <c r="AU104" s="22"/>
    </row>
    <row r="105" spans="2:47" x14ac:dyDescent="0.2">
      <c r="B105" s="1036" t="s">
        <v>554</v>
      </c>
      <c r="C105" s="727"/>
      <c r="D105" s="1012"/>
      <c r="E105" s="395" t="s">
        <v>631</v>
      </c>
      <c r="F105" s="396" t="s">
        <v>632</v>
      </c>
      <c r="G105" s="395" t="s">
        <v>633</v>
      </c>
      <c r="H105" s="408"/>
      <c r="I105" s="494">
        <v>87.6</v>
      </c>
      <c r="J105" s="494">
        <v>13</v>
      </c>
      <c r="K105" s="494">
        <v>0</v>
      </c>
      <c r="L105" s="494">
        <v>0</v>
      </c>
      <c r="M105" s="494">
        <v>0</v>
      </c>
      <c r="N105" s="494">
        <v>0</v>
      </c>
      <c r="O105" s="494">
        <v>13</v>
      </c>
      <c r="P105" s="494">
        <v>0</v>
      </c>
      <c r="Q105" s="494">
        <v>0</v>
      </c>
      <c r="R105" s="494">
        <v>0</v>
      </c>
      <c r="S105" s="494">
        <v>0</v>
      </c>
      <c r="T105" s="494">
        <v>0</v>
      </c>
      <c r="U105" s="494">
        <v>0</v>
      </c>
      <c r="V105" s="494">
        <v>0</v>
      </c>
      <c r="W105" s="494">
        <v>0</v>
      </c>
      <c r="X105" s="494">
        <v>0</v>
      </c>
      <c r="Y105" s="494">
        <v>0</v>
      </c>
      <c r="Z105" s="494">
        <v>0</v>
      </c>
      <c r="AA105" s="494">
        <v>0</v>
      </c>
      <c r="AB105" s="494">
        <v>0</v>
      </c>
      <c r="AC105" s="494">
        <v>0</v>
      </c>
      <c r="AD105" s="494">
        <v>0</v>
      </c>
      <c r="AE105" s="494">
        <v>0</v>
      </c>
      <c r="AF105" s="494">
        <v>0</v>
      </c>
      <c r="AG105" s="494">
        <v>87.6</v>
      </c>
      <c r="AH105" s="494">
        <v>87.6</v>
      </c>
      <c r="AI105" s="494">
        <v>0</v>
      </c>
      <c r="AJ105" s="494">
        <v>0</v>
      </c>
      <c r="AK105" s="494">
        <v>0</v>
      </c>
      <c r="AL105" s="494">
        <v>0</v>
      </c>
      <c r="AM105" s="571">
        <v>0</v>
      </c>
      <c r="AN105" s="571">
        <v>0</v>
      </c>
      <c r="AO105" s="571"/>
      <c r="AP105" s="571"/>
      <c r="AQ105" s="571"/>
      <c r="AR105" s="571"/>
      <c r="AS105" s="571"/>
      <c r="AT105" s="408"/>
      <c r="AU105" s="22"/>
    </row>
    <row r="106" spans="2:47" x14ac:dyDescent="0.2">
      <c r="B106" s="1036" t="s">
        <v>554</v>
      </c>
      <c r="C106" s="727"/>
      <c r="D106" s="1012"/>
      <c r="E106" s="395" t="s">
        <v>634</v>
      </c>
      <c r="F106" s="396" t="s">
        <v>632</v>
      </c>
      <c r="G106" s="395" t="s">
        <v>635</v>
      </c>
      <c r="H106" s="408"/>
      <c r="I106" s="517">
        <v>0.13200000000000001</v>
      </c>
      <c r="J106" s="517">
        <v>0.13200000000000001</v>
      </c>
      <c r="K106" s="517">
        <v>0</v>
      </c>
      <c r="L106" s="517">
        <v>0</v>
      </c>
      <c r="M106" s="517">
        <v>0</v>
      </c>
      <c r="N106" s="517">
        <v>0</v>
      </c>
      <c r="O106" s="517">
        <v>0.13200000000000001</v>
      </c>
      <c r="P106" s="517">
        <v>0</v>
      </c>
      <c r="Q106" s="517">
        <v>0</v>
      </c>
      <c r="R106" s="517">
        <v>0</v>
      </c>
      <c r="S106" s="517">
        <v>0</v>
      </c>
      <c r="T106" s="517">
        <v>0</v>
      </c>
      <c r="U106" s="517">
        <v>0</v>
      </c>
      <c r="V106" s="517">
        <v>0</v>
      </c>
      <c r="W106" s="517">
        <v>0</v>
      </c>
      <c r="X106" s="517">
        <v>0</v>
      </c>
      <c r="Y106" s="517">
        <v>0</v>
      </c>
      <c r="Z106" s="517">
        <v>0</v>
      </c>
      <c r="AA106" s="517">
        <v>0</v>
      </c>
      <c r="AB106" s="517">
        <v>0</v>
      </c>
      <c r="AC106" s="517">
        <v>0</v>
      </c>
      <c r="AD106" s="517">
        <v>0</v>
      </c>
      <c r="AE106" s="517">
        <v>0</v>
      </c>
      <c r="AF106" s="517">
        <v>0</v>
      </c>
      <c r="AG106" s="517">
        <v>0.13200000000000001</v>
      </c>
      <c r="AH106" s="517">
        <v>0.13200000000000001</v>
      </c>
      <c r="AI106" s="517">
        <v>0</v>
      </c>
      <c r="AJ106" s="517">
        <v>0</v>
      </c>
      <c r="AK106" s="517">
        <v>0</v>
      </c>
      <c r="AL106" s="517">
        <v>0</v>
      </c>
      <c r="AM106" s="560">
        <v>0</v>
      </c>
      <c r="AN106" s="560">
        <v>0</v>
      </c>
      <c r="AO106" s="560"/>
      <c r="AP106" s="560"/>
      <c r="AQ106" s="560"/>
      <c r="AR106" s="560"/>
      <c r="AS106" s="560"/>
      <c r="AT106" s="408"/>
      <c r="AU106" s="22"/>
    </row>
    <row r="107" spans="2:47" x14ac:dyDescent="0.2">
      <c r="B107" s="1036" t="s">
        <v>554</v>
      </c>
      <c r="C107" s="727"/>
      <c r="D107" s="1012"/>
      <c r="E107" s="395" t="s">
        <v>636</v>
      </c>
      <c r="F107" s="396" t="s">
        <v>632</v>
      </c>
      <c r="G107" s="395" t="s">
        <v>633</v>
      </c>
      <c r="H107" s="408"/>
      <c r="I107" s="517">
        <f>1.44/3.6</f>
        <v>0.39999999999999997</v>
      </c>
      <c r="J107" s="517">
        <f>1.44/3.6</f>
        <v>0.39999999999999997</v>
      </c>
      <c r="K107" s="517">
        <v>0</v>
      </c>
      <c r="L107" s="517">
        <v>0</v>
      </c>
      <c r="M107" s="517">
        <v>0</v>
      </c>
      <c r="N107" s="517">
        <v>0</v>
      </c>
      <c r="O107" s="517">
        <f>1.44/3.6</f>
        <v>0.39999999999999997</v>
      </c>
      <c r="P107" s="517">
        <v>0</v>
      </c>
      <c r="Q107" s="517">
        <v>0</v>
      </c>
      <c r="R107" s="517">
        <v>0</v>
      </c>
      <c r="S107" s="517">
        <v>0</v>
      </c>
      <c r="T107" s="517">
        <v>0</v>
      </c>
      <c r="U107" s="517">
        <v>0</v>
      </c>
      <c r="V107" s="517">
        <v>0</v>
      </c>
      <c r="W107" s="517">
        <v>0</v>
      </c>
      <c r="X107" s="517">
        <v>0</v>
      </c>
      <c r="Y107" s="517">
        <v>0</v>
      </c>
      <c r="Z107" s="517">
        <v>0.4</v>
      </c>
      <c r="AA107" s="517">
        <v>0</v>
      </c>
      <c r="AB107" s="517">
        <v>0</v>
      </c>
      <c r="AC107" s="517">
        <v>0</v>
      </c>
      <c r="AD107" s="517">
        <v>0</v>
      </c>
      <c r="AE107" s="517">
        <v>0</v>
      </c>
      <c r="AF107" s="517">
        <v>0</v>
      </c>
      <c r="AG107" s="517">
        <f>1.44/3.6</f>
        <v>0.39999999999999997</v>
      </c>
      <c r="AH107" s="517">
        <f>1.44/3.6</f>
        <v>0.39999999999999997</v>
      </c>
      <c r="AI107" s="517">
        <v>0</v>
      </c>
      <c r="AJ107" s="517">
        <v>0.4</v>
      </c>
      <c r="AK107" s="517">
        <v>0</v>
      </c>
      <c r="AL107" s="517">
        <v>0</v>
      </c>
      <c r="AM107" s="560">
        <v>0</v>
      </c>
      <c r="AN107" s="560">
        <v>0</v>
      </c>
      <c r="AO107" s="560"/>
      <c r="AP107" s="560"/>
      <c r="AQ107" s="560"/>
      <c r="AR107" s="560"/>
      <c r="AS107" s="560"/>
      <c r="AT107" s="408"/>
      <c r="AU107" s="22"/>
    </row>
    <row r="108" spans="2:47" x14ac:dyDescent="0.2">
      <c r="B108" s="1036" t="s">
        <v>554</v>
      </c>
      <c r="C108" s="727"/>
      <c r="D108" s="1012"/>
      <c r="E108" s="395" t="s">
        <v>637</v>
      </c>
      <c r="F108" s="396" t="s">
        <v>632</v>
      </c>
      <c r="G108" s="395" t="s">
        <v>635</v>
      </c>
      <c r="H108" s="408"/>
      <c r="I108" s="518">
        <v>24</v>
      </c>
      <c r="J108" s="518">
        <v>24</v>
      </c>
      <c r="K108" s="518">
        <v>0</v>
      </c>
      <c r="L108" s="518">
        <v>0</v>
      </c>
      <c r="M108" s="518">
        <v>0</v>
      </c>
      <c r="N108" s="518">
        <v>0</v>
      </c>
      <c r="O108" s="518">
        <v>24</v>
      </c>
      <c r="P108" s="518">
        <v>0</v>
      </c>
      <c r="Q108" s="518">
        <v>0</v>
      </c>
      <c r="R108" s="518">
        <v>0</v>
      </c>
      <c r="S108" s="518">
        <v>0</v>
      </c>
      <c r="T108" s="518">
        <v>0</v>
      </c>
      <c r="U108" s="518">
        <v>0</v>
      </c>
      <c r="V108" s="518">
        <v>0</v>
      </c>
      <c r="W108" s="518">
        <v>0</v>
      </c>
      <c r="X108" s="518">
        <v>0</v>
      </c>
      <c r="Y108" s="518">
        <v>0</v>
      </c>
      <c r="Z108" s="518">
        <v>24</v>
      </c>
      <c r="AA108" s="518">
        <v>0</v>
      </c>
      <c r="AB108" s="518">
        <v>0</v>
      </c>
      <c r="AC108" s="518">
        <v>0</v>
      </c>
      <c r="AD108" s="518">
        <v>0</v>
      </c>
      <c r="AE108" s="518">
        <v>0</v>
      </c>
      <c r="AF108" s="518">
        <v>0</v>
      </c>
      <c r="AG108" s="518">
        <v>24</v>
      </c>
      <c r="AH108" s="518">
        <v>24</v>
      </c>
      <c r="AI108" s="518">
        <v>0</v>
      </c>
      <c r="AJ108" s="518">
        <v>24</v>
      </c>
      <c r="AK108" s="518">
        <v>0</v>
      </c>
      <c r="AL108" s="518">
        <v>0</v>
      </c>
      <c r="AM108" s="569">
        <v>0</v>
      </c>
      <c r="AN108" s="569">
        <v>0</v>
      </c>
      <c r="AO108" s="569"/>
      <c r="AP108" s="569"/>
      <c r="AQ108" s="569"/>
      <c r="AR108" s="569"/>
      <c r="AS108" s="569"/>
      <c r="AT108" s="408"/>
      <c r="AU108" s="22"/>
    </row>
    <row r="109" spans="2:47" x14ac:dyDescent="0.2">
      <c r="B109" s="1036" t="s">
        <v>554</v>
      </c>
      <c r="C109" s="727"/>
      <c r="D109" s="1012"/>
      <c r="E109" s="395" t="s">
        <v>638</v>
      </c>
      <c r="F109" s="396" t="s">
        <v>639</v>
      </c>
      <c r="G109" s="395" t="s">
        <v>640</v>
      </c>
      <c r="H109" s="408"/>
      <c r="I109" s="518">
        <v>0</v>
      </c>
      <c r="J109" s="518">
        <v>0</v>
      </c>
      <c r="K109" s="518">
        <v>0</v>
      </c>
      <c r="L109" s="518">
        <v>0</v>
      </c>
      <c r="M109" s="518">
        <v>0</v>
      </c>
      <c r="N109" s="518">
        <v>0</v>
      </c>
      <c r="O109" s="518">
        <v>0</v>
      </c>
      <c r="P109" s="518">
        <v>0</v>
      </c>
      <c r="Q109" s="518">
        <v>0</v>
      </c>
      <c r="R109" s="518">
        <v>0</v>
      </c>
      <c r="S109" s="518">
        <v>0</v>
      </c>
      <c r="T109" s="518">
        <v>60</v>
      </c>
      <c r="U109" s="518">
        <v>0</v>
      </c>
      <c r="V109" s="518">
        <v>0</v>
      </c>
      <c r="W109" s="518">
        <v>0</v>
      </c>
      <c r="X109" s="518">
        <v>0</v>
      </c>
      <c r="Y109" s="518">
        <v>0</v>
      </c>
      <c r="Z109" s="518">
        <v>0</v>
      </c>
      <c r="AA109" s="518">
        <v>0</v>
      </c>
      <c r="AB109" s="518">
        <v>0</v>
      </c>
      <c r="AC109" s="518">
        <v>0</v>
      </c>
      <c r="AD109" s="518">
        <v>0</v>
      </c>
      <c r="AE109" s="518">
        <v>0</v>
      </c>
      <c r="AF109" s="518">
        <v>0</v>
      </c>
      <c r="AG109" s="518">
        <v>0</v>
      </c>
      <c r="AH109" s="518">
        <v>0</v>
      </c>
      <c r="AI109" s="518">
        <v>0</v>
      </c>
      <c r="AJ109" s="518">
        <v>0</v>
      </c>
      <c r="AK109" s="518">
        <v>0</v>
      </c>
      <c r="AL109" s="518">
        <v>0</v>
      </c>
      <c r="AM109" s="569">
        <v>0</v>
      </c>
      <c r="AN109" s="569">
        <v>0</v>
      </c>
      <c r="AO109" s="569"/>
      <c r="AP109" s="569"/>
      <c r="AQ109" s="569"/>
      <c r="AR109" s="569"/>
      <c r="AS109" s="569"/>
      <c r="AT109" s="408"/>
      <c r="AU109" s="22"/>
    </row>
    <row r="110" spans="2:47" x14ac:dyDescent="0.2">
      <c r="B110" s="1036" t="s">
        <v>554</v>
      </c>
      <c r="C110" s="727"/>
      <c r="D110" s="1012"/>
      <c r="E110" s="395" t="s">
        <v>641</v>
      </c>
      <c r="F110" s="396" t="s">
        <v>639</v>
      </c>
      <c r="G110" s="395" t="s">
        <v>642</v>
      </c>
      <c r="H110" s="408"/>
      <c r="I110" s="494">
        <v>0</v>
      </c>
      <c r="J110" s="494">
        <v>0</v>
      </c>
      <c r="K110" s="494">
        <v>0</v>
      </c>
      <c r="L110" s="494">
        <v>0</v>
      </c>
      <c r="M110" s="494">
        <v>0</v>
      </c>
      <c r="N110" s="494">
        <v>0</v>
      </c>
      <c r="O110" s="494">
        <v>0</v>
      </c>
      <c r="P110" s="494">
        <v>0</v>
      </c>
      <c r="Q110" s="494">
        <v>0</v>
      </c>
      <c r="R110" s="494">
        <v>0</v>
      </c>
      <c r="S110" s="494">
        <v>0</v>
      </c>
      <c r="T110" s="494">
        <v>0</v>
      </c>
      <c r="U110" s="494">
        <v>0</v>
      </c>
      <c r="V110" s="494">
        <v>0</v>
      </c>
      <c r="W110" s="494">
        <v>0</v>
      </c>
      <c r="X110" s="494">
        <v>0</v>
      </c>
      <c r="Y110" s="494">
        <v>0</v>
      </c>
      <c r="Z110" s="494">
        <v>0</v>
      </c>
      <c r="AA110" s="494">
        <v>0</v>
      </c>
      <c r="AB110" s="494">
        <v>0</v>
      </c>
      <c r="AC110" s="494">
        <v>10</v>
      </c>
      <c r="AD110" s="494">
        <v>0</v>
      </c>
      <c r="AE110" s="494">
        <v>0</v>
      </c>
      <c r="AF110" s="494">
        <v>0</v>
      </c>
      <c r="AG110" s="494">
        <v>0</v>
      </c>
      <c r="AH110" s="494">
        <v>0</v>
      </c>
      <c r="AI110" s="494">
        <v>0</v>
      </c>
      <c r="AJ110" s="494">
        <v>0</v>
      </c>
      <c r="AK110" s="494">
        <v>0</v>
      </c>
      <c r="AL110" s="494">
        <v>0</v>
      </c>
      <c r="AM110" s="571">
        <v>0</v>
      </c>
      <c r="AN110" s="571">
        <v>0</v>
      </c>
      <c r="AO110" s="571"/>
      <c r="AP110" s="571"/>
      <c r="AQ110" s="571"/>
      <c r="AR110" s="571"/>
      <c r="AS110" s="571"/>
      <c r="AT110" s="408"/>
      <c r="AU110" s="22"/>
    </row>
    <row r="111" spans="2:47" x14ac:dyDescent="0.2">
      <c r="B111" s="1036" t="s">
        <v>554</v>
      </c>
      <c r="C111" s="727"/>
      <c r="D111" s="1012"/>
      <c r="E111" s="395" t="s">
        <v>643</v>
      </c>
      <c r="F111" s="396" t="s">
        <v>639</v>
      </c>
      <c r="G111" s="395" t="s">
        <v>644</v>
      </c>
      <c r="H111" s="408"/>
      <c r="I111" s="518">
        <v>2000</v>
      </c>
      <c r="J111" s="518">
        <v>2000</v>
      </c>
      <c r="K111" s="518">
        <v>2000</v>
      </c>
      <c r="L111" s="518">
        <v>2000</v>
      </c>
      <c r="M111" s="518">
        <v>2000</v>
      </c>
      <c r="N111" s="518">
        <v>2000</v>
      </c>
      <c r="O111" s="518">
        <v>2000</v>
      </c>
      <c r="P111" s="518">
        <v>2000</v>
      </c>
      <c r="Q111" s="518">
        <v>2000</v>
      </c>
      <c r="R111" s="518">
        <v>2000</v>
      </c>
      <c r="S111" s="518">
        <v>2000</v>
      </c>
      <c r="T111" s="518">
        <v>2000</v>
      </c>
      <c r="U111" s="518">
        <v>2000</v>
      </c>
      <c r="V111" s="518">
        <v>2000</v>
      </c>
      <c r="W111" s="518">
        <v>2000</v>
      </c>
      <c r="X111" s="518">
        <v>2000</v>
      </c>
      <c r="Y111" s="518">
        <v>2000</v>
      </c>
      <c r="Z111" s="518">
        <v>2000</v>
      </c>
      <c r="AA111" s="518">
        <v>2000</v>
      </c>
      <c r="AB111" s="518">
        <v>2000</v>
      </c>
      <c r="AC111" s="518">
        <v>2000</v>
      </c>
      <c r="AD111" s="518">
        <v>2000</v>
      </c>
      <c r="AE111" s="518">
        <v>2000</v>
      </c>
      <c r="AF111" s="518">
        <v>2000</v>
      </c>
      <c r="AG111" s="518">
        <v>2000</v>
      </c>
      <c r="AH111" s="518">
        <v>2000</v>
      </c>
      <c r="AI111" s="518">
        <v>2000</v>
      </c>
      <c r="AJ111" s="518">
        <v>2000</v>
      </c>
      <c r="AK111" s="518">
        <v>2000</v>
      </c>
      <c r="AL111" s="518">
        <v>2000</v>
      </c>
      <c r="AM111" s="569">
        <v>0</v>
      </c>
      <c r="AN111" s="569">
        <v>0</v>
      </c>
      <c r="AO111" s="569"/>
      <c r="AP111" s="569"/>
      <c r="AQ111" s="569"/>
      <c r="AR111" s="569"/>
      <c r="AS111" s="569"/>
      <c r="AT111" s="408"/>
      <c r="AU111" s="22"/>
    </row>
    <row r="112" spans="2:47" ht="18.75" x14ac:dyDescent="0.2">
      <c r="B112" s="1036" t="s">
        <v>554</v>
      </c>
      <c r="C112" s="727"/>
      <c r="D112" s="1012"/>
      <c r="E112" s="403" t="s">
        <v>645</v>
      </c>
      <c r="F112" s="404"/>
      <c r="G112" s="405"/>
      <c r="H112" s="509"/>
      <c r="I112" s="509"/>
      <c r="J112" s="509"/>
      <c r="K112" s="509"/>
      <c r="L112" s="509"/>
      <c r="M112" s="509"/>
      <c r="N112" s="509"/>
      <c r="O112" s="509"/>
      <c r="P112" s="509"/>
      <c r="Q112" s="509"/>
      <c r="R112" s="509"/>
      <c r="S112" s="509"/>
      <c r="T112" s="509"/>
      <c r="U112" s="509"/>
      <c r="V112" s="509"/>
      <c r="W112" s="509"/>
      <c r="X112" s="509"/>
      <c r="Y112" s="509"/>
      <c r="Z112" s="509"/>
      <c r="AA112" s="514"/>
      <c r="AB112" s="509"/>
      <c r="AC112" s="509"/>
      <c r="AD112" s="509"/>
      <c r="AE112" s="509"/>
      <c r="AF112" s="509"/>
      <c r="AG112" s="509"/>
      <c r="AH112" s="509"/>
      <c r="AI112" s="509"/>
      <c r="AJ112" s="509"/>
      <c r="AK112" s="509"/>
      <c r="AL112" s="509"/>
      <c r="AM112" s="509"/>
      <c r="AN112" s="509"/>
      <c r="AO112" s="509"/>
      <c r="AP112" s="509"/>
      <c r="AQ112" s="509"/>
      <c r="AR112" s="509"/>
      <c r="AS112" s="509"/>
      <c r="AT112" s="515"/>
      <c r="AU112" s="22"/>
    </row>
    <row r="113" spans="1:47" x14ac:dyDescent="0.2">
      <c r="B113" s="1036" t="s">
        <v>554</v>
      </c>
      <c r="C113" s="727"/>
      <c r="D113" s="1012"/>
      <c r="E113" s="395" t="s">
        <v>646</v>
      </c>
      <c r="F113" s="396"/>
      <c r="G113" s="395" t="s">
        <v>623</v>
      </c>
      <c r="H113" s="408"/>
      <c r="I113" s="572">
        <v>0</v>
      </c>
      <c r="J113" s="572">
        <v>0</v>
      </c>
      <c r="K113" s="572">
        <v>1.8E-3</v>
      </c>
      <c r="L113" s="572">
        <v>0</v>
      </c>
      <c r="M113" s="572">
        <v>1.8E-3</v>
      </c>
      <c r="N113" s="572">
        <v>0</v>
      </c>
      <c r="O113" s="572">
        <v>0</v>
      </c>
      <c r="P113" s="572">
        <v>0</v>
      </c>
      <c r="Q113" s="572">
        <v>0</v>
      </c>
      <c r="R113" s="572">
        <v>1.8E-3</v>
      </c>
      <c r="S113" s="572">
        <v>1.8E-3</v>
      </c>
      <c r="T113" s="572">
        <v>0</v>
      </c>
      <c r="U113" s="572">
        <v>7.1999999999999998E-3</v>
      </c>
      <c r="V113" s="572">
        <v>0</v>
      </c>
      <c r="W113" s="572">
        <v>7.1999999999999998E-3</v>
      </c>
      <c r="X113" s="572">
        <v>7.1999999999999998E-3</v>
      </c>
      <c r="Y113" s="572">
        <v>7.1999999999999998E-3</v>
      </c>
      <c r="Z113" s="572">
        <v>7.1999999999999998E-3</v>
      </c>
      <c r="AA113" s="572">
        <v>7.1999999999999998E-3</v>
      </c>
      <c r="AB113" s="572">
        <v>7.1999999999999998E-3</v>
      </c>
      <c r="AC113" s="572">
        <v>0</v>
      </c>
      <c r="AD113" s="572">
        <v>7.1999999999999998E-3</v>
      </c>
      <c r="AE113" s="572">
        <v>7.1999999999999998E-3</v>
      </c>
      <c r="AF113" s="572">
        <v>7.1999999999999998E-3</v>
      </c>
      <c r="AG113" s="572">
        <v>0</v>
      </c>
      <c r="AH113" s="572">
        <v>0</v>
      </c>
      <c r="AI113" s="572">
        <v>1.8E-3</v>
      </c>
      <c r="AJ113" s="572">
        <v>0</v>
      </c>
      <c r="AK113" s="572">
        <v>7.1999999999999998E-3</v>
      </c>
      <c r="AL113" s="572">
        <v>7.1999999999999998E-3</v>
      </c>
      <c r="AM113" s="568">
        <v>0</v>
      </c>
      <c r="AN113" s="568">
        <v>0</v>
      </c>
      <c r="AO113" s="568"/>
      <c r="AP113" s="568"/>
      <c r="AQ113" s="568"/>
      <c r="AR113" s="568"/>
      <c r="AS113" s="568"/>
      <c r="AT113" s="408"/>
      <c r="AU113" s="22"/>
    </row>
    <row r="114" spans="1:47" x14ac:dyDescent="0.2">
      <c r="B114" s="1036" t="s">
        <v>554</v>
      </c>
      <c r="C114" s="727"/>
      <c r="D114" s="1012"/>
      <c r="E114" s="395" t="s">
        <v>647</v>
      </c>
      <c r="F114" s="396"/>
      <c r="G114" s="395" t="s">
        <v>623</v>
      </c>
      <c r="H114" s="408"/>
      <c r="I114" s="573">
        <v>0</v>
      </c>
      <c r="J114" s="573">
        <v>0</v>
      </c>
      <c r="K114" s="573">
        <v>4.4999999999999998E-2</v>
      </c>
      <c r="L114" s="573">
        <v>0</v>
      </c>
      <c r="M114" s="573">
        <v>4.4999999999999998E-2</v>
      </c>
      <c r="N114" s="573">
        <v>0</v>
      </c>
      <c r="O114" s="573">
        <v>0</v>
      </c>
      <c r="P114" s="573">
        <v>0</v>
      </c>
      <c r="Q114" s="573">
        <v>0</v>
      </c>
      <c r="R114" s="573">
        <v>4.4999999999999998E-2</v>
      </c>
      <c r="S114" s="573">
        <v>4.4999999999999998E-2</v>
      </c>
      <c r="T114" s="573">
        <v>0</v>
      </c>
      <c r="U114" s="573">
        <v>0</v>
      </c>
      <c r="V114" s="573">
        <v>0</v>
      </c>
      <c r="W114" s="573">
        <v>0</v>
      </c>
      <c r="X114" s="573">
        <v>0</v>
      </c>
      <c r="Y114" s="573">
        <v>0</v>
      </c>
      <c r="Z114" s="573">
        <v>0</v>
      </c>
      <c r="AA114" s="573">
        <v>0</v>
      </c>
      <c r="AB114" s="573">
        <v>0</v>
      </c>
      <c r="AC114" s="573">
        <v>0</v>
      </c>
      <c r="AD114" s="573">
        <v>0</v>
      </c>
      <c r="AE114" s="573">
        <v>0</v>
      </c>
      <c r="AF114" s="573">
        <v>0</v>
      </c>
      <c r="AG114" s="573">
        <v>0</v>
      </c>
      <c r="AH114" s="573">
        <v>0</v>
      </c>
      <c r="AI114" s="573">
        <v>0</v>
      </c>
      <c r="AJ114" s="573">
        <v>0</v>
      </c>
      <c r="AK114" s="573">
        <v>0</v>
      </c>
      <c r="AL114" s="573">
        <v>0</v>
      </c>
      <c r="AM114" s="560">
        <v>0</v>
      </c>
      <c r="AN114" s="560">
        <v>0</v>
      </c>
      <c r="AO114" s="560"/>
      <c r="AP114" s="560"/>
      <c r="AQ114" s="560"/>
      <c r="AR114" s="560"/>
      <c r="AS114" s="560"/>
      <c r="AT114" s="408"/>
      <c r="AU114" s="22"/>
    </row>
    <row r="115" spans="1:47" ht="63.75" x14ac:dyDescent="0.2">
      <c r="B115" s="1036" t="s">
        <v>554</v>
      </c>
      <c r="C115" s="727"/>
      <c r="D115" s="1012"/>
      <c r="E115" s="519" t="s">
        <v>648</v>
      </c>
      <c r="F115" s="519"/>
      <c r="G115" s="519" t="s">
        <v>70</v>
      </c>
      <c r="H115" s="520"/>
      <c r="I115" s="521" t="s">
        <v>649</v>
      </c>
      <c r="J115" s="521" t="s">
        <v>649</v>
      </c>
      <c r="K115" s="521" t="s">
        <v>650</v>
      </c>
      <c r="L115" s="521" t="s">
        <v>650</v>
      </c>
      <c r="M115" s="521" t="s">
        <v>650</v>
      </c>
      <c r="N115" s="521" t="s">
        <v>650</v>
      </c>
      <c r="O115" s="521" t="s">
        <v>1136</v>
      </c>
      <c r="P115" s="521" t="s">
        <v>650</v>
      </c>
      <c r="Q115" s="521" t="s">
        <v>650</v>
      </c>
      <c r="R115" s="521" t="s">
        <v>650</v>
      </c>
      <c r="S115" s="521" t="s">
        <v>650</v>
      </c>
      <c r="T115" s="521" t="s">
        <v>650</v>
      </c>
      <c r="U115" s="521" t="s">
        <v>651</v>
      </c>
      <c r="V115" s="521" t="s">
        <v>1094</v>
      </c>
      <c r="W115" s="521" t="s">
        <v>652</v>
      </c>
      <c r="X115" s="521" t="s">
        <v>652</v>
      </c>
      <c r="Y115" s="521" t="s">
        <v>653</v>
      </c>
      <c r="Z115" s="521" t="s">
        <v>653</v>
      </c>
      <c r="AA115" s="521" t="s">
        <v>653</v>
      </c>
      <c r="AB115" s="521" t="s">
        <v>653</v>
      </c>
      <c r="AC115" s="521" t="s">
        <v>654</v>
      </c>
      <c r="AD115" s="521" t="s">
        <v>655</v>
      </c>
      <c r="AE115" s="521" t="s">
        <v>655</v>
      </c>
      <c r="AF115" s="521" t="s">
        <v>656</v>
      </c>
      <c r="AG115" s="521" t="s">
        <v>649</v>
      </c>
      <c r="AH115" s="521" t="s">
        <v>649</v>
      </c>
      <c r="AI115" s="521" t="s">
        <v>649</v>
      </c>
      <c r="AJ115" s="521" t="s">
        <v>657</v>
      </c>
      <c r="AK115" s="521" t="s">
        <v>655</v>
      </c>
      <c r="AL115" s="521" t="s">
        <v>655</v>
      </c>
      <c r="AM115" s="564" t="s">
        <v>658</v>
      </c>
      <c r="AN115" s="564" t="s">
        <v>658</v>
      </c>
      <c r="AO115" s="564"/>
      <c r="AP115" s="564"/>
      <c r="AQ115" s="564"/>
      <c r="AR115" s="564"/>
      <c r="AS115" s="564"/>
      <c r="AT115" s="533"/>
      <c r="AU115" s="22"/>
    </row>
    <row r="116" spans="1:47" x14ac:dyDescent="0.2">
      <c r="B116" s="1036" t="s">
        <v>554</v>
      </c>
      <c r="C116" s="727"/>
      <c r="D116" s="1012"/>
      <c r="E116" s="5"/>
      <c r="F116" s="5"/>
      <c r="G116" s="5"/>
      <c r="H116" s="16"/>
      <c r="I116" s="16"/>
      <c r="J116" s="16"/>
      <c r="K116" s="16"/>
      <c r="L116" s="16"/>
      <c r="M116" s="16"/>
      <c r="N116" s="16"/>
      <c r="O116" s="16"/>
      <c r="P116" s="16"/>
      <c r="Q116" s="16"/>
      <c r="R116" s="16"/>
      <c r="S116" s="16"/>
      <c r="T116" s="16"/>
      <c r="U116" s="16"/>
      <c r="V116" s="16"/>
      <c r="X116" s="16"/>
      <c r="Y116" s="20"/>
      <c r="Z116" s="16"/>
      <c r="AA116" s="5"/>
      <c r="AB116" s="5"/>
      <c r="AC116" s="5"/>
      <c r="AD116" s="5"/>
      <c r="AE116" s="5"/>
      <c r="AF116" s="5"/>
      <c r="AG116" s="5"/>
      <c r="AH116" s="5"/>
      <c r="AI116" s="5"/>
      <c r="AJ116" s="5"/>
      <c r="AK116" s="5"/>
      <c r="AL116" s="5"/>
      <c r="AM116" s="5"/>
      <c r="AN116" s="5"/>
      <c r="AO116" s="5"/>
      <c r="AP116" s="5"/>
      <c r="AQ116" s="5"/>
      <c r="AR116" s="5"/>
      <c r="AS116" s="22"/>
    </row>
    <row r="117" spans="1:47" hidden="1" x14ac:dyDescent="0.2">
      <c r="B117" s="1036" t="s">
        <v>659</v>
      </c>
      <c r="C117" s="727"/>
      <c r="D117" s="1012"/>
      <c r="E117" s="5"/>
      <c r="F117" s="5"/>
      <c r="G117" s="5"/>
      <c r="H117" s="16"/>
      <c r="I117" s="16"/>
      <c r="J117" s="16"/>
      <c r="K117" s="16"/>
      <c r="L117" s="16"/>
      <c r="M117" s="16"/>
      <c r="N117" s="16"/>
      <c r="O117" s="16"/>
      <c r="P117" s="16"/>
      <c r="Q117" s="16"/>
      <c r="R117" s="16"/>
      <c r="S117" s="16"/>
      <c r="T117" s="16"/>
      <c r="U117" s="16"/>
      <c r="V117" s="16"/>
      <c r="X117" s="16"/>
      <c r="Y117" s="20"/>
      <c r="Z117" s="16"/>
      <c r="AA117" s="16"/>
      <c r="AB117" s="5"/>
      <c r="AC117" s="5"/>
      <c r="AD117" s="5"/>
      <c r="AE117" s="5"/>
      <c r="AF117" s="5"/>
      <c r="AG117" s="5"/>
      <c r="AH117" s="5"/>
      <c r="AI117" s="5"/>
      <c r="AJ117" s="5"/>
      <c r="AK117" s="5"/>
      <c r="AL117" s="5"/>
      <c r="AM117" s="5"/>
      <c r="AN117" s="5"/>
      <c r="AO117" s="5"/>
      <c r="AP117" s="5"/>
      <c r="AQ117" s="5"/>
      <c r="AR117" s="5"/>
      <c r="AS117" s="22"/>
    </row>
    <row r="118" spans="1:47" ht="21" hidden="1" x14ac:dyDescent="0.2">
      <c r="B118" s="1036" t="s">
        <v>659</v>
      </c>
      <c r="C118" s="727"/>
      <c r="D118" s="1012"/>
      <c r="E118" s="240" t="s">
        <v>660</v>
      </c>
      <c r="F118" s="240"/>
      <c r="G118" s="240"/>
      <c r="H118" s="240"/>
      <c r="I118" s="240"/>
      <c r="J118" s="240"/>
      <c r="K118" s="61"/>
      <c r="L118" s="61"/>
      <c r="M118" s="61"/>
      <c r="N118" s="61"/>
      <c r="O118" s="61"/>
      <c r="P118" s="61"/>
      <c r="Q118" s="61"/>
      <c r="R118" s="61"/>
      <c r="S118" s="61"/>
      <c r="T118" s="61"/>
      <c r="U118" s="61"/>
      <c r="V118" s="61"/>
      <c r="X118" s="61"/>
      <c r="Y118" s="20"/>
      <c r="Z118" s="5"/>
      <c r="AA118" s="5"/>
      <c r="AB118" s="5"/>
      <c r="AC118" s="5"/>
      <c r="AD118" s="5"/>
      <c r="AE118" s="5"/>
      <c r="AF118" s="5"/>
      <c r="AG118" s="5"/>
      <c r="AH118" s="5"/>
      <c r="AI118" s="5"/>
      <c r="AJ118" s="5"/>
      <c r="AK118" s="5"/>
      <c r="AL118" s="5"/>
      <c r="AM118" s="5"/>
      <c r="AN118" s="5"/>
      <c r="AO118" s="5"/>
      <c r="AP118" s="5"/>
      <c r="AQ118" s="5"/>
      <c r="AR118" s="5"/>
      <c r="AS118" s="437"/>
    </row>
    <row r="119" spans="1:47" hidden="1" x14ac:dyDescent="0.2">
      <c r="B119" s="1036" t="s">
        <v>659</v>
      </c>
      <c r="C119" s="727"/>
      <c r="D119" s="1013"/>
      <c r="E119" s="386" t="s">
        <v>491</v>
      </c>
      <c r="F119" s="386"/>
      <c r="G119" s="386" t="s">
        <v>423</v>
      </c>
      <c r="H119" s="387"/>
      <c r="I119" s="387">
        <f ca="1">OFFSET(I119,0,-1)+1</f>
        <v>1</v>
      </c>
      <c r="J119" s="387"/>
      <c r="K119" s="61"/>
      <c r="L119" s="61"/>
      <c r="M119" s="5"/>
      <c r="N119" s="5"/>
      <c r="O119" s="5"/>
      <c r="P119" s="5"/>
      <c r="Q119" s="5"/>
      <c r="R119" s="5"/>
      <c r="S119" s="5"/>
      <c r="T119" s="5"/>
      <c r="U119" s="5"/>
      <c r="V119" s="5"/>
      <c r="X119" s="5"/>
      <c r="Y119" s="20"/>
      <c r="Z119" s="5"/>
      <c r="AA119" s="5"/>
      <c r="AB119" s="5"/>
      <c r="AC119" s="5"/>
      <c r="AD119" s="5"/>
      <c r="AE119" s="5"/>
      <c r="AF119" s="5"/>
      <c r="AG119" s="5"/>
      <c r="AH119" s="5"/>
      <c r="AI119" s="5"/>
      <c r="AJ119" s="5"/>
      <c r="AK119" s="5"/>
      <c r="AL119" s="5"/>
      <c r="AM119" s="5"/>
      <c r="AN119" s="5"/>
      <c r="AO119" s="5"/>
      <c r="AP119" s="5"/>
      <c r="AQ119" s="5"/>
      <c r="AR119" s="5"/>
      <c r="AS119" s="22"/>
    </row>
    <row r="120" spans="1:47" ht="18.75" hidden="1" x14ac:dyDescent="0.2">
      <c r="B120" s="1036" t="s">
        <v>659</v>
      </c>
      <c r="C120" s="727"/>
      <c r="D120" s="1013"/>
      <c r="E120" s="500" t="s">
        <v>491</v>
      </c>
      <c r="F120" s="404"/>
      <c r="G120" s="20"/>
      <c r="H120" s="20"/>
      <c r="I120" s="20"/>
      <c r="J120" s="20"/>
      <c r="K120" s="20"/>
      <c r="L120" s="20"/>
      <c r="M120" s="20"/>
      <c r="N120" s="20"/>
      <c r="O120" s="20"/>
      <c r="P120" s="20"/>
      <c r="Q120" s="20"/>
      <c r="R120" s="20"/>
      <c r="S120" s="20"/>
      <c r="T120" s="20"/>
      <c r="U120" s="20"/>
      <c r="V120" s="20"/>
      <c r="W120" s="20"/>
      <c r="X120" s="20"/>
      <c r="Y120" s="20"/>
      <c r="Z120" s="5"/>
      <c r="AA120" s="5"/>
      <c r="AB120" s="5"/>
      <c r="AC120" s="5"/>
      <c r="AD120" s="5"/>
      <c r="AE120" s="5"/>
      <c r="AF120" s="5"/>
      <c r="AG120" s="5"/>
      <c r="AH120" s="5"/>
      <c r="AI120" s="5"/>
      <c r="AJ120" s="5"/>
      <c r="AK120" s="5"/>
      <c r="AL120" s="5"/>
      <c r="AM120" s="5"/>
      <c r="AN120" s="5"/>
      <c r="AO120" s="5"/>
      <c r="AP120" s="5"/>
      <c r="AQ120" s="5"/>
      <c r="AR120" s="5"/>
      <c r="AS120" s="22"/>
    </row>
    <row r="121" spans="1:47" hidden="1" x14ac:dyDescent="0.2">
      <c r="B121" s="1036" t="s">
        <v>659</v>
      </c>
      <c r="C121" s="727"/>
      <c r="D121" s="1012"/>
      <c r="E121" s="395" t="s">
        <v>661</v>
      </c>
      <c r="F121" s="396"/>
      <c r="G121" s="395" t="s">
        <v>70</v>
      </c>
      <c r="H121" s="408"/>
      <c r="I121" s="522">
        <v>0.20425399999999999</v>
      </c>
      <c r="J121" s="408"/>
      <c r="K121" s="20"/>
      <c r="L121" s="16"/>
      <c r="M121" s="16"/>
      <c r="N121" s="16"/>
      <c r="O121" s="5"/>
      <c r="P121" s="5"/>
      <c r="Q121" s="5"/>
      <c r="R121" s="5"/>
      <c r="S121" s="5"/>
      <c r="T121" s="5"/>
      <c r="U121" s="5"/>
      <c r="V121" s="5"/>
      <c r="X121" s="5"/>
      <c r="Y121" s="20"/>
      <c r="Z121" s="5"/>
      <c r="AA121" s="5"/>
      <c r="AB121" s="5"/>
      <c r="AC121" s="5"/>
      <c r="AD121" s="5"/>
      <c r="AE121" s="5"/>
      <c r="AF121" s="5"/>
      <c r="AG121" s="5"/>
      <c r="AH121" s="5"/>
      <c r="AI121" s="5"/>
      <c r="AJ121" s="5"/>
      <c r="AK121" s="5"/>
      <c r="AL121" s="5"/>
      <c r="AM121" s="5"/>
      <c r="AN121" s="5"/>
      <c r="AO121" s="5"/>
      <c r="AP121" s="5"/>
      <c r="AQ121" s="5"/>
      <c r="AR121" s="5"/>
      <c r="AS121" s="22"/>
    </row>
    <row r="122" spans="1:47" hidden="1" x14ac:dyDescent="0.2">
      <c r="B122" s="1036" t="s">
        <v>659</v>
      </c>
      <c r="C122" s="727"/>
      <c r="D122" s="1012"/>
      <c r="E122" s="395" t="s">
        <v>662</v>
      </c>
      <c r="F122" s="396"/>
      <c r="G122" s="395" t="s">
        <v>644</v>
      </c>
      <c r="H122" s="408"/>
      <c r="I122" s="522">
        <v>744</v>
      </c>
      <c r="J122" s="408"/>
      <c r="K122" s="20"/>
      <c r="L122" s="16"/>
      <c r="M122" s="16"/>
      <c r="N122" s="16"/>
      <c r="O122" s="5"/>
      <c r="P122" s="5"/>
      <c r="Q122" s="5"/>
      <c r="R122" s="5"/>
      <c r="S122" s="5"/>
      <c r="T122" s="5"/>
      <c r="U122" s="5"/>
      <c r="V122" s="5"/>
      <c r="X122" s="5"/>
      <c r="Y122" s="20"/>
      <c r="Z122" s="5"/>
      <c r="AA122" s="5"/>
      <c r="AB122" s="5"/>
      <c r="AC122" s="5"/>
      <c r="AD122" s="5"/>
      <c r="AE122" s="5"/>
      <c r="AF122" s="5"/>
      <c r="AG122" s="5"/>
      <c r="AH122" s="5"/>
      <c r="AI122" s="5"/>
      <c r="AJ122" s="5"/>
      <c r="AK122" s="5"/>
      <c r="AL122" s="5"/>
      <c r="AM122" s="5"/>
      <c r="AN122" s="5"/>
      <c r="AO122" s="5"/>
      <c r="AP122" s="5"/>
      <c r="AQ122" s="5"/>
      <c r="AR122" s="5"/>
      <c r="AS122" s="22"/>
    </row>
    <row r="123" spans="1:47" hidden="1" x14ac:dyDescent="0.2">
      <c r="B123" s="1036" t="s">
        <v>659</v>
      </c>
      <c r="C123" s="727"/>
      <c r="D123" s="1012"/>
      <c r="E123" s="395" t="s">
        <v>663</v>
      </c>
      <c r="F123" s="396"/>
      <c r="G123" s="395" t="s">
        <v>664</v>
      </c>
      <c r="H123" s="408"/>
      <c r="I123" s="522">
        <v>21</v>
      </c>
      <c r="J123" s="408"/>
      <c r="K123" s="20"/>
      <c r="L123" s="16"/>
      <c r="M123" s="16"/>
      <c r="N123" s="16"/>
      <c r="O123" s="5"/>
      <c r="P123" s="5"/>
      <c r="Q123" s="5"/>
      <c r="R123" s="5"/>
      <c r="S123" s="5"/>
      <c r="T123" s="5"/>
      <c r="U123" s="5"/>
      <c r="V123" s="5"/>
      <c r="X123" s="5"/>
      <c r="Y123" s="20"/>
      <c r="Z123" s="5"/>
      <c r="AA123" s="5"/>
      <c r="AB123" s="5"/>
      <c r="AC123" s="5"/>
      <c r="AD123" s="5"/>
      <c r="AE123" s="5"/>
      <c r="AF123" s="5"/>
      <c r="AG123" s="5"/>
      <c r="AH123" s="5"/>
      <c r="AI123" s="5"/>
      <c r="AJ123" s="5"/>
      <c r="AK123" s="5"/>
      <c r="AL123" s="5"/>
      <c r="AM123" s="5"/>
      <c r="AN123" s="5"/>
      <c r="AO123" s="5"/>
      <c r="AP123" s="5"/>
      <c r="AQ123" s="5"/>
      <c r="AR123" s="5"/>
      <c r="AS123" s="22"/>
    </row>
    <row r="124" spans="1:47" hidden="1" x14ac:dyDescent="0.2">
      <c r="B124" s="1036" t="s">
        <v>659</v>
      </c>
      <c r="C124" s="727"/>
      <c r="D124" s="1012"/>
      <c r="E124" s="395" t="s">
        <v>665</v>
      </c>
      <c r="F124" s="396"/>
      <c r="G124" s="395" t="s">
        <v>664</v>
      </c>
      <c r="H124" s="408"/>
      <c r="I124" s="522">
        <v>2.61</v>
      </c>
      <c r="J124" s="408"/>
      <c r="K124" s="20"/>
      <c r="L124" s="16"/>
      <c r="M124" s="16"/>
      <c r="N124" s="16"/>
      <c r="O124" s="5"/>
      <c r="P124" s="5"/>
      <c r="Q124" s="5"/>
      <c r="R124" s="5"/>
      <c r="S124" s="5"/>
      <c r="T124" s="5"/>
      <c r="U124" s="5"/>
      <c r="V124" s="5"/>
      <c r="X124" s="5"/>
      <c r="Y124" s="20"/>
      <c r="Z124" s="5"/>
      <c r="AA124" s="5"/>
      <c r="AB124" s="5"/>
      <c r="AC124" s="5"/>
      <c r="AD124" s="5"/>
      <c r="AE124" s="5"/>
      <c r="AF124" s="5"/>
      <c r="AG124" s="5"/>
      <c r="AH124" s="5"/>
      <c r="AI124" s="5"/>
      <c r="AJ124" s="5"/>
      <c r="AK124" s="5"/>
      <c r="AL124" s="5"/>
      <c r="AM124" s="5"/>
      <c r="AN124" s="5"/>
      <c r="AO124" s="5"/>
      <c r="AP124" s="5"/>
      <c r="AQ124" s="5"/>
      <c r="AR124" s="5"/>
      <c r="AS124" s="22"/>
    </row>
    <row r="125" spans="1:47" hidden="1" x14ac:dyDescent="0.2">
      <c r="B125" s="1036" t="s">
        <v>659</v>
      </c>
      <c r="C125" s="727"/>
      <c r="D125" s="1012"/>
      <c r="E125" s="395" t="s">
        <v>666</v>
      </c>
      <c r="F125" s="396"/>
      <c r="G125" s="395" t="s">
        <v>664</v>
      </c>
      <c r="H125" s="408"/>
      <c r="I125" s="522">
        <v>-10</v>
      </c>
      <c r="J125" s="408"/>
      <c r="K125" s="20"/>
      <c r="L125" s="16"/>
      <c r="M125" s="16"/>
      <c r="N125" s="16"/>
      <c r="O125" s="5"/>
      <c r="P125" s="5"/>
      <c r="Q125" s="5"/>
      <c r="R125" s="5"/>
      <c r="S125" s="5"/>
      <c r="T125" s="5"/>
      <c r="U125" s="5"/>
      <c r="V125" s="5"/>
      <c r="X125" s="5"/>
      <c r="Y125" s="20"/>
      <c r="Z125" s="5"/>
      <c r="AA125" s="5"/>
      <c r="AB125" s="5"/>
      <c r="AC125" s="5"/>
      <c r="AD125" s="5"/>
      <c r="AE125" s="5"/>
      <c r="AF125" s="5"/>
      <c r="AG125" s="5"/>
      <c r="AH125" s="5"/>
      <c r="AI125" s="5"/>
      <c r="AJ125" s="5"/>
      <c r="AK125" s="5"/>
      <c r="AL125" s="5"/>
      <c r="AM125" s="5"/>
      <c r="AN125" s="5"/>
      <c r="AO125" s="5"/>
      <c r="AP125" s="5"/>
      <c r="AQ125" s="5"/>
      <c r="AR125" s="5"/>
      <c r="AS125" s="22"/>
    </row>
    <row r="126" spans="1:47" hidden="1" x14ac:dyDescent="0.2">
      <c r="B126" s="1036" t="s">
        <v>659</v>
      </c>
      <c r="C126" s="727"/>
      <c r="D126" s="1012"/>
      <c r="E126" s="395" t="s">
        <v>667</v>
      </c>
      <c r="F126" s="396"/>
      <c r="G126" s="395" t="s">
        <v>152</v>
      </c>
      <c r="H126" s="408"/>
      <c r="I126" s="522">
        <v>5</v>
      </c>
      <c r="J126" s="408"/>
      <c r="K126" s="20"/>
      <c r="L126" s="16"/>
      <c r="M126" s="16"/>
      <c r="N126" s="16"/>
      <c r="O126" s="5"/>
      <c r="P126" s="5"/>
      <c r="Q126" s="5"/>
      <c r="R126" s="5"/>
      <c r="S126" s="5"/>
      <c r="T126" s="5"/>
      <c r="U126" s="5"/>
      <c r="V126" s="5"/>
      <c r="X126" s="5"/>
      <c r="Y126" s="20"/>
      <c r="Z126" s="5"/>
      <c r="AA126" s="5"/>
      <c r="AB126" s="5"/>
      <c r="AC126" s="5"/>
      <c r="AD126" s="5"/>
      <c r="AE126" s="5"/>
      <c r="AF126" s="5"/>
      <c r="AG126" s="5"/>
      <c r="AH126" s="5"/>
      <c r="AI126" s="5"/>
      <c r="AJ126" s="5"/>
      <c r="AK126" s="5"/>
      <c r="AL126" s="5"/>
      <c r="AM126" s="5"/>
      <c r="AN126" s="5"/>
      <c r="AO126" s="5"/>
      <c r="AP126" s="5"/>
      <c r="AQ126" s="5"/>
      <c r="AR126" s="5"/>
      <c r="AS126" s="22"/>
    </row>
    <row r="127" spans="1:47" s="2" customFormat="1" hidden="1" x14ac:dyDescent="0.2">
      <c r="A127" s="309"/>
      <c r="B127" s="1036" t="s">
        <v>659</v>
      </c>
      <c r="C127" s="727"/>
      <c r="D127" s="1015"/>
      <c r="E127" s="391" t="s">
        <v>668</v>
      </c>
      <c r="F127" s="392"/>
      <c r="G127" s="391"/>
      <c r="H127" s="523"/>
      <c r="I127" s="524"/>
      <c r="J127" s="525"/>
      <c r="K127" s="20"/>
      <c r="L127" s="16"/>
      <c r="M127" s="16"/>
      <c r="N127" s="16"/>
      <c r="O127" s="5"/>
      <c r="P127" s="5"/>
      <c r="Q127" s="5"/>
      <c r="R127" s="5"/>
      <c r="S127" s="5"/>
      <c r="T127" s="5"/>
      <c r="U127" s="5"/>
      <c r="V127" s="5"/>
      <c r="W127"/>
      <c r="X127" s="5"/>
      <c r="Y127" s="9"/>
      <c r="Z127" s="8"/>
      <c r="AA127" s="9"/>
      <c r="AB127" s="9"/>
      <c r="AC127" s="9"/>
      <c r="AD127" s="4"/>
      <c r="AE127" s="4"/>
      <c r="AF127" s="4"/>
      <c r="AG127" s="4"/>
      <c r="AH127" s="4"/>
      <c r="AI127" s="4"/>
      <c r="AJ127" s="4"/>
      <c r="AK127" s="4"/>
      <c r="AL127" s="4"/>
      <c r="AM127" s="4"/>
      <c r="AN127" s="4"/>
      <c r="AO127" s="4"/>
      <c r="AP127" s="4"/>
      <c r="AQ127" s="4"/>
      <c r="AR127" s="4"/>
      <c r="AS127" s="22"/>
      <c r="AT127" s="378"/>
    </row>
    <row r="128" spans="1:47" s="2" customFormat="1" hidden="1" x14ac:dyDescent="0.2">
      <c r="A128" s="309"/>
      <c r="B128" s="1036" t="s">
        <v>659</v>
      </c>
      <c r="C128" s="727"/>
      <c r="D128" s="1015"/>
      <c r="E128" s="455" t="s">
        <v>669</v>
      </c>
      <c r="F128" s="458"/>
      <c r="G128" s="455"/>
      <c r="H128" s="461"/>
      <c r="I128" s="473"/>
      <c r="J128" s="456"/>
      <c r="K128" s="20"/>
      <c r="L128" s="16"/>
      <c r="M128" s="16"/>
      <c r="N128" s="16"/>
      <c r="O128" s="5"/>
      <c r="P128" s="5"/>
      <c r="Q128" s="5"/>
      <c r="R128" s="5"/>
      <c r="S128" s="5"/>
      <c r="T128" s="5"/>
      <c r="U128" s="5"/>
      <c r="V128" s="5"/>
      <c r="W128"/>
      <c r="X128" s="5"/>
      <c r="Y128" s="9"/>
      <c r="Z128" s="8"/>
      <c r="AA128" s="9"/>
      <c r="AB128" s="9"/>
      <c r="AC128" s="9"/>
      <c r="AD128" s="4"/>
      <c r="AE128" s="4"/>
      <c r="AF128" s="4"/>
      <c r="AG128" s="4"/>
      <c r="AH128" s="4"/>
      <c r="AI128" s="4"/>
      <c r="AJ128" s="4"/>
      <c r="AK128" s="4"/>
      <c r="AL128" s="4"/>
      <c r="AM128" s="4"/>
      <c r="AN128" s="4"/>
      <c r="AO128" s="4"/>
      <c r="AP128" s="4"/>
      <c r="AQ128" s="4"/>
      <c r="AR128" s="4"/>
      <c r="AS128" s="22"/>
      <c r="AT128" s="378"/>
    </row>
    <row r="129" spans="1:54" s="2" customFormat="1" hidden="1" x14ac:dyDescent="0.2">
      <c r="A129" s="309"/>
      <c r="B129" s="1036" t="s">
        <v>659</v>
      </c>
      <c r="C129" s="727"/>
      <c r="D129" s="1015"/>
      <c r="E129" s="455" t="s">
        <v>670</v>
      </c>
      <c r="F129" s="458"/>
      <c r="G129" s="455"/>
      <c r="H129" s="461"/>
      <c r="I129" s="473"/>
      <c r="J129" s="456"/>
      <c r="K129" s="20"/>
      <c r="L129" s="16"/>
      <c r="M129" s="16"/>
      <c r="N129" s="16"/>
      <c r="O129" s="5"/>
      <c r="P129" s="5"/>
      <c r="Q129" s="5"/>
      <c r="R129" s="5"/>
      <c r="S129" s="5"/>
      <c r="T129" s="5"/>
      <c r="U129" s="5"/>
      <c r="V129" s="5"/>
      <c r="W129"/>
      <c r="X129" s="5"/>
      <c r="Y129" s="9"/>
      <c r="Z129" s="8"/>
      <c r="AA129" s="9"/>
      <c r="AB129" s="9"/>
      <c r="AC129" s="9"/>
      <c r="AD129" s="4"/>
      <c r="AE129" s="4"/>
      <c r="AF129" s="4"/>
      <c r="AG129" s="4"/>
      <c r="AH129" s="4"/>
      <c r="AI129" s="4"/>
      <c r="AJ129" s="4"/>
      <c r="AK129" s="4"/>
      <c r="AL129" s="4"/>
      <c r="AM129" s="4"/>
      <c r="AN129" s="4"/>
      <c r="AO129" s="4"/>
      <c r="AP129" s="4"/>
      <c r="AQ129" s="4"/>
      <c r="AR129" s="4"/>
      <c r="AS129" s="22"/>
      <c r="AT129" s="378"/>
    </row>
    <row r="130" spans="1:54" s="2" customFormat="1" hidden="1" x14ac:dyDescent="0.2">
      <c r="A130" s="309"/>
      <c r="B130" s="1036" t="s">
        <v>659</v>
      </c>
      <c r="C130" s="727"/>
      <c r="D130" s="1015"/>
      <c r="E130" s="412" t="s">
        <v>671</v>
      </c>
      <c r="F130" s="472"/>
      <c r="G130" s="412"/>
      <c r="H130" s="462"/>
      <c r="I130" s="480"/>
      <c r="J130" s="481"/>
      <c r="K130" s="20"/>
      <c r="L130" s="16"/>
      <c r="M130" s="16"/>
      <c r="N130" s="16"/>
      <c r="O130" s="5"/>
      <c r="P130" s="5"/>
      <c r="Q130" s="5"/>
      <c r="R130" s="5"/>
      <c r="S130" s="5"/>
      <c r="T130" s="5"/>
      <c r="U130" s="5"/>
      <c r="V130" s="5"/>
      <c r="W130"/>
      <c r="X130" s="5"/>
      <c r="Y130" s="9"/>
      <c r="Z130" s="8"/>
      <c r="AA130" s="9"/>
      <c r="AB130" s="9"/>
      <c r="AC130" s="9"/>
      <c r="AD130" s="4"/>
      <c r="AE130" s="4"/>
      <c r="AF130" s="4"/>
      <c r="AG130" s="4"/>
      <c r="AH130" s="4"/>
      <c r="AI130" s="4"/>
      <c r="AJ130" s="4"/>
      <c r="AK130" s="4"/>
      <c r="AL130" s="4"/>
      <c r="AM130" s="4"/>
      <c r="AN130" s="4"/>
      <c r="AO130" s="4"/>
      <c r="AP130" s="4"/>
      <c r="AQ130" s="4"/>
      <c r="AR130" s="4"/>
      <c r="AS130" s="22"/>
      <c r="AT130" s="378"/>
    </row>
    <row r="131" spans="1:54" hidden="1" x14ac:dyDescent="0.2">
      <c r="B131" s="1036" t="s">
        <v>659</v>
      </c>
      <c r="C131" s="727"/>
      <c r="D131" s="1012"/>
      <c r="E131" s="5"/>
      <c r="F131" s="5"/>
      <c r="G131" s="5"/>
      <c r="H131" s="16"/>
      <c r="I131" s="23"/>
      <c r="J131" s="16"/>
      <c r="K131" s="16"/>
      <c r="L131" s="16"/>
      <c r="M131" s="16"/>
      <c r="N131" s="16"/>
      <c r="O131" s="16"/>
      <c r="P131" s="16"/>
      <c r="Q131" s="16"/>
      <c r="R131" s="16"/>
      <c r="S131" s="16"/>
      <c r="T131" s="16"/>
      <c r="U131" s="16"/>
      <c r="V131" s="16"/>
      <c r="W131" s="16"/>
      <c r="X131" s="16"/>
      <c r="Y131" s="20"/>
      <c r="Z131" s="16"/>
      <c r="AA131" s="16"/>
      <c r="AB131" s="16"/>
      <c r="AC131" s="5"/>
      <c r="AD131" s="5"/>
      <c r="AE131" s="5"/>
      <c r="AF131" s="5"/>
      <c r="AG131" s="5"/>
      <c r="AH131" s="5"/>
      <c r="AI131" s="5"/>
      <c r="AJ131" s="5"/>
      <c r="AK131" s="5"/>
      <c r="AL131" s="5"/>
      <c r="AM131" s="5"/>
      <c r="AN131" s="5"/>
      <c r="AO131" s="5"/>
      <c r="AP131" s="5"/>
      <c r="AQ131" s="5"/>
      <c r="AR131" s="5"/>
      <c r="AS131" s="22"/>
    </row>
    <row r="132" spans="1:54" x14ac:dyDescent="0.2">
      <c r="B132" s="1036" t="s">
        <v>672</v>
      </c>
      <c r="C132" s="727"/>
      <c r="D132" s="1012"/>
      <c r="E132" s="5"/>
      <c r="F132" s="5"/>
      <c r="G132" s="5"/>
      <c r="H132" s="16"/>
      <c r="I132" s="16"/>
      <c r="J132" s="16"/>
      <c r="K132" s="16"/>
      <c r="L132" s="16"/>
      <c r="M132" s="16"/>
      <c r="N132" s="16"/>
      <c r="O132" s="16"/>
      <c r="P132" s="62"/>
      <c r="Q132" s="16"/>
      <c r="R132" s="16"/>
      <c r="S132" s="16"/>
      <c r="T132" s="16"/>
      <c r="U132" s="16"/>
      <c r="V132" s="16"/>
      <c r="W132" s="16"/>
      <c r="X132" s="16"/>
      <c r="Y132" s="20"/>
      <c r="Z132" s="16"/>
      <c r="AA132" s="16"/>
      <c r="AB132" s="16"/>
      <c r="AC132" s="5"/>
      <c r="AD132" s="5"/>
      <c r="AE132" s="5"/>
      <c r="AF132" s="5"/>
      <c r="AG132" s="5"/>
      <c r="AH132" s="5"/>
      <c r="AI132" s="5"/>
      <c r="AJ132" s="5"/>
      <c r="AK132" s="62"/>
      <c r="AL132" s="62"/>
      <c r="AM132" s="62"/>
      <c r="AN132" s="5"/>
      <c r="AO132" s="5"/>
      <c r="AP132" s="5"/>
      <c r="AQ132" s="5"/>
      <c r="AR132" s="5"/>
      <c r="AS132" s="22"/>
    </row>
    <row r="133" spans="1:54" ht="21" x14ac:dyDescent="0.2">
      <c r="B133" s="1036" t="s">
        <v>672</v>
      </c>
      <c r="C133" s="727"/>
      <c r="D133" s="1012"/>
      <c r="E133" s="240" t="s">
        <v>673</v>
      </c>
      <c r="F133" s="240"/>
      <c r="G133" s="240"/>
      <c r="H133" s="240"/>
      <c r="I133" s="526"/>
      <c r="J133" s="526"/>
      <c r="K133" s="526"/>
      <c r="L133" s="526"/>
      <c r="M133" s="526"/>
      <c r="N133" s="526"/>
      <c r="O133" s="526"/>
      <c r="P133" s="526"/>
      <c r="Q133" s="526"/>
      <c r="R133" s="526"/>
      <c r="S133" s="526"/>
      <c r="T133" s="526"/>
      <c r="U133" s="526"/>
      <c r="V133" s="526"/>
      <c r="W133" s="526"/>
      <c r="X133" s="526"/>
      <c r="Y133" s="526"/>
      <c r="Z133" s="526"/>
      <c r="AA133" s="526"/>
      <c r="AB133" s="526"/>
      <c r="AC133" s="526"/>
      <c r="AD133" s="526"/>
      <c r="AE133" s="526"/>
      <c r="AF133" s="526"/>
      <c r="AG133" s="526"/>
      <c r="AH133" s="526"/>
      <c r="AI133" s="526"/>
      <c r="AJ133" s="526"/>
      <c r="AK133" s="526"/>
      <c r="AL133" s="526"/>
      <c r="AM133" s="526"/>
      <c r="AN133" s="526"/>
      <c r="AO133" s="526"/>
      <c r="AP133" s="526"/>
      <c r="AQ133" s="526"/>
      <c r="AR133" s="526"/>
      <c r="AS133" s="526"/>
      <c r="AT133" s="526"/>
      <c r="AU133" s="526"/>
      <c r="AV133" s="526"/>
      <c r="AW133" s="526"/>
      <c r="AX133" s="526"/>
      <c r="AY133" s="526"/>
      <c r="AZ133" s="22"/>
      <c r="BA133" s="5"/>
      <c r="BB133" s="5"/>
    </row>
    <row r="134" spans="1:54" x14ac:dyDescent="0.2">
      <c r="B134" s="1036" t="s">
        <v>672</v>
      </c>
      <c r="C134" s="727"/>
      <c r="D134" s="1013"/>
      <c r="E134" s="386" t="s">
        <v>491</v>
      </c>
      <c r="F134" s="386"/>
      <c r="G134" s="386" t="s">
        <v>423</v>
      </c>
      <c r="H134" s="387"/>
      <c r="I134" s="387">
        <f t="shared" ref="I134:AX134" ca="1" si="31">OFFSET(I134,0,-1)+1</f>
        <v>1</v>
      </c>
      <c r="J134" s="387">
        <f t="shared" ca="1" si="31"/>
        <v>2</v>
      </c>
      <c r="K134" s="387">
        <f t="shared" ca="1" si="31"/>
        <v>3</v>
      </c>
      <c r="L134" s="387">
        <f t="shared" ca="1" si="31"/>
        <v>4</v>
      </c>
      <c r="M134" s="387">
        <f t="shared" ca="1" si="31"/>
        <v>5</v>
      </c>
      <c r="N134" s="387">
        <f t="shared" ca="1" si="31"/>
        <v>6</v>
      </c>
      <c r="O134" s="387">
        <f t="shared" ca="1" si="31"/>
        <v>7</v>
      </c>
      <c r="P134" s="387">
        <f t="shared" ca="1" si="31"/>
        <v>8</v>
      </c>
      <c r="Q134" s="387">
        <f t="shared" ca="1" si="31"/>
        <v>9</v>
      </c>
      <c r="R134" s="387">
        <f t="shared" ca="1" si="31"/>
        <v>10</v>
      </c>
      <c r="S134" s="387">
        <f t="shared" ca="1" si="31"/>
        <v>11</v>
      </c>
      <c r="T134" s="387">
        <f t="shared" ca="1" si="31"/>
        <v>12</v>
      </c>
      <c r="U134" s="387">
        <f t="shared" ca="1" si="31"/>
        <v>13</v>
      </c>
      <c r="V134" s="387">
        <f t="shared" ca="1" si="31"/>
        <v>14</v>
      </c>
      <c r="W134" s="387">
        <f t="shared" ca="1" si="31"/>
        <v>15</v>
      </c>
      <c r="X134" s="387">
        <f t="shared" ca="1" si="31"/>
        <v>16</v>
      </c>
      <c r="Y134" s="387">
        <f t="shared" ca="1" si="31"/>
        <v>17</v>
      </c>
      <c r="Z134" s="387">
        <f t="shared" ca="1" si="31"/>
        <v>18</v>
      </c>
      <c r="AA134" s="387">
        <f t="shared" ca="1" si="31"/>
        <v>19</v>
      </c>
      <c r="AB134" s="387">
        <f t="shared" ca="1" si="31"/>
        <v>20</v>
      </c>
      <c r="AC134" s="387">
        <f t="shared" ca="1" si="31"/>
        <v>21</v>
      </c>
      <c r="AD134" s="387">
        <f t="shared" ca="1" si="31"/>
        <v>22</v>
      </c>
      <c r="AE134" s="387">
        <f t="shared" ca="1" si="31"/>
        <v>23</v>
      </c>
      <c r="AF134" s="387">
        <f t="shared" ca="1" si="31"/>
        <v>24</v>
      </c>
      <c r="AG134" s="387">
        <f t="shared" ca="1" si="31"/>
        <v>25</v>
      </c>
      <c r="AH134" s="387">
        <f t="shared" ca="1" si="31"/>
        <v>26</v>
      </c>
      <c r="AI134" s="387">
        <f t="shared" ca="1" si="31"/>
        <v>27</v>
      </c>
      <c r="AJ134" s="387">
        <f t="shared" ca="1" si="31"/>
        <v>28</v>
      </c>
      <c r="AK134" s="387">
        <f t="shared" ca="1" si="31"/>
        <v>29</v>
      </c>
      <c r="AL134" s="387">
        <f t="shared" ca="1" si="31"/>
        <v>30</v>
      </c>
      <c r="AM134" s="387">
        <f t="shared" ca="1" si="31"/>
        <v>31</v>
      </c>
      <c r="AN134" s="387">
        <f t="shared" ca="1" si="31"/>
        <v>32</v>
      </c>
      <c r="AO134" s="387">
        <f t="shared" ca="1" si="31"/>
        <v>33</v>
      </c>
      <c r="AP134" s="387">
        <f t="shared" ca="1" si="31"/>
        <v>34</v>
      </c>
      <c r="AQ134" s="387">
        <f t="shared" ca="1" si="31"/>
        <v>35</v>
      </c>
      <c r="AR134" s="387">
        <f t="shared" ca="1" si="31"/>
        <v>36</v>
      </c>
      <c r="AS134" s="387">
        <f t="shared" ca="1" si="31"/>
        <v>37</v>
      </c>
      <c r="AT134" s="387">
        <f t="shared" ca="1" si="31"/>
        <v>38</v>
      </c>
      <c r="AU134" s="387">
        <f t="shared" ca="1" si="31"/>
        <v>39</v>
      </c>
      <c r="AV134" s="387">
        <f t="shared" ca="1" si="31"/>
        <v>40</v>
      </c>
      <c r="AW134" s="387">
        <f t="shared" ca="1" si="31"/>
        <v>41</v>
      </c>
      <c r="AX134" s="387">
        <f t="shared" ca="1" si="31"/>
        <v>42</v>
      </c>
      <c r="AY134" s="387"/>
      <c r="AZ134" s="22"/>
      <c r="BA134" s="5"/>
      <c r="BB134" s="5"/>
    </row>
    <row r="135" spans="1:54" s="2" customFormat="1" ht="18.75" x14ac:dyDescent="0.2">
      <c r="A135" s="309"/>
      <c r="B135" s="1036" t="s">
        <v>672</v>
      </c>
      <c r="C135" s="727"/>
      <c r="D135" s="1015"/>
      <c r="E135" s="403" t="s">
        <v>556</v>
      </c>
      <c r="F135" s="404"/>
      <c r="G135" s="403"/>
      <c r="H135" s="511"/>
      <c r="I135" s="527"/>
      <c r="J135" s="527"/>
      <c r="K135" s="527"/>
      <c r="L135" s="527"/>
      <c r="M135" s="527"/>
      <c r="N135" s="527"/>
      <c r="O135" s="527"/>
      <c r="P135" s="527"/>
      <c r="Q135" s="527"/>
      <c r="R135" s="527"/>
      <c r="S135" s="527"/>
      <c r="T135" s="527"/>
      <c r="U135" s="527"/>
      <c r="V135" s="527"/>
      <c r="W135" s="527"/>
      <c r="X135" s="527"/>
      <c r="Y135" s="527"/>
      <c r="Z135" s="527"/>
      <c r="AA135" s="528"/>
      <c r="AB135" s="527"/>
      <c r="AC135" s="527"/>
      <c r="AD135" s="527"/>
      <c r="AE135" s="527"/>
      <c r="AF135" s="527"/>
      <c r="AG135" s="527"/>
      <c r="AH135" s="527"/>
      <c r="AI135" s="527"/>
      <c r="AJ135" s="527"/>
      <c r="AK135" s="527"/>
      <c r="AL135" s="527"/>
      <c r="AM135" s="688" t="s">
        <v>557</v>
      </c>
      <c r="AN135" s="688" t="s">
        <v>557</v>
      </c>
      <c r="AO135" s="688" t="s">
        <v>557</v>
      </c>
      <c r="AP135" s="688" t="s">
        <v>557</v>
      </c>
      <c r="AQ135" s="688" t="s">
        <v>557</v>
      </c>
      <c r="AR135" s="688" t="s">
        <v>557</v>
      </c>
      <c r="AS135" s="688" t="s">
        <v>557</v>
      </c>
      <c r="AT135" s="688" t="s">
        <v>557</v>
      </c>
      <c r="AU135" s="688" t="s">
        <v>557</v>
      </c>
      <c r="AV135" s="688" t="s">
        <v>557</v>
      </c>
      <c r="AW135" s="688" t="s">
        <v>557</v>
      </c>
      <c r="AX135" s="688" t="s">
        <v>557</v>
      </c>
      <c r="AY135" s="511"/>
      <c r="AZ135" s="22"/>
      <c r="BA135" s="4"/>
      <c r="BB135" s="4"/>
    </row>
    <row r="136" spans="1:54" ht="51" x14ac:dyDescent="0.2">
      <c r="B136" s="1036" t="s">
        <v>672</v>
      </c>
      <c r="C136" s="727"/>
      <c r="D136" s="1012"/>
      <c r="E136" s="395" t="s">
        <v>558</v>
      </c>
      <c r="F136" s="396"/>
      <c r="G136" s="395" t="s">
        <v>70</v>
      </c>
      <c r="H136" s="408"/>
      <c r="I136" s="494" t="s">
        <v>184</v>
      </c>
      <c r="J136" s="494" t="s">
        <v>674</v>
      </c>
      <c r="K136" s="494" t="s">
        <v>560</v>
      </c>
      <c r="L136" s="494" t="s">
        <v>561</v>
      </c>
      <c r="M136" s="494" t="s">
        <v>562</v>
      </c>
      <c r="N136" s="494" t="s">
        <v>563</v>
      </c>
      <c r="O136" s="494" t="s">
        <v>1135</v>
      </c>
      <c r="P136" s="494" t="s">
        <v>564</v>
      </c>
      <c r="Q136" s="494" t="s">
        <v>675</v>
      </c>
      <c r="R136" s="494" t="s">
        <v>567</v>
      </c>
      <c r="S136" s="494" t="s">
        <v>1093</v>
      </c>
      <c r="T136" s="494" t="s">
        <v>676</v>
      </c>
      <c r="U136" s="494" t="s">
        <v>569</v>
      </c>
      <c r="V136" s="494" t="s">
        <v>570</v>
      </c>
      <c r="W136" s="494" t="s">
        <v>571</v>
      </c>
      <c r="X136" s="494" t="s">
        <v>572</v>
      </c>
      <c r="Y136" s="494" t="s">
        <v>573</v>
      </c>
      <c r="Z136" s="494" t="s">
        <v>574</v>
      </c>
      <c r="AA136" s="494" t="s">
        <v>575</v>
      </c>
      <c r="AB136" s="494" t="s">
        <v>576</v>
      </c>
      <c r="AC136" s="494" t="s">
        <v>577</v>
      </c>
      <c r="AD136" s="494" t="s">
        <v>578</v>
      </c>
      <c r="AE136" s="494" t="s">
        <v>579</v>
      </c>
      <c r="AF136" s="494" t="s">
        <v>677</v>
      </c>
      <c r="AG136" s="494" t="s">
        <v>678</v>
      </c>
      <c r="AH136" s="494" t="s">
        <v>679</v>
      </c>
      <c r="AI136" s="494" t="s">
        <v>680</v>
      </c>
      <c r="AJ136" s="494" t="s">
        <v>582</v>
      </c>
      <c r="AK136" s="494" t="s">
        <v>583</v>
      </c>
      <c r="AL136" s="494" t="s">
        <v>584</v>
      </c>
      <c r="AM136" s="494" t="s">
        <v>681</v>
      </c>
      <c r="AN136" s="494" t="s">
        <v>682</v>
      </c>
      <c r="AO136" s="494" t="s">
        <v>683</v>
      </c>
      <c r="AP136" s="566" t="s">
        <v>585</v>
      </c>
      <c r="AQ136" s="566" t="s">
        <v>586</v>
      </c>
      <c r="AR136" s="567" t="s">
        <v>684</v>
      </c>
      <c r="AS136" s="567" t="s">
        <v>685</v>
      </c>
      <c r="AT136" s="567"/>
      <c r="AU136" s="567"/>
      <c r="AV136" s="567"/>
      <c r="AW136" s="567"/>
      <c r="AX136" s="567"/>
      <c r="AY136" s="529"/>
      <c r="AZ136" s="22"/>
      <c r="BA136" s="5"/>
      <c r="BB136" s="5"/>
    </row>
    <row r="137" spans="1:54" ht="38.25" x14ac:dyDescent="0.2">
      <c r="B137" s="1036" t="s">
        <v>672</v>
      </c>
      <c r="C137" s="727"/>
      <c r="D137" s="1012"/>
      <c r="E137" s="395" t="s">
        <v>587</v>
      </c>
      <c r="F137" s="396"/>
      <c r="G137" s="512"/>
      <c r="H137" s="408"/>
      <c r="I137" s="513"/>
      <c r="J137" s="513"/>
      <c r="K137" s="513" t="s">
        <v>50</v>
      </c>
      <c r="L137" s="513" t="s">
        <v>50</v>
      </c>
      <c r="M137" s="513" t="s">
        <v>50</v>
      </c>
      <c r="N137" s="513" t="s">
        <v>50</v>
      </c>
      <c r="O137" s="513"/>
      <c r="P137" s="513" t="s">
        <v>50</v>
      </c>
      <c r="Q137" s="513"/>
      <c r="R137" s="513"/>
      <c r="S137" s="513"/>
      <c r="T137" s="513"/>
      <c r="U137" s="513"/>
      <c r="V137" s="513"/>
      <c r="W137" s="513"/>
      <c r="X137" s="513"/>
      <c r="Y137" s="513"/>
      <c r="Z137" s="513" t="s">
        <v>50</v>
      </c>
      <c r="AA137" s="513" t="s">
        <v>50</v>
      </c>
      <c r="AB137" s="513"/>
      <c r="AC137" s="513"/>
      <c r="AD137" s="513"/>
      <c r="AE137" s="513"/>
      <c r="AF137" s="513"/>
      <c r="AG137" s="513"/>
      <c r="AH137" s="513"/>
      <c r="AI137" s="513"/>
      <c r="AJ137" s="513"/>
      <c r="AK137" s="513"/>
      <c r="AL137" s="513"/>
      <c r="AM137" s="513"/>
      <c r="AN137" s="513"/>
      <c r="AO137" s="513"/>
      <c r="AP137" s="563" t="s">
        <v>588</v>
      </c>
      <c r="AQ137" s="563" t="s">
        <v>588</v>
      </c>
      <c r="AR137" s="563" t="s">
        <v>686</v>
      </c>
      <c r="AS137" s="563"/>
      <c r="AT137" s="563"/>
      <c r="AU137" s="563"/>
      <c r="AV137" s="563"/>
      <c r="AW137" s="563"/>
      <c r="AX137" s="563"/>
      <c r="AY137" s="408"/>
      <c r="AZ137" s="22"/>
    </row>
    <row r="138" spans="1:54" x14ac:dyDescent="0.2">
      <c r="B138" s="1036" t="s">
        <v>672</v>
      </c>
      <c r="C138" s="727"/>
      <c r="D138" s="1013" t="s">
        <v>50</v>
      </c>
      <c r="E138" s="395" t="s">
        <v>589</v>
      </c>
      <c r="F138" s="396"/>
      <c r="G138" s="395"/>
      <c r="H138" s="408"/>
      <c r="I138" s="494" t="str">
        <f t="shared" ref="I138:T138" si="32">gebouw</f>
        <v>gebouw</v>
      </c>
      <c r="J138" s="494" t="str">
        <f>gebouw</f>
        <v>gebouw</v>
      </c>
      <c r="K138" s="494" t="str">
        <f t="shared" si="32"/>
        <v>gebouw</v>
      </c>
      <c r="L138" s="494" t="str">
        <f t="shared" si="32"/>
        <v>gebouw</v>
      </c>
      <c r="M138" s="494" t="str">
        <f t="shared" si="32"/>
        <v>gebouw</v>
      </c>
      <c r="N138" s="494" t="str">
        <f t="shared" si="32"/>
        <v>gebouw</v>
      </c>
      <c r="O138" s="494" t="str">
        <f t="shared" si="32"/>
        <v>gebouw</v>
      </c>
      <c r="P138" s="494" t="str">
        <f t="shared" si="32"/>
        <v>gebouw</v>
      </c>
      <c r="Q138" s="494" t="str">
        <f t="shared" si="32"/>
        <v>gebouw</v>
      </c>
      <c r="R138" s="494" t="s">
        <v>687</v>
      </c>
      <c r="S138" s="494" t="str">
        <f t="shared" si="32"/>
        <v>gebouw</v>
      </c>
      <c r="T138" s="494" t="str">
        <f t="shared" si="32"/>
        <v>gebouw</v>
      </c>
      <c r="U138" s="494" t="s">
        <v>591</v>
      </c>
      <c r="V138" s="494" t="str">
        <f t="shared" ref="V138:AB138" si="33">gebied</f>
        <v>gebied</v>
      </c>
      <c r="W138" s="494" t="str">
        <f t="shared" si="33"/>
        <v>gebied</v>
      </c>
      <c r="X138" s="494" t="str">
        <f t="shared" si="33"/>
        <v>gebied</v>
      </c>
      <c r="Y138" s="494" t="str">
        <f t="shared" si="33"/>
        <v>gebied</v>
      </c>
      <c r="Z138" s="494" t="str">
        <f t="shared" si="33"/>
        <v>gebied</v>
      </c>
      <c r="AA138" s="494" t="str">
        <f t="shared" si="33"/>
        <v>gebied</v>
      </c>
      <c r="AB138" s="494" t="str">
        <f t="shared" si="33"/>
        <v>gebied</v>
      </c>
      <c r="AC138" s="494" t="str">
        <f>centraal</f>
        <v>centraal</v>
      </c>
      <c r="AD138" s="494" t="str">
        <f>centraal</f>
        <v>centraal</v>
      </c>
      <c r="AE138" s="494" t="str">
        <f>centraal</f>
        <v>centraal</v>
      </c>
      <c r="AF138" s="494" t="str">
        <f>gebouw</f>
        <v>gebouw</v>
      </c>
      <c r="AG138" s="494" t="str">
        <f>gebouw</f>
        <v>gebouw</v>
      </c>
      <c r="AH138" s="494" t="s">
        <v>687</v>
      </c>
      <c r="AI138" s="494" t="s">
        <v>590</v>
      </c>
      <c r="AJ138" s="494" t="s">
        <v>591</v>
      </c>
      <c r="AK138" s="494" t="s">
        <v>591</v>
      </c>
      <c r="AL138" s="494" t="s">
        <v>591</v>
      </c>
      <c r="AM138" s="494" t="s">
        <v>687</v>
      </c>
      <c r="AN138" s="494" t="s">
        <v>687</v>
      </c>
      <c r="AO138" s="494" t="s">
        <v>590</v>
      </c>
      <c r="AP138" s="560" t="s">
        <v>591</v>
      </c>
      <c r="AQ138" s="560" t="s">
        <v>591</v>
      </c>
      <c r="AR138" s="560" t="s">
        <v>590</v>
      </c>
      <c r="AS138" s="560" t="s">
        <v>590</v>
      </c>
      <c r="AT138" s="560"/>
      <c r="AU138" s="560"/>
      <c r="AV138" s="560"/>
      <c r="AW138" s="560"/>
      <c r="AX138" s="560"/>
      <c r="AY138" s="529"/>
      <c r="AZ138" s="22"/>
    </row>
    <row r="139" spans="1:54" x14ac:dyDescent="0.2">
      <c r="B139" s="1036" t="s">
        <v>672</v>
      </c>
      <c r="C139" s="727"/>
      <c r="D139" s="1013" t="s">
        <v>50</v>
      </c>
      <c r="E139" s="395" t="s">
        <v>592</v>
      </c>
      <c r="F139" s="396"/>
      <c r="G139" s="395" t="s">
        <v>70</v>
      </c>
      <c r="H139" s="408"/>
      <c r="I139" s="409">
        <v>0</v>
      </c>
      <c r="J139" s="409">
        <v>0</v>
      </c>
      <c r="K139" s="409">
        <v>0</v>
      </c>
      <c r="L139" s="409">
        <v>0</v>
      </c>
      <c r="M139" s="409">
        <v>0</v>
      </c>
      <c r="N139" s="409">
        <v>0</v>
      </c>
      <c r="O139" s="409">
        <v>0</v>
      </c>
      <c r="P139" s="409">
        <v>0</v>
      </c>
      <c r="Q139" s="409">
        <v>0</v>
      </c>
      <c r="R139" s="409">
        <v>0</v>
      </c>
      <c r="S139" s="409">
        <v>0</v>
      </c>
      <c r="T139" s="409">
        <v>0</v>
      </c>
      <c r="U139" s="409">
        <v>0</v>
      </c>
      <c r="V139" s="409">
        <v>0</v>
      </c>
      <c r="W139" s="409">
        <v>0</v>
      </c>
      <c r="X139" s="409">
        <v>0</v>
      </c>
      <c r="Y139" s="409">
        <v>0</v>
      </c>
      <c r="Z139" s="409">
        <v>0</v>
      </c>
      <c r="AA139" s="409">
        <v>0</v>
      </c>
      <c r="AB139" s="409">
        <v>0</v>
      </c>
      <c r="AC139" s="409">
        <v>0</v>
      </c>
      <c r="AD139" s="409">
        <v>0</v>
      </c>
      <c r="AE139" s="409">
        <v>0</v>
      </c>
      <c r="AF139" s="409">
        <v>0</v>
      </c>
      <c r="AG139" s="409">
        <v>0</v>
      </c>
      <c r="AH139" s="409">
        <v>0</v>
      </c>
      <c r="AI139" s="409">
        <v>0</v>
      </c>
      <c r="AJ139" s="409">
        <v>0</v>
      </c>
      <c r="AK139" s="409">
        <v>0</v>
      </c>
      <c r="AL139" s="409">
        <v>0</v>
      </c>
      <c r="AM139" s="409">
        <v>0</v>
      </c>
      <c r="AN139" s="409">
        <v>0</v>
      </c>
      <c r="AO139" s="409">
        <v>0</v>
      </c>
      <c r="AP139" s="569">
        <v>1</v>
      </c>
      <c r="AQ139" s="569">
        <v>1</v>
      </c>
      <c r="AR139" s="569">
        <v>0</v>
      </c>
      <c r="AS139" s="569">
        <v>0</v>
      </c>
      <c r="AT139" s="569"/>
      <c r="AU139" s="569"/>
      <c r="AV139" s="569"/>
      <c r="AW139" s="569"/>
      <c r="AX139" s="569"/>
      <c r="AY139" s="408"/>
      <c r="AZ139" s="22"/>
    </row>
    <row r="140" spans="1:54" x14ac:dyDescent="0.2">
      <c r="B140" s="1036" t="s">
        <v>672</v>
      </c>
      <c r="C140" s="727"/>
      <c r="D140" s="1012"/>
      <c r="E140" s="395" t="s">
        <v>593</v>
      </c>
      <c r="F140" s="396"/>
      <c r="G140" s="395" t="s">
        <v>70</v>
      </c>
      <c r="H140" s="408"/>
      <c r="I140" s="409">
        <v>0</v>
      </c>
      <c r="J140" s="409">
        <v>0</v>
      </c>
      <c r="K140" s="409">
        <v>1</v>
      </c>
      <c r="L140" s="409">
        <v>1</v>
      </c>
      <c r="M140" s="409">
        <v>1</v>
      </c>
      <c r="N140" s="409">
        <v>1</v>
      </c>
      <c r="O140" s="409">
        <v>1</v>
      </c>
      <c r="P140" s="409">
        <v>1</v>
      </c>
      <c r="Q140" s="409">
        <v>1</v>
      </c>
      <c r="R140" s="409">
        <v>1</v>
      </c>
      <c r="S140" s="409">
        <v>1</v>
      </c>
      <c r="T140" s="409">
        <v>0</v>
      </c>
      <c r="U140" s="409">
        <v>0</v>
      </c>
      <c r="V140" s="409">
        <v>0</v>
      </c>
      <c r="W140" s="409">
        <v>0</v>
      </c>
      <c r="X140" s="409">
        <v>0</v>
      </c>
      <c r="Y140" s="409">
        <v>0</v>
      </c>
      <c r="Z140" s="409">
        <v>0</v>
      </c>
      <c r="AA140" s="409">
        <v>0</v>
      </c>
      <c r="AB140" s="409">
        <v>0</v>
      </c>
      <c r="AC140" s="409">
        <v>0</v>
      </c>
      <c r="AD140" s="409">
        <v>0</v>
      </c>
      <c r="AE140" s="409">
        <v>0</v>
      </c>
      <c r="AF140" s="409">
        <v>0</v>
      </c>
      <c r="AG140" s="409">
        <v>0</v>
      </c>
      <c r="AH140" s="409">
        <v>0</v>
      </c>
      <c r="AI140" s="409">
        <v>0</v>
      </c>
      <c r="AJ140" s="409">
        <v>0</v>
      </c>
      <c r="AK140" s="409">
        <v>0</v>
      </c>
      <c r="AL140" s="409">
        <v>0</v>
      </c>
      <c r="AM140" s="409">
        <v>0</v>
      </c>
      <c r="AN140" s="409">
        <v>0</v>
      </c>
      <c r="AO140" s="409">
        <v>0</v>
      </c>
      <c r="AP140" s="569">
        <v>0</v>
      </c>
      <c r="AQ140" s="569">
        <v>0</v>
      </c>
      <c r="AR140" s="569">
        <v>0</v>
      </c>
      <c r="AS140" s="569">
        <v>0</v>
      </c>
      <c r="AT140" s="569"/>
      <c r="AU140" s="569"/>
      <c r="AV140" s="569"/>
      <c r="AW140" s="569"/>
      <c r="AX140" s="569"/>
      <c r="AY140" s="529"/>
      <c r="AZ140" s="22"/>
    </row>
    <row r="141" spans="1:54" x14ac:dyDescent="0.2">
      <c r="B141" s="1036" t="s">
        <v>672</v>
      </c>
      <c r="C141" s="727"/>
      <c r="D141" s="1012"/>
      <c r="E141" s="395" t="s">
        <v>594</v>
      </c>
      <c r="F141" s="396"/>
      <c r="G141" s="395" t="s">
        <v>70</v>
      </c>
      <c r="H141" s="408"/>
      <c r="I141" s="409">
        <v>0</v>
      </c>
      <c r="J141" s="409">
        <v>0</v>
      </c>
      <c r="K141" s="409">
        <v>1</v>
      </c>
      <c r="L141" s="409">
        <v>1</v>
      </c>
      <c r="M141" s="409">
        <v>1</v>
      </c>
      <c r="N141" s="409">
        <v>0</v>
      </c>
      <c r="O141" s="409">
        <v>1</v>
      </c>
      <c r="P141" s="409">
        <v>0</v>
      </c>
      <c r="Q141" s="409">
        <v>1</v>
      </c>
      <c r="R141" s="409">
        <v>1</v>
      </c>
      <c r="S141" s="409">
        <v>1</v>
      </c>
      <c r="T141" s="409">
        <v>0</v>
      </c>
      <c r="U141" s="409">
        <v>0</v>
      </c>
      <c r="V141" s="409">
        <v>0</v>
      </c>
      <c r="W141" s="409">
        <v>0</v>
      </c>
      <c r="X141" s="409">
        <v>0</v>
      </c>
      <c r="Y141" s="409">
        <v>0</v>
      </c>
      <c r="Z141" s="409">
        <v>0</v>
      </c>
      <c r="AA141" s="409">
        <v>0</v>
      </c>
      <c r="AB141" s="409">
        <v>0</v>
      </c>
      <c r="AC141" s="409">
        <v>0</v>
      </c>
      <c r="AD141" s="409">
        <v>0</v>
      </c>
      <c r="AE141" s="409">
        <v>0</v>
      </c>
      <c r="AF141" s="409">
        <v>0</v>
      </c>
      <c r="AG141" s="409">
        <v>0</v>
      </c>
      <c r="AH141" s="409">
        <v>0</v>
      </c>
      <c r="AI141" s="409">
        <v>0</v>
      </c>
      <c r="AJ141" s="409">
        <v>0</v>
      </c>
      <c r="AK141" s="409">
        <v>0</v>
      </c>
      <c r="AL141" s="409">
        <v>0</v>
      </c>
      <c r="AM141" s="409">
        <v>0</v>
      </c>
      <c r="AN141" s="409">
        <v>0</v>
      </c>
      <c r="AO141" s="409">
        <v>0</v>
      </c>
      <c r="AP141" s="569">
        <v>0</v>
      </c>
      <c r="AQ141" s="569">
        <v>0</v>
      </c>
      <c r="AR141" s="569">
        <v>0</v>
      </c>
      <c r="AS141" s="569">
        <v>0</v>
      </c>
      <c r="AT141" s="569"/>
      <c r="AU141" s="569"/>
      <c r="AV141" s="569"/>
      <c r="AW141" s="569"/>
      <c r="AX141" s="569"/>
      <c r="AY141" s="529"/>
      <c r="AZ141" s="22"/>
    </row>
    <row r="142" spans="1:54" ht="18.75" x14ac:dyDescent="0.2">
      <c r="B142" s="1036" t="s">
        <v>672</v>
      </c>
      <c r="C142" s="727"/>
      <c r="D142" s="1012"/>
      <c r="E142" s="403" t="s">
        <v>688</v>
      </c>
      <c r="F142" s="404"/>
      <c r="G142" s="405"/>
      <c r="H142" s="509"/>
      <c r="I142" s="509"/>
      <c r="J142" s="509"/>
      <c r="K142" s="509"/>
      <c r="L142" s="509"/>
      <c r="M142" s="509"/>
      <c r="N142" s="509"/>
      <c r="O142" s="509"/>
      <c r="P142" s="509"/>
      <c r="Q142" s="509"/>
      <c r="R142" s="509"/>
      <c r="S142" s="509"/>
      <c r="T142" s="509"/>
      <c r="U142" s="509"/>
      <c r="V142" s="509"/>
      <c r="W142" s="509"/>
      <c r="X142" s="509"/>
      <c r="Y142" s="509"/>
      <c r="Z142" s="509"/>
      <c r="AA142" s="510"/>
      <c r="AB142" s="509"/>
      <c r="AC142" s="509"/>
      <c r="AD142" s="509"/>
      <c r="AE142" s="509"/>
      <c r="AF142" s="509"/>
      <c r="AG142" s="509"/>
      <c r="AH142" s="509"/>
      <c r="AI142" s="509"/>
      <c r="AJ142" s="509"/>
      <c r="AK142" s="509"/>
      <c r="AL142" s="509"/>
      <c r="AM142" s="509"/>
      <c r="AN142" s="509"/>
      <c r="AO142" s="509"/>
      <c r="AP142" s="509"/>
      <c r="AQ142" s="509"/>
      <c r="AR142" s="509"/>
      <c r="AS142" s="509"/>
      <c r="AT142" s="509"/>
      <c r="AU142" s="509"/>
      <c r="AV142" s="509"/>
      <c r="AW142" s="509"/>
      <c r="AX142" s="509"/>
      <c r="AY142" s="515"/>
      <c r="AZ142" s="22"/>
    </row>
    <row r="143" spans="1:54" x14ac:dyDescent="0.2">
      <c r="B143" s="1036" t="s">
        <v>672</v>
      </c>
      <c r="C143" s="727"/>
      <c r="D143" s="1012"/>
      <c r="E143" s="395" t="s">
        <v>689</v>
      </c>
      <c r="F143" s="396"/>
      <c r="G143" s="395" t="s">
        <v>70</v>
      </c>
      <c r="H143" s="408"/>
      <c r="I143" s="407">
        <v>0.85</v>
      </c>
      <c r="J143" s="407">
        <v>1</v>
      </c>
      <c r="K143" s="407">
        <v>0.85</v>
      </c>
      <c r="L143" s="407">
        <v>0.85</v>
      </c>
      <c r="M143" s="407">
        <v>0.85</v>
      </c>
      <c r="N143" s="407">
        <v>0.85</v>
      </c>
      <c r="O143" s="407">
        <v>0.85</v>
      </c>
      <c r="P143" s="407">
        <v>0.85</v>
      </c>
      <c r="Q143" s="407">
        <v>0.85</v>
      </c>
      <c r="R143" s="407">
        <v>0.85</v>
      </c>
      <c r="S143" s="407">
        <v>0.85</v>
      </c>
      <c r="T143" s="407">
        <v>1</v>
      </c>
      <c r="U143" s="407">
        <v>0.85</v>
      </c>
      <c r="V143" s="407">
        <v>0.85</v>
      </c>
      <c r="W143" s="407">
        <v>0.85</v>
      </c>
      <c r="X143" s="407">
        <v>0.85</v>
      </c>
      <c r="Y143" s="407">
        <v>0.85</v>
      </c>
      <c r="Z143" s="407">
        <v>0.85</v>
      </c>
      <c r="AA143" s="407">
        <v>0.85</v>
      </c>
      <c r="AB143" s="407">
        <v>0.85</v>
      </c>
      <c r="AC143" s="407">
        <v>0.85</v>
      </c>
      <c r="AD143" s="407">
        <v>0.85</v>
      </c>
      <c r="AE143" s="407">
        <v>0.85</v>
      </c>
      <c r="AF143" s="407">
        <v>0.85</v>
      </c>
      <c r="AG143" s="407">
        <v>0.85</v>
      </c>
      <c r="AH143" s="407">
        <v>0.85</v>
      </c>
      <c r="AI143" s="407">
        <v>0.85</v>
      </c>
      <c r="AJ143" s="407">
        <v>0.85</v>
      </c>
      <c r="AK143" s="407">
        <v>0.85</v>
      </c>
      <c r="AL143" s="407">
        <v>0.85</v>
      </c>
      <c r="AM143" s="407">
        <v>0.5</v>
      </c>
      <c r="AN143" s="407">
        <v>0.7</v>
      </c>
      <c r="AO143" s="407">
        <v>1</v>
      </c>
      <c r="AP143" s="570">
        <v>1</v>
      </c>
      <c r="AQ143" s="570">
        <v>1</v>
      </c>
      <c r="AR143" s="570">
        <v>1</v>
      </c>
      <c r="AS143" s="570">
        <v>1</v>
      </c>
      <c r="AT143" s="570"/>
      <c r="AU143" s="570"/>
      <c r="AV143" s="570"/>
      <c r="AW143" s="570"/>
      <c r="AX143" s="570"/>
      <c r="AY143" s="530"/>
      <c r="AZ143" s="22"/>
    </row>
    <row r="144" spans="1:54" ht="18.75" x14ac:dyDescent="0.2">
      <c r="B144" s="1036" t="s">
        <v>672</v>
      </c>
      <c r="C144" s="727"/>
      <c r="D144" s="1012"/>
      <c r="E144" s="403" t="s">
        <v>690</v>
      </c>
      <c r="F144" s="404"/>
      <c r="G144" s="405"/>
      <c r="H144" s="509"/>
      <c r="I144" s="509"/>
      <c r="J144" s="509"/>
      <c r="K144" s="509"/>
      <c r="L144" s="509"/>
      <c r="M144" s="509"/>
      <c r="N144" s="509"/>
      <c r="O144" s="509"/>
      <c r="P144" s="509"/>
      <c r="Q144" s="509"/>
      <c r="R144" s="509"/>
      <c r="S144" s="509"/>
      <c r="T144" s="509"/>
      <c r="U144" s="509"/>
      <c r="V144" s="509"/>
      <c r="W144" s="509"/>
      <c r="X144" s="509"/>
      <c r="Y144" s="509"/>
      <c r="Z144" s="509"/>
      <c r="AA144" s="510"/>
      <c r="AB144" s="509"/>
      <c r="AC144" s="509"/>
      <c r="AD144" s="509"/>
      <c r="AE144" s="509"/>
      <c r="AF144" s="509"/>
      <c r="AG144" s="509"/>
      <c r="AH144" s="509"/>
      <c r="AI144" s="509"/>
      <c r="AJ144" s="509"/>
      <c r="AK144" s="509"/>
      <c r="AL144" s="509"/>
      <c r="AM144" s="509"/>
      <c r="AN144" s="509"/>
      <c r="AO144" s="509"/>
      <c r="AP144" s="509"/>
      <c r="AQ144" s="509"/>
      <c r="AR144" s="509"/>
      <c r="AS144" s="509"/>
      <c r="AT144" s="509"/>
      <c r="AU144" s="509"/>
      <c r="AV144" s="509"/>
      <c r="AW144" s="509"/>
      <c r="AX144" s="509"/>
      <c r="AY144" s="515"/>
      <c r="AZ144" s="22"/>
    </row>
    <row r="145" spans="2:52" x14ac:dyDescent="0.2">
      <c r="B145" s="1036" t="s">
        <v>672</v>
      </c>
      <c r="C145" s="727"/>
      <c r="D145" s="1012"/>
      <c r="E145" s="395" t="s">
        <v>691</v>
      </c>
      <c r="F145" s="396"/>
      <c r="G145" s="395" t="s">
        <v>599</v>
      </c>
      <c r="H145" s="408"/>
      <c r="I145" s="494">
        <v>0</v>
      </c>
      <c r="J145" s="494">
        <v>0</v>
      </c>
      <c r="K145" s="494">
        <v>0</v>
      </c>
      <c r="L145" s="494">
        <v>0</v>
      </c>
      <c r="M145" s="494">
        <v>0</v>
      </c>
      <c r="N145" s="494">
        <v>0</v>
      </c>
      <c r="O145" s="494">
        <v>0</v>
      </c>
      <c r="P145" s="494">
        <v>0</v>
      </c>
      <c r="Q145" s="494">
        <v>0</v>
      </c>
      <c r="R145" s="494">
        <v>0</v>
      </c>
      <c r="S145" s="494">
        <v>0</v>
      </c>
      <c r="T145" s="494">
        <v>0</v>
      </c>
      <c r="U145" s="494">
        <v>0</v>
      </c>
      <c r="V145" s="494">
        <v>0</v>
      </c>
      <c r="W145" s="494">
        <v>0</v>
      </c>
      <c r="X145" s="494">
        <v>0</v>
      </c>
      <c r="Y145" s="494">
        <v>0</v>
      </c>
      <c r="Z145" s="494">
        <v>0</v>
      </c>
      <c r="AA145" s="494">
        <v>0</v>
      </c>
      <c r="AB145" s="494">
        <v>0</v>
      </c>
      <c r="AC145" s="494">
        <v>0</v>
      </c>
      <c r="AD145" s="494">
        <v>0</v>
      </c>
      <c r="AE145" s="494">
        <v>0</v>
      </c>
      <c r="AF145" s="494">
        <v>0</v>
      </c>
      <c r="AG145" s="494">
        <v>0</v>
      </c>
      <c r="AH145" s="494">
        <f>3/3.6</f>
        <v>0.83333333333333326</v>
      </c>
      <c r="AI145" s="494">
        <v>0</v>
      </c>
      <c r="AJ145" s="494">
        <v>0</v>
      </c>
      <c r="AK145" s="494">
        <v>0</v>
      </c>
      <c r="AL145" s="494">
        <v>0</v>
      </c>
      <c r="AM145" s="494">
        <v>0</v>
      </c>
      <c r="AN145" s="494">
        <v>0</v>
      </c>
      <c r="AO145" s="494">
        <v>0</v>
      </c>
      <c r="AP145" s="571">
        <v>0</v>
      </c>
      <c r="AQ145" s="571">
        <v>0</v>
      </c>
      <c r="AR145" s="571">
        <v>0</v>
      </c>
      <c r="AS145" s="571">
        <v>0</v>
      </c>
      <c r="AT145" s="571"/>
      <c r="AU145" s="571"/>
      <c r="AV145" s="571"/>
      <c r="AW145" s="571"/>
      <c r="AX145" s="571"/>
      <c r="AY145" s="529"/>
      <c r="AZ145" s="22"/>
    </row>
    <row r="146" spans="2:52" x14ac:dyDescent="0.2">
      <c r="B146" s="1036" t="s">
        <v>672</v>
      </c>
      <c r="C146" s="727"/>
      <c r="D146" s="1012"/>
      <c r="E146" s="395" t="s">
        <v>692</v>
      </c>
      <c r="F146" s="396"/>
      <c r="G146" s="395" t="s">
        <v>599</v>
      </c>
      <c r="H146" s="408"/>
      <c r="I146" s="494">
        <v>0</v>
      </c>
      <c r="J146" s="494">
        <v>0</v>
      </c>
      <c r="K146" s="494">
        <v>0</v>
      </c>
      <c r="L146" s="494">
        <v>0</v>
      </c>
      <c r="M146" s="494">
        <v>0</v>
      </c>
      <c r="N146" s="494">
        <v>0</v>
      </c>
      <c r="O146" s="494">
        <v>0</v>
      </c>
      <c r="P146" s="494">
        <v>0</v>
      </c>
      <c r="Q146" s="494">
        <v>0</v>
      </c>
      <c r="R146" s="494">
        <v>0</v>
      </c>
      <c r="S146" s="494">
        <v>0</v>
      </c>
      <c r="T146" s="494">
        <v>0</v>
      </c>
      <c r="U146" s="494">
        <v>0</v>
      </c>
      <c r="V146" s="494">
        <v>0</v>
      </c>
      <c r="W146" s="494">
        <v>0</v>
      </c>
      <c r="X146" s="494">
        <v>0</v>
      </c>
      <c r="Y146" s="494">
        <v>0</v>
      </c>
      <c r="Z146" s="494">
        <v>0</v>
      </c>
      <c r="AA146" s="494">
        <v>0</v>
      </c>
      <c r="AB146" s="494">
        <v>0</v>
      </c>
      <c r="AC146" s="494">
        <v>0</v>
      </c>
      <c r="AD146" s="494">
        <v>0</v>
      </c>
      <c r="AE146" s="494">
        <v>0</v>
      </c>
      <c r="AF146" s="494">
        <v>0</v>
      </c>
      <c r="AG146" s="494">
        <v>0</v>
      </c>
      <c r="AH146" s="494">
        <f>1/3.6</f>
        <v>0.27777777777777779</v>
      </c>
      <c r="AI146" s="494">
        <v>0</v>
      </c>
      <c r="AJ146" s="494">
        <v>0</v>
      </c>
      <c r="AK146" s="494">
        <v>0</v>
      </c>
      <c r="AL146" s="494">
        <v>0</v>
      </c>
      <c r="AM146" s="494">
        <v>0</v>
      </c>
      <c r="AN146" s="494">
        <v>0</v>
      </c>
      <c r="AO146" s="494">
        <v>0</v>
      </c>
      <c r="AP146" s="571">
        <v>0</v>
      </c>
      <c r="AQ146" s="571">
        <v>0</v>
      </c>
      <c r="AR146" s="571">
        <v>0</v>
      </c>
      <c r="AS146" s="571">
        <v>0</v>
      </c>
      <c r="AT146" s="571"/>
      <c r="AU146" s="571"/>
      <c r="AV146" s="571"/>
      <c r="AW146" s="571"/>
      <c r="AX146" s="571"/>
      <c r="AY146" s="529"/>
      <c r="AZ146" s="22"/>
    </row>
    <row r="147" spans="2:52" x14ac:dyDescent="0.2">
      <c r="B147" s="1036" t="s">
        <v>672</v>
      </c>
      <c r="C147" s="727"/>
      <c r="D147" s="1012"/>
      <c r="E147" s="395" t="s">
        <v>693</v>
      </c>
      <c r="F147" s="396"/>
      <c r="G147" s="395" t="s">
        <v>602</v>
      </c>
      <c r="H147" s="408"/>
      <c r="I147" s="494">
        <v>0</v>
      </c>
      <c r="J147" s="494">
        <v>0</v>
      </c>
      <c r="K147" s="494">
        <v>0</v>
      </c>
      <c r="L147" s="494">
        <v>0</v>
      </c>
      <c r="M147" s="494">
        <v>0</v>
      </c>
      <c r="N147" s="494">
        <v>0</v>
      </c>
      <c r="O147" s="494">
        <v>0</v>
      </c>
      <c r="P147" s="494">
        <v>0</v>
      </c>
      <c r="Q147" s="494">
        <v>0</v>
      </c>
      <c r="R147" s="494">
        <v>0</v>
      </c>
      <c r="S147" s="494">
        <v>0</v>
      </c>
      <c r="T147" s="494">
        <v>0</v>
      </c>
      <c r="U147" s="494">
        <v>0</v>
      </c>
      <c r="V147" s="494">
        <v>0</v>
      </c>
      <c r="W147" s="494">
        <v>0</v>
      </c>
      <c r="X147" s="494">
        <v>0</v>
      </c>
      <c r="Y147" s="494">
        <v>0</v>
      </c>
      <c r="Z147" s="494">
        <v>0</v>
      </c>
      <c r="AA147" s="494">
        <v>0</v>
      </c>
      <c r="AB147" s="494">
        <v>0</v>
      </c>
      <c r="AC147" s="494">
        <v>0</v>
      </c>
      <c r="AD147" s="494">
        <v>0</v>
      </c>
      <c r="AE147" s="494">
        <v>0</v>
      </c>
      <c r="AF147" s="494">
        <v>0</v>
      </c>
      <c r="AG147" s="494">
        <v>0</v>
      </c>
      <c r="AH147" s="494">
        <f>35/3.6</f>
        <v>9.7222222222222214</v>
      </c>
      <c r="AI147" s="494">
        <v>0</v>
      </c>
      <c r="AJ147" s="494">
        <v>0</v>
      </c>
      <c r="AK147" s="494">
        <v>0</v>
      </c>
      <c r="AL147" s="494">
        <v>0</v>
      </c>
      <c r="AM147" s="494">
        <v>0</v>
      </c>
      <c r="AN147" s="494">
        <v>0</v>
      </c>
      <c r="AO147" s="494">
        <v>0</v>
      </c>
      <c r="AP147" s="571">
        <v>0</v>
      </c>
      <c r="AQ147" s="571">
        <v>0</v>
      </c>
      <c r="AR147" s="571">
        <v>0</v>
      </c>
      <c r="AS147" s="571">
        <v>0</v>
      </c>
      <c r="AT147" s="571"/>
      <c r="AU147" s="571"/>
      <c r="AV147" s="571"/>
      <c r="AW147" s="571"/>
      <c r="AX147" s="571"/>
      <c r="AY147" s="529"/>
      <c r="AZ147" s="22"/>
    </row>
    <row r="148" spans="2:52" ht="18.75" x14ac:dyDescent="0.2">
      <c r="B148" s="1036" t="s">
        <v>672</v>
      </c>
      <c r="C148" s="727"/>
      <c r="D148" s="1012"/>
      <c r="E148" s="403" t="s">
        <v>603</v>
      </c>
      <c r="F148" s="404"/>
      <c r="G148" s="405"/>
      <c r="H148" s="509"/>
      <c r="I148" s="509"/>
      <c r="J148" s="509"/>
      <c r="K148" s="509"/>
      <c r="L148" s="509"/>
      <c r="M148" s="509"/>
      <c r="N148" s="509"/>
      <c r="O148" s="509"/>
      <c r="P148" s="509"/>
      <c r="Q148" s="509"/>
      <c r="R148" s="509"/>
      <c r="S148" s="509"/>
      <c r="T148" s="509"/>
      <c r="U148" s="509"/>
      <c r="V148" s="509"/>
      <c r="W148" s="509"/>
      <c r="X148" s="509"/>
      <c r="Y148" s="509"/>
      <c r="Z148" s="509"/>
      <c r="AA148" s="510"/>
      <c r="AB148" s="509"/>
      <c r="AC148" s="509"/>
      <c r="AD148" s="509"/>
      <c r="AE148" s="509"/>
      <c r="AF148" s="509"/>
      <c r="AG148" s="509"/>
      <c r="AH148" s="509"/>
      <c r="AI148" s="509"/>
      <c r="AJ148" s="509"/>
      <c r="AK148" s="509"/>
      <c r="AL148" s="509"/>
      <c r="AM148" s="509"/>
      <c r="AN148" s="509"/>
      <c r="AO148" s="509"/>
      <c r="AP148" s="509"/>
      <c r="AQ148" s="509"/>
      <c r="AR148" s="509"/>
      <c r="AS148" s="509"/>
      <c r="AT148" s="509"/>
      <c r="AU148" s="509"/>
      <c r="AV148" s="509"/>
      <c r="AW148" s="509"/>
      <c r="AX148" s="509"/>
      <c r="AY148" s="515"/>
      <c r="AZ148" s="22"/>
    </row>
    <row r="149" spans="2:52" ht="38.25" x14ac:dyDescent="0.2">
      <c r="B149" s="1036" t="s">
        <v>672</v>
      </c>
      <c r="C149" s="727"/>
      <c r="D149" s="1012"/>
      <c r="E149" s="395" t="s">
        <v>604</v>
      </c>
      <c r="F149" s="396"/>
      <c r="G149" s="395" t="s">
        <v>70</v>
      </c>
      <c r="H149" s="408"/>
      <c r="I149" s="494" t="s">
        <v>605</v>
      </c>
      <c r="J149" s="494" t="s">
        <v>605</v>
      </c>
      <c r="K149" s="494" t="s">
        <v>156</v>
      </c>
      <c r="L149" s="494" t="s">
        <v>156</v>
      </c>
      <c r="M149" s="494" t="s">
        <v>156</v>
      </c>
      <c r="N149" s="494" t="s">
        <v>156</v>
      </c>
      <c r="O149" s="494" t="s">
        <v>156</v>
      </c>
      <c r="P149" s="494" t="s">
        <v>156</v>
      </c>
      <c r="Q149" s="494" t="s">
        <v>156</v>
      </c>
      <c r="R149" s="494" t="s">
        <v>156</v>
      </c>
      <c r="S149" s="494" t="s">
        <v>156</v>
      </c>
      <c r="T149" s="494" t="s">
        <v>156</v>
      </c>
      <c r="U149" s="494" t="s">
        <v>156</v>
      </c>
      <c r="V149" s="494" t="s">
        <v>605</v>
      </c>
      <c r="W149" s="494" t="s">
        <v>605</v>
      </c>
      <c r="X149" s="494" t="s">
        <v>606</v>
      </c>
      <c r="Y149" s="494" t="s">
        <v>607</v>
      </c>
      <c r="Z149" s="494" t="s">
        <v>607</v>
      </c>
      <c r="AA149" s="494" t="s">
        <v>607</v>
      </c>
      <c r="AB149" s="494" t="s">
        <v>607</v>
      </c>
      <c r="AC149" s="494" t="s">
        <v>608</v>
      </c>
      <c r="AD149" s="494" t="s">
        <v>609</v>
      </c>
      <c r="AE149" s="494" t="s">
        <v>610</v>
      </c>
      <c r="AF149" s="494" t="s">
        <v>605</v>
      </c>
      <c r="AG149" s="494" t="s">
        <v>605</v>
      </c>
      <c r="AH149" s="494" t="s">
        <v>605</v>
      </c>
      <c r="AI149" s="494" t="s">
        <v>156</v>
      </c>
      <c r="AJ149" s="494" t="s">
        <v>611</v>
      </c>
      <c r="AK149" s="494" t="s">
        <v>612</v>
      </c>
      <c r="AL149" s="494" t="s">
        <v>613</v>
      </c>
      <c r="AM149" s="494" t="s">
        <v>605</v>
      </c>
      <c r="AN149" s="494" t="s">
        <v>605</v>
      </c>
      <c r="AO149" s="494" t="s">
        <v>694</v>
      </c>
      <c r="AP149" s="560" t="s">
        <v>614</v>
      </c>
      <c r="AQ149" s="560" t="s">
        <v>694</v>
      </c>
      <c r="AR149" s="560" t="s">
        <v>694</v>
      </c>
      <c r="AS149" s="560" t="s">
        <v>605</v>
      </c>
      <c r="AT149" s="560"/>
      <c r="AU149" s="560"/>
      <c r="AV149" s="560"/>
      <c r="AW149" s="560"/>
      <c r="AX149" s="560"/>
      <c r="AY149" s="529"/>
      <c r="AZ149" s="22"/>
    </row>
    <row r="150" spans="2:52" x14ac:dyDescent="0.2">
      <c r="B150" s="1036" t="s">
        <v>672</v>
      </c>
      <c r="C150" s="727"/>
      <c r="D150" s="1012"/>
      <c r="E150" s="395" t="s">
        <v>616</v>
      </c>
      <c r="F150" s="396"/>
      <c r="G150" s="395" t="s">
        <v>70</v>
      </c>
      <c r="H150" s="408"/>
      <c r="I150" s="516" t="str">
        <f t="shared" ref="I150:AX150" si="34">IF(OR(referentie_warmtapwater="",I149=""),"",IF(OR(I138&lt;&gt;gebouw),GJ,HLOOKUP(I149,ENERGIEDRAGERS,ROWS($E$221:$E$225),FALSE)))</f>
        <v>m3</v>
      </c>
      <c r="J150" s="516" t="str">
        <f t="shared" si="34"/>
        <v>m3</v>
      </c>
      <c r="K150" s="516" t="str">
        <f t="shared" si="34"/>
        <v>kWh</v>
      </c>
      <c r="L150" s="516" t="str">
        <f t="shared" si="34"/>
        <v>kWh</v>
      </c>
      <c r="M150" s="516" t="str">
        <f t="shared" si="34"/>
        <v>kWh</v>
      </c>
      <c r="N150" s="516" t="str">
        <f t="shared" si="34"/>
        <v>kWh</v>
      </c>
      <c r="O150" s="516" t="str">
        <f>IF(OR(referentie_warmtapwater="",O149=""),"",IF(OR(O138&lt;&gt;gebouw),GJ,HLOOKUP(O149,ENERGIEDRAGERS,ROWS($E$221:$E$225),FALSE)))</f>
        <v>kWh</v>
      </c>
      <c r="P150" s="516" t="str">
        <f t="shared" si="34"/>
        <v>kWh</v>
      </c>
      <c r="Q150" s="516" t="str">
        <f t="shared" si="34"/>
        <v>kWh</v>
      </c>
      <c r="R150" s="516" t="str">
        <f t="shared" si="34"/>
        <v>GJ</v>
      </c>
      <c r="S150" s="516" t="str">
        <f>IF(OR(referentie_warmtapwater="",S149=""),"",IF(OR(S138&lt;&gt;gebouw),GJ,HLOOKUP(S149,ENERGIEDRAGERS,ROWS($E$221:$E$225),FALSE)))</f>
        <v>kWh</v>
      </c>
      <c r="T150" s="516" t="str">
        <f t="shared" si="34"/>
        <v>kWh</v>
      </c>
      <c r="U150" s="516" t="str">
        <f t="shared" si="34"/>
        <v>GJ</v>
      </c>
      <c r="V150" s="516" t="str">
        <f t="shared" si="34"/>
        <v>GJ</v>
      </c>
      <c r="W150" s="516" t="str">
        <f t="shared" si="34"/>
        <v>GJ</v>
      </c>
      <c r="X150" s="516" t="str">
        <f t="shared" si="34"/>
        <v>GJ</v>
      </c>
      <c r="Y150" s="516" t="str">
        <f t="shared" si="34"/>
        <v>GJ</v>
      </c>
      <c r="Z150" s="516" t="str">
        <f t="shared" si="34"/>
        <v>GJ</v>
      </c>
      <c r="AA150" s="516" t="str">
        <f t="shared" si="34"/>
        <v>GJ</v>
      </c>
      <c r="AB150" s="516" t="str">
        <f t="shared" si="34"/>
        <v>GJ</v>
      </c>
      <c r="AC150" s="516" t="str">
        <f t="shared" si="34"/>
        <v>GJ</v>
      </c>
      <c r="AD150" s="516" t="str">
        <f t="shared" si="34"/>
        <v>GJ</v>
      </c>
      <c r="AE150" s="516" t="str">
        <f t="shared" si="34"/>
        <v>GJ</v>
      </c>
      <c r="AF150" s="516" t="str">
        <f t="shared" si="34"/>
        <v>m3</v>
      </c>
      <c r="AG150" s="516" t="str">
        <f t="shared" si="34"/>
        <v>m3</v>
      </c>
      <c r="AH150" s="516" t="str">
        <f t="shared" si="34"/>
        <v>GJ</v>
      </c>
      <c r="AI150" s="516" t="str">
        <f t="shared" si="34"/>
        <v>kWh</v>
      </c>
      <c r="AJ150" s="516" t="str">
        <f t="shared" si="34"/>
        <v>GJ</v>
      </c>
      <c r="AK150" s="516" t="str">
        <f t="shared" si="34"/>
        <v>GJ</v>
      </c>
      <c r="AL150" s="516" t="str">
        <f t="shared" si="34"/>
        <v>GJ</v>
      </c>
      <c r="AM150" s="516" t="str">
        <f t="shared" si="34"/>
        <v>GJ</v>
      </c>
      <c r="AN150" s="516" t="str">
        <f t="shared" si="34"/>
        <v>GJ</v>
      </c>
      <c r="AO150" s="516" t="str">
        <f t="shared" si="34"/>
        <v>GJ</v>
      </c>
      <c r="AP150" s="516" t="str">
        <f t="shared" si="34"/>
        <v>GJ</v>
      </c>
      <c r="AQ150" s="516" t="str">
        <f t="shared" si="34"/>
        <v>GJ</v>
      </c>
      <c r="AR150" s="516" t="str">
        <f t="shared" si="34"/>
        <v>GJ</v>
      </c>
      <c r="AS150" s="516" t="str">
        <f t="shared" si="34"/>
        <v>m3</v>
      </c>
      <c r="AT150" s="516" t="str">
        <f t="shared" si="34"/>
        <v/>
      </c>
      <c r="AU150" s="516" t="str">
        <f t="shared" si="34"/>
        <v/>
      </c>
      <c r="AV150" s="516" t="str">
        <f t="shared" si="34"/>
        <v/>
      </c>
      <c r="AW150" s="516" t="str">
        <f t="shared" si="34"/>
        <v/>
      </c>
      <c r="AX150" s="516" t="str">
        <f t="shared" si="34"/>
        <v/>
      </c>
      <c r="AY150" s="529"/>
      <c r="AZ150" s="22"/>
    </row>
    <row r="151" spans="2:52" x14ac:dyDescent="0.2">
      <c r="B151" s="1036" t="s">
        <v>672</v>
      </c>
      <c r="C151" s="727"/>
      <c r="D151" s="1013" t="s">
        <v>50</v>
      </c>
      <c r="E151" s="695" t="s">
        <v>617</v>
      </c>
      <c r="F151" s="840"/>
      <c r="G151" s="395" t="s">
        <v>150</v>
      </c>
      <c r="H151" s="408"/>
      <c r="I151" s="410">
        <v>1</v>
      </c>
      <c r="J151" s="410">
        <v>1</v>
      </c>
      <c r="K151" s="410">
        <v>0.9</v>
      </c>
      <c r="L151" s="410">
        <v>0.9</v>
      </c>
      <c r="M151" s="410">
        <v>0.9</v>
      </c>
      <c r="N151" s="410">
        <v>0.9</v>
      </c>
      <c r="O151" s="410">
        <v>0</v>
      </c>
      <c r="P151" s="410">
        <v>0.9</v>
      </c>
      <c r="Q151" s="410">
        <v>0.9</v>
      </c>
      <c r="R151" s="410">
        <v>0.8</v>
      </c>
      <c r="S151" s="410">
        <v>0.9</v>
      </c>
      <c r="T151" s="410">
        <v>1</v>
      </c>
      <c r="U151" s="410">
        <v>1</v>
      </c>
      <c r="V151" s="410">
        <v>0.8</v>
      </c>
      <c r="W151" s="410">
        <v>0.8</v>
      </c>
      <c r="X151" s="410">
        <v>0.8</v>
      </c>
      <c r="Y151" s="410">
        <v>0.8</v>
      </c>
      <c r="Z151" s="410">
        <v>0.8</v>
      </c>
      <c r="AA151" s="410">
        <v>0.8</v>
      </c>
      <c r="AB151" s="410">
        <v>0.8</v>
      </c>
      <c r="AC151" s="410">
        <v>0.8</v>
      </c>
      <c r="AD151" s="410">
        <v>0.8</v>
      </c>
      <c r="AE151" s="410">
        <v>1</v>
      </c>
      <c r="AF151" s="410">
        <v>1</v>
      </c>
      <c r="AG151" s="410">
        <v>1</v>
      </c>
      <c r="AH151" s="410">
        <v>1</v>
      </c>
      <c r="AI151" s="410">
        <v>1</v>
      </c>
      <c r="AJ151" s="410">
        <v>1</v>
      </c>
      <c r="AK151" s="410">
        <v>0.8</v>
      </c>
      <c r="AL151" s="410">
        <v>0.8</v>
      </c>
      <c r="AM151" s="410">
        <v>1</v>
      </c>
      <c r="AN151" s="410">
        <v>1</v>
      </c>
      <c r="AO151" s="974">
        <f>(AO160-1)/AO160</f>
        <v>0.7142857142857143</v>
      </c>
      <c r="AP151" s="897">
        <v>1</v>
      </c>
      <c r="AQ151" s="897">
        <v>1</v>
      </c>
      <c r="AR151" s="897">
        <f>(AR160-1)/AR160</f>
        <v>0.75</v>
      </c>
      <c r="AS151" s="897">
        <v>0.5</v>
      </c>
      <c r="AT151" s="897" t="s">
        <v>619</v>
      </c>
      <c r="AU151" s="897" t="s">
        <v>619</v>
      </c>
      <c r="AV151" s="897" t="s">
        <v>619</v>
      </c>
      <c r="AW151" s="897" t="s">
        <v>619</v>
      </c>
      <c r="AX151" s="897" t="s">
        <v>619</v>
      </c>
      <c r="AY151" s="899"/>
      <c r="AZ151" s="274"/>
    </row>
    <row r="152" spans="2:52" x14ac:dyDescent="0.2">
      <c r="B152" s="1036" t="s">
        <v>672</v>
      </c>
      <c r="C152" s="727"/>
      <c r="D152" s="1013" t="s">
        <v>50</v>
      </c>
      <c r="E152" s="695" t="s">
        <v>618</v>
      </c>
      <c r="F152" s="840"/>
      <c r="G152" s="395" t="s">
        <v>70</v>
      </c>
      <c r="H152" s="408"/>
      <c r="I152" s="517">
        <v>0.8</v>
      </c>
      <c r="J152" s="517">
        <v>0.5</v>
      </c>
      <c r="K152" s="517">
        <v>2.4</v>
      </c>
      <c r="L152" s="517">
        <v>2.4</v>
      </c>
      <c r="M152" s="517">
        <v>2.4</v>
      </c>
      <c r="N152" s="517">
        <v>2.4</v>
      </c>
      <c r="O152" s="517">
        <v>2.4</v>
      </c>
      <c r="P152" s="517">
        <v>2.4</v>
      </c>
      <c r="Q152" s="517">
        <v>4</v>
      </c>
      <c r="R152" s="517">
        <v>2.4</v>
      </c>
      <c r="S152" s="517">
        <v>15</v>
      </c>
      <c r="T152" s="517">
        <v>0.75</v>
      </c>
      <c r="U152" s="517">
        <v>1</v>
      </c>
      <c r="V152" s="517">
        <v>0.5</v>
      </c>
      <c r="W152" s="517">
        <v>0.44</v>
      </c>
      <c r="X152" s="517">
        <v>0.4</v>
      </c>
      <c r="Y152" s="517">
        <v>0.26</v>
      </c>
      <c r="Z152" s="517">
        <v>0.36</v>
      </c>
      <c r="AA152" s="517">
        <v>0.48</v>
      </c>
      <c r="AB152" s="517">
        <v>0.9</v>
      </c>
      <c r="AC152" s="517">
        <v>1</v>
      </c>
      <c r="AD152" s="517">
        <v>1</v>
      </c>
      <c r="AE152" s="517">
        <v>1</v>
      </c>
      <c r="AF152" s="517">
        <v>0.55000000000000004</v>
      </c>
      <c r="AG152" s="517">
        <v>0.66</v>
      </c>
      <c r="AH152" s="517">
        <v>0.78</v>
      </c>
      <c r="AI152" s="517">
        <v>2.2000000000000002</v>
      </c>
      <c r="AJ152" s="517">
        <v>1</v>
      </c>
      <c r="AK152" s="517">
        <v>1</v>
      </c>
      <c r="AL152" s="517">
        <v>1</v>
      </c>
      <c r="AM152" s="517">
        <v>0.8</v>
      </c>
      <c r="AN152" s="517">
        <v>0.9</v>
      </c>
      <c r="AO152" s="517">
        <v>1</v>
      </c>
      <c r="AP152" s="898">
        <v>1</v>
      </c>
      <c r="AQ152" s="898">
        <v>1</v>
      </c>
      <c r="AR152" s="898">
        <v>1</v>
      </c>
      <c r="AS152" s="898">
        <v>0.6</v>
      </c>
      <c r="AT152" s="898" t="s">
        <v>619</v>
      </c>
      <c r="AU152" s="898" t="s">
        <v>619</v>
      </c>
      <c r="AV152" s="898" t="s">
        <v>619</v>
      </c>
      <c r="AW152" s="898" t="s">
        <v>619</v>
      </c>
      <c r="AX152" s="898" t="s">
        <v>619</v>
      </c>
      <c r="AY152" s="899"/>
      <c r="AZ152" s="22"/>
    </row>
    <row r="153" spans="2:52" x14ac:dyDescent="0.2">
      <c r="B153" s="1036" t="s">
        <v>672</v>
      </c>
      <c r="C153" s="727"/>
      <c r="D153" s="1012"/>
      <c r="E153" s="395" t="s">
        <v>620</v>
      </c>
      <c r="F153" s="396"/>
      <c r="G153" s="395" t="s">
        <v>70</v>
      </c>
      <c r="H153" s="408"/>
      <c r="I153" s="518">
        <v>0</v>
      </c>
      <c r="J153" s="518">
        <v>0</v>
      </c>
      <c r="K153" s="518">
        <v>28</v>
      </c>
      <c r="L153" s="518">
        <v>0</v>
      </c>
      <c r="M153" s="518">
        <v>28</v>
      </c>
      <c r="N153" s="518">
        <v>0</v>
      </c>
      <c r="O153" s="518">
        <v>0</v>
      </c>
      <c r="P153" s="518">
        <v>0</v>
      </c>
      <c r="Q153" s="518">
        <v>15</v>
      </c>
      <c r="R153" s="518">
        <v>15</v>
      </c>
      <c r="S153" s="518">
        <v>28</v>
      </c>
      <c r="T153" s="518">
        <v>0</v>
      </c>
      <c r="U153" s="518">
        <v>0</v>
      </c>
      <c r="V153" s="518">
        <v>0</v>
      </c>
      <c r="W153" s="518">
        <v>0</v>
      </c>
      <c r="X153" s="518">
        <v>0</v>
      </c>
      <c r="Y153" s="518">
        <v>0</v>
      </c>
      <c r="Z153" s="518">
        <v>0</v>
      </c>
      <c r="AA153" s="518">
        <v>0</v>
      </c>
      <c r="AB153" s="518">
        <v>0</v>
      </c>
      <c r="AC153" s="518">
        <v>0</v>
      </c>
      <c r="AD153" s="518">
        <v>0</v>
      </c>
      <c r="AE153" s="518">
        <v>0</v>
      </c>
      <c r="AF153" s="518">
        <v>0</v>
      </c>
      <c r="AG153" s="518">
        <v>0</v>
      </c>
      <c r="AH153" s="518">
        <v>0</v>
      </c>
      <c r="AI153" s="518">
        <v>0</v>
      </c>
      <c r="AJ153" s="518">
        <v>0</v>
      </c>
      <c r="AK153" s="518">
        <v>0</v>
      </c>
      <c r="AL153" s="518">
        <v>0</v>
      </c>
      <c r="AM153" s="518">
        <v>0</v>
      </c>
      <c r="AN153" s="518">
        <v>0</v>
      </c>
      <c r="AO153" s="518">
        <v>0</v>
      </c>
      <c r="AP153" s="569">
        <v>0</v>
      </c>
      <c r="AQ153" s="569">
        <v>0</v>
      </c>
      <c r="AR153" s="569">
        <v>0</v>
      </c>
      <c r="AS153" s="569">
        <v>0</v>
      </c>
      <c r="AT153" s="569"/>
      <c r="AU153" s="569"/>
      <c r="AV153" s="569"/>
      <c r="AW153" s="569"/>
      <c r="AX153" s="569"/>
      <c r="AY153" s="529"/>
      <c r="AZ153" s="22"/>
    </row>
    <row r="154" spans="2:52" x14ac:dyDescent="0.2">
      <c r="B154" s="1036" t="s">
        <v>672</v>
      </c>
      <c r="C154" s="727"/>
      <c r="D154" s="1013" t="s">
        <v>50</v>
      </c>
      <c r="E154" s="395" t="s">
        <v>621</v>
      </c>
      <c r="F154" s="396"/>
      <c r="G154" s="395" t="s">
        <v>70</v>
      </c>
      <c r="H154" s="408"/>
      <c r="I154" s="517">
        <v>0</v>
      </c>
      <c r="J154" s="517">
        <v>0</v>
      </c>
      <c r="K154" s="517">
        <v>0</v>
      </c>
      <c r="L154" s="517">
        <v>0</v>
      </c>
      <c r="M154" s="517">
        <v>0</v>
      </c>
      <c r="N154" s="517">
        <v>0</v>
      </c>
      <c r="O154" s="517">
        <v>0</v>
      </c>
      <c r="P154" s="517">
        <v>0</v>
      </c>
      <c r="Q154" s="517">
        <v>0</v>
      </c>
      <c r="R154" s="517">
        <v>0</v>
      </c>
      <c r="S154" s="517">
        <v>0</v>
      </c>
      <c r="T154" s="517">
        <v>0</v>
      </c>
      <c r="U154" s="517">
        <v>0</v>
      </c>
      <c r="V154" s="517">
        <v>0.32</v>
      </c>
      <c r="W154" s="517">
        <v>0.35</v>
      </c>
      <c r="X154" s="517">
        <v>0.42</v>
      </c>
      <c r="Y154" s="517">
        <v>0.26</v>
      </c>
      <c r="Z154" s="517">
        <v>0.23</v>
      </c>
      <c r="AA154" s="517">
        <v>0.28499999999999998</v>
      </c>
      <c r="AB154" s="517">
        <v>0</v>
      </c>
      <c r="AC154" s="517">
        <v>0</v>
      </c>
      <c r="AD154" s="517">
        <v>0</v>
      </c>
      <c r="AE154" s="517">
        <v>0</v>
      </c>
      <c r="AF154" s="517">
        <v>0</v>
      </c>
      <c r="AG154" s="517">
        <v>0</v>
      </c>
      <c r="AH154" s="517">
        <v>0</v>
      </c>
      <c r="AI154" s="517">
        <v>0</v>
      </c>
      <c r="AJ154" s="517">
        <v>0</v>
      </c>
      <c r="AK154" s="517">
        <v>0</v>
      </c>
      <c r="AL154" s="517">
        <v>0</v>
      </c>
      <c r="AM154" s="517">
        <v>0</v>
      </c>
      <c r="AN154" s="517">
        <v>0</v>
      </c>
      <c r="AO154" s="517">
        <v>0</v>
      </c>
      <c r="AP154" s="560">
        <v>0</v>
      </c>
      <c r="AQ154" s="560">
        <v>0</v>
      </c>
      <c r="AR154" s="560">
        <v>0</v>
      </c>
      <c r="AS154" s="560">
        <v>0</v>
      </c>
      <c r="AT154" s="560"/>
      <c r="AU154" s="560"/>
      <c r="AV154" s="560"/>
      <c r="AW154" s="560"/>
      <c r="AX154" s="560"/>
      <c r="AY154" s="529"/>
      <c r="AZ154" s="22"/>
    </row>
    <row r="155" spans="2:52" x14ac:dyDescent="0.2">
      <c r="B155" s="1036" t="s">
        <v>672</v>
      </c>
      <c r="C155" s="727"/>
      <c r="D155" s="1013" t="s">
        <v>50</v>
      </c>
      <c r="E155" s="395" t="s">
        <v>622</v>
      </c>
      <c r="F155" s="396"/>
      <c r="G155" s="395" t="s">
        <v>623</v>
      </c>
      <c r="H155" s="408"/>
      <c r="I155" s="407">
        <v>0</v>
      </c>
      <c r="J155" s="407">
        <v>0</v>
      </c>
      <c r="K155" s="407">
        <v>0</v>
      </c>
      <c r="L155" s="407">
        <v>0</v>
      </c>
      <c r="M155" s="407">
        <v>0</v>
      </c>
      <c r="N155" s="407">
        <v>0</v>
      </c>
      <c r="O155" s="407">
        <v>0</v>
      </c>
      <c r="P155" s="407">
        <v>0</v>
      </c>
      <c r="Q155" s="407">
        <v>0</v>
      </c>
      <c r="R155" s="407">
        <v>0</v>
      </c>
      <c r="S155" s="407">
        <v>0</v>
      </c>
      <c r="T155" s="407">
        <v>0</v>
      </c>
      <c r="U155" s="407">
        <v>0</v>
      </c>
      <c r="V155" s="407">
        <v>0</v>
      </c>
      <c r="W155" s="407">
        <v>0</v>
      </c>
      <c r="X155" s="407">
        <v>0</v>
      </c>
      <c r="Y155" s="407">
        <v>0</v>
      </c>
      <c r="Z155" s="407">
        <v>0</v>
      </c>
      <c r="AA155" s="407">
        <v>0</v>
      </c>
      <c r="AB155" s="407">
        <v>0</v>
      </c>
      <c r="AC155" s="407">
        <v>0.18</v>
      </c>
      <c r="AD155" s="407">
        <v>0.18</v>
      </c>
      <c r="AE155" s="407">
        <v>0</v>
      </c>
      <c r="AF155" s="407">
        <v>0</v>
      </c>
      <c r="AG155" s="407">
        <v>0</v>
      </c>
      <c r="AH155" s="407">
        <v>0</v>
      </c>
      <c r="AI155" s="407">
        <v>0</v>
      </c>
      <c r="AJ155" s="407">
        <v>0</v>
      </c>
      <c r="AK155" s="407">
        <v>0.18</v>
      </c>
      <c r="AL155" s="407">
        <v>0.18</v>
      </c>
      <c r="AM155" s="407">
        <v>0</v>
      </c>
      <c r="AN155" s="407">
        <v>0</v>
      </c>
      <c r="AO155" s="407">
        <v>0</v>
      </c>
      <c r="AP155" s="570">
        <v>0</v>
      </c>
      <c r="AQ155" s="570">
        <v>0</v>
      </c>
      <c r="AR155" s="570">
        <v>0</v>
      </c>
      <c r="AS155" s="570">
        <v>0</v>
      </c>
      <c r="AT155" s="570"/>
      <c r="AU155" s="570"/>
      <c r="AV155" s="570"/>
      <c r="AW155" s="570"/>
      <c r="AX155" s="570"/>
      <c r="AY155" s="529"/>
      <c r="AZ155" s="22"/>
    </row>
    <row r="156" spans="2:52" ht="18.75" x14ac:dyDescent="0.2">
      <c r="B156" s="1036" t="s">
        <v>672</v>
      </c>
      <c r="C156" s="727"/>
      <c r="D156" s="1012"/>
      <c r="E156" s="403" t="s">
        <v>624</v>
      </c>
      <c r="F156" s="404"/>
      <c r="G156" s="405"/>
      <c r="H156" s="509"/>
      <c r="I156" s="509"/>
      <c r="J156" s="509"/>
      <c r="K156" s="509"/>
      <c r="L156" s="509"/>
      <c r="M156" s="509"/>
      <c r="N156" s="509"/>
      <c r="O156" s="509"/>
      <c r="P156" s="509"/>
      <c r="Q156" s="509"/>
      <c r="R156" s="509"/>
      <c r="S156" s="509"/>
      <c r="T156" s="509"/>
      <c r="U156" s="509"/>
      <c r="V156" s="509"/>
      <c r="W156" s="509"/>
      <c r="X156" s="509"/>
      <c r="Y156" s="509"/>
      <c r="Z156" s="509"/>
      <c r="AA156" s="510"/>
      <c r="AB156" s="509"/>
      <c r="AC156" s="509"/>
      <c r="AD156" s="509"/>
      <c r="AE156" s="509"/>
      <c r="AF156" s="509"/>
      <c r="AG156" s="509"/>
      <c r="AH156" s="509"/>
      <c r="AI156" s="509"/>
      <c r="AJ156" s="509"/>
      <c r="AK156" s="509"/>
      <c r="AL156" s="509"/>
      <c r="AM156" s="509"/>
      <c r="AN156" s="509"/>
      <c r="AO156" s="509"/>
      <c r="AP156" s="509"/>
      <c r="AQ156" s="509"/>
      <c r="AR156" s="509"/>
      <c r="AS156" s="509"/>
      <c r="AT156" s="509"/>
      <c r="AU156" s="509"/>
      <c r="AV156" s="509"/>
      <c r="AW156" s="509"/>
      <c r="AX156" s="509"/>
      <c r="AY156" s="515"/>
    </row>
    <row r="157" spans="2:52" ht="25.5" x14ac:dyDescent="0.2">
      <c r="B157" s="1036" t="s">
        <v>672</v>
      </c>
      <c r="C157" s="727"/>
      <c r="D157" s="1012"/>
      <c r="E157" s="395" t="s">
        <v>625</v>
      </c>
      <c r="F157" s="396"/>
      <c r="G157" s="395" t="s">
        <v>70</v>
      </c>
      <c r="H157" s="408"/>
      <c r="I157" s="494" t="s">
        <v>183</v>
      </c>
      <c r="J157" s="494" t="s">
        <v>183</v>
      </c>
      <c r="K157" s="494" t="s">
        <v>626</v>
      </c>
      <c r="L157" s="494" t="s">
        <v>626</v>
      </c>
      <c r="M157" s="494" t="s">
        <v>183</v>
      </c>
      <c r="N157" s="494" t="s">
        <v>185</v>
      </c>
      <c r="O157" s="494" t="s">
        <v>185</v>
      </c>
      <c r="P157" s="494" t="s">
        <v>626</v>
      </c>
      <c r="Q157" s="494" t="s">
        <v>626</v>
      </c>
      <c r="R157" s="494" t="s">
        <v>626</v>
      </c>
      <c r="S157" s="494" t="s">
        <v>626</v>
      </c>
      <c r="T157" s="494" t="s">
        <v>183</v>
      </c>
      <c r="U157" s="494" t="s">
        <v>183</v>
      </c>
      <c r="V157" s="494" t="s">
        <v>627</v>
      </c>
      <c r="W157" s="494" t="s">
        <v>627</v>
      </c>
      <c r="X157" s="494" t="s">
        <v>627</v>
      </c>
      <c r="Y157" s="494" t="s">
        <v>627</v>
      </c>
      <c r="Z157" s="494" t="s">
        <v>627</v>
      </c>
      <c r="AA157" s="494" t="s">
        <v>627</v>
      </c>
      <c r="AB157" s="494" t="s">
        <v>627</v>
      </c>
      <c r="AC157" s="494" t="s">
        <v>627</v>
      </c>
      <c r="AD157" s="494" t="s">
        <v>627</v>
      </c>
      <c r="AE157" s="494" t="s">
        <v>183</v>
      </c>
      <c r="AF157" s="494" t="s">
        <v>183</v>
      </c>
      <c r="AG157" s="494" t="s">
        <v>183</v>
      </c>
      <c r="AH157" s="494" t="s">
        <v>183</v>
      </c>
      <c r="AI157" s="494" t="s">
        <v>183</v>
      </c>
      <c r="AJ157" s="494" t="s">
        <v>183</v>
      </c>
      <c r="AK157" s="494" t="s">
        <v>627</v>
      </c>
      <c r="AL157" s="494" t="s">
        <v>627</v>
      </c>
      <c r="AM157" s="494" t="s">
        <v>183</v>
      </c>
      <c r="AN157" s="494" t="s">
        <v>183</v>
      </c>
      <c r="AO157" s="494" t="s">
        <v>695</v>
      </c>
      <c r="AP157" s="560" t="s">
        <v>183</v>
      </c>
      <c r="AQ157" s="560" t="s">
        <v>183</v>
      </c>
      <c r="AR157" s="560" t="s">
        <v>695</v>
      </c>
      <c r="AS157" s="560" t="s">
        <v>696</v>
      </c>
      <c r="AT157" s="560"/>
      <c r="AU157" s="560"/>
      <c r="AV157" s="560"/>
      <c r="AW157" s="560"/>
      <c r="AX157" s="560"/>
      <c r="AY157" s="529"/>
      <c r="AZ157" s="22"/>
    </row>
    <row r="158" spans="2:52" x14ac:dyDescent="0.2">
      <c r="B158" s="1036" t="s">
        <v>672</v>
      </c>
      <c r="C158" s="727"/>
      <c r="D158" s="1012"/>
      <c r="E158" s="395" t="s">
        <v>604</v>
      </c>
      <c r="F158" s="396"/>
      <c r="G158" s="395" t="s">
        <v>70</v>
      </c>
      <c r="H158" s="408"/>
      <c r="I158" s="494" t="s">
        <v>605</v>
      </c>
      <c r="J158" s="494" t="s">
        <v>628</v>
      </c>
      <c r="K158" s="494" t="s">
        <v>156</v>
      </c>
      <c r="L158" s="494" t="s">
        <v>156</v>
      </c>
      <c r="M158" s="494" t="s">
        <v>605</v>
      </c>
      <c r="N158" s="494" t="s">
        <v>605</v>
      </c>
      <c r="O158" s="494" t="s">
        <v>605</v>
      </c>
      <c r="P158" s="494" t="s">
        <v>156</v>
      </c>
      <c r="Q158" s="494" t="s">
        <v>156</v>
      </c>
      <c r="R158" s="494" t="s">
        <v>156</v>
      </c>
      <c r="S158" s="494" t="s">
        <v>156</v>
      </c>
      <c r="T158" s="494" t="s">
        <v>605</v>
      </c>
      <c r="U158" s="494" t="s">
        <v>605</v>
      </c>
      <c r="V158" s="494" t="s">
        <v>605</v>
      </c>
      <c r="W158" s="494" t="s">
        <v>605</v>
      </c>
      <c r="X158" s="494" t="s">
        <v>605</v>
      </c>
      <c r="Y158" s="494" t="s">
        <v>605</v>
      </c>
      <c r="Z158" s="494" t="s">
        <v>605</v>
      </c>
      <c r="AA158" s="494" t="s">
        <v>605</v>
      </c>
      <c r="AB158" s="494" t="s">
        <v>605</v>
      </c>
      <c r="AC158" s="494" t="s">
        <v>605</v>
      </c>
      <c r="AD158" s="494" t="s">
        <v>605</v>
      </c>
      <c r="AE158" s="494" t="s">
        <v>605</v>
      </c>
      <c r="AF158" s="494" t="s">
        <v>605</v>
      </c>
      <c r="AG158" s="494" t="s">
        <v>605</v>
      </c>
      <c r="AH158" s="494" t="s">
        <v>605</v>
      </c>
      <c r="AI158" s="494" t="s">
        <v>605</v>
      </c>
      <c r="AJ158" s="494" t="s">
        <v>628</v>
      </c>
      <c r="AK158" s="494" t="s">
        <v>605</v>
      </c>
      <c r="AL158" s="494" t="s">
        <v>605</v>
      </c>
      <c r="AM158" s="494" t="s">
        <v>605</v>
      </c>
      <c r="AN158" s="494" t="s">
        <v>605</v>
      </c>
      <c r="AO158" s="494" t="s">
        <v>156</v>
      </c>
      <c r="AP158" s="560"/>
      <c r="AQ158" s="560"/>
      <c r="AR158" s="560" t="s">
        <v>156</v>
      </c>
      <c r="AS158" s="560" t="s">
        <v>156</v>
      </c>
      <c r="AT158" s="560"/>
      <c r="AU158" s="560"/>
      <c r="AV158" s="560"/>
      <c r="AW158" s="560"/>
      <c r="AX158" s="560"/>
      <c r="AY158" s="529"/>
      <c r="AZ158" s="22"/>
    </row>
    <row r="159" spans="2:52" x14ac:dyDescent="0.2">
      <c r="B159" s="1036" t="s">
        <v>672</v>
      </c>
      <c r="C159" s="727"/>
      <c r="D159" s="1012"/>
      <c r="E159" s="395" t="s">
        <v>616</v>
      </c>
      <c r="F159" s="396"/>
      <c r="G159" s="395" t="s">
        <v>70</v>
      </c>
      <c r="H159" s="408"/>
      <c r="I159" s="516" t="str">
        <f t="shared" ref="I159:AN159" si="35">IF(OR(I136="",I151=1,I158=""),"",IF(OR(I138&lt;&gt;gebouw),GJ,HLOOKUP(I158,ENERGIEDRAGERS,ROWS($E$221:$E$225),FALSE)))</f>
        <v/>
      </c>
      <c r="J159" s="516" t="str">
        <f t="shared" si="35"/>
        <v/>
      </c>
      <c r="K159" s="516" t="str">
        <f t="shared" si="35"/>
        <v>kWh</v>
      </c>
      <c r="L159" s="516" t="str">
        <f t="shared" si="35"/>
        <v>kWh</v>
      </c>
      <c r="M159" s="516" t="str">
        <f t="shared" si="35"/>
        <v>m3</v>
      </c>
      <c r="N159" s="516" t="str">
        <f t="shared" si="35"/>
        <v>m3</v>
      </c>
      <c r="O159" s="516" t="str">
        <f>IF(OR(O136="",O151=1,O158=""),"",IF(OR(O138&lt;&gt;gebouw),GJ,HLOOKUP(O158,ENERGIEDRAGERS,ROWS($E$221:$E$225),FALSE)))</f>
        <v>m3</v>
      </c>
      <c r="P159" s="516" t="str">
        <f t="shared" si="35"/>
        <v>kWh</v>
      </c>
      <c r="Q159" s="516" t="str">
        <f t="shared" si="35"/>
        <v>kWh</v>
      </c>
      <c r="R159" s="516" t="str">
        <f t="shared" si="35"/>
        <v>GJ</v>
      </c>
      <c r="S159" s="516" t="str">
        <f>IF(OR(S136="",S151=1,S158=""),"",IF(OR(S138&lt;&gt;gebouw),GJ,HLOOKUP(S158,ENERGIEDRAGERS,ROWS($E$221:$E$225),FALSE)))</f>
        <v>kWh</v>
      </c>
      <c r="T159" s="516" t="str">
        <f t="shared" si="35"/>
        <v/>
      </c>
      <c r="U159" s="516" t="str">
        <f t="shared" si="35"/>
        <v/>
      </c>
      <c r="V159" s="516" t="str">
        <f t="shared" si="35"/>
        <v>GJ</v>
      </c>
      <c r="W159" s="516" t="str">
        <f t="shared" si="35"/>
        <v>GJ</v>
      </c>
      <c r="X159" s="516" t="str">
        <f t="shared" si="35"/>
        <v>GJ</v>
      </c>
      <c r="Y159" s="516" t="str">
        <f t="shared" si="35"/>
        <v>GJ</v>
      </c>
      <c r="Z159" s="516" t="str">
        <f t="shared" si="35"/>
        <v>GJ</v>
      </c>
      <c r="AA159" s="516" t="str">
        <f t="shared" si="35"/>
        <v>GJ</v>
      </c>
      <c r="AB159" s="516" t="str">
        <f t="shared" si="35"/>
        <v>GJ</v>
      </c>
      <c r="AC159" s="516" t="str">
        <f t="shared" si="35"/>
        <v>GJ</v>
      </c>
      <c r="AD159" s="516" t="str">
        <f t="shared" si="35"/>
        <v>GJ</v>
      </c>
      <c r="AE159" s="516" t="str">
        <f t="shared" si="35"/>
        <v/>
      </c>
      <c r="AF159" s="516" t="str">
        <f t="shared" si="35"/>
        <v/>
      </c>
      <c r="AG159" s="516" t="str">
        <f t="shared" si="35"/>
        <v/>
      </c>
      <c r="AH159" s="516" t="str">
        <f t="shared" si="35"/>
        <v/>
      </c>
      <c r="AI159" s="516" t="str">
        <f t="shared" si="35"/>
        <v/>
      </c>
      <c r="AJ159" s="516" t="str">
        <f t="shared" si="35"/>
        <v/>
      </c>
      <c r="AK159" s="516" t="str">
        <f t="shared" si="35"/>
        <v>GJ</v>
      </c>
      <c r="AL159" s="516" t="str">
        <f t="shared" si="35"/>
        <v>GJ</v>
      </c>
      <c r="AM159" s="516" t="str">
        <f t="shared" si="35"/>
        <v/>
      </c>
      <c r="AN159" s="516" t="str">
        <f t="shared" si="35"/>
        <v/>
      </c>
      <c r="AO159" s="516" t="s">
        <v>156</v>
      </c>
      <c r="AP159" s="516" t="str">
        <f>IF(OR(AP136="",AP151=1,AP158=""),"",IF(OR(AP138&lt;&gt;gebouw),GJ,HLOOKUP(AP158,ENERGIEDRAGERS,ROWS($E$221:$E$225),FALSE)))</f>
        <v/>
      </c>
      <c r="AQ159" s="516" t="str">
        <f>IF(OR(AQ136="",AQ151=1,AQ158=""),"",IF(OR(AQ138&lt;&gt;gebouw),GJ,HLOOKUP(AQ158,ENERGIEDRAGERS,ROWS($E$221:$E$225),FALSE)))</f>
        <v/>
      </c>
      <c r="AR159" s="516" t="s">
        <v>156</v>
      </c>
      <c r="AS159" s="516" t="str">
        <f t="shared" ref="AS159:AX159" si="36">IF(OR(AS136="",AS151=1,AS158=""),"",IF(OR(AS138&lt;&gt;gebouw),GJ,HLOOKUP(AS158,ENERGIEDRAGERS,ROWS($E$221:$E$225),FALSE)))</f>
        <v>kWh</v>
      </c>
      <c r="AT159" s="516" t="str">
        <f t="shared" si="36"/>
        <v/>
      </c>
      <c r="AU159" s="516" t="str">
        <f t="shared" si="36"/>
        <v/>
      </c>
      <c r="AV159" s="516" t="str">
        <f t="shared" si="36"/>
        <v/>
      </c>
      <c r="AW159" s="516" t="str">
        <f t="shared" si="36"/>
        <v/>
      </c>
      <c r="AX159" s="516" t="str">
        <f t="shared" si="36"/>
        <v/>
      </c>
      <c r="AY159" s="529"/>
      <c r="AZ159" s="22"/>
    </row>
    <row r="160" spans="2:52" x14ac:dyDescent="0.2">
      <c r="B160" s="1036" t="s">
        <v>672</v>
      </c>
      <c r="C160" s="727"/>
      <c r="D160" s="1012"/>
      <c r="E160" s="395" t="s">
        <v>629</v>
      </c>
      <c r="F160" s="396"/>
      <c r="G160" s="395" t="s">
        <v>70</v>
      </c>
      <c r="H160" s="408"/>
      <c r="I160" s="517">
        <v>0.7</v>
      </c>
      <c r="J160" s="517">
        <v>1</v>
      </c>
      <c r="K160" s="517">
        <v>1</v>
      </c>
      <c r="L160" s="517">
        <v>1</v>
      </c>
      <c r="M160" s="517">
        <v>0.7</v>
      </c>
      <c r="N160" s="517">
        <v>0.7</v>
      </c>
      <c r="O160" s="517">
        <v>0.8</v>
      </c>
      <c r="P160" s="517">
        <v>1</v>
      </c>
      <c r="Q160" s="517">
        <v>1</v>
      </c>
      <c r="R160" s="517">
        <v>1</v>
      </c>
      <c r="S160" s="517">
        <v>1</v>
      </c>
      <c r="T160" s="517">
        <v>0.7</v>
      </c>
      <c r="U160" s="517">
        <v>0.8</v>
      </c>
      <c r="V160" s="517">
        <v>0.8</v>
      </c>
      <c r="W160" s="517">
        <v>0.8</v>
      </c>
      <c r="X160" s="517">
        <v>0.8</v>
      </c>
      <c r="Y160" s="517">
        <v>0.8</v>
      </c>
      <c r="Z160" s="517">
        <v>0.8</v>
      </c>
      <c r="AA160" s="517">
        <v>0.8</v>
      </c>
      <c r="AB160" s="517">
        <v>0.8</v>
      </c>
      <c r="AC160" s="517">
        <v>0.8</v>
      </c>
      <c r="AD160" s="517">
        <v>0.8</v>
      </c>
      <c r="AE160" s="517">
        <v>0.8</v>
      </c>
      <c r="AF160" s="517">
        <v>0.55000000000000004</v>
      </c>
      <c r="AG160" s="517">
        <v>0.66</v>
      </c>
      <c r="AH160" s="517">
        <v>0.94</v>
      </c>
      <c r="AI160" s="517">
        <v>0.7</v>
      </c>
      <c r="AJ160" s="517">
        <v>1</v>
      </c>
      <c r="AK160" s="517">
        <v>0.8</v>
      </c>
      <c r="AL160" s="517">
        <v>0.8</v>
      </c>
      <c r="AM160" s="517">
        <v>0.7</v>
      </c>
      <c r="AN160" s="517">
        <v>0.7</v>
      </c>
      <c r="AO160" s="517">
        <v>3.5</v>
      </c>
      <c r="AP160" s="560"/>
      <c r="AQ160" s="560"/>
      <c r="AR160" s="560">
        <v>4</v>
      </c>
      <c r="AS160" s="560">
        <v>1</v>
      </c>
      <c r="AT160" s="560"/>
      <c r="AU160" s="560"/>
      <c r="AV160" s="560"/>
      <c r="AW160" s="560"/>
      <c r="AX160" s="560"/>
      <c r="AY160" s="529"/>
      <c r="AZ160" s="22"/>
    </row>
    <row r="161" spans="1:54" ht="18.75" x14ac:dyDescent="0.2">
      <c r="B161" s="1036" t="s">
        <v>672</v>
      </c>
      <c r="C161" s="727"/>
      <c r="D161" s="1012"/>
      <c r="E161" s="403" t="s">
        <v>645</v>
      </c>
      <c r="F161" s="404"/>
      <c r="G161" s="405"/>
      <c r="H161" s="509"/>
      <c r="I161" s="509"/>
      <c r="J161" s="509"/>
      <c r="K161" s="509"/>
      <c r="L161" s="509"/>
      <c r="M161" s="509"/>
      <c r="N161" s="509"/>
      <c r="O161" s="509"/>
      <c r="P161" s="509"/>
      <c r="Q161" s="509"/>
      <c r="R161" s="509"/>
      <c r="S161" s="509"/>
      <c r="T161" s="509"/>
      <c r="U161" s="509"/>
      <c r="V161" s="509"/>
      <c r="W161" s="509"/>
      <c r="X161" s="509"/>
      <c r="Y161" s="509"/>
      <c r="Z161" s="509"/>
      <c r="AA161" s="510"/>
      <c r="AB161" s="509"/>
      <c r="AC161" s="509"/>
      <c r="AD161" s="509"/>
      <c r="AE161" s="509"/>
      <c r="AF161" s="509"/>
      <c r="AG161" s="509"/>
      <c r="AH161" s="509"/>
      <c r="AI161" s="509"/>
      <c r="AJ161" s="509"/>
      <c r="AK161" s="509"/>
      <c r="AL161" s="509"/>
      <c r="AM161" s="509"/>
      <c r="AN161" s="509"/>
      <c r="AO161" s="509"/>
      <c r="AP161" s="509"/>
      <c r="AQ161" s="509"/>
      <c r="AR161" s="509"/>
      <c r="AS161" s="509"/>
      <c r="AT161" s="509"/>
      <c r="AU161" s="509"/>
      <c r="AV161" s="509"/>
      <c r="AW161" s="509"/>
      <c r="AX161" s="509"/>
      <c r="AY161" s="515"/>
      <c r="AZ161" s="22"/>
    </row>
    <row r="162" spans="1:54" x14ac:dyDescent="0.2">
      <c r="B162" s="1036" t="s">
        <v>672</v>
      </c>
      <c r="C162" s="727"/>
      <c r="D162" s="1012"/>
      <c r="E162" s="395" t="s">
        <v>646</v>
      </c>
      <c r="F162" s="396"/>
      <c r="G162" s="395" t="s">
        <v>623</v>
      </c>
      <c r="H162" s="408"/>
      <c r="I162" s="572">
        <v>0</v>
      </c>
      <c r="J162" s="572">
        <v>0</v>
      </c>
      <c r="K162" s="572">
        <v>7.1999999999999998E-3</v>
      </c>
      <c r="L162" s="572">
        <v>0</v>
      </c>
      <c r="M162" s="572">
        <v>7.1999999999999998E-3</v>
      </c>
      <c r="N162" s="572">
        <v>0</v>
      </c>
      <c r="O162" s="572">
        <v>0</v>
      </c>
      <c r="P162" s="572">
        <v>0</v>
      </c>
      <c r="Q162" s="572">
        <v>4.0000000000000001E-3</v>
      </c>
      <c r="R162" s="572">
        <v>7.1999999999999998E-3</v>
      </c>
      <c r="S162" s="572">
        <v>7.1999999999999998E-3</v>
      </c>
      <c r="T162" s="572">
        <v>0</v>
      </c>
      <c r="U162" s="572">
        <v>7.1999999999999998E-3</v>
      </c>
      <c r="V162" s="572">
        <v>7.1999999999999998E-3</v>
      </c>
      <c r="W162" s="572">
        <v>7.1999999999999998E-3</v>
      </c>
      <c r="X162" s="572">
        <v>7.1999999999999998E-3</v>
      </c>
      <c r="Y162" s="572">
        <v>7.1999999999999998E-3</v>
      </c>
      <c r="Z162" s="572">
        <v>7.1999999999999998E-3</v>
      </c>
      <c r="AA162" s="572">
        <v>7.1999999999999998E-3</v>
      </c>
      <c r="AB162" s="572">
        <v>7.1999999999999998E-3</v>
      </c>
      <c r="AC162" s="572">
        <v>7.1999999999999998E-3</v>
      </c>
      <c r="AD162" s="572">
        <v>7.1999999999999998E-3</v>
      </c>
      <c r="AE162" s="572">
        <v>7.1999999999999998E-3</v>
      </c>
      <c r="AF162" s="572">
        <v>0</v>
      </c>
      <c r="AG162" s="572">
        <v>0</v>
      </c>
      <c r="AH162" s="572">
        <v>7.1999999999999998E-3</v>
      </c>
      <c r="AI162" s="572">
        <v>0</v>
      </c>
      <c r="AJ162" s="572">
        <v>0</v>
      </c>
      <c r="AK162" s="572">
        <v>7.1999999999999998E-3</v>
      </c>
      <c r="AL162" s="572">
        <v>7.1999999999999998E-3</v>
      </c>
      <c r="AM162" s="572">
        <v>7.1999999999999998E-3</v>
      </c>
      <c r="AN162" s="572">
        <v>7.1999999999999998E-3</v>
      </c>
      <c r="AO162" s="572">
        <v>0</v>
      </c>
      <c r="AP162" s="568">
        <v>0</v>
      </c>
      <c r="AQ162" s="568">
        <v>0</v>
      </c>
      <c r="AR162" s="568">
        <v>0</v>
      </c>
      <c r="AS162" s="568">
        <v>0</v>
      </c>
      <c r="AT162" s="568"/>
      <c r="AU162" s="568"/>
      <c r="AV162" s="568"/>
      <c r="AW162" s="568"/>
      <c r="AX162" s="568"/>
      <c r="AY162" s="529"/>
      <c r="AZ162" s="22"/>
    </row>
    <row r="163" spans="1:54" x14ac:dyDescent="0.2">
      <c r="B163" s="1036" t="s">
        <v>672</v>
      </c>
      <c r="C163" s="727"/>
      <c r="D163" s="1013"/>
      <c r="E163" s="395" t="s">
        <v>647</v>
      </c>
      <c r="F163" s="396"/>
      <c r="G163" s="395" t="s">
        <v>623</v>
      </c>
      <c r="H163" s="408"/>
      <c r="I163" s="573">
        <v>0</v>
      </c>
      <c r="J163" s="573">
        <v>0</v>
      </c>
      <c r="K163" s="573">
        <v>4.4999999999999998E-2</v>
      </c>
      <c r="L163" s="573">
        <v>4.4999999999999998E-2</v>
      </c>
      <c r="M163" s="573">
        <v>4.4999999999999998E-2</v>
      </c>
      <c r="N163" s="573">
        <v>0</v>
      </c>
      <c r="O163" s="573">
        <v>0</v>
      </c>
      <c r="P163" s="573">
        <v>0</v>
      </c>
      <c r="Q163" s="573">
        <v>4.4999999999999998E-2</v>
      </c>
      <c r="R163" s="573">
        <v>4.4999999999999998E-2</v>
      </c>
      <c r="S163" s="573">
        <v>4.4999999999999998E-2</v>
      </c>
      <c r="T163" s="573">
        <v>0</v>
      </c>
      <c r="U163" s="573">
        <v>0</v>
      </c>
      <c r="V163" s="573">
        <v>0</v>
      </c>
      <c r="W163" s="573">
        <v>0</v>
      </c>
      <c r="X163" s="573">
        <v>0</v>
      </c>
      <c r="Y163" s="573">
        <v>0</v>
      </c>
      <c r="Z163" s="573">
        <v>0</v>
      </c>
      <c r="AA163" s="573">
        <v>0</v>
      </c>
      <c r="AB163" s="573">
        <v>0</v>
      </c>
      <c r="AC163" s="573">
        <v>0</v>
      </c>
      <c r="AD163" s="573">
        <v>0</v>
      </c>
      <c r="AE163" s="573">
        <v>0</v>
      </c>
      <c r="AF163" s="573">
        <v>0</v>
      </c>
      <c r="AG163" s="573">
        <v>0</v>
      </c>
      <c r="AH163" s="573">
        <v>0</v>
      </c>
      <c r="AI163" s="573">
        <v>0</v>
      </c>
      <c r="AJ163" s="573">
        <v>0</v>
      </c>
      <c r="AK163" s="573">
        <v>0</v>
      </c>
      <c r="AL163" s="573">
        <v>0</v>
      </c>
      <c r="AM163" s="573">
        <v>0</v>
      </c>
      <c r="AN163" s="573">
        <v>0</v>
      </c>
      <c r="AO163" s="573">
        <v>0</v>
      </c>
      <c r="AP163" s="560">
        <v>0</v>
      </c>
      <c r="AQ163" s="560">
        <v>0</v>
      </c>
      <c r="AR163" s="560">
        <v>0</v>
      </c>
      <c r="AS163" s="560">
        <v>0</v>
      </c>
      <c r="AT163" s="560"/>
      <c r="AU163" s="560"/>
      <c r="AV163" s="560"/>
      <c r="AW163" s="560"/>
      <c r="AX163" s="560"/>
      <c r="AY163" s="529"/>
      <c r="AZ163" s="22"/>
    </row>
    <row r="164" spans="1:54" ht="63.75" x14ac:dyDescent="0.2">
      <c r="B164" s="1036" t="s">
        <v>672</v>
      </c>
      <c r="C164" s="727"/>
      <c r="D164" s="1013"/>
      <c r="E164" s="531" t="s">
        <v>697</v>
      </c>
      <c r="F164" s="532"/>
      <c r="G164" s="531" t="s">
        <v>70</v>
      </c>
      <c r="H164" s="533"/>
      <c r="I164" s="521" t="s">
        <v>698</v>
      </c>
      <c r="J164" s="521" t="s">
        <v>699</v>
      </c>
      <c r="K164" s="521" t="s">
        <v>699</v>
      </c>
      <c r="L164" s="521" t="s">
        <v>699</v>
      </c>
      <c r="M164" s="521" t="s">
        <v>699</v>
      </c>
      <c r="N164" s="521" t="s">
        <v>699</v>
      </c>
      <c r="O164" s="521" t="s">
        <v>1136</v>
      </c>
      <c r="P164" s="521" t="s">
        <v>699</v>
      </c>
      <c r="Q164" s="521" t="s">
        <v>699</v>
      </c>
      <c r="R164" s="521" t="s">
        <v>699</v>
      </c>
      <c r="S164" s="521" t="s">
        <v>699</v>
      </c>
      <c r="T164" s="521" t="s">
        <v>700</v>
      </c>
      <c r="U164" s="521" t="s">
        <v>651</v>
      </c>
      <c r="V164" s="521" t="s">
        <v>652</v>
      </c>
      <c r="W164" s="521" t="s">
        <v>652</v>
      </c>
      <c r="X164" s="521" t="s">
        <v>653</v>
      </c>
      <c r="Y164" s="521" t="s">
        <v>653</v>
      </c>
      <c r="Z164" s="521" t="s">
        <v>653</v>
      </c>
      <c r="AA164" s="521" t="s">
        <v>653</v>
      </c>
      <c r="AB164" s="521" t="s">
        <v>701</v>
      </c>
      <c r="AC164" s="521" t="s">
        <v>655</v>
      </c>
      <c r="AD164" s="521" t="s">
        <v>655</v>
      </c>
      <c r="AE164" s="521" t="s">
        <v>656</v>
      </c>
      <c r="AF164" s="521" t="s">
        <v>698</v>
      </c>
      <c r="AG164" s="521" t="s">
        <v>698</v>
      </c>
      <c r="AH164" s="521" t="s">
        <v>702</v>
      </c>
      <c r="AI164" s="521" t="s">
        <v>699</v>
      </c>
      <c r="AJ164" s="521" t="s">
        <v>703</v>
      </c>
      <c r="AK164" s="521" t="s">
        <v>655</v>
      </c>
      <c r="AL164" s="521" t="s">
        <v>655</v>
      </c>
      <c r="AM164" s="521"/>
      <c r="AN164" s="521"/>
      <c r="AO164" s="521"/>
      <c r="AP164" s="564" t="s">
        <v>658</v>
      </c>
      <c r="AQ164" s="564" t="s">
        <v>658</v>
      </c>
      <c r="AR164" s="564"/>
      <c r="AS164" s="564"/>
      <c r="AT164" s="564"/>
      <c r="AU164" s="564"/>
      <c r="AV164" s="564"/>
      <c r="AW164" s="564"/>
      <c r="AX164" s="564"/>
      <c r="AY164" s="533"/>
      <c r="AZ164" s="22"/>
    </row>
    <row r="165" spans="1:54" x14ac:dyDescent="0.2">
      <c r="B165" s="1036" t="s">
        <v>672</v>
      </c>
      <c r="C165" s="727"/>
      <c r="D165" s="1012"/>
      <c r="E165" s="5"/>
      <c r="F165" s="5"/>
      <c r="G165" s="5"/>
      <c r="H165" s="16"/>
      <c r="I165" s="16"/>
      <c r="J165" s="16"/>
      <c r="K165" s="16"/>
      <c r="L165" s="16"/>
      <c r="M165" s="16"/>
      <c r="N165" s="16"/>
      <c r="O165" s="16"/>
      <c r="P165" s="16"/>
      <c r="Q165" s="16"/>
      <c r="R165" s="16"/>
      <c r="S165" s="16"/>
      <c r="T165" s="16"/>
      <c r="U165" s="16"/>
      <c r="V165" s="16"/>
      <c r="W165" s="16"/>
      <c r="X165" s="16"/>
      <c r="Y165" s="20"/>
      <c r="Z165" s="5"/>
      <c r="AA165" s="5"/>
      <c r="AB165" s="5"/>
      <c r="AC165" s="5"/>
      <c r="AD165" s="5"/>
      <c r="AE165" s="5"/>
      <c r="AF165" s="5"/>
      <c r="AG165" s="5"/>
      <c r="AH165" s="5"/>
      <c r="AI165" s="5"/>
      <c r="AJ165" s="5"/>
      <c r="AK165" s="5"/>
      <c r="AL165" s="5"/>
      <c r="AM165" s="5"/>
      <c r="AN165" s="5"/>
      <c r="AO165" s="5"/>
      <c r="AP165" s="5"/>
      <c r="AQ165" s="5"/>
      <c r="AR165" s="5"/>
      <c r="AS165" s="22"/>
    </row>
    <row r="166" spans="1:54" x14ac:dyDescent="0.2">
      <c r="B166" s="1036" t="s">
        <v>704</v>
      </c>
      <c r="C166" s="727"/>
      <c r="D166" s="1012"/>
      <c r="E166" s="5"/>
      <c r="F166" s="5"/>
      <c r="G166" s="5"/>
      <c r="H166" s="16"/>
      <c r="I166" s="16"/>
      <c r="J166" s="16"/>
      <c r="K166" s="16"/>
      <c r="L166" s="16"/>
      <c r="M166" s="16"/>
      <c r="N166" s="16"/>
      <c r="O166" s="16"/>
      <c r="P166" s="16"/>
      <c r="Q166" s="16"/>
      <c r="R166" s="16"/>
      <c r="S166" s="16"/>
      <c r="T166" s="16"/>
      <c r="U166" s="16"/>
      <c r="V166" s="16"/>
      <c r="W166" s="16"/>
      <c r="X166" s="16"/>
      <c r="Y166" s="20"/>
      <c r="Z166" s="5"/>
      <c r="AA166" s="5"/>
      <c r="AB166" s="5"/>
      <c r="AC166" s="5"/>
      <c r="AD166" s="5"/>
      <c r="AE166" s="5"/>
      <c r="AF166" s="5"/>
      <c r="AG166" s="5"/>
      <c r="AH166" s="5"/>
      <c r="AI166" s="5"/>
      <c r="AJ166" s="5"/>
      <c r="AK166" s="5"/>
      <c r="AL166" s="5"/>
      <c r="AM166" s="5"/>
      <c r="AN166" s="5"/>
      <c r="AO166" s="5"/>
      <c r="AP166" s="5"/>
      <c r="AQ166" s="5"/>
      <c r="AR166" s="5"/>
      <c r="AS166" s="22"/>
    </row>
    <row r="167" spans="1:54" ht="21" x14ac:dyDescent="0.2">
      <c r="B167" s="1036" t="s">
        <v>704</v>
      </c>
      <c r="C167" s="727"/>
      <c r="D167" s="1012"/>
      <c r="E167" s="240" t="s">
        <v>705</v>
      </c>
      <c r="F167" s="240"/>
      <c r="G167" s="240"/>
      <c r="H167" s="240"/>
      <c r="I167" s="526"/>
      <c r="J167" s="526"/>
      <c r="K167" s="526"/>
      <c r="L167" s="526"/>
      <c r="M167" s="526"/>
      <c r="N167" s="526"/>
      <c r="O167" s="526"/>
      <c r="P167" s="526"/>
      <c r="Q167" s="526"/>
      <c r="R167" s="526"/>
      <c r="S167" s="526"/>
      <c r="T167" s="526"/>
      <c r="U167" s="526"/>
      <c r="V167" s="526"/>
      <c r="W167" s="526"/>
      <c r="X167" s="526"/>
      <c r="Y167" s="526"/>
      <c r="Z167" s="526"/>
      <c r="AA167" s="526"/>
      <c r="AB167" s="526"/>
      <c r="AC167" s="526"/>
      <c r="AD167" s="5"/>
      <c r="AE167" s="5"/>
      <c r="AF167" s="5"/>
      <c r="AG167" s="5"/>
      <c r="AH167" s="5"/>
      <c r="AI167" s="5"/>
      <c r="AJ167" s="5"/>
      <c r="AK167" s="5"/>
      <c r="AL167" s="5"/>
      <c r="AM167" s="5"/>
      <c r="AN167" s="5"/>
      <c r="AO167" s="5"/>
      <c r="AP167" s="5"/>
      <c r="AQ167" s="5"/>
      <c r="AR167" s="5"/>
      <c r="AS167" s="22"/>
      <c r="AV167" s="5"/>
      <c r="AW167" s="22"/>
    </row>
    <row r="168" spans="1:54" x14ac:dyDescent="0.2">
      <c r="B168" s="1036" t="s">
        <v>704</v>
      </c>
      <c r="C168" s="727"/>
      <c r="D168" s="1013"/>
      <c r="E168" s="386" t="s">
        <v>491</v>
      </c>
      <c r="F168" s="386"/>
      <c r="G168" s="386" t="s">
        <v>423</v>
      </c>
      <c r="H168" s="387"/>
      <c r="I168" s="387">
        <f t="shared" ref="I168:AB168" ca="1" si="37">OFFSET(I168,0,-1)+1</f>
        <v>1</v>
      </c>
      <c r="J168" s="387">
        <f t="shared" ca="1" si="37"/>
        <v>2</v>
      </c>
      <c r="K168" s="387">
        <f t="shared" ca="1" si="37"/>
        <v>3</v>
      </c>
      <c r="L168" s="387">
        <f t="shared" ca="1" si="37"/>
        <v>4</v>
      </c>
      <c r="M168" s="387">
        <f t="shared" ca="1" si="37"/>
        <v>5</v>
      </c>
      <c r="N168" s="387">
        <f t="shared" ca="1" si="37"/>
        <v>6</v>
      </c>
      <c r="O168" s="387">
        <f t="shared" ca="1" si="37"/>
        <v>7</v>
      </c>
      <c r="P168" s="387">
        <f t="shared" ca="1" si="37"/>
        <v>8</v>
      </c>
      <c r="Q168" s="387">
        <f t="shared" ca="1" si="37"/>
        <v>9</v>
      </c>
      <c r="R168" s="387">
        <f t="shared" ca="1" si="37"/>
        <v>10</v>
      </c>
      <c r="S168" s="387">
        <f t="shared" ca="1" si="37"/>
        <v>11</v>
      </c>
      <c r="T168" s="387">
        <f t="shared" ca="1" si="37"/>
        <v>12</v>
      </c>
      <c r="U168" s="387">
        <f t="shared" ca="1" si="37"/>
        <v>13</v>
      </c>
      <c r="V168" s="387">
        <f t="shared" ca="1" si="37"/>
        <v>14</v>
      </c>
      <c r="W168" s="387">
        <f t="shared" ca="1" si="37"/>
        <v>15</v>
      </c>
      <c r="X168" s="387">
        <f t="shared" ca="1" si="37"/>
        <v>16</v>
      </c>
      <c r="Y168" s="387">
        <f t="shared" ca="1" si="37"/>
        <v>17</v>
      </c>
      <c r="Z168" s="387">
        <f t="shared" ca="1" si="37"/>
        <v>18</v>
      </c>
      <c r="AA168" s="387">
        <f t="shared" ca="1" si="37"/>
        <v>19</v>
      </c>
      <c r="AB168" s="387">
        <f t="shared" ca="1" si="37"/>
        <v>20</v>
      </c>
      <c r="AC168" s="387"/>
      <c r="AD168" s="5"/>
      <c r="AE168" s="5"/>
      <c r="AF168" s="5"/>
      <c r="AG168" s="5"/>
      <c r="AH168" s="5"/>
      <c r="AI168" s="5"/>
      <c r="AJ168" s="5"/>
      <c r="AK168" s="5"/>
      <c r="AL168" s="5"/>
      <c r="AM168" s="5"/>
      <c r="AN168" s="5"/>
      <c r="AO168" s="5"/>
      <c r="AP168" s="5"/>
      <c r="AQ168" s="5"/>
      <c r="AR168" s="5"/>
      <c r="AS168" s="22"/>
      <c r="AV168" s="5"/>
      <c r="AW168" s="22"/>
    </row>
    <row r="169" spans="1:54" s="2" customFormat="1" ht="18.75" x14ac:dyDescent="0.2">
      <c r="A169" s="309"/>
      <c r="B169" s="1036" t="s">
        <v>704</v>
      </c>
      <c r="C169" s="727"/>
      <c r="D169" s="1015"/>
      <c r="E169" s="403" t="s">
        <v>556</v>
      </c>
      <c r="F169" s="404"/>
      <c r="G169" s="403"/>
      <c r="H169" s="511"/>
      <c r="I169" s="527"/>
      <c r="J169" s="527"/>
      <c r="K169" s="527"/>
      <c r="L169" s="527"/>
      <c r="M169" s="527"/>
      <c r="N169" s="527"/>
      <c r="O169" s="527"/>
      <c r="P169" s="527"/>
      <c r="Q169" s="527"/>
      <c r="R169" s="527"/>
      <c r="S169" s="527"/>
      <c r="T169" s="688" t="s">
        <v>557</v>
      </c>
      <c r="U169" s="688" t="s">
        <v>557</v>
      </c>
      <c r="V169" s="688" t="s">
        <v>557</v>
      </c>
      <c r="W169" s="688" t="s">
        <v>557</v>
      </c>
      <c r="X169" s="688" t="s">
        <v>557</v>
      </c>
      <c r="Y169" s="688" t="s">
        <v>557</v>
      </c>
      <c r="Z169" s="688" t="s">
        <v>557</v>
      </c>
      <c r="AA169" s="688" t="s">
        <v>557</v>
      </c>
      <c r="AB169" s="688" t="s">
        <v>557</v>
      </c>
      <c r="AC169" s="528"/>
      <c r="AD169" s="5"/>
      <c r="AE169" s="5"/>
      <c r="AF169" s="5"/>
      <c r="AG169" s="5"/>
      <c r="AH169" s="5"/>
      <c r="AI169" s="5"/>
      <c r="AJ169" s="5"/>
      <c r="AK169" s="5"/>
      <c r="AL169" s="5"/>
      <c r="AM169" s="5"/>
      <c r="AN169" s="5"/>
      <c r="AO169" s="5"/>
      <c r="AP169" s="5"/>
      <c r="AQ169" s="5"/>
      <c r="AR169" s="5"/>
      <c r="AS169" s="22"/>
      <c r="AT169"/>
      <c r="AU169"/>
      <c r="AV169" s="5"/>
      <c r="AW169" s="22"/>
      <c r="AX169"/>
      <c r="AY169"/>
      <c r="AZ169"/>
      <c r="BA169"/>
      <c r="BB169"/>
    </row>
    <row r="170" spans="1:54" ht="51" x14ac:dyDescent="0.2">
      <c r="B170" s="1036" t="s">
        <v>704</v>
      </c>
      <c r="C170" s="727"/>
      <c r="D170" s="1012"/>
      <c r="E170" s="395" t="s">
        <v>558</v>
      </c>
      <c r="F170" s="396"/>
      <c r="G170" s="395" t="s">
        <v>70</v>
      </c>
      <c r="H170" s="408"/>
      <c r="I170" s="494" t="s">
        <v>706</v>
      </c>
      <c r="J170" s="522" t="s">
        <v>183</v>
      </c>
      <c r="K170" s="522" t="s">
        <v>707</v>
      </c>
      <c r="L170" s="522" t="s">
        <v>708</v>
      </c>
      <c r="M170" s="522" t="s">
        <v>709</v>
      </c>
      <c r="N170" s="522" t="s">
        <v>710</v>
      </c>
      <c r="O170" s="522" t="s">
        <v>711</v>
      </c>
      <c r="P170" s="522" t="s">
        <v>712</v>
      </c>
      <c r="Q170" s="522" t="s">
        <v>713</v>
      </c>
      <c r="R170" s="522" t="s">
        <v>714</v>
      </c>
      <c r="S170" s="522" t="s">
        <v>715</v>
      </c>
      <c r="T170" s="574"/>
      <c r="U170" s="575"/>
      <c r="V170" s="575"/>
      <c r="W170" s="575"/>
      <c r="X170" s="575"/>
      <c r="Y170" s="575"/>
      <c r="Z170" s="575"/>
      <c r="AA170" s="575"/>
      <c r="AB170" s="575"/>
      <c r="AC170" s="529"/>
      <c r="AD170" s="16"/>
      <c r="AE170" s="16"/>
      <c r="AF170" s="16"/>
      <c r="AG170" s="16"/>
      <c r="AH170" s="16"/>
      <c r="AI170" s="5"/>
      <c r="AJ170" s="5"/>
      <c r="AK170" s="5"/>
      <c r="AL170" s="5"/>
      <c r="AM170" s="5"/>
      <c r="AN170" s="5"/>
      <c r="AO170" s="5"/>
      <c r="AP170" s="5"/>
      <c r="AQ170" s="5"/>
      <c r="AR170" s="5"/>
      <c r="AS170" s="22"/>
      <c r="AV170" s="5"/>
      <c r="AW170" s="22"/>
    </row>
    <row r="171" spans="1:54" x14ac:dyDescent="0.2">
      <c r="B171" s="1036" t="s">
        <v>704</v>
      </c>
      <c r="C171" s="727"/>
      <c r="D171" s="1012"/>
      <c r="E171" s="395" t="s">
        <v>587</v>
      </c>
      <c r="F171" s="396"/>
      <c r="G171" s="512"/>
      <c r="H171" s="408"/>
      <c r="I171" s="513"/>
      <c r="J171" s="513"/>
      <c r="K171" s="513"/>
      <c r="L171" s="513"/>
      <c r="M171" s="513"/>
      <c r="N171" s="513"/>
      <c r="O171" s="513"/>
      <c r="P171" s="513"/>
      <c r="Q171" s="513"/>
      <c r="R171" s="513"/>
      <c r="S171" s="513"/>
      <c r="T171" s="576"/>
      <c r="U171" s="577"/>
      <c r="V171" s="577"/>
      <c r="W171" s="577"/>
      <c r="X171" s="577"/>
      <c r="Y171" s="577"/>
      <c r="Z171" s="577"/>
      <c r="AA171" s="577"/>
      <c r="AB171" s="577"/>
      <c r="AC171" s="408"/>
      <c r="AD171" s="16"/>
      <c r="AE171" s="16"/>
      <c r="AF171" s="16"/>
      <c r="AG171" s="16"/>
      <c r="AH171" s="16"/>
      <c r="AI171" s="5"/>
      <c r="AJ171" s="5"/>
      <c r="AK171" s="5"/>
      <c r="AL171" s="5"/>
      <c r="AM171" s="5"/>
      <c r="AN171" s="5"/>
      <c r="AO171" s="5"/>
      <c r="AP171" s="5"/>
      <c r="AQ171" s="5"/>
      <c r="AR171" s="5"/>
      <c r="AS171" s="22"/>
      <c r="AV171" s="5"/>
      <c r="AW171" s="22"/>
    </row>
    <row r="172" spans="1:54" s="2" customFormat="1" x14ac:dyDescent="0.2">
      <c r="A172" s="309"/>
      <c r="B172" s="1036" t="s">
        <v>704</v>
      </c>
      <c r="C172" s="728"/>
      <c r="D172" s="1013" t="s">
        <v>50</v>
      </c>
      <c r="E172" s="246" t="s">
        <v>589</v>
      </c>
      <c r="F172" s="548"/>
      <c r="G172" s="246"/>
      <c r="H172" s="549"/>
      <c r="I172" s="589" t="s">
        <v>590</v>
      </c>
      <c r="J172" s="589" t="s">
        <v>590</v>
      </c>
      <c r="K172" s="589" t="s">
        <v>590</v>
      </c>
      <c r="L172" s="589" t="s">
        <v>590</v>
      </c>
      <c r="M172" s="589" t="s">
        <v>590</v>
      </c>
      <c r="N172" s="589" t="s">
        <v>590</v>
      </c>
      <c r="O172" s="589" t="s">
        <v>590</v>
      </c>
      <c r="P172" s="589" t="s">
        <v>590</v>
      </c>
      <c r="Q172" s="589" t="s">
        <v>590</v>
      </c>
      <c r="R172" s="589" t="s">
        <v>590</v>
      </c>
      <c r="S172" s="589" t="s">
        <v>590</v>
      </c>
      <c r="T172" s="579"/>
      <c r="U172" s="579"/>
      <c r="V172" s="579"/>
      <c r="W172" s="579"/>
      <c r="X172" s="579"/>
      <c r="Y172" s="579"/>
      <c r="Z172" s="579"/>
      <c r="AA172" s="579"/>
      <c r="AB172" s="579"/>
      <c r="AC172" s="549"/>
      <c r="AD172" s="16"/>
      <c r="AE172" s="9"/>
      <c r="AF172" s="9"/>
      <c r="AG172" s="9"/>
      <c r="AH172" s="9"/>
      <c r="AI172" s="4"/>
      <c r="AJ172" s="4"/>
      <c r="AK172" s="4"/>
      <c r="AL172" s="4"/>
      <c r="AM172" s="4"/>
      <c r="AN172" s="4"/>
      <c r="AO172" s="4"/>
      <c r="AP172" s="4"/>
      <c r="AQ172" s="4"/>
      <c r="AR172" s="4"/>
      <c r="AS172" s="22"/>
      <c r="AT172" s="4"/>
      <c r="AU172" s="4"/>
      <c r="AV172" s="4"/>
      <c r="AW172" s="580"/>
    </row>
    <row r="173" spans="1:54" s="2" customFormat="1" x14ac:dyDescent="0.2">
      <c r="A173" s="309"/>
      <c r="B173" s="1036" t="s">
        <v>704</v>
      </c>
      <c r="C173" s="728"/>
      <c r="D173" s="1015"/>
      <c r="E173" s="246" t="s">
        <v>593</v>
      </c>
      <c r="F173" s="548"/>
      <c r="G173" s="246" t="s">
        <v>70</v>
      </c>
      <c r="H173" s="549"/>
      <c r="I173" s="589">
        <v>0</v>
      </c>
      <c r="J173" s="589">
        <v>0</v>
      </c>
      <c r="K173" s="589">
        <v>0</v>
      </c>
      <c r="L173" s="589">
        <v>0</v>
      </c>
      <c r="M173" s="589">
        <v>0</v>
      </c>
      <c r="N173" s="589">
        <v>0</v>
      </c>
      <c r="O173" s="589">
        <v>0</v>
      </c>
      <c r="P173" s="589">
        <v>1</v>
      </c>
      <c r="Q173" s="589">
        <v>0</v>
      </c>
      <c r="R173" s="589">
        <v>0</v>
      </c>
      <c r="S173" s="589">
        <v>0</v>
      </c>
      <c r="T173" s="590"/>
      <c r="U173" s="590"/>
      <c r="V173" s="590"/>
      <c r="W173" s="590"/>
      <c r="X173" s="590"/>
      <c r="Y173" s="590"/>
      <c r="Z173" s="590"/>
      <c r="AA173" s="590"/>
      <c r="AB173" s="590"/>
      <c r="AC173" s="549"/>
      <c r="AD173" s="16"/>
      <c r="AE173" s="9"/>
      <c r="AF173" s="9"/>
      <c r="AG173" s="9"/>
      <c r="AH173" s="9"/>
      <c r="AI173" s="4"/>
      <c r="AJ173" s="4"/>
      <c r="AK173" s="4"/>
      <c r="AL173" s="4"/>
      <c r="AM173" s="4"/>
      <c r="AN173" s="4"/>
      <c r="AO173" s="4"/>
      <c r="AP173" s="4"/>
      <c r="AQ173" s="4"/>
      <c r="AR173" s="4"/>
      <c r="AS173" s="580"/>
      <c r="AT173" s="4"/>
      <c r="AU173" s="4"/>
      <c r="AV173" s="4"/>
      <c r="AW173" s="580"/>
    </row>
    <row r="174" spans="1:54" s="2" customFormat="1" x14ac:dyDescent="0.2">
      <c r="A174" s="309"/>
      <c r="B174" s="1036" t="s">
        <v>704</v>
      </c>
      <c r="C174" s="728"/>
      <c r="D174" s="1015"/>
      <c r="E174" s="246" t="s">
        <v>594</v>
      </c>
      <c r="F174" s="548"/>
      <c r="G174" s="246" t="s">
        <v>70</v>
      </c>
      <c r="H174" s="549"/>
      <c r="I174" s="589">
        <v>0</v>
      </c>
      <c r="J174" s="589">
        <v>0</v>
      </c>
      <c r="K174" s="589">
        <v>0</v>
      </c>
      <c r="L174" s="589">
        <v>0</v>
      </c>
      <c r="M174" s="589">
        <v>1</v>
      </c>
      <c r="N174" s="589">
        <v>1</v>
      </c>
      <c r="O174" s="589">
        <v>1</v>
      </c>
      <c r="P174" s="589">
        <v>0</v>
      </c>
      <c r="Q174" s="589">
        <v>0</v>
      </c>
      <c r="R174" s="589">
        <v>0</v>
      </c>
      <c r="S174" s="589">
        <v>0</v>
      </c>
      <c r="T174" s="590"/>
      <c r="U174" s="590"/>
      <c r="V174" s="590"/>
      <c r="W174" s="590"/>
      <c r="X174" s="590"/>
      <c r="Y174" s="590"/>
      <c r="Z174" s="590"/>
      <c r="AA174" s="590"/>
      <c r="AB174" s="590"/>
      <c r="AC174" s="549"/>
      <c r="AD174" s="16"/>
      <c r="AE174" s="9"/>
      <c r="AF174" s="9"/>
      <c r="AG174" s="9"/>
      <c r="AH174" s="9"/>
      <c r="AI174" s="4"/>
      <c r="AJ174" s="4"/>
      <c r="AK174" s="4"/>
      <c r="AL174" s="4"/>
      <c r="AM174" s="4"/>
      <c r="AN174" s="4"/>
      <c r="AO174" s="4"/>
      <c r="AP174" s="4"/>
      <c r="AQ174" s="4"/>
      <c r="AR174" s="4"/>
      <c r="AS174" s="580"/>
      <c r="AT174" s="4"/>
      <c r="AU174" s="4"/>
      <c r="AV174" s="4"/>
      <c r="AW174" s="580"/>
    </row>
    <row r="175" spans="1:54" s="2" customFormat="1" x14ac:dyDescent="0.2">
      <c r="A175" s="309"/>
      <c r="B175" s="1036" t="s">
        <v>704</v>
      </c>
      <c r="C175" s="728"/>
      <c r="D175" s="1015"/>
      <c r="E175" s="246" t="s">
        <v>716</v>
      </c>
      <c r="F175" s="548"/>
      <c r="G175" s="246" t="s">
        <v>70</v>
      </c>
      <c r="H175" s="549"/>
      <c r="I175" s="589">
        <v>0</v>
      </c>
      <c r="J175" s="589">
        <v>0</v>
      </c>
      <c r="K175" s="589">
        <v>0</v>
      </c>
      <c r="L175" s="589">
        <v>0</v>
      </c>
      <c r="M175" s="589">
        <v>0</v>
      </c>
      <c r="N175" s="589">
        <v>0</v>
      </c>
      <c r="O175" s="589">
        <v>1</v>
      </c>
      <c r="P175" s="589">
        <v>0</v>
      </c>
      <c r="Q175" s="589">
        <v>0</v>
      </c>
      <c r="R175" s="589">
        <v>0</v>
      </c>
      <c r="S175" s="589">
        <v>0</v>
      </c>
      <c r="T175" s="590"/>
      <c r="U175" s="590"/>
      <c r="V175" s="590"/>
      <c r="W175" s="590"/>
      <c r="X175" s="590"/>
      <c r="Y175" s="590"/>
      <c r="Z175" s="590"/>
      <c r="AA175" s="590"/>
      <c r="AB175" s="590"/>
      <c r="AC175" s="549"/>
      <c r="AD175" s="16"/>
      <c r="AE175" s="9"/>
      <c r="AF175" s="9"/>
      <c r="AG175" s="9"/>
      <c r="AH175" s="9"/>
      <c r="AI175" s="4"/>
      <c r="AJ175" s="4"/>
      <c r="AK175" s="4"/>
      <c r="AL175" s="4"/>
      <c r="AM175" s="4"/>
      <c r="AN175" s="4"/>
      <c r="AO175" s="4"/>
      <c r="AP175" s="4"/>
      <c r="AQ175" s="4"/>
      <c r="AR175" s="4"/>
      <c r="AS175" s="580"/>
      <c r="AT175" s="4"/>
      <c r="AU175" s="4"/>
      <c r="AV175" s="4"/>
      <c r="AW175" s="580"/>
    </row>
    <row r="176" spans="1:54" s="2" customFormat="1" ht="18.75" x14ac:dyDescent="0.2">
      <c r="A176" s="309"/>
      <c r="B176" s="1036" t="s">
        <v>704</v>
      </c>
      <c r="C176" s="727"/>
      <c r="D176" s="1015"/>
      <c r="E176" s="403" t="s">
        <v>603</v>
      </c>
      <c r="F176" s="404"/>
      <c r="G176" s="403"/>
      <c r="H176" s="511"/>
      <c r="I176" s="527"/>
      <c r="J176" s="527"/>
      <c r="K176" s="527"/>
      <c r="L176" s="527"/>
      <c r="M176" s="527"/>
      <c r="N176" s="527"/>
      <c r="O176" s="527"/>
      <c r="P176" s="527"/>
      <c r="Q176" s="527"/>
      <c r="R176" s="527"/>
      <c r="S176" s="527"/>
      <c r="T176" s="527"/>
      <c r="U176" s="527"/>
      <c r="V176" s="527"/>
      <c r="W176" s="527"/>
      <c r="X176" s="527"/>
      <c r="Y176" s="527"/>
      <c r="Z176" s="527"/>
      <c r="AA176" s="527"/>
      <c r="AB176" s="527"/>
      <c r="AC176" s="511"/>
      <c r="AD176" s="16"/>
      <c r="AE176" s="9"/>
      <c r="AF176" s="9"/>
      <c r="AG176" s="9"/>
      <c r="AH176" s="9"/>
      <c r="AI176" s="4"/>
      <c r="AJ176" s="4"/>
      <c r="AK176" s="4"/>
      <c r="AL176" s="4"/>
      <c r="AM176" s="4"/>
      <c r="AN176" s="4"/>
      <c r="AO176" s="4"/>
      <c r="AP176" s="4"/>
      <c r="AQ176" s="4"/>
      <c r="AR176" s="4"/>
      <c r="AS176" s="22"/>
      <c r="AT176" s="4"/>
      <c r="AU176" s="4"/>
      <c r="AV176" s="4"/>
      <c r="AW176" s="22"/>
    </row>
    <row r="177" spans="1:49" s="38" customFormat="1" ht="38.25" x14ac:dyDescent="0.2">
      <c r="A177" s="233"/>
      <c r="B177" s="1036" t="s">
        <v>704</v>
      </c>
      <c r="C177" s="727"/>
      <c r="D177" s="1012"/>
      <c r="E177" s="534" t="s">
        <v>604</v>
      </c>
      <c r="F177" s="396"/>
      <c r="G177" s="534" t="s">
        <v>70</v>
      </c>
      <c r="H177" s="408"/>
      <c r="I177" s="494" t="s">
        <v>156</v>
      </c>
      <c r="J177" s="494" t="s">
        <v>628</v>
      </c>
      <c r="K177" s="494" t="s">
        <v>156</v>
      </c>
      <c r="L177" s="494" t="s">
        <v>156</v>
      </c>
      <c r="M177" s="494" t="s">
        <v>156</v>
      </c>
      <c r="N177" s="494" t="s">
        <v>156</v>
      </c>
      <c r="O177" s="494" t="s">
        <v>156</v>
      </c>
      <c r="P177" s="494" t="s">
        <v>156</v>
      </c>
      <c r="Q177" s="494" t="s">
        <v>605</v>
      </c>
      <c r="R177" s="494" t="s">
        <v>611</v>
      </c>
      <c r="S177" s="494" t="s">
        <v>605</v>
      </c>
      <c r="T177" s="561"/>
      <c r="U177" s="561"/>
      <c r="V177" s="561"/>
      <c r="W177" s="561"/>
      <c r="X177" s="561"/>
      <c r="Y177" s="561"/>
      <c r="Z177" s="561"/>
      <c r="AA177" s="561"/>
      <c r="AB177" s="561"/>
      <c r="AC177" s="408"/>
      <c r="AD177" s="16"/>
      <c r="AE177" s="16"/>
      <c r="AF177" s="16"/>
      <c r="AG177" s="16"/>
      <c r="AH177" s="16"/>
      <c r="AI177" s="76"/>
      <c r="AJ177" s="76"/>
      <c r="AK177" s="76"/>
      <c r="AL177" s="76"/>
      <c r="AM177" s="76"/>
      <c r="AN177" s="76"/>
      <c r="AO177" s="76"/>
      <c r="AP177" s="76"/>
      <c r="AQ177" s="76"/>
      <c r="AR177" s="76"/>
      <c r="AS177" s="22"/>
      <c r="AT177" s="76"/>
      <c r="AU177" s="76"/>
      <c r="AV177" s="76"/>
      <c r="AW177" s="22"/>
    </row>
    <row r="178" spans="1:49" s="2" customFormat="1" x14ac:dyDescent="0.2">
      <c r="A178" s="309"/>
      <c r="B178" s="1036" t="s">
        <v>704</v>
      </c>
      <c r="C178" s="728"/>
      <c r="D178" s="1015"/>
      <c r="E178" s="246" t="s">
        <v>616</v>
      </c>
      <c r="F178" s="548"/>
      <c r="G178" s="246" t="s">
        <v>70</v>
      </c>
      <c r="H178" s="549"/>
      <c r="I178" s="586" t="str">
        <f t="shared" ref="I178:AB178" si="38">IF(I177="","",HLOOKUP(I177,ENERGIEDRAGERS,ROWS($E$221:$E$225),FALSE))</f>
        <v>kWh</v>
      </c>
      <c r="J178" s="586" t="str">
        <f t="shared" si="38"/>
        <v>nvt</v>
      </c>
      <c r="K178" s="586" t="str">
        <f t="shared" si="38"/>
        <v>kWh</v>
      </c>
      <c r="L178" s="586" t="str">
        <f t="shared" si="38"/>
        <v>kWh</v>
      </c>
      <c r="M178" s="586" t="str">
        <f t="shared" si="38"/>
        <v>kWh</v>
      </c>
      <c r="N178" s="586" t="str">
        <f t="shared" si="38"/>
        <v>kWh</v>
      </c>
      <c r="O178" s="586" t="str">
        <f t="shared" si="38"/>
        <v>kWh</v>
      </c>
      <c r="P178" s="586" t="str">
        <f t="shared" si="38"/>
        <v>kWh</v>
      </c>
      <c r="Q178" s="586" t="str">
        <f t="shared" si="38"/>
        <v>m3</v>
      </c>
      <c r="R178" s="586" t="str">
        <f t="shared" si="38"/>
        <v>GJ</v>
      </c>
      <c r="S178" s="586" t="str">
        <f t="shared" si="38"/>
        <v>m3</v>
      </c>
      <c r="T178" s="586" t="str">
        <f t="shared" si="38"/>
        <v/>
      </c>
      <c r="U178" s="586" t="str">
        <f t="shared" si="38"/>
        <v/>
      </c>
      <c r="V178" s="586" t="str">
        <f t="shared" si="38"/>
        <v/>
      </c>
      <c r="W178" s="586" t="str">
        <f t="shared" si="38"/>
        <v/>
      </c>
      <c r="X178" s="586" t="str">
        <f t="shared" si="38"/>
        <v/>
      </c>
      <c r="Y178" s="586" t="str">
        <f t="shared" si="38"/>
        <v/>
      </c>
      <c r="Z178" s="586" t="str">
        <f t="shared" si="38"/>
        <v/>
      </c>
      <c r="AA178" s="586" t="str">
        <f t="shared" si="38"/>
        <v/>
      </c>
      <c r="AB178" s="586" t="str">
        <f t="shared" si="38"/>
        <v/>
      </c>
      <c r="AC178" s="549"/>
      <c r="AD178" s="16"/>
      <c r="AE178" s="9"/>
      <c r="AF178" s="9"/>
      <c r="AG178" s="9"/>
      <c r="AH178" s="9"/>
      <c r="AI178" s="4"/>
      <c r="AJ178" s="4"/>
      <c r="AK178" s="4"/>
      <c r="AL178" s="4"/>
      <c r="AM178" s="4"/>
      <c r="AN178" s="4"/>
      <c r="AO178" s="4"/>
      <c r="AP178" s="4"/>
      <c r="AQ178" s="4"/>
      <c r="AR178" s="4"/>
      <c r="AS178" s="580"/>
      <c r="AT178" s="4"/>
      <c r="AU178" s="4"/>
      <c r="AV178" s="4"/>
      <c r="AW178" s="580"/>
    </row>
    <row r="179" spans="1:49" s="2" customFormat="1" x14ac:dyDescent="0.2">
      <c r="A179" s="309"/>
      <c r="B179" s="1036" t="s">
        <v>704</v>
      </c>
      <c r="C179" s="728"/>
      <c r="D179" s="1015"/>
      <c r="E179" s="246" t="s">
        <v>617</v>
      </c>
      <c r="F179" s="548"/>
      <c r="G179" s="246" t="s">
        <v>150</v>
      </c>
      <c r="H179" s="549"/>
      <c r="I179" s="587">
        <v>1</v>
      </c>
      <c r="J179" s="587">
        <v>1</v>
      </c>
      <c r="K179" s="587">
        <v>1</v>
      </c>
      <c r="L179" s="587">
        <v>1</v>
      </c>
      <c r="M179" s="587">
        <v>1</v>
      </c>
      <c r="N179" s="587">
        <v>1</v>
      </c>
      <c r="O179" s="587">
        <v>1</v>
      </c>
      <c r="P179" s="587">
        <v>1</v>
      </c>
      <c r="Q179" s="587">
        <v>1</v>
      </c>
      <c r="R179" s="587">
        <v>1</v>
      </c>
      <c r="S179" s="587">
        <v>1</v>
      </c>
      <c r="T179" s="588"/>
      <c r="U179" s="588"/>
      <c r="V179" s="588"/>
      <c r="W179" s="588"/>
      <c r="X179" s="588"/>
      <c r="Y179" s="588"/>
      <c r="Z179" s="588"/>
      <c r="AA179" s="588"/>
      <c r="AB179" s="588"/>
      <c r="AC179" s="549"/>
      <c r="AD179" s="16"/>
      <c r="AE179" s="9"/>
      <c r="AF179" s="9"/>
      <c r="AG179" s="9"/>
      <c r="AH179" s="9"/>
      <c r="AI179" s="4"/>
      <c r="AJ179" s="4"/>
      <c r="AK179" s="4"/>
      <c r="AL179" s="4"/>
      <c r="AM179" s="4"/>
      <c r="AN179" s="4"/>
      <c r="AO179" s="4"/>
      <c r="AP179" s="4"/>
      <c r="AQ179" s="4"/>
      <c r="AR179" s="4"/>
      <c r="AS179" s="580"/>
      <c r="AT179" s="4"/>
      <c r="AU179" s="4"/>
      <c r="AV179" s="4"/>
      <c r="AW179" s="580"/>
    </row>
    <row r="180" spans="1:49" s="2" customFormat="1" x14ac:dyDescent="0.2">
      <c r="A180" s="309"/>
      <c r="B180" s="1036" t="s">
        <v>704</v>
      </c>
      <c r="C180" s="728"/>
      <c r="D180" s="1015"/>
      <c r="E180" s="246" t="s">
        <v>717</v>
      </c>
      <c r="F180" s="548"/>
      <c r="G180" s="246" t="s">
        <v>70</v>
      </c>
      <c r="H180" s="549"/>
      <c r="I180" s="582">
        <v>3</v>
      </c>
      <c r="J180" s="582">
        <v>0</v>
      </c>
      <c r="K180" s="582">
        <v>4</v>
      </c>
      <c r="L180" s="582">
        <v>5</v>
      </c>
      <c r="M180" s="582">
        <v>6</v>
      </c>
      <c r="N180" s="582">
        <v>8</v>
      </c>
      <c r="O180" s="582">
        <v>10</v>
      </c>
      <c r="P180" s="582">
        <v>4</v>
      </c>
      <c r="Q180" s="582">
        <v>0.8</v>
      </c>
      <c r="R180" s="582">
        <v>0.8</v>
      </c>
      <c r="S180" s="582">
        <v>0.5</v>
      </c>
      <c r="T180" s="579"/>
      <c r="U180" s="579"/>
      <c r="V180" s="579"/>
      <c r="W180" s="579"/>
      <c r="X180" s="579"/>
      <c r="Y180" s="579"/>
      <c r="Z180" s="579"/>
      <c r="AA180" s="579"/>
      <c r="AB180" s="579"/>
      <c r="AC180" s="549"/>
      <c r="AD180" s="16"/>
      <c r="AE180" s="9"/>
      <c r="AF180" s="9"/>
      <c r="AG180" s="9"/>
      <c r="AH180" s="9"/>
      <c r="AI180" s="4"/>
      <c r="AJ180" s="4"/>
      <c r="AK180" s="4"/>
      <c r="AL180" s="4"/>
      <c r="AM180" s="4"/>
      <c r="AN180" s="4"/>
      <c r="AO180" s="4"/>
      <c r="AP180" s="4"/>
      <c r="AQ180" s="4"/>
      <c r="AR180" s="4"/>
      <c r="AS180" s="580"/>
      <c r="AT180" s="4"/>
      <c r="AU180" s="4"/>
      <c r="AV180" s="4"/>
      <c r="AW180" s="580"/>
    </row>
    <row r="181" spans="1:49" s="2" customFormat="1" x14ac:dyDescent="0.2">
      <c r="A181" s="309"/>
      <c r="B181" s="1036" t="s">
        <v>704</v>
      </c>
      <c r="C181" s="728"/>
      <c r="D181" s="1015"/>
      <c r="E181" s="246" t="s">
        <v>718</v>
      </c>
      <c r="F181" s="548"/>
      <c r="G181" s="246" t="s">
        <v>70</v>
      </c>
      <c r="H181" s="549"/>
      <c r="I181" s="582">
        <v>0</v>
      </c>
      <c r="J181" s="582">
        <v>0</v>
      </c>
      <c r="K181" s="582">
        <v>0</v>
      </c>
      <c r="L181" s="582">
        <v>0</v>
      </c>
      <c r="M181" s="582">
        <v>0</v>
      </c>
      <c r="N181" s="582">
        <v>0</v>
      </c>
      <c r="O181" s="582">
        <v>0</v>
      </c>
      <c r="P181" s="582">
        <v>0</v>
      </c>
      <c r="Q181" s="582">
        <v>0</v>
      </c>
      <c r="R181" s="582">
        <v>0</v>
      </c>
      <c r="S181" s="582">
        <v>0.32</v>
      </c>
      <c r="T181" s="579"/>
      <c r="U181" s="579"/>
      <c r="V181" s="579"/>
      <c r="W181" s="579"/>
      <c r="X181" s="579"/>
      <c r="Y181" s="579"/>
      <c r="Z181" s="579"/>
      <c r="AA181" s="579"/>
      <c r="AB181" s="579"/>
      <c r="AC181" s="549"/>
      <c r="AD181" s="16"/>
      <c r="AE181" s="9"/>
      <c r="AF181" s="9"/>
      <c r="AG181" s="9"/>
      <c r="AH181" s="9"/>
      <c r="AI181" s="4"/>
      <c r="AJ181" s="4"/>
      <c r="AK181" s="4"/>
      <c r="AL181" s="4"/>
      <c r="AM181" s="4"/>
      <c r="AN181" s="4"/>
      <c r="AO181" s="4"/>
      <c r="AP181" s="4"/>
      <c r="AQ181" s="4"/>
      <c r="AR181" s="4"/>
      <c r="AS181" s="580"/>
      <c r="AT181" s="4"/>
      <c r="AU181" s="4"/>
      <c r="AV181" s="4"/>
      <c r="AW181" s="580"/>
    </row>
    <row r="182" spans="1:49" s="2" customFormat="1" ht="18.75" x14ac:dyDescent="0.2">
      <c r="A182" s="309"/>
      <c r="B182" s="1036" t="s">
        <v>704</v>
      </c>
      <c r="C182" s="727"/>
      <c r="D182" s="1015"/>
      <c r="E182" s="403" t="s">
        <v>624</v>
      </c>
      <c r="F182" s="404"/>
      <c r="G182" s="403"/>
      <c r="H182" s="511"/>
      <c r="I182" s="527"/>
      <c r="J182" s="527"/>
      <c r="K182" s="527"/>
      <c r="L182" s="527"/>
      <c r="M182" s="527"/>
      <c r="N182" s="527"/>
      <c r="O182" s="527"/>
      <c r="P182" s="527"/>
      <c r="Q182" s="527"/>
      <c r="R182" s="527"/>
      <c r="S182" s="527"/>
      <c r="T182" s="527"/>
      <c r="U182" s="527"/>
      <c r="V182" s="527"/>
      <c r="W182" s="527"/>
      <c r="X182" s="527"/>
      <c r="Y182" s="527"/>
      <c r="Z182" s="527"/>
      <c r="AA182" s="527"/>
      <c r="AB182" s="527"/>
      <c r="AC182" s="511"/>
      <c r="AD182" s="16"/>
      <c r="AE182" s="9"/>
      <c r="AF182" s="9"/>
      <c r="AG182" s="9"/>
      <c r="AH182" s="9"/>
      <c r="AI182" s="4"/>
      <c r="AJ182" s="4"/>
      <c r="AK182" s="4"/>
      <c r="AL182" s="4"/>
      <c r="AM182" s="4"/>
      <c r="AN182" s="4"/>
      <c r="AO182" s="4"/>
      <c r="AP182" s="4"/>
      <c r="AQ182" s="4"/>
      <c r="AR182" s="4"/>
      <c r="AS182" s="22"/>
      <c r="AT182" s="4"/>
      <c r="AU182" s="4"/>
      <c r="AV182" s="4"/>
      <c r="AW182" s="22"/>
    </row>
    <row r="183" spans="1:49" x14ac:dyDescent="0.2">
      <c r="B183" s="1036" t="s">
        <v>704</v>
      </c>
      <c r="C183" s="727"/>
      <c r="D183" s="1012"/>
      <c r="E183" s="395" t="s">
        <v>558</v>
      </c>
      <c r="F183" s="396"/>
      <c r="G183" s="395" t="s">
        <v>70</v>
      </c>
      <c r="H183" s="408"/>
      <c r="I183" s="522" t="s">
        <v>183</v>
      </c>
      <c r="J183" s="522" t="s">
        <v>183</v>
      </c>
      <c r="K183" s="522" t="s">
        <v>183</v>
      </c>
      <c r="L183" s="522" t="s">
        <v>183</v>
      </c>
      <c r="M183" s="522" t="s">
        <v>183</v>
      </c>
      <c r="N183" s="522" t="s">
        <v>183</v>
      </c>
      <c r="O183" s="522" t="s">
        <v>183</v>
      </c>
      <c r="P183" s="522" t="s">
        <v>183</v>
      </c>
      <c r="Q183" s="522" t="s">
        <v>183</v>
      </c>
      <c r="R183" s="522" t="s">
        <v>183</v>
      </c>
      <c r="S183" s="522" t="s">
        <v>183</v>
      </c>
      <c r="T183" s="561"/>
      <c r="U183" s="561"/>
      <c r="V183" s="561"/>
      <c r="W183" s="561"/>
      <c r="X183" s="561"/>
      <c r="Y183" s="561"/>
      <c r="Z183" s="561"/>
      <c r="AA183" s="561"/>
      <c r="AB183" s="561"/>
      <c r="AC183" s="408"/>
      <c r="AD183" s="16"/>
      <c r="AE183" s="16"/>
      <c r="AF183" s="16"/>
      <c r="AG183" s="16"/>
      <c r="AH183" s="16"/>
      <c r="AI183" s="5"/>
      <c r="AJ183" s="5"/>
      <c r="AK183" s="5"/>
      <c r="AL183" s="5"/>
      <c r="AM183" s="5"/>
      <c r="AN183" s="5"/>
      <c r="AO183" s="5"/>
      <c r="AP183" s="5"/>
      <c r="AQ183" s="5"/>
      <c r="AR183" s="5"/>
      <c r="AS183" s="22"/>
      <c r="AT183" s="5"/>
      <c r="AU183" s="5"/>
      <c r="AV183" s="5"/>
      <c r="AW183" s="22"/>
    </row>
    <row r="184" spans="1:49" s="2" customFormat="1" x14ac:dyDescent="0.2">
      <c r="A184" s="309"/>
      <c r="B184" s="1036" t="s">
        <v>704</v>
      </c>
      <c r="C184" s="728"/>
      <c r="D184" s="1015"/>
      <c r="E184" s="246" t="s">
        <v>604</v>
      </c>
      <c r="F184" s="548"/>
      <c r="G184" s="246" t="s">
        <v>70</v>
      </c>
      <c r="H184" s="549"/>
      <c r="I184" s="550" t="s">
        <v>628</v>
      </c>
      <c r="J184" s="550" t="s">
        <v>628</v>
      </c>
      <c r="K184" s="550" t="s">
        <v>628</v>
      </c>
      <c r="L184" s="550" t="s">
        <v>628</v>
      </c>
      <c r="M184" s="550" t="s">
        <v>628</v>
      </c>
      <c r="N184" s="550" t="s">
        <v>628</v>
      </c>
      <c r="O184" s="550" t="s">
        <v>628</v>
      </c>
      <c r="P184" s="550" t="s">
        <v>628</v>
      </c>
      <c r="Q184" s="550" t="s">
        <v>628</v>
      </c>
      <c r="R184" s="550" t="s">
        <v>628</v>
      </c>
      <c r="S184" s="550" t="s">
        <v>628</v>
      </c>
      <c r="T184" s="579"/>
      <c r="U184" s="579"/>
      <c r="V184" s="579" t="s">
        <v>628</v>
      </c>
      <c r="W184" s="579" t="s">
        <v>628</v>
      </c>
      <c r="X184" s="579" t="s">
        <v>628</v>
      </c>
      <c r="Y184" s="579" t="s">
        <v>628</v>
      </c>
      <c r="Z184" s="579" t="s">
        <v>628</v>
      </c>
      <c r="AA184" s="579" t="s">
        <v>628</v>
      </c>
      <c r="AB184" s="579" t="s">
        <v>628</v>
      </c>
      <c r="AC184" s="549"/>
      <c r="AD184" s="16"/>
      <c r="AE184" s="9"/>
      <c r="AF184" s="9"/>
      <c r="AG184" s="9"/>
      <c r="AH184" s="9"/>
      <c r="AI184" s="4"/>
      <c r="AJ184" s="4"/>
      <c r="AK184" s="4"/>
      <c r="AL184" s="4"/>
      <c r="AM184" s="4"/>
      <c r="AN184" s="4"/>
      <c r="AO184" s="4"/>
      <c r="AP184" s="4"/>
      <c r="AQ184" s="4"/>
      <c r="AR184" s="4"/>
      <c r="AS184" s="580"/>
      <c r="AT184" s="4"/>
      <c r="AU184" s="4"/>
      <c r="AV184" s="4"/>
      <c r="AW184" s="580"/>
    </row>
    <row r="185" spans="1:49" s="2" customFormat="1" x14ac:dyDescent="0.2">
      <c r="A185" s="309"/>
      <c r="B185" s="1036" t="s">
        <v>704</v>
      </c>
      <c r="C185" s="728"/>
      <c r="D185" s="1015"/>
      <c r="E185" s="246" t="s">
        <v>616</v>
      </c>
      <c r="F185" s="548"/>
      <c r="G185" s="246" t="s">
        <v>70</v>
      </c>
      <c r="H185" s="549"/>
      <c r="I185" s="586" t="str">
        <f t="shared" ref="I185:AB185" si="39">IF(OR(I170="",I184="",I179=1),"",HLOOKUP(I184,ENERGIEDRAGERS,ROWS($E$221:$E$225),FALSE))</f>
        <v/>
      </c>
      <c r="J185" s="586" t="str">
        <f t="shared" si="39"/>
        <v/>
      </c>
      <c r="K185" s="586" t="str">
        <f t="shared" si="39"/>
        <v/>
      </c>
      <c r="L185" s="586" t="str">
        <f t="shared" si="39"/>
        <v/>
      </c>
      <c r="M185" s="586" t="str">
        <f t="shared" si="39"/>
        <v/>
      </c>
      <c r="N185" s="586" t="str">
        <f t="shared" si="39"/>
        <v/>
      </c>
      <c r="O185" s="586" t="str">
        <f t="shared" si="39"/>
        <v/>
      </c>
      <c r="P185" s="586" t="str">
        <f t="shared" si="39"/>
        <v/>
      </c>
      <c r="Q185" s="586" t="str">
        <f t="shared" si="39"/>
        <v/>
      </c>
      <c r="R185" s="586" t="str">
        <f t="shared" si="39"/>
        <v/>
      </c>
      <c r="S185" s="586" t="str">
        <f t="shared" si="39"/>
        <v/>
      </c>
      <c r="T185" s="581" t="str">
        <f t="shared" si="39"/>
        <v/>
      </c>
      <c r="U185" s="581" t="str">
        <f t="shared" si="39"/>
        <v/>
      </c>
      <c r="V185" s="581" t="str">
        <f t="shared" si="39"/>
        <v/>
      </c>
      <c r="W185" s="581" t="str">
        <f t="shared" si="39"/>
        <v/>
      </c>
      <c r="X185" s="581" t="str">
        <f t="shared" si="39"/>
        <v/>
      </c>
      <c r="Y185" s="581" t="str">
        <f t="shared" si="39"/>
        <v/>
      </c>
      <c r="Z185" s="581" t="str">
        <f t="shared" si="39"/>
        <v/>
      </c>
      <c r="AA185" s="581" t="str">
        <f t="shared" si="39"/>
        <v/>
      </c>
      <c r="AB185" s="581" t="str">
        <f t="shared" si="39"/>
        <v/>
      </c>
      <c r="AC185" s="549"/>
      <c r="AD185" s="16"/>
      <c r="AE185" s="9"/>
      <c r="AF185" s="9"/>
      <c r="AG185" s="9"/>
      <c r="AH185" s="9"/>
      <c r="AI185" s="4"/>
      <c r="AJ185" s="4"/>
      <c r="AK185" s="4"/>
      <c r="AL185" s="4"/>
      <c r="AM185" s="4"/>
      <c r="AN185" s="4"/>
      <c r="AO185" s="4"/>
      <c r="AP185" s="4"/>
      <c r="AQ185" s="4"/>
      <c r="AR185" s="4"/>
      <c r="AS185" s="580"/>
      <c r="AT185" s="4"/>
      <c r="AU185" s="4"/>
      <c r="AV185" s="4"/>
      <c r="AW185" s="580"/>
    </row>
    <row r="186" spans="1:49" s="2" customFormat="1" x14ac:dyDescent="0.2">
      <c r="A186" s="309"/>
      <c r="B186" s="1036" t="s">
        <v>704</v>
      </c>
      <c r="C186" s="728"/>
      <c r="D186" s="1017"/>
      <c r="E186" s="246" t="s">
        <v>719</v>
      </c>
      <c r="F186" s="548"/>
      <c r="G186" s="246" t="s">
        <v>70</v>
      </c>
      <c r="H186" s="549"/>
      <c r="I186" s="582">
        <v>0</v>
      </c>
      <c r="J186" s="582">
        <v>0</v>
      </c>
      <c r="K186" s="582">
        <v>0</v>
      </c>
      <c r="L186" s="582">
        <v>0</v>
      </c>
      <c r="M186" s="582">
        <v>0</v>
      </c>
      <c r="N186" s="582">
        <v>0</v>
      </c>
      <c r="O186" s="582">
        <v>0</v>
      </c>
      <c r="P186" s="582">
        <v>0</v>
      </c>
      <c r="Q186" s="582">
        <v>0</v>
      </c>
      <c r="R186" s="582">
        <v>0</v>
      </c>
      <c r="S186" s="582">
        <v>0</v>
      </c>
      <c r="T186" s="579"/>
      <c r="U186" s="579"/>
      <c r="V186" s="579">
        <v>0</v>
      </c>
      <c r="W186" s="579">
        <v>0</v>
      </c>
      <c r="X186" s="579">
        <v>0</v>
      </c>
      <c r="Y186" s="579">
        <v>0</v>
      </c>
      <c r="Z186" s="579">
        <v>0</v>
      </c>
      <c r="AA186" s="579">
        <v>0</v>
      </c>
      <c r="AB186" s="579">
        <v>0</v>
      </c>
      <c r="AC186" s="549"/>
      <c r="AD186" s="16"/>
      <c r="AE186" s="9"/>
      <c r="AF186" s="9"/>
      <c r="AG186" s="9"/>
      <c r="AH186" s="9"/>
      <c r="AI186" s="4"/>
      <c r="AJ186" s="4"/>
      <c r="AK186" s="4"/>
      <c r="AL186" s="4"/>
      <c r="AM186" s="4"/>
      <c r="AN186" s="4"/>
      <c r="AO186" s="4"/>
      <c r="AP186" s="4"/>
      <c r="AQ186" s="4"/>
      <c r="AR186" s="4"/>
      <c r="AS186" s="580"/>
      <c r="AT186" s="4"/>
      <c r="AU186" s="4"/>
      <c r="AV186" s="4"/>
      <c r="AW186" s="580"/>
    </row>
    <row r="187" spans="1:49" s="2" customFormat="1" ht="18.75" x14ac:dyDescent="0.2">
      <c r="A187" s="309"/>
      <c r="B187" s="1036" t="s">
        <v>704</v>
      </c>
      <c r="C187" s="728"/>
      <c r="D187" s="1015"/>
      <c r="E187" s="403" t="s">
        <v>645</v>
      </c>
      <c r="F187" s="404"/>
      <c r="G187" s="403"/>
      <c r="H187" s="511"/>
      <c r="I187" s="527"/>
      <c r="J187" s="527"/>
      <c r="K187" s="527"/>
      <c r="L187" s="527"/>
      <c r="M187" s="527"/>
      <c r="N187" s="527"/>
      <c r="O187" s="527"/>
      <c r="P187" s="527"/>
      <c r="Q187" s="527"/>
      <c r="R187" s="527"/>
      <c r="S187" s="527"/>
      <c r="T187" s="527"/>
      <c r="U187" s="527"/>
      <c r="V187" s="527"/>
      <c r="W187" s="527"/>
      <c r="X187" s="527"/>
      <c r="Y187" s="527"/>
      <c r="Z187" s="527"/>
      <c r="AA187" s="527"/>
      <c r="AB187" s="527"/>
      <c r="AC187" s="511"/>
      <c r="AD187" s="16"/>
      <c r="AE187" s="9"/>
      <c r="AF187" s="9"/>
      <c r="AG187" s="9"/>
      <c r="AH187" s="9"/>
      <c r="AI187" s="4"/>
      <c r="AJ187" s="4"/>
      <c r="AK187" s="4"/>
      <c r="AL187" s="4"/>
      <c r="AM187" s="4"/>
      <c r="AN187" s="4"/>
      <c r="AO187" s="4"/>
      <c r="AP187" s="4"/>
      <c r="AQ187" s="4"/>
      <c r="AR187" s="4"/>
      <c r="AS187" s="580"/>
      <c r="AT187" s="4"/>
      <c r="AU187" s="4"/>
      <c r="AV187" s="4"/>
      <c r="AW187" s="580"/>
    </row>
    <row r="188" spans="1:49" s="2" customFormat="1" x14ac:dyDescent="0.2">
      <c r="A188" s="309"/>
      <c r="B188" s="1036" t="s">
        <v>704</v>
      </c>
      <c r="C188" s="728"/>
      <c r="D188" s="1015"/>
      <c r="E188" s="246" t="s">
        <v>720</v>
      </c>
      <c r="F188" s="548"/>
      <c r="G188" s="246" t="s">
        <v>721</v>
      </c>
      <c r="H188" s="549"/>
      <c r="I188" s="583">
        <v>0</v>
      </c>
      <c r="J188" s="583">
        <v>0</v>
      </c>
      <c r="K188" s="583">
        <v>0</v>
      </c>
      <c r="L188" s="583">
        <v>0</v>
      </c>
      <c r="M188" s="583">
        <v>0</v>
      </c>
      <c r="N188" s="583">
        <v>0</v>
      </c>
      <c r="O188" s="583">
        <v>0</v>
      </c>
      <c r="P188" s="583">
        <v>0</v>
      </c>
      <c r="Q188" s="583">
        <v>0</v>
      </c>
      <c r="R188" s="583">
        <v>0</v>
      </c>
      <c r="S188" s="583">
        <v>0</v>
      </c>
      <c r="T188" s="584"/>
      <c r="U188" s="584"/>
      <c r="V188" s="584"/>
      <c r="W188" s="584"/>
      <c r="X188" s="584"/>
      <c r="Y188" s="584"/>
      <c r="Z188" s="584"/>
      <c r="AA188" s="584"/>
      <c r="AB188" s="584"/>
      <c r="AC188" s="549"/>
      <c r="AD188" s="16"/>
      <c r="AE188" s="9"/>
      <c r="AF188" s="9"/>
      <c r="AG188" s="9"/>
      <c r="AH188" s="9"/>
      <c r="AI188" s="4"/>
      <c r="AJ188" s="4"/>
      <c r="AK188" s="4"/>
      <c r="AL188" s="4"/>
      <c r="AM188" s="4"/>
      <c r="AN188" s="4"/>
      <c r="AO188" s="4"/>
      <c r="AP188" s="4"/>
      <c r="AQ188" s="4"/>
      <c r="AR188" s="4"/>
      <c r="AS188" s="580"/>
      <c r="AT188" s="4"/>
      <c r="AU188" s="4"/>
      <c r="AV188" s="4"/>
      <c r="AW188" s="580"/>
    </row>
    <row r="189" spans="1:49" s="2" customFormat="1" x14ac:dyDescent="0.2">
      <c r="A189" s="309"/>
      <c r="B189" s="1036" t="s">
        <v>704</v>
      </c>
      <c r="C189" s="728"/>
      <c r="D189" s="1015"/>
      <c r="E189" s="246" t="s">
        <v>647</v>
      </c>
      <c r="F189" s="548"/>
      <c r="G189" s="246" t="s">
        <v>721</v>
      </c>
      <c r="H189" s="549"/>
      <c r="I189" s="585">
        <v>0</v>
      </c>
      <c r="J189" s="585">
        <v>0</v>
      </c>
      <c r="K189" s="585">
        <v>0</v>
      </c>
      <c r="L189" s="585">
        <v>0</v>
      </c>
      <c r="M189" s="585">
        <v>4.4999999999999998E-2</v>
      </c>
      <c r="N189" s="585">
        <v>4.4999999999999998E-2</v>
      </c>
      <c r="O189" s="585">
        <v>4.4999999999999998E-2</v>
      </c>
      <c r="P189" s="585">
        <v>0</v>
      </c>
      <c r="Q189" s="585">
        <v>0</v>
      </c>
      <c r="R189" s="585">
        <v>0</v>
      </c>
      <c r="S189" s="585">
        <v>0</v>
      </c>
      <c r="T189" s="579"/>
      <c r="U189" s="579"/>
      <c r="V189" s="579"/>
      <c r="W189" s="579"/>
      <c r="X189" s="579"/>
      <c r="Y189" s="579"/>
      <c r="Z189" s="579"/>
      <c r="AA189" s="579"/>
      <c r="AB189" s="579"/>
      <c r="AC189" s="549"/>
      <c r="AD189" s="16"/>
      <c r="AE189" s="9"/>
      <c r="AF189" s="9"/>
      <c r="AG189" s="9"/>
      <c r="AH189" s="9"/>
      <c r="AI189" s="4"/>
      <c r="AJ189" s="4"/>
      <c r="AK189" s="4"/>
      <c r="AL189" s="4"/>
      <c r="AM189" s="4"/>
      <c r="AN189" s="4"/>
      <c r="AO189" s="4"/>
      <c r="AP189" s="4"/>
      <c r="AQ189" s="4"/>
      <c r="AR189" s="4"/>
      <c r="AS189" s="580"/>
      <c r="AT189" s="4"/>
      <c r="AU189" s="4"/>
      <c r="AV189" s="4"/>
      <c r="AW189" s="580"/>
    </row>
    <row r="190" spans="1:49" ht="25.5" x14ac:dyDescent="0.2">
      <c r="B190" s="1036" t="s">
        <v>704</v>
      </c>
      <c r="C190" s="727"/>
      <c r="D190" s="1012"/>
      <c r="E190" s="531" t="s">
        <v>648</v>
      </c>
      <c r="F190" s="532"/>
      <c r="G190" s="531" t="s">
        <v>70</v>
      </c>
      <c r="H190" s="533"/>
      <c r="I190" s="521" t="s">
        <v>722</v>
      </c>
      <c r="J190" s="521" t="s">
        <v>70</v>
      </c>
      <c r="K190" s="521" t="s">
        <v>723</v>
      </c>
      <c r="L190" s="521" t="s">
        <v>723</v>
      </c>
      <c r="M190" s="521" t="s">
        <v>723</v>
      </c>
      <c r="N190" s="521" t="s">
        <v>723</v>
      </c>
      <c r="O190" s="521" t="s">
        <v>724</v>
      </c>
      <c r="P190" s="521" t="s">
        <v>723</v>
      </c>
      <c r="Q190" s="521" t="s">
        <v>723</v>
      </c>
      <c r="R190" s="521" t="s">
        <v>723</v>
      </c>
      <c r="S190" s="521" t="s">
        <v>723</v>
      </c>
      <c r="T190" s="729"/>
      <c r="U190" s="729"/>
      <c r="V190" s="729"/>
      <c r="W190" s="729"/>
      <c r="X190" s="729"/>
      <c r="Y190" s="729"/>
      <c r="Z190" s="729"/>
      <c r="AA190" s="729"/>
      <c r="AB190" s="729"/>
      <c r="AC190" s="533"/>
      <c r="AD190" s="16"/>
      <c r="AE190" s="16"/>
      <c r="AF190" s="5"/>
      <c r="AG190" s="5"/>
      <c r="AH190" s="5"/>
      <c r="AI190" s="5"/>
      <c r="AJ190" s="5"/>
      <c r="AK190" s="5"/>
      <c r="AL190" s="5"/>
      <c r="AM190" s="5"/>
      <c r="AN190" s="5"/>
      <c r="AO190" s="5"/>
      <c r="AP190" s="5"/>
      <c r="AQ190" s="5"/>
      <c r="AR190" s="5"/>
      <c r="AS190" s="22"/>
      <c r="AT190" s="5"/>
      <c r="AU190" s="5"/>
      <c r="AV190" s="5"/>
      <c r="AW190" s="22"/>
    </row>
    <row r="191" spans="1:49" x14ac:dyDescent="0.2">
      <c r="B191" s="1036" t="s">
        <v>704</v>
      </c>
      <c r="C191" s="727"/>
      <c r="D191" s="1012"/>
      <c r="E191" s="5"/>
      <c r="F191" s="5"/>
      <c r="G191" s="5"/>
      <c r="H191" s="16"/>
      <c r="I191" s="16"/>
      <c r="J191" s="16"/>
      <c r="K191" s="16"/>
      <c r="L191" s="16"/>
      <c r="M191" s="16"/>
      <c r="N191" s="16"/>
      <c r="O191" s="16"/>
      <c r="P191" s="16"/>
      <c r="Q191" s="16"/>
      <c r="R191" s="16"/>
      <c r="S191" s="16"/>
      <c r="T191" s="16"/>
      <c r="U191" s="16"/>
      <c r="V191" s="16"/>
      <c r="X191" s="16"/>
      <c r="Y191" s="20"/>
      <c r="Z191" s="16"/>
      <c r="AA191" s="5"/>
      <c r="AB191" s="5"/>
      <c r="AC191" s="5"/>
      <c r="AD191" s="5"/>
      <c r="AE191" s="5"/>
      <c r="AF191" s="5"/>
      <c r="AG191" s="5"/>
      <c r="AH191" s="5"/>
      <c r="AI191" s="5"/>
      <c r="AJ191" s="5"/>
      <c r="AK191" s="5"/>
      <c r="AL191" s="5"/>
      <c r="AM191" s="5"/>
      <c r="AN191" s="5"/>
      <c r="AO191" s="5"/>
      <c r="AP191" s="5"/>
      <c r="AQ191" s="5"/>
      <c r="AR191" s="5"/>
      <c r="AS191" s="22"/>
    </row>
    <row r="192" spans="1:49" hidden="1" x14ac:dyDescent="0.2">
      <c r="B192" s="1036" t="s">
        <v>725</v>
      </c>
      <c r="C192" s="727"/>
      <c r="D192" s="1012"/>
      <c r="E192" s="5"/>
      <c r="F192" s="5"/>
      <c r="G192" s="5"/>
      <c r="H192" s="16"/>
      <c r="I192" s="16"/>
      <c r="J192" s="16"/>
      <c r="K192" s="16"/>
      <c r="L192" s="16"/>
      <c r="M192" s="16"/>
      <c r="N192" s="16"/>
      <c r="O192" s="16"/>
      <c r="P192" s="16"/>
      <c r="Q192" s="16"/>
      <c r="R192" s="16"/>
      <c r="S192" s="16"/>
      <c r="T192" s="16"/>
      <c r="U192" s="16"/>
      <c r="V192" s="16"/>
      <c r="X192" s="16"/>
      <c r="Y192" s="20"/>
      <c r="Z192" s="16"/>
      <c r="AA192" s="16"/>
      <c r="AB192" s="5"/>
      <c r="AC192" s="5"/>
      <c r="AD192" s="5"/>
      <c r="AE192" s="5"/>
      <c r="AF192" s="5"/>
      <c r="AG192" s="5"/>
      <c r="AH192" s="5"/>
      <c r="AI192" s="5"/>
      <c r="AJ192" s="5"/>
      <c r="AK192" s="5"/>
      <c r="AL192" s="5"/>
      <c r="AM192" s="5"/>
      <c r="AN192" s="5"/>
      <c r="AO192" s="5"/>
      <c r="AP192" s="5"/>
      <c r="AQ192" s="5"/>
      <c r="AR192" s="5"/>
      <c r="AS192" s="22"/>
    </row>
    <row r="193" spans="1:46" ht="21" hidden="1" x14ac:dyDescent="0.2">
      <c r="B193" s="1036" t="s">
        <v>725</v>
      </c>
      <c r="C193" s="727"/>
      <c r="D193" s="1012"/>
      <c r="E193" s="215" t="s">
        <v>726</v>
      </c>
      <c r="F193" s="215"/>
      <c r="G193" s="215"/>
      <c r="H193" s="215"/>
      <c r="I193" s="215"/>
      <c r="J193" s="215"/>
      <c r="K193" s="61"/>
      <c r="L193" s="61"/>
      <c r="M193" s="61"/>
      <c r="N193" s="61"/>
      <c r="O193" s="61"/>
      <c r="P193" s="61"/>
      <c r="Q193" s="61"/>
      <c r="R193" s="61"/>
      <c r="S193" s="61"/>
      <c r="T193" s="61"/>
      <c r="U193" s="61"/>
      <c r="V193" s="61"/>
      <c r="X193" s="61"/>
      <c r="Y193" s="20"/>
      <c r="Z193" s="5"/>
      <c r="AA193" s="5"/>
      <c r="AB193" s="5"/>
      <c r="AC193" s="5"/>
      <c r="AD193" s="5"/>
      <c r="AE193" s="5"/>
      <c r="AF193" s="5"/>
      <c r="AG193" s="5"/>
      <c r="AH193" s="5"/>
      <c r="AI193" s="5"/>
      <c r="AJ193" s="5"/>
      <c r="AK193" s="5"/>
      <c r="AL193" s="5"/>
      <c r="AM193" s="5"/>
      <c r="AN193" s="5"/>
      <c r="AO193" s="5"/>
      <c r="AP193" s="5"/>
      <c r="AQ193" s="5"/>
      <c r="AR193" s="5"/>
      <c r="AS193" s="437"/>
    </row>
    <row r="194" spans="1:46" hidden="1" x14ac:dyDescent="0.2">
      <c r="B194" s="1036" t="s">
        <v>725</v>
      </c>
      <c r="C194" s="727"/>
      <c r="D194" s="1013"/>
      <c r="E194" s="299" t="s">
        <v>491</v>
      </c>
      <c r="F194" s="299"/>
      <c r="G194" s="299" t="s">
        <v>423</v>
      </c>
      <c r="H194" s="300"/>
      <c r="I194" s="300">
        <f ca="1">OFFSET(I194,0,-1)+1</f>
        <v>1</v>
      </c>
      <c r="J194" s="300"/>
      <c r="K194" s="61"/>
      <c r="L194" s="61"/>
      <c r="M194" s="5"/>
      <c r="N194" s="5"/>
      <c r="O194" s="5"/>
      <c r="P194" s="5"/>
      <c r="Q194" s="5"/>
      <c r="R194" s="5"/>
      <c r="S194" s="5"/>
      <c r="T194" s="5"/>
      <c r="U194" s="5"/>
      <c r="V194" s="5"/>
      <c r="X194" s="5"/>
      <c r="Y194" s="20"/>
      <c r="Z194" s="5"/>
      <c r="AA194" s="5"/>
      <c r="AB194" s="5"/>
      <c r="AC194" s="5"/>
      <c r="AD194" s="5"/>
      <c r="AE194" s="5"/>
      <c r="AF194" s="5"/>
      <c r="AG194" s="5"/>
      <c r="AH194" s="5"/>
      <c r="AI194" s="5"/>
      <c r="AJ194" s="5"/>
      <c r="AK194" s="5"/>
      <c r="AL194" s="5"/>
      <c r="AM194" s="5"/>
      <c r="AN194" s="5"/>
      <c r="AO194" s="5"/>
      <c r="AP194" s="5"/>
      <c r="AQ194" s="5"/>
      <c r="AR194" s="5"/>
      <c r="AS194" s="22"/>
    </row>
    <row r="195" spans="1:46" s="2" customFormat="1" ht="18.75" hidden="1" x14ac:dyDescent="0.2">
      <c r="A195" s="309"/>
      <c r="B195" s="1036" t="s">
        <v>725</v>
      </c>
      <c r="C195" s="727"/>
      <c r="D195" s="1017"/>
      <c r="E195" s="382" t="s">
        <v>727</v>
      </c>
      <c r="F195" s="383"/>
      <c r="G195" s="382"/>
      <c r="H195" s="384"/>
      <c r="I195" s="385"/>
      <c r="J195" s="384"/>
      <c r="K195" s="9"/>
      <c r="L195" s="9"/>
      <c r="M195" s="9"/>
      <c r="N195" s="9"/>
      <c r="O195" s="9"/>
      <c r="P195" s="4"/>
      <c r="Q195" s="4"/>
      <c r="R195" s="4"/>
      <c r="S195" s="4"/>
      <c r="T195" s="4"/>
      <c r="U195" s="4"/>
      <c r="V195" s="4"/>
      <c r="W195" s="4"/>
      <c r="X195" s="4"/>
      <c r="Y195" s="8"/>
      <c r="Z195" s="4"/>
      <c r="AA195" s="4"/>
      <c r="AB195" s="4"/>
      <c r="AC195" s="4"/>
      <c r="AD195" s="4"/>
      <c r="AE195" s="4"/>
      <c r="AF195" s="4"/>
      <c r="AG195" s="4"/>
      <c r="AH195" s="4"/>
      <c r="AI195" s="4"/>
      <c r="AJ195" s="4"/>
      <c r="AK195" s="4"/>
      <c r="AL195" s="4"/>
      <c r="AM195" s="4"/>
      <c r="AN195" s="4"/>
      <c r="AO195" s="4"/>
      <c r="AP195" s="4"/>
      <c r="AQ195" s="4"/>
      <c r="AR195" s="4"/>
      <c r="AS195" s="22"/>
    </row>
    <row r="196" spans="1:46" hidden="1" x14ac:dyDescent="0.2">
      <c r="B196" s="1036" t="s">
        <v>725</v>
      </c>
      <c r="C196" s="727"/>
      <c r="D196" s="1012"/>
      <c r="E196" s="357" t="s">
        <v>728</v>
      </c>
      <c r="F196" s="326"/>
      <c r="G196" s="357" t="s">
        <v>729</v>
      </c>
      <c r="H196" s="476"/>
      <c r="I196" s="477">
        <v>1E-3</v>
      </c>
      <c r="J196" s="476"/>
      <c r="K196" s="20"/>
      <c r="L196" s="16"/>
      <c r="M196" s="16"/>
      <c r="N196" s="16"/>
      <c r="O196" s="5"/>
      <c r="P196" s="5"/>
      <c r="Q196" s="5"/>
      <c r="R196" s="5"/>
      <c r="S196" s="5"/>
      <c r="T196" s="5"/>
      <c r="U196" s="5"/>
      <c r="V196" s="5"/>
      <c r="X196" s="5"/>
      <c r="Y196" s="20"/>
      <c r="Z196" s="5"/>
      <c r="AA196" s="5"/>
      <c r="AB196" s="5"/>
      <c r="AC196" s="5"/>
      <c r="AD196" s="5"/>
      <c r="AE196" s="5"/>
      <c r="AF196" s="5"/>
      <c r="AG196" s="5"/>
      <c r="AH196" s="5"/>
      <c r="AI196" s="5"/>
      <c r="AJ196" s="5"/>
      <c r="AK196" s="5"/>
      <c r="AL196" s="5"/>
      <c r="AM196" s="5"/>
      <c r="AN196" s="5"/>
      <c r="AO196" s="5"/>
      <c r="AP196" s="5"/>
      <c r="AQ196" s="5"/>
      <c r="AR196" s="5"/>
      <c r="AS196" s="22"/>
    </row>
    <row r="197" spans="1:46" s="2" customFormat="1" hidden="1" x14ac:dyDescent="0.2">
      <c r="A197" s="309"/>
      <c r="B197" s="1036" t="s">
        <v>725</v>
      </c>
      <c r="C197" s="727"/>
      <c r="D197" s="1015"/>
      <c r="E197" s="460" t="s">
        <v>730</v>
      </c>
      <c r="F197" s="471"/>
      <c r="G197" s="460"/>
      <c r="H197" s="459"/>
      <c r="I197" s="457"/>
      <c r="J197" s="470"/>
      <c r="K197" s="20"/>
      <c r="L197" s="16"/>
      <c r="M197" s="16"/>
      <c r="N197" s="16"/>
      <c r="O197" s="5"/>
      <c r="P197" s="5"/>
      <c r="Q197" s="5"/>
      <c r="R197" s="5"/>
      <c r="S197" s="5"/>
      <c r="T197" s="5"/>
      <c r="U197" s="5"/>
      <c r="V197" s="5"/>
      <c r="W197"/>
      <c r="X197" s="5"/>
      <c r="Y197" s="9"/>
      <c r="Z197" s="8"/>
      <c r="AA197" s="9"/>
      <c r="AB197" s="9"/>
      <c r="AC197" s="9"/>
      <c r="AD197" s="4"/>
      <c r="AE197" s="4"/>
      <c r="AF197" s="4"/>
      <c r="AG197" s="4"/>
      <c r="AH197" s="4"/>
      <c r="AI197" s="4"/>
      <c r="AJ197" s="4"/>
      <c r="AK197" s="4"/>
      <c r="AL197" s="4"/>
      <c r="AM197" s="4"/>
      <c r="AN197" s="4"/>
      <c r="AO197" s="4"/>
      <c r="AP197" s="4"/>
      <c r="AQ197" s="4"/>
      <c r="AR197" s="4"/>
      <c r="AS197" s="22"/>
      <c r="AT197" s="378"/>
    </row>
    <row r="198" spans="1:46" hidden="1" x14ac:dyDescent="0.2">
      <c r="B198" s="1036" t="s">
        <v>725</v>
      </c>
      <c r="C198" s="727"/>
      <c r="D198" s="1012"/>
      <c r="E198" s="5"/>
      <c r="F198" s="5"/>
      <c r="G198" s="5"/>
      <c r="H198" s="16"/>
      <c r="I198" s="16"/>
      <c r="J198" s="16"/>
      <c r="K198" s="16"/>
      <c r="L198" s="16"/>
      <c r="M198" s="16"/>
      <c r="N198" s="16"/>
      <c r="O198" s="16"/>
      <c r="P198" s="16"/>
      <c r="Q198" s="16"/>
      <c r="R198" s="16"/>
      <c r="S198" s="16"/>
      <c r="T198" s="16"/>
      <c r="U198" s="16"/>
      <c r="V198" s="16"/>
      <c r="W198" s="16"/>
      <c r="X198" s="16"/>
      <c r="Y198" s="20"/>
      <c r="Z198" s="5"/>
      <c r="AA198" s="5"/>
      <c r="AB198" s="5"/>
      <c r="AC198" s="5"/>
      <c r="AD198" s="5"/>
      <c r="AE198" s="5"/>
      <c r="AF198" s="5"/>
      <c r="AG198" s="5"/>
      <c r="AH198" s="5"/>
      <c r="AI198" s="5"/>
      <c r="AJ198" s="5"/>
      <c r="AK198" s="5"/>
      <c r="AL198" s="5"/>
      <c r="AM198" s="5"/>
      <c r="AN198" s="5"/>
      <c r="AO198" s="5"/>
      <c r="AP198" s="5"/>
      <c r="AQ198" s="5"/>
      <c r="AR198" s="5"/>
      <c r="AS198" s="22"/>
    </row>
    <row r="199" spans="1:46" hidden="1" x14ac:dyDescent="0.2">
      <c r="B199" s="1036" t="s">
        <v>190</v>
      </c>
      <c r="C199" s="727"/>
      <c r="D199" s="1012"/>
      <c r="E199" s="5"/>
      <c r="F199" s="5"/>
      <c r="G199" s="5"/>
      <c r="H199" s="16"/>
      <c r="I199" s="16"/>
      <c r="J199" s="16"/>
      <c r="K199" s="16"/>
      <c r="L199" s="16"/>
      <c r="M199" s="16"/>
      <c r="N199" s="16"/>
      <c r="O199" s="16"/>
      <c r="P199" s="16"/>
      <c r="Q199" s="16"/>
      <c r="R199" s="16"/>
      <c r="S199" s="16"/>
      <c r="T199" s="16"/>
      <c r="U199" s="16"/>
      <c r="V199" s="16"/>
      <c r="W199" s="16"/>
      <c r="X199" s="16"/>
      <c r="Y199" s="20"/>
      <c r="Z199" s="5"/>
      <c r="AA199" s="5"/>
      <c r="AB199" s="5"/>
      <c r="AC199" s="5"/>
      <c r="AD199" s="5"/>
      <c r="AE199" s="5"/>
      <c r="AF199" s="5"/>
      <c r="AG199" s="5"/>
      <c r="AH199" s="5"/>
      <c r="AI199" s="5"/>
      <c r="AJ199" s="5"/>
      <c r="AK199" s="5"/>
      <c r="AL199" s="5"/>
      <c r="AM199" s="5"/>
      <c r="AN199" s="5"/>
      <c r="AO199" s="5"/>
      <c r="AP199" s="5"/>
      <c r="AQ199" s="5"/>
      <c r="AR199" s="5"/>
      <c r="AS199" s="22"/>
    </row>
    <row r="200" spans="1:46" ht="21" hidden="1" x14ac:dyDescent="0.2">
      <c r="B200" s="1036" t="s">
        <v>190</v>
      </c>
      <c r="C200" s="727"/>
      <c r="D200" s="1012"/>
      <c r="E200" s="215" t="s">
        <v>190</v>
      </c>
      <c r="F200" s="215"/>
      <c r="G200" s="215"/>
      <c r="H200" s="215"/>
      <c r="I200" s="215"/>
      <c r="J200" s="215"/>
      <c r="K200" s="61"/>
      <c r="L200" s="61"/>
      <c r="M200" s="61"/>
      <c r="N200" s="61"/>
      <c r="O200" s="61"/>
      <c r="P200" s="61"/>
      <c r="Q200" s="61"/>
      <c r="R200" s="61"/>
      <c r="S200" s="61"/>
      <c r="T200" s="61"/>
      <c r="U200" s="61"/>
      <c r="V200" s="61"/>
      <c r="W200" s="61"/>
      <c r="X200" s="5"/>
      <c r="Y200" s="20"/>
      <c r="Z200" s="5"/>
      <c r="AA200" s="5"/>
      <c r="AB200" s="5"/>
      <c r="AC200" s="5"/>
      <c r="AD200" s="5"/>
      <c r="AE200" s="5"/>
      <c r="AF200" s="5"/>
      <c r="AG200" s="5"/>
      <c r="AH200" s="5"/>
      <c r="AI200" s="5"/>
      <c r="AJ200" s="5"/>
      <c r="AK200" s="5"/>
      <c r="AL200" s="5"/>
      <c r="AM200" s="5"/>
      <c r="AN200" s="5"/>
      <c r="AO200" s="5"/>
      <c r="AP200" s="5"/>
      <c r="AQ200" s="5"/>
      <c r="AR200" s="5"/>
      <c r="AS200" s="22"/>
    </row>
    <row r="201" spans="1:46" hidden="1" x14ac:dyDescent="0.2">
      <c r="B201" s="1036" t="s">
        <v>190</v>
      </c>
      <c r="C201" s="727"/>
      <c r="D201" s="1013"/>
      <c r="E201" s="299" t="s">
        <v>491</v>
      </c>
      <c r="F201" s="299"/>
      <c r="G201" s="299" t="s">
        <v>423</v>
      </c>
      <c r="H201" s="300"/>
      <c r="I201" s="300">
        <f ca="1">OFFSET(I201,0,-1)+1</f>
        <v>1</v>
      </c>
      <c r="J201" s="300"/>
      <c r="K201" s="5"/>
      <c r="L201" s="5"/>
      <c r="M201" s="5"/>
      <c r="N201" s="5"/>
      <c r="O201" s="5"/>
      <c r="P201" s="5"/>
      <c r="Q201" s="5"/>
      <c r="R201" s="5"/>
      <c r="S201" s="5"/>
      <c r="T201" s="5"/>
      <c r="U201" s="5"/>
      <c r="V201" s="5"/>
      <c r="W201" s="5"/>
      <c r="X201" s="5"/>
      <c r="Y201" s="20"/>
      <c r="Z201" s="5"/>
      <c r="AA201" s="5"/>
      <c r="AB201" s="5"/>
      <c r="AC201" s="5"/>
      <c r="AD201" s="5"/>
      <c r="AE201" s="5"/>
      <c r="AF201" s="5"/>
      <c r="AG201" s="5"/>
      <c r="AH201" s="5"/>
      <c r="AI201" s="5"/>
      <c r="AJ201" s="5"/>
      <c r="AK201" s="5"/>
      <c r="AL201" s="5"/>
      <c r="AM201" s="5"/>
      <c r="AN201" s="5"/>
      <c r="AO201" s="5"/>
      <c r="AP201" s="5"/>
      <c r="AQ201" s="5"/>
      <c r="AR201" s="5"/>
      <c r="AS201" s="22"/>
    </row>
    <row r="202" spans="1:46" s="2" customFormat="1" ht="18.75" hidden="1" x14ac:dyDescent="0.2">
      <c r="A202" s="309"/>
      <c r="B202" s="1036" t="s">
        <v>190</v>
      </c>
      <c r="C202" s="727"/>
      <c r="D202" s="1017"/>
      <c r="E202" s="382" t="s">
        <v>731</v>
      </c>
      <c r="F202" s="383"/>
      <c r="G202" s="382"/>
      <c r="H202" s="384"/>
      <c r="I202" s="385"/>
      <c r="J202" s="384"/>
      <c r="K202" s="9"/>
      <c r="L202" s="9"/>
      <c r="M202" s="9"/>
      <c r="N202" s="9"/>
      <c r="O202" s="9"/>
      <c r="P202" s="4"/>
      <c r="Q202" s="4"/>
      <c r="R202" s="4"/>
      <c r="S202" s="4"/>
      <c r="T202" s="4"/>
      <c r="U202" s="4"/>
      <c r="V202" s="4"/>
      <c r="W202" s="4"/>
      <c r="X202" s="4"/>
      <c r="Y202" s="8"/>
      <c r="Z202" s="4"/>
      <c r="AA202" s="4"/>
      <c r="AB202" s="4"/>
      <c r="AC202" s="4"/>
      <c r="AD202" s="4"/>
      <c r="AE202" s="4"/>
      <c r="AF202" s="4"/>
      <c r="AG202" s="4"/>
      <c r="AH202" s="4"/>
      <c r="AI202" s="4"/>
      <c r="AJ202" s="4"/>
      <c r="AK202" s="4"/>
      <c r="AL202" s="4"/>
      <c r="AM202" s="4"/>
      <c r="AN202" s="4"/>
      <c r="AO202" s="4"/>
      <c r="AP202" s="4"/>
      <c r="AQ202" s="4"/>
      <c r="AR202" s="4"/>
      <c r="AS202" s="22"/>
    </row>
    <row r="203" spans="1:46" hidden="1" x14ac:dyDescent="0.2">
      <c r="B203" s="1036" t="s">
        <v>190</v>
      </c>
      <c r="C203" s="727"/>
      <c r="D203" s="1012"/>
      <c r="E203" s="357" t="s">
        <v>100</v>
      </c>
      <c r="F203" s="326"/>
      <c r="G203" s="357" t="s">
        <v>150</v>
      </c>
      <c r="H203" s="476"/>
      <c r="I203" s="381">
        <v>0.5</v>
      </c>
      <c r="J203" s="476"/>
      <c r="K203" s="20"/>
      <c r="L203" s="16"/>
      <c r="M203" s="16"/>
      <c r="N203" s="16"/>
      <c r="O203" s="16"/>
      <c r="P203" s="5"/>
      <c r="Q203" s="5"/>
      <c r="R203" s="5"/>
      <c r="S203" s="5"/>
      <c r="T203" s="5"/>
      <c r="U203" s="5"/>
      <c r="V203" s="5"/>
      <c r="W203" s="5"/>
      <c r="X203" s="5"/>
      <c r="Y203" s="20"/>
      <c r="Z203" s="5"/>
      <c r="AA203" s="5"/>
      <c r="AB203" s="5"/>
      <c r="AC203" s="5"/>
      <c r="AD203" s="5"/>
      <c r="AE203" s="5"/>
      <c r="AF203" s="5"/>
      <c r="AG203" s="5"/>
      <c r="AH203" s="5"/>
      <c r="AI203" s="5"/>
      <c r="AJ203" s="5"/>
      <c r="AK203" s="5"/>
      <c r="AL203" s="5"/>
      <c r="AM203" s="5"/>
      <c r="AN203" s="5"/>
      <c r="AO203" s="5"/>
      <c r="AP203" s="5"/>
      <c r="AQ203" s="5"/>
      <c r="AR203" s="5"/>
      <c r="AS203" s="22"/>
    </row>
    <row r="204" spans="1:46" hidden="1" x14ac:dyDescent="0.2">
      <c r="B204" s="1036" t="s">
        <v>190</v>
      </c>
      <c r="C204" s="727"/>
      <c r="D204" s="1012"/>
      <c r="E204" s="357" t="s">
        <v>732</v>
      </c>
      <c r="F204" s="326"/>
      <c r="G204" s="357" t="s">
        <v>150</v>
      </c>
      <c r="H204" s="476"/>
      <c r="I204" s="381">
        <v>0.15</v>
      </c>
      <c r="J204" s="476"/>
      <c r="K204" s="20"/>
      <c r="L204" s="16"/>
      <c r="M204" s="16"/>
      <c r="N204" s="16"/>
      <c r="O204" s="16"/>
      <c r="P204" s="5"/>
      <c r="Q204" s="5"/>
      <c r="R204" s="5"/>
      <c r="S204" s="5"/>
      <c r="T204" s="5"/>
      <c r="U204" s="5"/>
      <c r="V204" s="5"/>
      <c r="W204" s="5"/>
      <c r="X204" s="5"/>
      <c r="Y204" s="20"/>
      <c r="Z204" s="5"/>
      <c r="AA204" s="5"/>
      <c r="AB204" s="5"/>
      <c r="AC204" s="5"/>
      <c r="AD204" s="5"/>
      <c r="AE204" s="5"/>
      <c r="AF204" s="5"/>
      <c r="AG204" s="5"/>
      <c r="AH204" s="5"/>
      <c r="AI204" s="5"/>
      <c r="AJ204" s="5"/>
      <c r="AK204" s="5"/>
      <c r="AL204" s="5"/>
      <c r="AM204" s="5"/>
      <c r="AN204" s="5"/>
      <c r="AO204" s="5"/>
      <c r="AP204" s="5"/>
      <c r="AQ204" s="5"/>
      <c r="AR204" s="5"/>
      <c r="AS204" s="22"/>
    </row>
    <row r="205" spans="1:46" hidden="1" x14ac:dyDescent="0.2">
      <c r="B205" s="1036" t="s">
        <v>190</v>
      </c>
      <c r="C205" s="727"/>
      <c r="D205" s="1012"/>
      <c r="E205" s="5"/>
      <c r="F205" s="5"/>
      <c r="G205" s="5"/>
      <c r="H205" s="16"/>
      <c r="I205" s="16"/>
      <c r="J205" s="16"/>
      <c r="K205" s="16"/>
      <c r="L205" s="16"/>
      <c r="M205" s="16"/>
      <c r="N205" s="16"/>
      <c r="O205" s="16"/>
      <c r="P205" s="16"/>
      <c r="Q205" s="16"/>
      <c r="R205" s="16"/>
      <c r="S205" s="16"/>
      <c r="T205" s="16"/>
      <c r="U205" s="16"/>
      <c r="V205" s="16"/>
      <c r="W205" s="16"/>
      <c r="X205" s="16"/>
      <c r="Y205" s="20"/>
      <c r="Z205" s="16"/>
      <c r="AA205" s="5"/>
      <c r="AB205" s="5"/>
      <c r="AC205" s="5"/>
      <c r="AD205" s="5"/>
      <c r="AE205" s="5"/>
      <c r="AF205" s="5"/>
      <c r="AG205" s="5"/>
      <c r="AH205" s="5"/>
      <c r="AI205" s="5"/>
      <c r="AJ205" s="5"/>
      <c r="AK205" s="5"/>
      <c r="AL205" s="5"/>
      <c r="AM205" s="5"/>
      <c r="AN205" s="5"/>
      <c r="AO205" s="5"/>
      <c r="AP205" s="5"/>
      <c r="AQ205" s="5"/>
      <c r="AR205" s="5"/>
      <c r="AS205" s="22"/>
    </row>
    <row r="206" spans="1:46" ht="15" hidden="1" x14ac:dyDescent="0.2">
      <c r="B206" s="1036" t="s">
        <v>733</v>
      </c>
      <c r="C206" s="727"/>
      <c r="D206" s="1013"/>
      <c r="E206" s="5"/>
      <c r="F206" s="5"/>
      <c r="G206" s="5"/>
      <c r="H206" s="16"/>
      <c r="I206" s="16"/>
      <c r="J206" s="16"/>
      <c r="K206" s="16"/>
      <c r="L206" s="16"/>
      <c r="M206" s="16"/>
      <c r="N206" s="16"/>
      <c r="O206" s="16"/>
      <c r="P206" s="16"/>
      <c r="Q206" s="16"/>
      <c r="R206" s="26"/>
      <c r="S206" s="16"/>
      <c r="T206" s="16"/>
      <c r="U206" s="301"/>
      <c r="V206" s="16"/>
      <c r="W206" s="16"/>
      <c r="X206" s="16"/>
      <c r="Y206" s="20"/>
      <c r="Z206" s="16"/>
      <c r="AA206" s="16"/>
      <c r="AB206" s="16"/>
      <c r="AC206" s="16"/>
      <c r="AD206" s="5"/>
      <c r="AE206" s="5"/>
      <c r="AF206" s="5"/>
      <c r="AG206" s="5"/>
      <c r="AH206" s="5"/>
      <c r="AI206" s="5"/>
      <c r="AJ206" s="5"/>
      <c r="AK206" s="5"/>
      <c r="AL206" s="5"/>
      <c r="AM206" s="5"/>
      <c r="AN206" s="5"/>
      <c r="AO206" s="5"/>
      <c r="AP206" s="5"/>
      <c r="AQ206" s="5"/>
      <c r="AR206" s="5"/>
      <c r="AS206" s="22"/>
    </row>
    <row r="207" spans="1:46" ht="21" hidden="1" x14ac:dyDescent="0.2">
      <c r="B207" s="1036" t="s">
        <v>733</v>
      </c>
      <c r="C207" s="727"/>
      <c r="D207" s="1012"/>
      <c r="E207" s="215" t="s">
        <v>733</v>
      </c>
      <c r="F207" s="215"/>
      <c r="G207" s="215"/>
      <c r="H207" s="215"/>
      <c r="I207" s="215"/>
      <c r="J207" s="215"/>
      <c r="K207" s="215"/>
      <c r="L207" s="215"/>
      <c r="M207" s="215"/>
      <c r="N207" s="215"/>
      <c r="O207" s="215"/>
      <c r="P207" s="215"/>
      <c r="Q207" s="215"/>
      <c r="R207" s="215"/>
      <c r="S207" s="61"/>
      <c r="U207" s="60"/>
      <c r="V207" s="301"/>
      <c r="W207" s="61"/>
      <c r="X207" s="61"/>
      <c r="Y207" s="61"/>
      <c r="Z207" s="61"/>
      <c r="AA207" s="61"/>
      <c r="AB207" s="61"/>
      <c r="AC207" s="5"/>
      <c r="AD207" s="5"/>
      <c r="AE207" s="5"/>
      <c r="AF207" s="5"/>
      <c r="AG207" s="5"/>
      <c r="AH207" s="5"/>
      <c r="AI207" s="5"/>
      <c r="AJ207" s="5"/>
      <c r="AK207" s="5"/>
      <c r="AL207" s="5"/>
      <c r="AM207" s="5"/>
      <c r="AN207" s="5"/>
      <c r="AO207" s="437"/>
      <c r="AP207" s="5"/>
      <c r="AQ207" s="5"/>
      <c r="AR207" s="5"/>
      <c r="AS207" s="5"/>
      <c r="AT207" s="5"/>
    </row>
    <row r="208" spans="1:46" ht="15" hidden="1" x14ac:dyDescent="0.2">
      <c r="B208" s="1036" t="s">
        <v>733</v>
      </c>
      <c r="C208" s="727"/>
      <c r="D208" s="1013"/>
      <c r="E208" s="299" t="s">
        <v>491</v>
      </c>
      <c r="F208" s="299"/>
      <c r="G208" s="299" t="s">
        <v>423</v>
      </c>
      <c r="H208" s="300"/>
      <c r="I208" s="300">
        <f t="shared" ref="I208:Q208" ca="1" si="40">OFFSET(I208,0,-1)+1</f>
        <v>1</v>
      </c>
      <c r="J208" s="300">
        <f t="shared" ca="1" si="40"/>
        <v>2</v>
      </c>
      <c r="K208" s="300">
        <f t="shared" ca="1" si="40"/>
        <v>3</v>
      </c>
      <c r="L208" s="300">
        <f t="shared" ca="1" si="40"/>
        <v>4</v>
      </c>
      <c r="M208" s="300">
        <f t="shared" ca="1" si="40"/>
        <v>5</v>
      </c>
      <c r="N208" s="300">
        <f t="shared" ca="1" si="40"/>
        <v>6</v>
      </c>
      <c r="O208" s="300">
        <f t="shared" ca="1" si="40"/>
        <v>7</v>
      </c>
      <c r="P208" s="300">
        <f t="shared" ca="1" si="40"/>
        <v>8</v>
      </c>
      <c r="Q208" s="300">
        <f t="shared" ca="1" si="40"/>
        <v>9</v>
      </c>
      <c r="R208" s="300"/>
      <c r="S208" s="61"/>
      <c r="T208" s="61"/>
      <c r="U208" s="60"/>
      <c r="V208" s="301"/>
      <c r="W208" s="61"/>
      <c r="X208" s="61"/>
      <c r="Y208" s="61"/>
      <c r="Z208" s="61"/>
      <c r="AA208" s="61"/>
      <c r="AB208" s="61"/>
      <c r="AC208" s="5"/>
      <c r="AD208" s="5"/>
      <c r="AE208" s="5"/>
      <c r="AF208" s="5"/>
      <c r="AG208" s="5"/>
      <c r="AH208" s="5"/>
      <c r="AI208" s="5"/>
      <c r="AJ208" s="5"/>
      <c r="AK208" s="5"/>
      <c r="AL208" s="5"/>
      <c r="AM208" s="5"/>
      <c r="AN208" s="5"/>
      <c r="AO208" s="22"/>
      <c r="AP208" s="5"/>
      <c r="AQ208" s="5"/>
      <c r="AR208" s="5"/>
      <c r="AS208" s="5"/>
      <c r="AT208" s="5"/>
    </row>
    <row r="209" spans="1:62" s="2" customFormat="1" ht="18.75" hidden="1" x14ac:dyDescent="0.2">
      <c r="A209" s="309"/>
      <c r="B209" s="1036" t="s">
        <v>733</v>
      </c>
      <c r="C209" s="727"/>
      <c r="D209" s="1017"/>
      <c r="E209" s="382" t="s">
        <v>734</v>
      </c>
      <c r="F209" s="383"/>
      <c r="G209" s="382"/>
      <c r="H209" s="384"/>
      <c r="I209" s="385"/>
      <c r="J209" s="384"/>
      <c r="K209" s="9"/>
      <c r="L209" s="9"/>
      <c r="M209" s="9"/>
      <c r="N209" s="9"/>
      <c r="O209" s="9"/>
      <c r="P209" s="9"/>
      <c r="Q209" s="4"/>
      <c r="Y209" s="4"/>
      <c r="Z209" s="8"/>
      <c r="AA209" s="4"/>
      <c r="AB209" s="4"/>
      <c r="AC209" s="4"/>
      <c r="AD209" s="4"/>
      <c r="AE209" s="4"/>
      <c r="AF209" s="4"/>
      <c r="AG209" s="4"/>
      <c r="AH209" s="4"/>
      <c r="AI209" s="4"/>
      <c r="AJ209" s="4"/>
      <c r="AK209" s="4"/>
      <c r="AL209" s="4"/>
      <c r="AM209" s="4"/>
      <c r="AN209" s="4"/>
      <c r="AO209" s="4"/>
      <c r="AP209" s="4"/>
      <c r="AQ209" s="4"/>
      <c r="AR209" s="4"/>
      <c r="AS209" s="4"/>
      <c r="AT209" s="22"/>
    </row>
    <row r="210" spans="1:62" ht="51" hidden="1" x14ac:dyDescent="0.2">
      <c r="B210" s="1036" t="s">
        <v>733</v>
      </c>
      <c r="C210" s="727"/>
      <c r="D210" s="1012"/>
      <c r="E210" s="357" t="s">
        <v>735</v>
      </c>
      <c r="F210" s="326"/>
      <c r="G210" s="357" t="s">
        <v>70</v>
      </c>
      <c r="H210" s="476"/>
      <c r="I210" s="543" t="s">
        <v>628</v>
      </c>
      <c r="J210" s="543" t="s">
        <v>736</v>
      </c>
      <c r="K210" s="543" t="s">
        <v>737</v>
      </c>
      <c r="L210" s="543" t="s">
        <v>738</v>
      </c>
      <c r="M210" s="543" t="s">
        <v>739</v>
      </c>
      <c r="N210" s="543" t="s">
        <v>607</v>
      </c>
      <c r="O210" s="543" t="s">
        <v>740</v>
      </c>
      <c r="P210" s="543" t="s">
        <v>741</v>
      </c>
      <c r="Q210" s="543" t="s">
        <v>742</v>
      </c>
      <c r="R210" s="476"/>
      <c r="S210" s="16"/>
      <c r="T210" s="16"/>
      <c r="U210" s="20"/>
      <c r="V210" s="301"/>
      <c r="W210" s="24"/>
      <c r="X210" s="24"/>
      <c r="Y210" s="16"/>
      <c r="Z210" s="16"/>
      <c r="AA210" s="16"/>
      <c r="AB210" s="16"/>
      <c r="AC210" s="16"/>
      <c r="AD210" s="16"/>
      <c r="AE210" s="16"/>
      <c r="AF210" s="16"/>
      <c r="AG210" s="16"/>
      <c r="AH210" s="5"/>
      <c r="AI210" s="5"/>
      <c r="AJ210" s="5"/>
      <c r="AK210" s="5"/>
      <c r="AL210" s="5"/>
      <c r="AM210" s="5"/>
      <c r="AN210" s="5"/>
      <c r="AO210" s="22"/>
      <c r="AP210" s="5"/>
      <c r="AQ210" s="5"/>
      <c r="AR210" s="5"/>
      <c r="AS210" s="5"/>
      <c r="AT210" s="5"/>
    </row>
    <row r="211" spans="1:62" ht="15" hidden="1" x14ac:dyDescent="0.2">
      <c r="B211" s="1036" t="s">
        <v>733</v>
      </c>
      <c r="C211" s="727"/>
      <c r="D211" s="1012"/>
      <c r="E211" s="357" t="s">
        <v>94</v>
      </c>
      <c r="F211" s="326"/>
      <c r="G211" s="357"/>
      <c r="H211" s="476"/>
      <c r="I211" s="536"/>
      <c r="J211" s="536" t="s">
        <v>50</v>
      </c>
      <c r="K211" s="536"/>
      <c r="L211" s="536"/>
      <c r="M211" s="536" t="s">
        <v>50</v>
      </c>
      <c r="N211" s="536" t="s">
        <v>50</v>
      </c>
      <c r="O211" s="536" t="s">
        <v>50</v>
      </c>
      <c r="P211" s="536" t="s">
        <v>50</v>
      </c>
      <c r="Q211" s="536" t="s">
        <v>50</v>
      </c>
      <c r="R211" s="476"/>
      <c r="S211" s="16"/>
      <c r="T211" s="16"/>
      <c r="U211" s="20"/>
      <c r="V211" s="301"/>
      <c r="W211" s="24"/>
      <c r="X211" s="24"/>
      <c r="Y211" s="16"/>
      <c r="Z211" s="16"/>
      <c r="AA211" s="16"/>
      <c r="AB211" s="16"/>
      <c r="AC211" s="16"/>
      <c r="AD211" s="16"/>
      <c r="AE211" s="16"/>
      <c r="AF211" s="16"/>
      <c r="AG211" s="16"/>
      <c r="AH211" s="5"/>
      <c r="AI211" s="5"/>
      <c r="AJ211" s="5"/>
      <c r="AK211" s="5"/>
      <c r="AL211" s="5"/>
      <c r="AM211" s="5"/>
      <c r="AN211" s="5"/>
      <c r="AO211" s="22"/>
      <c r="AP211" s="5"/>
      <c r="AQ211" s="5"/>
      <c r="AR211" s="5"/>
      <c r="AS211" s="5"/>
      <c r="AT211" s="5"/>
    </row>
    <row r="212" spans="1:62" ht="15" hidden="1" x14ac:dyDescent="0.2">
      <c r="B212" s="1036" t="s">
        <v>733</v>
      </c>
      <c r="C212" s="727"/>
      <c r="D212" s="1012"/>
      <c r="E212" s="357" t="s">
        <v>743</v>
      </c>
      <c r="F212" s="326"/>
      <c r="G212" s="357" t="s">
        <v>70</v>
      </c>
      <c r="H212" s="476"/>
      <c r="I212" s="397" t="s">
        <v>744</v>
      </c>
      <c r="J212" s="397" t="s">
        <v>745</v>
      </c>
      <c r="K212" s="397" t="s">
        <v>746</v>
      </c>
      <c r="L212" s="397" t="s">
        <v>747</v>
      </c>
      <c r="M212" s="397" t="s">
        <v>748</v>
      </c>
      <c r="N212" s="397" t="s">
        <v>749</v>
      </c>
      <c r="O212" s="397" t="s">
        <v>750</v>
      </c>
      <c r="P212" s="397" t="s">
        <v>751</v>
      </c>
      <c r="Q212" s="397" t="s">
        <v>752</v>
      </c>
      <c r="R212" s="476"/>
      <c r="S212" s="28"/>
      <c r="T212" s="16"/>
      <c r="U212" s="20"/>
      <c r="V212" s="301"/>
      <c r="W212" s="24"/>
      <c r="X212" s="24"/>
      <c r="Y212" s="16"/>
      <c r="Z212" s="16"/>
      <c r="AA212" s="16"/>
      <c r="AB212" s="16"/>
      <c r="AC212" s="16"/>
      <c r="AD212" s="16"/>
      <c r="AE212" s="16"/>
      <c r="AF212" s="16"/>
      <c r="AG212" s="16"/>
      <c r="AH212" s="5"/>
      <c r="AI212" s="5"/>
      <c r="AJ212" s="5"/>
      <c r="AK212" s="5"/>
      <c r="AL212" s="5"/>
      <c r="AM212" s="5"/>
      <c r="AN212" s="5"/>
      <c r="AO212" s="22"/>
      <c r="AP212" s="5"/>
      <c r="AQ212" s="5"/>
      <c r="AR212" s="5"/>
      <c r="AS212" s="5"/>
      <c r="AT212" s="5"/>
    </row>
    <row r="213" spans="1:62" ht="15" hidden="1" x14ac:dyDescent="0.2">
      <c r="B213" s="1036" t="s">
        <v>733</v>
      </c>
      <c r="C213" s="727"/>
      <c r="D213" s="1012"/>
      <c r="E213" s="357" t="s">
        <v>753</v>
      </c>
      <c r="F213" s="326"/>
      <c r="G213" s="357" t="s">
        <v>70</v>
      </c>
      <c r="H213" s="476"/>
      <c r="I213" s="400">
        <v>0</v>
      </c>
      <c r="J213" s="400">
        <v>1.45</v>
      </c>
      <c r="K213" s="400">
        <v>1</v>
      </c>
      <c r="L213" s="400">
        <v>1</v>
      </c>
      <c r="M213" s="400">
        <v>1</v>
      </c>
      <c r="N213" s="400">
        <v>0.5</v>
      </c>
      <c r="O213" s="400">
        <v>0</v>
      </c>
      <c r="P213" s="400">
        <v>0</v>
      </c>
      <c r="Q213" s="400" t="s">
        <v>754</v>
      </c>
      <c r="R213" s="476"/>
      <c r="S213" s="29"/>
      <c r="T213" s="16"/>
      <c r="U213" s="20"/>
      <c r="V213" s="301"/>
      <c r="W213" s="24"/>
      <c r="X213" s="86"/>
      <c r="Y213" s="16"/>
      <c r="Z213" s="16"/>
      <c r="AA213" s="16"/>
      <c r="AB213" s="16"/>
      <c r="AC213" s="16"/>
      <c r="AD213" s="16"/>
      <c r="AE213" s="16"/>
      <c r="AF213" s="16"/>
      <c r="AG213" s="16"/>
      <c r="AH213" s="5"/>
      <c r="AI213" s="5"/>
      <c r="AJ213" s="5"/>
      <c r="AK213" s="5"/>
      <c r="AL213" s="5"/>
      <c r="AM213" s="5"/>
      <c r="AN213" s="5"/>
      <c r="AO213" s="22"/>
      <c r="AP213" s="5"/>
      <c r="AQ213" s="5"/>
      <c r="AR213" s="5"/>
      <c r="AS213" s="5"/>
      <c r="AT213" s="5"/>
    </row>
    <row r="214" spans="1:62" ht="15" hidden="1" x14ac:dyDescent="0.2">
      <c r="B214" s="1036" t="s">
        <v>733</v>
      </c>
      <c r="C214" s="727"/>
      <c r="D214" s="1012"/>
      <c r="E214" s="357" t="s">
        <v>755</v>
      </c>
      <c r="F214" s="326"/>
      <c r="G214" s="357"/>
      <c r="H214" s="476"/>
      <c r="I214" s="543">
        <v>0</v>
      </c>
      <c r="J214" s="543">
        <v>0</v>
      </c>
      <c r="K214" s="543">
        <v>0</v>
      </c>
      <c r="L214" s="543">
        <v>0</v>
      </c>
      <c r="M214" s="543">
        <v>0</v>
      </c>
      <c r="N214" s="543">
        <v>0</v>
      </c>
      <c r="O214" s="543">
        <v>0</v>
      </c>
      <c r="P214" s="543">
        <v>0</v>
      </c>
      <c r="Q214" s="543">
        <v>1</v>
      </c>
      <c r="R214" s="476"/>
      <c r="S214" s="29"/>
      <c r="T214" s="16"/>
      <c r="U214" s="20"/>
      <c r="V214" s="301"/>
      <c r="W214" s="24"/>
      <c r="X214" s="86"/>
      <c r="Y214" s="16"/>
      <c r="Z214" s="16"/>
      <c r="AA214" s="16"/>
      <c r="AB214" s="16"/>
      <c r="AC214" s="16"/>
      <c r="AD214" s="16"/>
      <c r="AE214" s="16"/>
      <c r="AF214" s="16"/>
      <c r="AG214" s="16"/>
      <c r="AH214" s="5"/>
      <c r="AI214" s="5"/>
      <c r="AJ214" s="5"/>
      <c r="AK214" s="5"/>
      <c r="AL214" s="5"/>
      <c r="AM214" s="5"/>
      <c r="AN214" s="5"/>
      <c r="AO214" s="22"/>
      <c r="AP214" s="5"/>
      <c r="AQ214" s="5"/>
      <c r="AR214" s="5"/>
      <c r="AS214" s="5"/>
      <c r="AT214" s="5"/>
    </row>
    <row r="215" spans="1:62" s="2" customFormat="1" ht="15" hidden="1" x14ac:dyDescent="0.2">
      <c r="A215" s="309"/>
      <c r="B215" s="1036" t="s">
        <v>733</v>
      </c>
      <c r="C215" s="727"/>
      <c r="D215" s="1015"/>
      <c r="E215" s="460" t="s">
        <v>756</v>
      </c>
      <c r="F215" s="471"/>
      <c r="G215" s="460"/>
      <c r="H215" s="459"/>
      <c r="I215" s="457" t="s">
        <v>757</v>
      </c>
      <c r="J215" s="457" t="s">
        <v>757</v>
      </c>
      <c r="K215" s="457" t="s">
        <v>757</v>
      </c>
      <c r="L215" s="457" t="s">
        <v>757</v>
      </c>
      <c r="M215" s="457" t="s">
        <v>757</v>
      </c>
      <c r="N215" s="457" t="s">
        <v>757</v>
      </c>
      <c r="O215" s="457" t="s">
        <v>757</v>
      </c>
      <c r="P215" s="457" t="s">
        <v>757</v>
      </c>
      <c r="Q215" s="457"/>
      <c r="R215" s="459"/>
      <c r="S215" s="393"/>
      <c r="T215" s="9"/>
      <c r="U215" s="8"/>
      <c r="V215" s="301"/>
      <c r="W215" s="9"/>
      <c r="X215" s="394"/>
      <c r="Y215" s="394"/>
      <c r="Z215" s="394"/>
      <c r="AA215" s="394"/>
      <c r="AB215" s="9"/>
      <c r="AC215" s="9"/>
      <c r="AD215" s="9"/>
      <c r="AE215" s="9"/>
      <c r="AF215" s="9"/>
      <c r="AG215" s="9"/>
      <c r="AH215" s="4"/>
      <c r="AI215" s="4"/>
      <c r="AJ215" s="4"/>
      <c r="AK215" s="4"/>
      <c r="AL215" s="4"/>
      <c r="AM215" s="4"/>
      <c r="AN215" s="4"/>
      <c r="AO215" s="22"/>
      <c r="AP215" s="4"/>
      <c r="AQ215" s="4"/>
      <c r="AR215" s="4"/>
      <c r="AS215" s="4"/>
      <c r="AT215" s="4"/>
    </row>
    <row r="216" spans="1:62" ht="15" hidden="1" x14ac:dyDescent="0.2">
      <c r="B216" s="1036" t="s">
        <v>733</v>
      </c>
      <c r="C216" s="727"/>
      <c r="D216" s="1012"/>
      <c r="E216" s="5"/>
      <c r="F216" s="5"/>
      <c r="G216" s="5"/>
      <c r="H216" s="16"/>
      <c r="I216" s="16"/>
      <c r="J216" s="16"/>
      <c r="K216" s="16"/>
      <c r="L216" s="16"/>
      <c r="M216" s="16"/>
      <c r="N216" s="16"/>
      <c r="O216" s="16"/>
      <c r="P216" s="16"/>
      <c r="Q216" s="16"/>
      <c r="R216" s="16"/>
      <c r="S216" s="16"/>
      <c r="T216" s="16"/>
      <c r="U216" s="301"/>
      <c r="V216" s="16"/>
      <c r="W216" s="16"/>
      <c r="X216" s="16"/>
      <c r="Y216" s="20"/>
      <c r="Z216" s="5"/>
      <c r="AA216" s="5"/>
      <c r="AB216" s="5"/>
      <c r="AC216" s="5"/>
      <c r="AD216" s="5"/>
      <c r="AE216" s="5"/>
      <c r="AF216" s="5"/>
      <c r="AG216" s="5"/>
      <c r="AH216" s="5"/>
      <c r="AI216" s="5"/>
      <c r="AJ216" s="5"/>
      <c r="AK216" s="5"/>
      <c r="AL216" s="5"/>
      <c r="AM216" s="5"/>
      <c r="AN216" s="5"/>
      <c r="AO216" s="5"/>
      <c r="AP216" s="5"/>
      <c r="AQ216" s="5"/>
      <c r="AR216" s="5"/>
      <c r="AS216" s="22"/>
    </row>
    <row r="217" spans="1:62" hidden="1" x14ac:dyDescent="0.2">
      <c r="B217" s="1036" t="s">
        <v>758</v>
      </c>
      <c r="C217" s="727"/>
      <c r="D217" s="1013"/>
      <c r="E217" s="5"/>
      <c r="F217" s="5"/>
      <c r="G217" s="5"/>
      <c r="H217" s="5"/>
      <c r="I217" s="5"/>
      <c r="J217" s="5"/>
      <c r="K217" s="5"/>
      <c r="L217" s="5"/>
      <c r="M217" s="5"/>
      <c r="N217" s="5"/>
      <c r="O217" s="5"/>
      <c r="P217" s="5"/>
      <c r="Q217" s="5"/>
      <c r="R217" s="5"/>
      <c r="S217" s="5"/>
      <c r="T217" s="5"/>
      <c r="U217" s="16"/>
      <c r="V217" s="16"/>
      <c r="W217" s="16"/>
      <c r="X217" s="16"/>
      <c r="Y217" s="20"/>
      <c r="Z217" s="16"/>
      <c r="AA217" s="5"/>
      <c r="AB217" s="5"/>
      <c r="AC217" s="5"/>
      <c r="AD217" s="5"/>
      <c r="AE217" s="5"/>
      <c r="AF217" s="5"/>
      <c r="AG217" s="5"/>
      <c r="AH217" s="5"/>
      <c r="AI217" s="5"/>
      <c r="AJ217" s="5"/>
      <c r="AK217" s="5"/>
      <c r="AL217" s="5"/>
      <c r="AM217" s="5"/>
      <c r="AN217" s="5"/>
      <c r="AO217" s="5"/>
      <c r="AP217" s="5"/>
      <c r="AQ217" s="5"/>
      <c r="AR217" s="5"/>
      <c r="AS217" s="22"/>
    </row>
    <row r="218" spans="1:62" ht="21" hidden="1" x14ac:dyDescent="0.2">
      <c r="B218" s="1036" t="s">
        <v>758</v>
      </c>
      <c r="C218" s="727"/>
      <c r="D218" s="1012"/>
      <c r="E218" s="215" t="s">
        <v>759</v>
      </c>
      <c r="F218" s="215"/>
      <c r="G218" s="215"/>
      <c r="H218" s="215"/>
      <c r="I218" s="215"/>
      <c r="J218" s="215"/>
      <c r="K218" s="215"/>
      <c r="L218" s="215"/>
      <c r="M218" s="215"/>
      <c r="N218" s="215"/>
      <c r="O218" s="215"/>
      <c r="P218" s="215"/>
      <c r="Q218" s="215"/>
      <c r="R218" s="215"/>
      <c r="S218" s="215"/>
      <c r="T218" s="215"/>
      <c r="U218" s="215"/>
      <c r="V218" s="215"/>
      <c r="W218" s="215"/>
      <c r="X218" s="215"/>
      <c r="Y218" s="215"/>
      <c r="Z218" s="215"/>
      <c r="AA218" s="215"/>
      <c r="AB218" s="215"/>
      <c r="AC218" s="944" t="s">
        <v>760</v>
      </c>
      <c r="AD218" s="945"/>
      <c r="AE218" s="945"/>
      <c r="AF218" s="945"/>
      <c r="AG218" s="945"/>
      <c r="AH218" s="945"/>
      <c r="AI218" s="945"/>
      <c r="AJ218" s="945"/>
      <c r="AK218" s="945"/>
      <c r="AL218" s="945"/>
      <c r="AM218" s="946"/>
      <c r="AN218" s="215"/>
      <c r="AO218" s="20"/>
      <c r="AP218" s="5"/>
      <c r="AQ218" s="5"/>
      <c r="AR218" s="5"/>
      <c r="AS218" s="5"/>
      <c r="AT218" s="5"/>
      <c r="AU218" s="5"/>
      <c r="AV218" s="5"/>
      <c r="AW218" s="5"/>
      <c r="AX218" s="5"/>
      <c r="AY218" s="5"/>
      <c r="AZ218" s="5"/>
      <c r="BA218" s="5"/>
      <c r="BB218" s="5"/>
      <c r="BC218" s="5"/>
      <c r="BD218" s="5"/>
      <c r="BE218" s="5"/>
      <c r="BF218" s="5"/>
      <c r="BG218" s="5"/>
      <c r="BH218" s="5"/>
      <c r="BI218" s="22"/>
    </row>
    <row r="219" spans="1:62" hidden="1" x14ac:dyDescent="0.2">
      <c r="B219" s="1036" t="s">
        <v>758</v>
      </c>
      <c r="C219" s="727"/>
      <c r="D219" s="1013"/>
      <c r="E219" s="299" t="s">
        <v>491</v>
      </c>
      <c r="F219" s="299"/>
      <c r="G219" s="299" t="s">
        <v>423</v>
      </c>
      <c r="H219" s="300"/>
      <c r="I219" s="300">
        <f t="shared" ref="I219:AM219" ca="1" si="41">OFFSET(I219,0,-1)+1</f>
        <v>1</v>
      </c>
      <c r="J219" s="300">
        <f t="shared" ca="1" si="41"/>
        <v>2</v>
      </c>
      <c r="K219" s="300">
        <f t="shared" ca="1" si="41"/>
        <v>3</v>
      </c>
      <c r="L219" s="300">
        <f t="shared" ca="1" si="41"/>
        <v>4</v>
      </c>
      <c r="M219" s="300">
        <f t="shared" ca="1" si="41"/>
        <v>5</v>
      </c>
      <c r="N219" s="300">
        <f t="shared" ca="1" si="41"/>
        <v>6</v>
      </c>
      <c r="O219" s="300">
        <f t="shared" ca="1" si="41"/>
        <v>7</v>
      </c>
      <c r="P219" s="300">
        <f t="shared" ca="1" si="41"/>
        <v>8</v>
      </c>
      <c r="Q219" s="300">
        <f t="shared" ca="1" si="41"/>
        <v>9</v>
      </c>
      <c r="R219" s="300">
        <f t="shared" ca="1" si="41"/>
        <v>10</v>
      </c>
      <c r="S219" s="300">
        <f t="shared" ca="1" si="41"/>
        <v>11</v>
      </c>
      <c r="T219" s="300">
        <f t="shared" ca="1" si="41"/>
        <v>12</v>
      </c>
      <c r="U219" s="300">
        <f t="shared" ca="1" si="41"/>
        <v>13</v>
      </c>
      <c r="V219" s="300">
        <f t="shared" ca="1" si="41"/>
        <v>14</v>
      </c>
      <c r="W219" s="300">
        <f t="shared" ca="1" si="41"/>
        <v>15</v>
      </c>
      <c r="X219" s="300">
        <f t="shared" ca="1" si="41"/>
        <v>16</v>
      </c>
      <c r="Y219" s="300">
        <f t="shared" ca="1" si="41"/>
        <v>17</v>
      </c>
      <c r="Z219" s="300">
        <f t="shared" ca="1" si="41"/>
        <v>18</v>
      </c>
      <c r="AA219" s="300">
        <f t="shared" ca="1" si="41"/>
        <v>19</v>
      </c>
      <c r="AB219" s="300">
        <f t="shared" ca="1" si="41"/>
        <v>20</v>
      </c>
      <c r="AC219" s="947">
        <f t="shared" ca="1" si="41"/>
        <v>21</v>
      </c>
      <c r="AD219" s="300">
        <f t="shared" ca="1" si="41"/>
        <v>22</v>
      </c>
      <c r="AE219" s="300">
        <f t="shared" ca="1" si="41"/>
        <v>23</v>
      </c>
      <c r="AF219" s="300">
        <f t="shared" ca="1" si="41"/>
        <v>24</v>
      </c>
      <c r="AG219" s="300">
        <f t="shared" ca="1" si="41"/>
        <v>25</v>
      </c>
      <c r="AH219" s="300">
        <f t="shared" ca="1" si="41"/>
        <v>26</v>
      </c>
      <c r="AI219" s="300">
        <f t="shared" ca="1" si="41"/>
        <v>27</v>
      </c>
      <c r="AJ219" s="300">
        <f t="shared" ca="1" si="41"/>
        <v>28</v>
      </c>
      <c r="AK219" s="300">
        <f t="shared" ca="1" si="41"/>
        <v>29</v>
      </c>
      <c r="AL219" s="300">
        <f t="shared" ca="1" si="41"/>
        <v>30</v>
      </c>
      <c r="AM219" s="948">
        <f t="shared" ca="1" si="41"/>
        <v>31</v>
      </c>
      <c r="AN219" s="300"/>
      <c r="AO219" s="5"/>
      <c r="AP219" s="20"/>
      <c r="AQ219" s="5"/>
      <c r="AR219" s="5"/>
      <c r="AS219" s="5"/>
      <c r="AT219" s="5"/>
      <c r="AU219" s="5"/>
      <c r="AV219" s="5"/>
      <c r="AW219" s="5"/>
      <c r="AX219" s="5"/>
      <c r="AY219" s="5"/>
      <c r="AZ219" s="5"/>
      <c r="BA219" s="5"/>
      <c r="BB219" s="5"/>
      <c r="BC219" s="5"/>
      <c r="BD219" s="5"/>
      <c r="BE219" s="5"/>
      <c r="BF219" s="5"/>
      <c r="BG219" s="5"/>
      <c r="BH219" s="5"/>
      <c r="BI219" s="22"/>
      <c r="BJ219" s="209"/>
    </row>
    <row r="220" spans="1:62" s="2" customFormat="1" ht="18.75" hidden="1" x14ac:dyDescent="0.2">
      <c r="A220" s="309"/>
      <c r="B220" s="1036" t="s">
        <v>758</v>
      </c>
      <c r="C220" s="727"/>
      <c r="D220" s="1017"/>
      <c r="E220" s="382" t="s">
        <v>761</v>
      </c>
      <c r="F220" s="383"/>
      <c r="G220" s="382"/>
      <c r="H220" s="384"/>
      <c r="I220" s="688" t="s">
        <v>99</v>
      </c>
      <c r="J220" s="688" t="s">
        <v>99</v>
      </c>
      <c r="K220" s="688" t="s">
        <v>99</v>
      </c>
      <c r="L220" s="688" t="s">
        <v>99</v>
      </c>
      <c r="M220" s="688" t="s">
        <v>99</v>
      </c>
      <c r="N220" s="688" t="s">
        <v>99</v>
      </c>
      <c r="O220" s="688" t="s">
        <v>99</v>
      </c>
      <c r="P220" s="688" t="s">
        <v>99</v>
      </c>
      <c r="Q220" s="688" t="s">
        <v>99</v>
      </c>
      <c r="R220" s="688" t="s">
        <v>99</v>
      </c>
      <c r="S220" s="688" t="s">
        <v>99</v>
      </c>
      <c r="T220" s="688" t="s">
        <v>762</v>
      </c>
      <c r="U220" s="688" t="s">
        <v>762</v>
      </c>
      <c r="V220" s="688" t="s">
        <v>762</v>
      </c>
      <c r="W220" s="688" t="s">
        <v>762</v>
      </c>
      <c r="X220" s="688" t="s">
        <v>763</v>
      </c>
      <c r="Y220" s="688" t="s">
        <v>763</v>
      </c>
      <c r="Z220" s="688" t="s">
        <v>763</v>
      </c>
      <c r="AA220" s="688" t="s">
        <v>763</v>
      </c>
      <c r="AB220" s="688" t="s">
        <v>763</v>
      </c>
      <c r="AC220" s="949" t="s">
        <v>764</v>
      </c>
      <c r="AD220" s="688" t="s">
        <v>764</v>
      </c>
      <c r="AE220" s="688" t="s">
        <v>764</v>
      </c>
      <c r="AF220" s="688" t="s">
        <v>764</v>
      </c>
      <c r="AG220" s="688" t="s">
        <v>764</v>
      </c>
      <c r="AH220" s="688" t="s">
        <v>764</v>
      </c>
      <c r="AI220" s="688" t="s">
        <v>764</v>
      </c>
      <c r="AJ220" s="688" t="s">
        <v>764</v>
      </c>
      <c r="AK220" s="688" t="s">
        <v>764</v>
      </c>
      <c r="AL220" s="688" t="s">
        <v>764</v>
      </c>
      <c r="AM220" s="950" t="s">
        <v>764</v>
      </c>
      <c r="AN220" s="4"/>
      <c r="AO220" s="8"/>
      <c r="AP220" s="4"/>
      <c r="AQ220" s="4"/>
      <c r="AR220" s="4"/>
      <c r="AS220" s="4"/>
      <c r="AT220" s="4"/>
      <c r="AU220" s="4"/>
      <c r="AV220" s="4"/>
      <c r="AW220" s="4"/>
      <c r="AX220" s="4"/>
      <c r="AY220" s="4"/>
      <c r="AZ220" s="4"/>
      <c r="BA220" s="4"/>
      <c r="BB220" s="4"/>
      <c r="BC220" s="4"/>
      <c r="BD220" s="4"/>
      <c r="BE220" s="4"/>
      <c r="BF220" s="4"/>
      <c r="BG220" s="4"/>
      <c r="BH220" s="4"/>
      <c r="BI220" s="22"/>
    </row>
    <row r="221" spans="1:62" ht="63.75" hidden="1" x14ac:dyDescent="0.2">
      <c r="B221" s="1036" t="s">
        <v>758</v>
      </c>
      <c r="C221" s="727"/>
      <c r="D221" s="1012"/>
      <c r="E221" s="357" t="s">
        <v>765</v>
      </c>
      <c r="F221" s="326"/>
      <c r="G221" s="357" t="s">
        <v>70</v>
      </c>
      <c r="H221" s="476"/>
      <c r="I221" s="535" t="s">
        <v>628</v>
      </c>
      <c r="J221" s="477" t="s">
        <v>156</v>
      </c>
      <c r="K221" s="535" t="s">
        <v>605</v>
      </c>
      <c r="L221" s="477" t="s">
        <v>766</v>
      </c>
      <c r="M221" s="477" t="s">
        <v>739</v>
      </c>
      <c r="N221" s="477" t="s">
        <v>607</v>
      </c>
      <c r="O221" s="477" t="s">
        <v>740</v>
      </c>
      <c r="P221" s="477" t="s">
        <v>611</v>
      </c>
      <c r="Q221" s="477" t="s">
        <v>767</v>
      </c>
      <c r="R221" s="477" t="s">
        <v>768</v>
      </c>
      <c r="S221" s="477" t="s">
        <v>609</v>
      </c>
      <c r="T221" s="477" t="s">
        <v>613</v>
      </c>
      <c r="U221" s="477" t="s">
        <v>608</v>
      </c>
      <c r="V221" s="477" t="s">
        <v>612</v>
      </c>
      <c r="W221" s="477" t="s">
        <v>606</v>
      </c>
      <c r="X221" s="591" t="s">
        <v>614</v>
      </c>
      <c r="Y221" s="591" t="s">
        <v>694</v>
      </c>
      <c r="Z221" s="591" t="s">
        <v>610</v>
      </c>
      <c r="AA221" s="591"/>
      <c r="AB221" s="591"/>
      <c r="AC221" s="951" t="s">
        <v>615</v>
      </c>
      <c r="AD221" s="591" t="s">
        <v>769</v>
      </c>
      <c r="AE221" s="591" t="s">
        <v>845</v>
      </c>
      <c r="AF221" s="591" t="s">
        <v>846</v>
      </c>
      <c r="AG221" s="591"/>
      <c r="AH221" s="591"/>
      <c r="AI221" s="591"/>
      <c r="AJ221" s="591"/>
      <c r="AK221" s="591"/>
      <c r="AL221" s="591"/>
      <c r="AM221" s="952"/>
      <c r="AN221" s="476"/>
      <c r="AO221" s="22"/>
      <c r="AP221" s="20"/>
      <c r="AQ221" s="16"/>
      <c r="AR221" s="16"/>
      <c r="AS221" s="16"/>
      <c r="AT221" s="5"/>
      <c r="AU221" s="5"/>
      <c r="AV221" s="5"/>
      <c r="AW221" s="5"/>
      <c r="AX221" s="5"/>
      <c r="AY221" s="5"/>
      <c r="AZ221" s="5"/>
      <c r="BA221" s="5"/>
      <c r="BB221" s="5"/>
      <c r="BC221" s="5"/>
      <c r="BD221" s="5"/>
      <c r="BE221" s="5"/>
      <c r="BF221" s="5"/>
      <c r="BG221" s="5"/>
      <c r="BH221" s="5"/>
      <c r="BJ221" s="209"/>
    </row>
    <row r="222" spans="1:62" s="38" customFormat="1" hidden="1" x14ac:dyDescent="0.2">
      <c r="A222" s="233"/>
      <c r="B222" s="1036" t="s">
        <v>758</v>
      </c>
      <c r="C222" s="727"/>
      <c r="D222" s="1012"/>
      <c r="E222" s="182" t="s">
        <v>94</v>
      </c>
      <c r="F222" s="326"/>
      <c r="G222" s="182" t="s">
        <v>70</v>
      </c>
      <c r="H222" s="476"/>
      <c r="I222" s="893"/>
      <c r="J222" s="893"/>
      <c r="K222" s="894"/>
      <c r="L222" s="894"/>
      <c r="M222" s="894" t="s">
        <v>50</v>
      </c>
      <c r="N222" s="894" t="s">
        <v>50</v>
      </c>
      <c r="O222" s="894" t="s">
        <v>50</v>
      </c>
      <c r="P222" s="894" t="s">
        <v>50</v>
      </c>
      <c r="Q222" s="894" t="s">
        <v>50</v>
      </c>
      <c r="R222" s="894" t="s">
        <v>50</v>
      </c>
      <c r="S222" s="894" t="s">
        <v>50</v>
      </c>
      <c r="T222" s="894"/>
      <c r="U222" s="894" t="s">
        <v>50</v>
      </c>
      <c r="V222" s="894" t="s">
        <v>50</v>
      </c>
      <c r="W222" s="894"/>
      <c r="X222" s="895"/>
      <c r="Y222" s="895"/>
      <c r="Z222" s="895"/>
      <c r="AA222" s="895"/>
      <c r="AB222" s="895"/>
      <c r="AC222" s="953"/>
      <c r="AD222" s="457"/>
      <c r="AE222" s="457"/>
      <c r="AF222" s="457"/>
      <c r="AG222" s="457"/>
      <c r="AH222" s="457"/>
      <c r="AI222" s="457"/>
      <c r="AJ222" s="457"/>
      <c r="AK222" s="457"/>
      <c r="AL222" s="457"/>
      <c r="AM222" s="954"/>
      <c r="AN222" s="476"/>
      <c r="AO222" s="20"/>
      <c r="AP222" s="20"/>
      <c r="AQ222" s="16"/>
      <c r="AR222" s="16"/>
      <c r="AS222" s="16"/>
      <c r="AT222" s="76"/>
      <c r="AU222" s="76"/>
      <c r="AV222" s="76"/>
      <c r="AW222" s="76"/>
      <c r="AX222" s="76"/>
      <c r="AY222" s="76"/>
      <c r="AZ222" s="76"/>
      <c r="BA222" s="76"/>
      <c r="BB222" s="76"/>
      <c r="BC222" s="76"/>
      <c r="BD222" s="76"/>
      <c r="BE222" s="76"/>
      <c r="BF222" s="76"/>
      <c r="BG222" s="76"/>
      <c r="BH222" s="76"/>
      <c r="BI222" s="274"/>
      <c r="BJ222" s="896"/>
    </row>
    <row r="223" spans="1:62" s="2" customFormat="1" hidden="1" x14ac:dyDescent="0.2">
      <c r="A223" s="309"/>
      <c r="B223" s="1036" t="s">
        <v>758</v>
      </c>
      <c r="C223" s="727"/>
      <c r="D223" s="1017"/>
      <c r="E223" s="220" t="s">
        <v>770</v>
      </c>
      <c r="F223" s="328"/>
      <c r="G223" s="220" t="s">
        <v>771</v>
      </c>
      <c r="H223" s="398"/>
      <c r="I223" s="399">
        <v>0</v>
      </c>
      <c r="J223" s="399">
        <v>1.45</v>
      </c>
      <c r="K223" s="399">
        <v>1</v>
      </c>
      <c r="L223" s="399">
        <v>1</v>
      </c>
      <c r="M223" s="399">
        <v>0</v>
      </c>
      <c r="N223" s="399">
        <v>0.5</v>
      </c>
      <c r="O223" s="399">
        <v>1</v>
      </c>
      <c r="P223" s="399">
        <v>0.9</v>
      </c>
      <c r="Q223" s="399">
        <f>J223/3</f>
        <v>0.48333333333333334</v>
      </c>
      <c r="R223" s="399">
        <v>0</v>
      </c>
      <c r="S223" s="399">
        <v>0.5</v>
      </c>
      <c r="T223" s="399">
        <v>0.1</v>
      </c>
      <c r="U223" s="399">
        <v>1</v>
      </c>
      <c r="V223" s="399">
        <v>0.2</v>
      </c>
      <c r="W223" s="399">
        <v>0</v>
      </c>
      <c r="X223" s="813" t="s">
        <v>1203</v>
      </c>
      <c r="Y223" s="813" t="s">
        <v>1205</v>
      </c>
      <c r="Z223" s="813">
        <v>0</v>
      </c>
      <c r="AA223" s="813"/>
      <c r="AB223" s="813"/>
      <c r="AC223" s="955">
        <f t="shared" ref="AC223:AM223" si="42">IF(AC$221="","",INDEX(warmtenetten_NL_fp_del,MATCH(AC$221,warmtenetten_NL_namen,0)))</f>
        <v>0.55000000000000004</v>
      </c>
      <c r="AD223" s="812">
        <f t="shared" si="42"/>
        <v>0.12</v>
      </c>
      <c r="AE223" s="812">
        <f t="shared" si="42"/>
        <v>0.44</v>
      </c>
      <c r="AF223" s="812">
        <f t="shared" si="42"/>
        <v>0.56999999999999995</v>
      </c>
      <c r="AG223" s="812" t="str">
        <f t="shared" si="42"/>
        <v/>
      </c>
      <c r="AH223" s="812" t="str">
        <f t="shared" si="42"/>
        <v/>
      </c>
      <c r="AI223" s="812" t="str">
        <f t="shared" si="42"/>
        <v/>
      </c>
      <c r="AJ223" s="812" t="str">
        <f t="shared" si="42"/>
        <v/>
      </c>
      <c r="AK223" s="812" t="str">
        <f t="shared" si="42"/>
        <v/>
      </c>
      <c r="AL223" s="812" t="str">
        <f t="shared" si="42"/>
        <v/>
      </c>
      <c r="AM223" s="956" t="str">
        <f t="shared" si="42"/>
        <v/>
      </c>
      <c r="AN223" s="398"/>
      <c r="AO223" s="8"/>
      <c r="AQ223" s="9"/>
      <c r="AR223" s="9"/>
      <c r="AS223" s="9"/>
      <c r="AT223" s="4"/>
      <c r="AU223" s="4"/>
      <c r="AV223" s="4"/>
      <c r="AW223" s="4"/>
      <c r="AX223" s="4"/>
      <c r="AY223" s="4"/>
      <c r="AZ223" s="4"/>
      <c r="BA223" s="4"/>
      <c r="BB223" s="4"/>
      <c r="BC223" s="4"/>
      <c r="BD223" s="4"/>
      <c r="BE223" s="4"/>
      <c r="BF223" s="4"/>
      <c r="BG223" s="4"/>
      <c r="BH223" s="4"/>
      <c r="BI223" s="274"/>
      <c r="BJ223" s="378"/>
    </row>
    <row r="224" spans="1:62" s="2" customFormat="1" hidden="1" x14ac:dyDescent="0.2">
      <c r="A224" s="309"/>
      <c r="B224" s="1036" t="s">
        <v>758</v>
      </c>
      <c r="C224" s="727"/>
      <c r="D224" s="1015"/>
      <c r="E224" s="220" t="s">
        <v>772</v>
      </c>
      <c r="F224" s="328"/>
      <c r="G224" s="220" t="s">
        <v>773</v>
      </c>
      <c r="H224" s="398"/>
      <c r="I224" s="402">
        <v>0</v>
      </c>
      <c r="J224" s="402">
        <v>0.34</v>
      </c>
      <c r="K224" s="402">
        <v>0.183</v>
      </c>
      <c r="L224" s="402">
        <v>0.26</v>
      </c>
      <c r="M224" s="402">
        <v>0</v>
      </c>
      <c r="N224" s="402">
        <f>0.5*0.372</f>
        <v>0.186</v>
      </c>
      <c r="O224" s="402">
        <f>1*0.372</f>
        <v>0.372</v>
      </c>
      <c r="P224" s="402">
        <v>0.17</v>
      </c>
      <c r="Q224" s="402">
        <f>J224/3</f>
        <v>0.11333333333333334</v>
      </c>
      <c r="R224" s="402">
        <v>0</v>
      </c>
      <c r="S224" s="402">
        <v>0.113</v>
      </c>
      <c r="T224" s="402">
        <v>0.05</v>
      </c>
      <c r="U224" s="402">
        <f>0.183</f>
        <v>0.183</v>
      </c>
      <c r="V224" s="402">
        <v>0.09</v>
      </c>
      <c r="W224" s="402">
        <v>0</v>
      </c>
      <c r="X224" s="592" t="s">
        <v>1206</v>
      </c>
      <c r="Y224" s="592" t="s">
        <v>1207</v>
      </c>
      <c r="Z224" s="592">
        <v>0</v>
      </c>
      <c r="AA224" s="592"/>
      <c r="AB224" s="592"/>
      <c r="AC224" s="955">
        <f t="shared" ref="AC224:AM224" si="43">IF(AC$221="","",INDEX(warmtenetten_NL_CO2_emissiecoefficient,MATCH(AC$221,warmtenetten_NL_namen,0)))</f>
        <v>0.13</v>
      </c>
      <c r="AD224" s="812">
        <f t="shared" si="43"/>
        <v>0.03</v>
      </c>
      <c r="AE224" s="812">
        <f t="shared" si="43"/>
        <v>0.17</v>
      </c>
      <c r="AF224" s="812">
        <f t="shared" si="43"/>
        <v>0.17</v>
      </c>
      <c r="AG224" s="812" t="str">
        <f t="shared" si="43"/>
        <v/>
      </c>
      <c r="AH224" s="812" t="str">
        <f t="shared" si="43"/>
        <v/>
      </c>
      <c r="AI224" s="812" t="str">
        <f t="shared" si="43"/>
        <v/>
      </c>
      <c r="AJ224" s="812" t="str">
        <f t="shared" si="43"/>
        <v/>
      </c>
      <c r="AK224" s="812" t="str">
        <f t="shared" si="43"/>
        <v/>
      </c>
      <c r="AL224" s="812" t="str">
        <f t="shared" si="43"/>
        <v/>
      </c>
      <c r="AM224" s="956" t="str">
        <f t="shared" si="43"/>
        <v/>
      </c>
      <c r="AN224" s="398"/>
      <c r="AO224" s="8"/>
      <c r="AP224" s="8"/>
      <c r="AQ224" s="9"/>
      <c r="AR224" s="9"/>
      <c r="AS224" s="9"/>
      <c r="AT224" s="4"/>
      <c r="AU224" s="4"/>
      <c r="AV224" s="4"/>
      <c r="AW224" s="4"/>
      <c r="AX224" s="4"/>
      <c r="AY224" s="4"/>
      <c r="AZ224" s="4"/>
      <c r="BA224" s="4"/>
      <c r="BB224" s="4"/>
      <c r="BC224" s="4"/>
      <c r="BD224" s="4"/>
      <c r="BE224" s="4"/>
      <c r="BF224" s="4"/>
      <c r="BG224" s="4"/>
      <c r="BH224" s="4"/>
      <c r="BI224" s="22"/>
      <c r="BJ224" s="378"/>
    </row>
    <row r="225" spans="1:62" s="2" customFormat="1" hidden="1" x14ac:dyDescent="0.2">
      <c r="A225" s="309"/>
      <c r="B225" s="1036" t="s">
        <v>758</v>
      </c>
      <c r="C225" s="727"/>
      <c r="D225" s="1015"/>
      <c r="E225" s="220" t="s">
        <v>774</v>
      </c>
      <c r="F225" s="328"/>
      <c r="G225" s="220" t="s">
        <v>70</v>
      </c>
      <c r="H225" s="398"/>
      <c r="I225" s="401" t="s">
        <v>628</v>
      </c>
      <c r="J225" s="401" t="s">
        <v>775</v>
      </c>
      <c r="K225" s="401" t="s">
        <v>776</v>
      </c>
      <c r="L225" s="401" t="s">
        <v>777</v>
      </c>
      <c r="M225" s="401" t="s">
        <v>777</v>
      </c>
      <c r="N225" s="401" t="s">
        <v>777</v>
      </c>
      <c r="O225" s="401" t="s">
        <v>777</v>
      </c>
      <c r="P225" s="401" t="s">
        <v>777</v>
      </c>
      <c r="Q225" s="401" t="s">
        <v>777</v>
      </c>
      <c r="R225" s="401" t="s">
        <v>777</v>
      </c>
      <c r="S225" s="401" t="s">
        <v>777</v>
      </c>
      <c r="T225" s="401" t="s">
        <v>777</v>
      </c>
      <c r="U225" s="401" t="s">
        <v>777</v>
      </c>
      <c r="V225" s="401" t="s">
        <v>777</v>
      </c>
      <c r="W225" s="401" t="s">
        <v>777</v>
      </c>
      <c r="X225" s="592" t="s">
        <v>777</v>
      </c>
      <c r="Y225" s="592" t="s">
        <v>777</v>
      </c>
      <c r="Z225" s="592" t="s">
        <v>777</v>
      </c>
      <c r="AA225" s="592" t="s">
        <v>777</v>
      </c>
      <c r="AB225" s="592"/>
      <c r="AC225" s="955" t="str">
        <f>IF(AC$221="","","GJ")</f>
        <v>GJ</v>
      </c>
      <c r="AD225" s="812" t="str">
        <f t="shared" ref="AD225:AM225" si="44">IF(AD$221="","","GJ")</f>
        <v>GJ</v>
      </c>
      <c r="AE225" s="812" t="str">
        <f t="shared" si="44"/>
        <v>GJ</v>
      </c>
      <c r="AF225" s="812" t="str">
        <f t="shared" si="44"/>
        <v>GJ</v>
      </c>
      <c r="AG225" s="812" t="str">
        <f t="shared" si="44"/>
        <v/>
      </c>
      <c r="AH225" s="812" t="str">
        <f t="shared" si="44"/>
        <v/>
      </c>
      <c r="AI225" s="812" t="str">
        <f t="shared" si="44"/>
        <v/>
      </c>
      <c r="AJ225" s="812" t="str">
        <f t="shared" si="44"/>
        <v/>
      </c>
      <c r="AK225" s="812" t="str">
        <f t="shared" si="44"/>
        <v/>
      </c>
      <c r="AL225" s="812" t="str">
        <f t="shared" si="44"/>
        <v/>
      </c>
      <c r="AM225" s="956" t="str">
        <f t="shared" si="44"/>
        <v/>
      </c>
      <c r="AN225" s="398"/>
      <c r="AO225" s="8"/>
      <c r="AP225" s="8"/>
      <c r="AQ225" s="9"/>
      <c r="AR225" s="9"/>
      <c r="AS225" s="9"/>
      <c r="AT225" s="4"/>
      <c r="AU225" s="4"/>
      <c r="AV225" s="4"/>
      <c r="AW225" s="4"/>
      <c r="AX225" s="4"/>
      <c r="AY225" s="4"/>
      <c r="AZ225" s="4"/>
      <c r="BA225" s="4"/>
      <c r="BB225" s="4"/>
      <c r="BC225" s="4"/>
      <c r="BD225" s="4"/>
      <c r="BE225" s="4"/>
      <c r="BF225" s="4"/>
      <c r="BG225" s="4"/>
      <c r="BH225" s="4"/>
      <c r="BI225" s="22"/>
      <c r="BJ225" s="378"/>
    </row>
    <row r="226" spans="1:62" s="2" customFormat="1" hidden="1" x14ac:dyDescent="0.2">
      <c r="A226" s="309"/>
      <c r="B226" s="1036" t="s">
        <v>758</v>
      </c>
      <c r="C226" s="727"/>
      <c r="D226" s="1015"/>
      <c r="E226" s="460" t="s">
        <v>778</v>
      </c>
      <c r="F226" s="471"/>
      <c r="G226" s="460"/>
      <c r="H226" s="459"/>
      <c r="I226" s="457"/>
      <c r="J226" s="470" t="s">
        <v>779</v>
      </c>
      <c r="K226" s="470" t="s">
        <v>779</v>
      </c>
      <c r="L226" s="470" t="s">
        <v>779</v>
      </c>
      <c r="M226" s="470" t="s">
        <v>779</v>
      </c>
      <c r="N226" s="470" t="s">
        <v>779</v>
      </c>
      <c r="O226" s="470" t="s">
        <v>779</v>
      </c>
      <c r="P226" s="470" t="s">
        <v>779</v>
      </c>
      <c r="Q226" s="470" t="s">
        <v>779</v>
      </c>
      <c r="R226" s="470" t="s">
        <v>780</v>
      </c>
      <c r="S226" s="470" t="s">
        <v>780</v>
      </c>
      <c r="T226" s="470" t="s">
        <v>780</v>
      </c>
      <c r="U226" s="470" t="s">
        <v>780</v>
      </c>
      <c r="V226" s="470" t="s">
        <v>780</v>
      </c>
      <c r="W226" s="470" t="s">
        <v>780</v>
      </c>
      <c r="X226" s="457" t="s">
        <v>1202</v>
      </c>
      <c r="Y226" s="457" t="s">
        <v>1202</v>
      </c>
      <c r="Z226" s="457" t="s">
        <v>1202</v>
      </c>
      <c r="AA226" s="457"/>
      <c r="AB226" s="457"/>
      <c r="AC226" s="953"/>
      <c r="AD226" s="457"/>
      <c r="AE226" s="457"/>
      <c r="AF226" s="457"/>
      <c r="AG226" s="457"/>
      <c r="AH226" s="457"/>
      <c r="AI226" s="457"/>
      <c r="AJ226" s="457"/>
      <c r="AK226" s="457"/>
      <c r="AL226" s="457"/>
      <c r="AM226" s="954"/>
      <c r="AN226" s="537"/>
      <c r="AO226" s="9"/>
      <c r="AP226" s="8"/>
      <c r="AQ226" s="9"/>
      <c r="AR226" s="9"/>
      <c r="AS226" s="9"/>
      <c r="AT226" s="4"/>
      <c r="AU226" s="4"/>
      <c r="AV226" s="4"/>
      <c r="AW226" s="4"/>
      <c r="AX226" s="4"/>
      <c r="AY226" s="4"/>
      <c r="AZ226" s="4"/>
      <c r="BA226" s="4"/>
      <c r="BB226" s="4"/>
      <c r="BC226" s="4"/>
      <c r="BD226" s="4"/>
      <c r="BE226" s="4"/>
      <c r="BF226" s="4"/>
      <c r="BG226" s="4"/>
      <c r="BH226" s="4"/>
      <c r="BI226" s="22"/>
      <c r="BJ226" s="378"/>
    </row>
    <row r="227" spans="1:62" s="2" customFormat="1" ht="18.75" hidden="1" x14ac:dyDescent="0.2">
      <c r="A227" s="309"/>
      <c r="B227" s="1036" t="s">
        <v>758</v>
      </c>
      <c r="C227" s="727"/>
      <c r="D227" s="1015"/>
      <c r="E227" s="382" t="s">
        <v>781</v>
      </c>
      <c r="F227" s="383"/>
      <c r="G227" s="382"/>
      <c r="H227" s="384"/>
      <c r="I227" s="385"/>
      <c r="J227" s="384"/>
      <c r="K227" s="9"/>
      <c r="L227" s="9"/>
      <c r="M227" s="9"/>
      <c r="N227" s="9"/>
      <c r="O227" s="9"/>
      <c r="P227" s="4"/>
      <c r="Q227" s="4"/>
      <c r="R227" s="4"/>
      <c r="S227" s="4"/>
      <c r="T227" s="4"/>
      <c r="U227" s="4"/>
      <c r="V227" s="4"/>
      <c r="W227" s="4"/>
      <c r="X227" s="688" t="s">
        <v>782</v>
      </c>
      <c r="Y227" s="688" t="s">
        <v>782</v>
      </c>
      <c r="Z227" s="688" t="s">
        <v>782</v>
      </c>
      <c r="AA227" s="688" t="s">
        <v>782</v>
      </c>
      <c r="AB227" s="688" t="s">
        <v>782</v>
      </c>
      <c r="AC227" s="949" t="s">
        <v>782</v>
      </c>
      <c r="AD227" s="688" t="s">
        <v>782</v>
      </c>
      <c r="AE227" s="688" t="s">
        <v>782</v>
      </c>
      <c r="AF227" s="688" t="s">
        <v>782</v>
      </c>
      <c r="AG227" s="688" t="s">
        <v>782</v>
      </c>
      <c r="AH227" s="688" t="s">
        <v>782</v>
      </c>
      <c r="AI227" s="688" t="s">
        <v>782</v>
      </c>
      <c r="AJ227" s="688" t="s">
        <v>782</v>
      </c>
      <c r="AK227" s="688" t="s">
        <v>782</v>
      </c>
      <c r="AL227" s="688" t="s">
        <v>782</v>
      </c>
      <c r="AM227" s="950" t="s">
        <v>782</v>
      </c>
      <c r="AN227" s="4"/>
      <c r="AO227" s="8"/>
      <c r="AP227" s="4"/>
      <c r="AQ227" s="4"/>
      <c r="AR227" s="4"/>
      <c r="AS227" s="4"/>
      <c r="AT227" s="4"/>
      <c r="AU227" s="4"/>
      <c r="AV227" s="4"/>
      <c r="AW227" s="4"/>
      <c r="AX227" s="4"/>
      <c r="AY227" s="4"/>
      <c r="AZ227" s="4"/>
      <c r="BA227" s="4"/>
      <c r="BB227" s="4"/>
      <c r="BC227" s="4"/>
      <c r="BD227" s="4"/>
      <c r="BE227" s="4"/>
      <c r="BF227" s="4"/>
      <c r="BG227" s="4"/>
      <c r="BH227" s="4"/>
      <c r="BI227" s="22"/>
    </row>
    <row r="228" spans="1:62" ht="51" hidden="1" x14ac:dyDescent="0.2">
      <c r="B228" s="1036" t="s">
        <v>758</v>
      </c>
      <c r="C228" s="727"/>
      <c r="D228" s="1015"/>
      <c r="E228" s="357" t="s">
        <v>735</v>
      </c>
      <c r="F228" s="326"/>
      <c r="G228" s="357" t="s">
        <v>70</v>
      </c>
      <c r="H228" s="476"/>
      <c r="I228" s="535" t="s">
        <v>628</v>
      </c>
      <c r="J228" s="477" t="s">
        <v>628</v>
      </c>
      <c r="K228" s="535" t="s">
        <v>628</v>
      </c>
      <c r="L228" s="477" t="s">
        <v>628</v>
      </c>
      <c r="M228" s="477" t="s">
        <v>739</v>
      </c>
      <c r="N228" s="477" t="s">
        <v>607</v>
      </c>
      <c r="O228" s="477" t="s">
        <v>740</v>
      </c>
      <c r="P228" s="477" t="s">
        <v>741</v>
      </c>
      <c r="Q228" s="477" t="s">
        <v>741</v>
      </c>
      <c r="R228" s="477" t="s">
        <v>739</v>
      </c>
      <c r="S228" s="477" t="s">
        <v>742</v>
      </c>
      <c r="T228" s="477" t="s">
        <v>742</v>
      </c>
      <c r="U228" s="477" t="s">
        <v>742</v>
      </c>
      <c r="V228" s="477" t="s">
        <v>742</v>
      </c>
      <c r="W228" s="477" t="s">
        <v>783</v>
      </c>
      <c r="X228" s="591" t="s">
        <v>742</v>
      </c>
      <c r="Y228" s="591" t="s">
        <v>742</v>
      </c>
      <c r="Z228" s="591" t="s">
        <v>742</v>
      </c>
      <c r="AA228" s="591"/>
      <c r="AB228" s="591" t="s">
        <v>742</v>
      </c>
      <c r="AC228" s="955" t="str">
        <f>IF(AC$221="","","zie EMG-verklaring")</f>
        <v>zie EMG-verklaring</v>
      </c>
      <c r="AD228" s="812" t="str">
        <f t="shared" ref="AD228:AM228" si="45">IF(AD$221="","","zie EMG-verklaring")</f>
        <v>zie EMG-verklaring</v>
      </c>
      <c r="AE228" s="812" t="str">
        <f t="shared" si="45"/>
        <v>zie EMG-verklaring</v>
      </c>
      <c r="AF228" s="812" t="str">
        <f t="shared" si="45"/>
        <v>zie EMG-verklaring</v>
      </c>
      <c r="AG228" s="812" t="str">
        <f t="shared" si="45"/>
        <v/>
      </c>
      <c r="AH228" s="812" t="str">
        <f t="shared" si="45"/>
        <v/>
      </c>
      <c r="AI228" s="812" t="str">
        <f t="shared" si="45"/>
        <v/>
      </c>
      <c r="AJ228" s="812" t="str">
        <f t="shared" si="45"/>
        <v/>
      </c>
      <c r="AK228" s="812" t="str">
        <f t="shared" si="45"/>
        <v/>
      </c>
      <c r="AL228" s="812" t="str">
        <f t="shared" si="45"/>
        <v/>
      </c>
      <c r="AM228" s="956" t="str">
        <f t="shared" si="45"/>
        <v/>
      </c>
      <c r="AN228" s="476"/>
      <c r="AO228" s="16"/>
      <c r="AP228" s="16"/>
      <c r="AQ228" s="16"/>
      <c r="AR228" s="16"/>
      <c r="AS228" s="16"/>
      <c r="AT228" s="16"/>
      <c r="AU228" s="16"/>
      <c r="AV228" s="16"/>
      <c r="AW228" s="5"/>
      <c r="AX228" s="5"/>
      <c r="AY228" s="5"/>
      <c r="AZ228" s="5"/>
      <c r="BA228" s="5"/>
      <c r="BB228" s="5"/>
      <c r="BC228" s="5"/>
      <c r="BD228" s="22"/>
      <c r="BE228" s="5"/>
      <c r="BF228" s="5"/>
      <c r="BG228" s="5"/>
      <c r="BH228" s="5"/>
      <c r="BI228" s="5"/>
    </row>
    <row r="229" spans="1:62" hidden="1" x14ac:dyDescent="0.2">
      <c r="B229" s="1036" t="s">
        <v>758</v>
      </c>
      <c r="C229" s="727"/>
      <c r="D229" s="1015"/>
      <c r="E229" s="357" t="s">
        <v>743</v>
      </c>
      <c r="F229" s="326"/>
      <c r="G229" s="357" t="s">
        <v>70</v>
      </c>
      <c r="H229" s="476"/>
      <c r="I229" s="812" t="str">
        <f t="shared" ref="I229:AB229" si="46">IFERROR(INDEX(hernieuwbare_energiebron_index,MATCH(I$228,hernieuwbare_energiebron_namen,0)),"")</f>
        <v>nren</v>
      </c>
      <c r="J229" s="812" t="str">
        <f t="shared" si="46"/>
        <v>nren</v>
      </c>
      <c r="K229" s="812" t="str">
        <f t="shared" si="46"/>
        <v>nren</v>
      </c>
      <c r="L229" s="812" t="str">
        <f t="shared" si="46"/>
        <v>nren</v>
      </c>
      <c r="M229" s="812" t="str">
        <f t="shared" si="46"/>
        <v>bmA</v>
      </c>
      <c r="N229" s="812" t="str">
        <f t="shared" si="46"/>
        <v>bmB</v>
      </c>
      <c r="O229" s="812" t="str">
        <f t="shared" si="46"/>
        <v>bmC</v>
      </c>
      <c r="P229" s="812" t="str">
        <f t="shared" si="46"/>
        <v>dxforf</v>
      </c>
      <c r="Q229" s="812" t="str">
        <f t="shared" si="46"/>
        <v>dxforf</v>
      </c>
      <c r="R229" s="812" t="str">
        <f t="shared" si="46"/>
        <v>bmA</v>
      </c>
      <c r="S229" s="812" t="str">
        <f t="shared" si="46"/>
        <v>dxkwal</v>
      </c>
      <c r="T229" s="812" t="str">
        <f t="shared" si="46"/>
        <v>dxkwal</v>
      </c>
      <c r="U229" s="812" t="str">
        <f t="shared" si="46"/>
        <v>dxkwal</v>
      </c>
      <c r="V229" s="812" t="str">
        <f t="shared" si="46"/>
        <v>dxkwal</v>
      </c>
      <c r="W229" s="812" t="str">
        <f t="shared" si="46"/>
        <v>bmA</v>
      </c>
      <c r="X229" s="812" t="str">
        <f t="shared" si="46"/>
        <v>dxkwal</v>
      </c>
      <c r="Y229" s="812" t="str">
        <f t="shared" si="46"/>
        <v>dxkwal</v>
      </c>
      <c r="Z229" s="812" t="str">
        <f t="shared" si="46"/>
        <v>dxkwal</v>
      </c>
      <c r="AA229" s="812" t="str">
        <f t="shared" si="46"/>
        <v/>
      </c>
      <c r="AB229" s="812" t="str">
        <f t="shared" si="46"/>
        <v>dxkwal</v>
      </c>
      <c r="AC229" s="955" t="str">
        <f>IF(AC$221="","","dxkwal")</f>
        <v>dxkwal</v>
      </c>
      <c r="AD229" s="812" t="str">
        <f t="shared" ref="AD229:AM229" si="47">IF(AD$221="","","dxkwal")</f>
        <v>dxkwal</v>
      </c>
      <c r="AE229" s="812" t="str">
        <f t="shared" si="47"/>
        <v>dxkwal</v>
      </c>
      <c r="AF229" s="812" t="str">
        <f t="shared" si="47"/>
        <v>dxkwal</v>
      </c>
      <c r="AG229" s="812" t="str">
        <f t="shared" si="47"/>
        <v/>
      </c>
      <c r="AH229" s="812" t="str">
        <f t="shared" si="47"/>
        <v/>
      </c>
      <c r="AI229" s="812" t="str">
        <f t="shared" si="47"/>
        <v/>
      </c>
      <c r="AJ229" s="812" t="str">
        <f t="shared" si="47"/>
        <v/>
      </c>
      <c r="AK229" s="812" t="str">
        <f t="shared" si="47"/>
        <v/>
      </c>
      <c r="AL229" s="812" t="str">
        <f t="shared" si="47"/>
        <v/>
      </c>
      <c r="AM229" s="956" t="str">
        <f t="shared" si="47"/>
        <v/>
      </c>
      <c r="AN229" s="476"/>
      <c r="AO229" s="16"/>
      <c r="AP229" s="16"/>
      <c r="AQ229" s="16"/>
      <c r="AR229" s="16"/>
      <c r="AS229" s="16"/>
      <c r="AT229" s="16"/>
      <c r="AU229" s="16"/>
      <c r="AV229" s="16"/>
      <c r="AW229" s="5"/>
      <c r="AX229" s="5"/>
      <c r="AY229" s="5"/>
      <c r="AZ229" s="5"/>
      <c r="BA229" s="5"/>
      <c r="BB229" s="5"/>
      <c r="BC229" s="5"/>
      <c r="BD229" s="22"/>
      <c r="BE229" s="5"/>
      <c r="BF229" s="5"/>
      <c r="BG229" s="5"/>
      <c r="BH229" s="5"/>
      <c r="BI229" s="5"/>
    </row>
    <row r="230" spans="1:62" hidden="1" x14ac:dyDescent="0.2">
      <c r="B230" s="1036" t="s">
        <v>758</v>
      </c>
      <c r="C230" s="727"/>
      <c r="D230" s="1015"/>
      <c r="E230" s="809" t="s">
        <v>733</v>
      </c>
      <c r="F230" s="326" t="s">
        <v>784</v>
      </c>
      <c r="G230" s="357" t="s">
        <v>70</v>
      </c>
      <c r="H230" s="476"/>
      <c r="I230" s="814">
        <f t="shared" ref="I230:AB230" si="48">IFERROR(INDEX(hernieuwbare_energiebron_getalswaarde,MATCH(I$228,hernieuwbare_energiebron_namen,0)),"")</f>
        <v>0</v>
      </c>
      <c r="J230" s="814">
        <f t="shared" si="48"/>
        <v>0</v>
      </c>
      <c r="K230" s="814">
        <f t="shared" si="48"/>
        <v>0</v>
      </c>
      <c r="L230" s="814">
        <f t="shared" si="48"/>
        <v>0</v>
      </c>
      <c r="M230" s="814">
        <f t="shared" si="48"/>
        <v>1</v>
      </c>
      <c r="N230" s="814">
        <f t="shared" si="48"/>
        <v>0.5</v>
      </c>
      <c r="O230" s="814">
        <f t="shared" si="48"/>
        <v>0</v>
      </c>
      <c r="P230" s="814">
        <f t="shared" si="48"/>
        <v>0</v>
      </c>
      <c r="Q230" s="814">
        <f t="shared" si="48"/>
        <v>0</v>
      </c>
      <c r="R230" s="814">
        <f t="shared" si="48"/>
        <v>1</v>
      </c>
      <c r="S230" s="814" t="str">
        <f t="shared" si="48"/>
        <v>fPren;dx</v>
      </c>
      <c r="T230" s="814" t="str">
        <f t="shared" si="48"/>
        <v>fPren;dx</v>
      </c>
      <c r="U230" s="814" t="str">
        <f t="shared" si="48"/>
        <v>fPren;dx</v>
      </c>
      <c r="V230" s="814" t="str">
        <f t="shared" si="48"/>
        <v>fPren;dx</v>
      </c>
      <c r="W230" s="814">
        <f t="shared" si="48"/>
        <v>1</v>
      </c>
      <c r="X230" s="814" t="str">
        <f t="shared" si="48"/>
        <v>fPren;dx</v>
      </c>
      <c r="Y230" s="814" t="str">
        <f t="shared" si="48"/>
        <v>fPren;dx</v>
      </c>
      <c r="Z230" s="814" t="str">
        <f t="shared" si="48"/>
        <v>fPren;dx</v>
      </c>
      <c r="AA230" s="814" t="str">
        <f t="shared" si="48"/>
        <v/>
      </c>
      <c r="AB230" s="814" t="str">
        <f t="shared" si="48"/>
        <v>fPren;dx</v>
      </c>
      <c r="AC230" s="955" t="str">
        <f>IF(AC$221="","","fPren;dx")</f>
        <v>fPren;dx</v>
      </c>
      <c r="AD230" s="814" t="str">
        <f t="shared" ref="AD230:AM230" si="49">IF(AD$221="","","fPren;dx")</f>
        <v>fPren;dx</v>
      </c>
      <c r="AE230" s="814" t="str">
        <f t="shared" si="49"/>
        <v>fPren;dx</v>
      </c>
      <c r="AF230" s="814" t="str">
        <f t="shared" si="49"/>
        <v>fPren;dx</v>
      </c>
      <c r="AG230" s="814" t="str">
        <f t="shared" si="49"/>
        <v/>
      </c>
      <c r="AH230" s="814" t="str">
        <f t="shared" si="49"/>
        <v/>
      </c>
      <c r="AI230" s="814" t="str">
        <f t="shared" si="49"/>
        <v/>
      </c>
      <c r="AJ230" s="814" t="str">
        <f t="shared" si="49"/>
        <v/>
      </c>
      <c r="AK230" s="814" t="str">
        <f t="shared" si="49"/>
        <v/>
      </c>
      <c r="AL230" s="814" t="str">
        <f t="shared" si="49"/>
        <v/>
      </c>
      <c r="AM230" s="957" t="str">
        <f t="shared" si="49"/>
        <v/>
      </c>
      <c r="AN230" s="476"/>
      <c r="AO230" s="16"/>
      <c r="AP230" s="16"/>
      <c r="AQ230" s="16"/>
      <c r="AR230" s="16"/>
      <c r="AS230" s="16"/>
      <c r="AT230" s="16"/>
      <c r="AU230" s="16"/>
      <c r="AV230" s="16"/>
      <c r="AW230" s="5"/>
      <c r="AX230" s="5"/>
      <c r="AY230" s="5"/>
      <c r="AZ230" s="5"/>
      <c r="BA230" s="5"/>
      <c r="BB230" s="5"/>
      <c r="BC230" s="5"/>
      <c r="BD230" s="22"/>
      <c r="BE230" s="5"/>
      <c r="BF230" s="5"/>
      <c r="BG230" s="5"/>
      <c r="BH230" s="5"/>
      <c r="BI230" s="5"/>
    </row>
    <row r="231" spans="1:62" hidden="1" x14ac:dyDescent="0.2">
      <c r="B231" s="1036" t="s">
        <v>758</v>
      </c>
      <c r="C231" s="727"/>
      <c r="D231" s="1015"/>
      <c r="E231" s="811" t="s">
        <v>785</v>
      </c>
      <c r="F231" s="326" t="s">
        <v>786</v>
      </c>
      <c r="G231" s="357" t="s">
        <v>70</v>
      </c>
      <c r="H231" s="476"/>
      <c r="I231" s="815"/>
      <c r="J231" s="815"/>
      <c r="K231" s="815"/>
      <c r="L231" s="815"/>
      <c r="M231" s="815"/>
      <c r="N231" s="815"/>
      <c r="O231" s="815"/>
      <c r="P231" s="815"/>
      <c r="Q231" s="815"/>
      <c r="R231" s="815"/>
      <c r="S231" s="400">
        <v>0.5</v>
      </c>
      <c r="T231" s="400">
        <v>0.9</v>
      </c>
      <c r="U231" s="400">
        <v>0</v>
      </c>
      <c r="V231" s="400">
        <v>0.5</v>
      </c>
      <c r="W231" s="400"/>
      <c r="X231" s="891" t="s">
        <v>1204</v>
      </c>
      <c r="Y231" s="891" t="s">
        <v>1204</v>
      </c>
      <c r="Z231" s="891">
        <v>1</v>
      </c>
      <c r="AA231" s="891"/>
      <c r="AB231" s="891"/>
      <c r="AC231" s="955" t="str">
        <f>IF(AC$221="","","nvt")</f>
        <v>nvt</v>
      </c>
      <c r="AD231" s="812" t="str">
        <f t="shared" ref="AD231:AM231" si="50">IF(AD$221="","","nvt")</f>
        <v>nvt</v>
      </c>
      <c r="AE231" s="812" t="str">
        <f t="shared" si="50"/>
        <v>nvt</v>
      </c>
      <c r="AF231" s="812" t="str">
        <f t="shared" si="50"/>
        <v>nvt</v>
      </c>
      <c r="AG231" s="812" t="str">
        <f t="shared" si="50"/>
        <v/>
      </c>
      <c r="AH231" s="812" t="str">
        <f t="shared" si="50"/>
        <v/>
      </c>
      <c r="AI231" s="812" t="str">
        <f t="shared" si="50"/>
        <v/>
      </c>
      <c r="AJ231" s="812" t="str">
        <f t="shared" si="50"/>
        <v/>
      </c>
      <c r="AK231" s="812" t="str">
        <f t="shared" si="50"/>
        <v/>
      </c>
      <c r="AL231" s="812" t="str">
        <f t="shared" si="50"/>
        <v/>
      </c>
      <c r="AM231" s="956" t="str">
        <f t="shared" si="50"/>
        <v/>
      </c>
      <c r="AN231" s="476"/>
      <c r="AO231" s="22"/>
      <c r="AP231" s="16"/>
      <c r="AQ231" s="16"/>
      <c r="AR231" s="16"/>
      <c r="AS231" s="16"/>
      <c r="AT231" s="16"/>
      <c r="AU231" s="16"/>
      <c r="AV231" s="16"/>
      <c r="AW231" s="5"/>
      <c r="AX231" s="5"/>
      <c r="AY231" s="5"/>
      <c r="AZ231" s="5"/>
      <c r="BA231" s="5"/>
      <c r="BB231" s="5"/>
      <c r="BC231" s="5"/>
      <c r="BD231" s="22"/>
      <c r="BE231" s="5"/>
      <c r="BF231" s="5"/>
      <c r="BG231" s="5"/>
      <c r="BH231" s="5"/>
      <c r="BI231" s="5"/>
    </row>
    <row r="232" spans="1:62" hidden="1" x14ac:dyDescent="0.2">
      <c r="B232" s="1036" t="s">
        <v>758</v>
      </c>
      <c r="C232" s="727"/>
      <c r="D232" s="1015"/>
      <c r="E232" s="810"/>
      <c r="F232" s="326" t="s">
        <v>787</v>
      </c>
      <c r="G232" s="357" t="s">
        <v>70</v>
      </c>
      <c r="H232" s="476"/>
      <c r="I232" s="814">
        <f t="shared" ref="I232:AB232" si="51">IFERROR(IF(INDEX(hernieuwbare_energiebron_getalswaarde_bij_toestellen,MATCH(I$228,hernieuwbare_energiebron_namen,0))=0,I230,I231),"")</f>
        <v>0</v>
      </c>
      <c r="J232" s="814">
        <f t="shared" si="51"/>
        <v>0</v>
      </c>
      <c r="K232" s="814">
        <f t="shared" si="51"/>
        <v>0</v>
      </c>
      <c r="L232" s="814">
        <f t="shared" si="51"/>
        <v>0</v>
      </c>
      <c r="M232" s="814">
        <f t="shared" si="51"/>
        <v>1</v>
      </c>
      <c r="N232" s="814">
        <f t="shared" si="51"/>
        <v>0.5</v>
      </c>
      <c r="O232" s="814">
        <f t="shared" si="51"/>
        <v>0</v>
      </c>
      <c r="P232" s="814">
        <f t="shared" si="51"/>
        <v>0</v>
      </c>
      <c r="Q232" s="814">
        <f t="shared" si="51"/>
        <v>0</v>
      </c>
      <c r="R232" s="814">
        <f t="shared" si="51"/>
        <v>1</v>
      </c>
      <c r="S232" s="814">
        <f t="shared" si="51"/>
        <v>0.5</v>
      </c>
      <c r="T232" s="814">
        <f t="shared" si="51"/>
        <v>0.9</v>
      </c>
      <c r="U232" s="814">
        <f t="shared" si="51"/>
        <v>0</v>
      </c>
      <c r="V232" s="814">
        <f t="shared" ref="V232:AA232" si="52">IFERROR(IF(INDEX(hernieuwbare_energiebron_getalswaarde_bij_toestellen,MATCH(V$228,hernieuwbare_energiebron_namen,0))=0,V230,V231),"")</f>
        <v>0.5</v>
      </c>
      <c r="W232" s="814">
        <f t="shared" si="52"/>
        <v>1</v>
      </c>
      <c r="X232" s="814" t="str">
        <f t="shared" si="52"/>
        <v>0,42</v>
      </c>
      <c r="Y232" s="814" t="str">
        <f t="shared" si="52"/>
        <v>0,42</v>
      </c>
      <c r="Z232" s="814">
        <f t="shared" si="52"/>
        <v>1</v>
      </c>
      <c r="AA232" s="814" t="str">
        <f t="shared" si="52"/>
        <v/>
      </c>
      <c r="AB232" s="814">
        <f t="shared" si="51"/>
        <v>0</v>
      </c>
      <c r="AC232" s="955">
        <f t="shared" ref="AC232:AM232" si="53">IF(AC$221="","",INDEX(warmtenetten_NL_fp_ren,MATCH(AC$221,warmtenetten_NL_namen,0)))</f>
        <v>0.63</v>
      </c>
      <c r="AD232" s="812">
        <f t="shared" si="53"/>
        <v>0.92</v>
      </c>
      <c r="AE232" s="812">
        <f t="shared" si="53"/>
        <v>0.42</v>
      </c>
      <c r="AF232" s="812">
        <f t="shared" si="53"/>
        <v>0.42</v>
      </c>
      <c r="AG232" s="812" t="str">
        <f t="shared" si="53"/>
        <v/>
      </c>
      <c r="AH232" s="812" t="str">
        <f t="shared" si="53"/>
        <v/>
      </c>
      <c r="AI232" s="812" t="str">
        <f t="shared" si="53"/>
        <v/>
      </c>
      <c r="AJ232" s="812" t="str">
        <f t="shared" si="53"/>
        <v/>
      </c>
      <c r="AK232" s="812" t="str">
        <f t="shared" si="53"/>
        <v/>
      </c>
      <c r="AL232" s="812" t="str">
        <f t="shared" si="53"/>
        <v/>
      </c>
      <c r="AM232" s="956" t="str">
        <f t="shared" si="53"/>
        <v/>
      </c>
      <c r="AN232" s="476"/>
      <c r="AO232" s="16"/>
      <c r="AP232" s="16"/>
      <c r="AQ232" s="16"/>
      <c r="AR232" s="16"/>
      <c r="AS232" s="16"/>
      <c r="AT232" s="16"/>
      <c r="AU232" s="16"/>
      <c r="AV232" s="16"/>
      <c r="AW232" s="5"/>
      <c r="AX232" s="5"/>
      <c r="AY232" s="5"/>
      <c r="AZ232" s="5"/>
      <c r="BA232" s="5"/>
      <c r="BB232" s="5"/>
      <c r="BC232" s="5"/>
      <c r="BD232" s="22"/>
      <c r="BE232" s="5"/>
      <c r="BF232" s="5"/>
      <c r="BG232" s="5"/>
      <c r="BH232" s="5"/>
      <c r="BI232" s="5"/>
    </row>
    <row r="233" spans="1:62" ht="38.25" hidden="1" x14ac:dyDescent="0.2">
      <c r="B233" s="1036" t="s">
        <v>758</v>
      </c>
      <c r="C233" s="727"/>
      <c r="D233" s="1015"/>
      <c r="E233" s="694" t="s">
        <v>788</v>
      </c>
      <c r="F233" s="326"/>
      <c r="G233" s="357" t="s">
        <v>70</v>
      </c>
      <c r="H233" s="476"/>
      <c r="I233" s="397"/>
      <c r="J233" s="397"/>
      <c r="K233" s="397"/>
      <c r="L233" s="397"/>
      <c r="M233" s="397"/>
      <c r="N233" s="397"/>
      <c r="O233" s="397"/>
      <c r="P233" s="397"/>
      <c r="Q233" s="397"/>
      <c r="R233" s="397"/>
      <c r="S233" s="397" t="s">
        <v>789</v>
      </c>
      <c r="T233" s="397" t="s">
        <v>789</v>
      </c>
      <c r="U233" s="397" t="s">
        <v>789</v>
      </c>
      <c r="V233" s="397" t="s">
        <v>789</v>
      </c>
      <c r="W233" s="397"/>
      <c r="X233" s="892"/>
      <c r="Y233" s="892"/>
      <c r="Z233" s="892"/>
      <c r="AA233" s="892"/>
      <c r="AB233" s="892"/>
      <c r="AC233" s="953"/>
      <c r="AD233" s="457"/>
      <c r="AE233" s="457"/>
      <c r="AF233" s="457"/>
      <c r="AG233" s="457"/>
      <c r="AH233" s="457"/>
      <c r="AI233" s="457"/>
      <c r="AJ233" s="457"/>
      <c r="AK233" s="457"/>
      <c r="AL233" s="457"/>
      <c r="AM233" s="954"/>
      <c r="AN233" s="476"/>
      <c r="AO233" s="16"/>
      <c r="AP233" s="16"/>
      <c r="AQ233" s="16"/>
      <c r="AR233" s="16"/>
      <c r="AS233" s="16"/>
      <c r="AT233" s="16"/>
      <c r="AU233" s="16"/>
      <c r="AV233" s="16"/>
      <c r="AW233" s="5"/>
      <c r="AX233" s="5"/>
      <c r="AY233" s="5"/>
      <c r="AZ233" s="5"/>
      <c r="BA233" s="5"/>
      <c r="BB233" s="5"/>
      <c r="BC233" s="5"/>
      <c r="BD233" s="22"/>
      <c r="BE233" s="5"/>
      <c r="BF233" s="5"/>
      <c r="BG233" s="5"/>
      <c r="BH233" s="5"/>
      <c r="BI233" s="5"/>
    </row>
    <row r="234" spans="1:62" s="2" customFormat="1" ht="18.75" hidden="1" x14ac:dyDescent="0.2">
      <c r="A234" s="309"/>
      <c r="B234" s="1036" t="s">
        <v>758</v>
      </c>
      <c r="C234" s="727"/>
      <c r="D234" s="1015"/>
      <c r="E234" s="382" t="s">
        <v>790</v>
      </c>
      <c r="F234" s="383"/>
      <c r="G234" s="382"/>
      <c r="H234" s="384"/>
      <c r="I234" s="385"/>
      <c r="J234" s="384"/>
      <c r="K234" s="9"/>
      <c r="L234" s="9"/>
      <c r="M234" s="9"/>
      <c r="N234" s="9"/>
      <c r="O234" s="9"/>
      <c r="P234" s="4"/>
      <c r="Q234" s="4"/>
      <c r="R234" s="4"/>
      <c r="S234" s="4"/>
      <c r="T234" s="4"/>
      <c r="U234" s="4"/>
      <c r="V234" s="4"/>
      <c r="W234" s="4"/>
      <c r="X234" s="688" t="s">
        <v>782</v>
      </c>
      <c r="Y234" s="688" t="s">
        <v>782</v>
      </c>
      <c r="Z234" s="688" t="s">
        <v>782</v>
      </c>
      <c r="AA234" s="688" t="s">
        <v>782</v>
      </c>
      <c r="AB234" s="688" t="s">
        <v>782</v>
      </c>
      <c r="AC234" s="949" t="s">
        <v>782</v>
      </c>
      <c r="AD234" s="688" t="s">
        <v>782</v>
      </c>
      <c r="AE234" s="688" t="s">
        <v>782</v>
      </c>
      <c r="AF234" s="688" t="s">
        <v>782</v>
      </c>
      <c r="AG234" s="688" t="s">
        <v>782</v>
      </c>
      <c r="AH234" s="688" t="s">
        <v>782</v>
      </c>
      <c r="AI234" s="688" t="s">
        <v>782</v>
      </c>
      <c r="AJ234" s="688" t="s">
        <v>782</v>
      </c>
      <c r="AK234" s="688" t="s">
        <v>782</v>
      </c>
      <c r="AL234" s="688" t="s">
        <v>782</v>
      </c>
      <c r="AM234" s="950" t="s">
        <v>782</v>
      </c>
      <c r="AN234" s="4"/>
      <c r="AO234" s="8"/>
      <c r="AP234" s="4"/>
      <c r="AQ234" s="4"/>
      <c r="AR234" s="4"/>
      <c r="AS234" s="4"/>
      <c r="AT234" s="4"/>
      <c r="AU234" s="4"/>
      <c r="AV234" s="4"/>
      <c r="AW234" s="4"/>
      <c r="AX234" s="4"/>
      <c r="AY234" s="4"/>
      <c r="AZ234" s="4"/>
      <c r="BA234" s="4"/>
      <c r="BB234" s="4"/>
      <c r="BC234" s="4"/>
      <c r="BD234" s="4"/>
      <c r="BE234" s="4"/>
      <c r="BF234" s="4"/>
      <c r="BG234" s="4"/>
      <c r="BH234" s="4"/>
      <c r="BI234" s="22"/>
    </row>
    <row r="235" spans="1:62" hidden="1" x14ac:dyDescent="0.2">
      <c r="B235" s="1036" t="s">
        <v>758</v>
      </c>
      <c r="C235" s="727"/>
      <c r="D235" s="1015"/>
      <c r="E235" s="326" t="s">
        <v>791</v>
      </c>
      <c r="F235" s="326"/>
      <c r="G235" s="357"/>
      <c r="H235" s="476"/>
      <c r="I235" s="981">
        <v>1</v>
      </c>
      <c r="J235" s="981">
        <v>1</v>
      </c>
      <c r="K235" s="981">
        <v>1</v>
      </c>
      <c r="L235" s="981">
        <v>1</v>
      </c>
      <c r="M235" s="981">
        <v>1</v>
      </c>
      <c r="N235" s="981">
        <v>1</v>
      </c>
      <c r="O235" s="981">
        <v>1</v>
      </c>
      <c r="P235" s="981">
        <v>1</v>
      </c>
      <c r="Q235" s="981">
        <v>0</v>
      </c>
      <c r="R235" s="981">
        <v>1</v>
      </c>
      <c r="S235" s="518">
        <v>1</v>
      </c>
      <c r="T235" s="518">
        <v>1</v>
      </c>
      <c r="U235" s="518">
        <v>1</v>
      </c>
      <c r="V235" s="518">
        <v>1</v>
      </c>
      <c r="W235" s="518">
        <v>1</v>
      </c>
      <c r="X235" s="982">
        <v>1</v>
      </c>
      <c r="Y235" s="982">
        <v>1</v>
      </c>
      <c r="Z235" s="982">
        <v>1</v>
      </c>
      <c r="AA235" s="982"/>
      <c r="AB235" s="983"/>
      <c r="AC235" s="969">
        <f t="shared" ref="AC235:AM235" si="54">IF(AC$221="",0,INDEX(warmtenetten_NL_voor_RV,MATCH(AC$221,warmtenetten_NL_namen,0)))</f>
        <v>1</v>
      </c>
      <c r="AD235" s="970">
        <f t="shared" si="54"/>
        <v>0</v>
      </c>
      <c r="AE235" s="970">
        <f t="shared" si="54"/>
        <v>1</v>
      </c>
      <c r="AF235" s="970">
        <f t="shared" si="54"/>
        <v>1</v>
      </c>
      <c r="AG235" s="970">
        <f t="shared" si="54"/>
        <v>0</v>
      </c>
      <c r="AH235" s="970">
        <f t="shared" si="54"/>
        <v>0</v>
      </c>
      <c r="AI235" s="970">
        <f t="shared" si="54"/>
        <v>0</v>
      </c>
      <c r="AJ235" s="970">
        <f t="shared" si="54"/>
        <v>0</v>
      </c>
      <c r="AK235" s="970">
        <f t="shared" si="54"/>
        <v>0</v>
      </c>
      <c r="AL235" s="970">
        <f t="shared" si="54"/>
        <v>0</v>
      </c>
      <c r="AM235" s="971">
        <f t="shared" si="54"/>
        <v>0</v>
      </c>
      <c r="AN235" s="967"/>
      <c r="AO235" s="16"/>
      <c r="AP235" s="16"/>
      <c r="AQ235" s="16"/>
      <c r="AR235" s="16"/>
      <c r="AS235" s="16"/>
      <c r="AT235" s="16"/>
      <c r="AU235" s="16"/>
      <c r="AV235" s="16"/>
      <c r="AW235" s="5"/>
      <c r="AX235" s="5"/>
      <c r="AY235" s="5"/>
      <c r="AZ235" s="5"/>
      <c r="BA235" s="5"/>
      <c r="BB235" s="5"/>
      <c r="BC235" s="5"/>
      <c r="BD235" s="22"/>
      <c r="BE235" s="5"/>
      <c r="BF235" s="5"/>
      <c r="BG235" s="5"/>
      <c r="BH235" s="5"/>
      <c r="BI235" s="5"/>
    </row>
    <row r="236" spans="1:62" hidden="1" x14ac:dyDescent="0.2">
      <c r="B236" s="1036" t="s">
        <v>758</v>
      </c>
      <c r="C236" s="727"/>
      <c r="D236" s="1015"/>
      <c r="E236" s="326" t="s">
        <v>792</v>
      </c>
      <c r="F236" s="326"/>
      <c r="G236" s="357"/>
      <c r="H236" s="476"/>
      <c r="I236" s="981">
        <v>1</v>
      </c>
      <c r="J236" s="981">
        <v>1</v>
      </c>
      <c r="K236" s="981">
        <v>1</v>
      </c>
      <c r="L236" s="981">
        <v>1</v>
      </c>
      <c r="M236" s="981">
        <v>1</v>
      </c>
      <c r="N236" s="981">
        <v>1</v>
      </c>
      <c r="O236" s="981">
        <v>1</v>
      </c>
      <c r="P236" s="981">
        <v>1</v>
      </c>
      <c r="Q236" s="981">
        <v>1</v>
      </c>
      <c r="R236" s="981">
        <v>1</v>
      </c>
      <c r="S236" s="518">
        <v>0</v>
      </c>
      <c r="T236" s="518">
        <v>0</v>
      </c>
      <c r="U236" s="518">
        <v>0</v>
      </c>
      <c r="V236" s="518">
        <v>0</v>
      </c>
      <c r="W236" s="518">
        <v>1</v>
      </c>
      <c r="X236" s="982">
        <v>0</v>
      </c>
      <c r="Y236" s="982">
        <v>0</v>
      </c>
      <c r="Z236" s="982">
        <v>0</v>
      </c>
      <c r="AA236" s="982"/>
      <c r="AB236" s="983"/>
      <c r="AC236" s="968">
        <f t="shared" ref="AC236:AM236" si="55">IF(AC$221="",0,INDEX(warmtenetten_NL_voor_KOEL,MATCH(AC$221,warmtenetten_NL_namen,0)))</f>
        <v>0</v>
      </c>
      <c r="AD236" s="972">
        <f t="shared" si="55"/>
        <v>1</v>
      </c>
      <c r="AE236" s="972">
        <f t="shared" si="55"/>
        <v>0</v>
      </c>
      <c r="AF236" s="972">
        <f t="shared" si="55"/>
        <v>0</v>
      </c>
      <c r="AG236" s="972">
        <f t="shared" si="55"/>
        <v>0</v>
      </c>
      <c r="AH236" s="972">
        <f t="shared" si="55"/>
        <v>0</v>
      </c>
      <c r="AI236" s="972">
        <f t="shared" si="55"/>
        <v>0</v>
      </c>
      <c r="AJ236" s="972">
        <f t="shared" si="55"/>
        <v>0</v>
      </c>
      <c r="AK236" s="972">
        <f t="shared" si="55"/>
        <v>0</v>
      </c>
      <c r="AL236" s="972">
        <f t="shared" si="55"/>
        <v>0</v>
      </c>
      <c r="AM236" s="973">
        <f t="shared" si="55"/>
        <v>0</v>
      </c>
      <c r="AN236" s="967"/>
      <c r="AO236" s="16"/>
      <c r="AP236" s="16"/>
      <c r="AQ236" s="16"/>
      <c r="AR236" s="16"/>
      <c r="AS236" s="16"/>
      <c r="AT236" s="16"/>
      <c r="AU236" s="16"/>
      <c r="AV236" s="16"/>
      <c r="AW236" s="5"/>
      <c r="AX236" s="5"/>
      <c r="AY236" s="5"/>
      <c r="AZ236" s="5"/>
      <c r="BA236" s="5"/>
      <c r="BB236" s="5"/>
      <c r="BC236" s="5"/>
      <c r="BD236" s="22"/>
      <c r="BE236" s="5"/>
      <c r="BF236" s="5"/>
      <c r="BG236" s="5"/>
      <c r="BH236" s="5"/>
      <c r="BI236" s="5"/>
    </row>
    <row r="237" spans="1:62" hidden="1" x14ac:dyDescent="0.2">
      <c r="B237" s="1036" t="s">
        <v>758</v>
      </c>
      <c r="C237" s="727"/>
      <c r="D237" s="1015"/>
      <c r="E237" s="326" t="s">
        <v>793</v>
      </c>
      <c r="F237" s="326"/>
      <c r="G237" s="357"/>
      <c r="H237" s="476"/>
      <c r="I237" s="981">
        <v>1</v>
      </c>
      <c r="J237" s="981">
        <v>1</v>
      </c>
      <c r="K237" s="981">
        <v>1</v>
      </c>
      <c r="L237" s="981">
        <v>1</v>
      </c>
      <c r="M237" s="981">
        <v>1</v>
      </c>
      <c r="N237" s="981">
        <v>1</v>
      </c>
      <c r="O237" s="981">
        <v>1</v>
      </c>
      <c r="P237" s="981">
        <v>1</v>
      </c>
      <c r="Q237" s="981">
        <v>0</v>
      </c>
      <c r="R237" s="981">
        <v>1</v>
      </c>
      <c r="S237" s="984">
        <v>1</v>
      </c>
      <c r="T237" s="984">
        <v>1</v>
      </c>
      <c r="U237" s="984">
        <v>1</v>
      </c>
      <c r="V237" s="984">
        <v>1</v>
      </c>
      <c r="W237" s="984">
        <v>1</v>
      </c>
      <c r="X237" s="985">
        <v>1</v>
      </c>
      <c r="Y237" s="985">
        <v>1</v>
      </c>
      <c r="Z237" s="985">
        <v>1</v>
      </c>
      <c r="AA237" s="985"/>
      <c r="AB237" s="986"/>
      <c r="AC237" s="968">
        <f t="shared" ref="AC237:AM237" si="56">IF(AC$221="",0,INDEX(warmtenetten_NL_voor_TAP,MATCH(AC$221,warmtenetten_NL_namen,0)))</f>
        <v>0</v>
      </c>
      <c r="AD237" s="972">
        <f t="shared" si="56"/>
        <v>0</v>
      </c>
      <c r="AE237" s="972">
        <f t="shared" si="56"/>
        <v>0</v>
      </c>
      <c r="AF237" s="972">
        <f t="shared" si="56"/>
        <v>0</v>
      </c>
      <c r="AG237" s="972">
        <f t="shared" si="56"/>
        <v>0</v>
      </c>
      <c r="AH237" s="972">
        <f t="shared" si="56"/>
        <v>0</v>
      </c>
      <c r="AI237" s="972">
        <f t="shared" si="56"/>
        <v>0</v>
      </c>
      <c r="AJ237" s="972">
        <f t="shared" si="56"/>
        <v>0</v>
      </c>
      <c r="AK237" s="972">
        <f t="shared" si="56"/>
        <v>0</v>
      </c>
      <c r="AL237" s="972">
        <f t="shared" si="56"/>
        <v>0</v>
      </c>
      <c r="AM237" s="973">
        <f t="shared" si="56"/>
        <v>0</v>
      </c>
      <c r="AN237" s="967"/>
      <c r="AO237" s="16"/>
      <c r="AP237" s="16"/>
      <c r="AQ237" s="16"/>
      <c r="AR237" s="16"/>
      <c r="AS237" s="16"/>
      <c r="AT237" s="16"/>
      <c r="AU237" s="16"/>
      <c r="AV237" s="16"/>
      <c r="AW237" s="5"/>
      <c r="AX237" s="5"/>
      <c r="AY237" s="5"/>
      <c r="AZ237" s="5"/>
      <c r="BA237" s="5"/>
      <c r="BB237" s="5"/>
      <c r="BC237" s="5"/>
      <c r="BD237" s="22"/>
      <c r="BE237" s="5"/>
      <c r="BF237" s="5"/>
      <c r="BG237" s="5"/>
      <c r="BH237" s="5"/>
      <c r="BI237" s="5"/>
    </row>
    <row r="238" spans="1:62" ht="63.75" hidden="1" x14ac:dyDescent="0.2">
      <c r="B238" s="1036" t="s">
        <v>758</v>
      </c>
      <c r="C238" s="727"/>
      <c r="D238" s="1015"/>
      <c r="E238" s="182" t="s">
        <v>794</v>
      </c>
      <c r="F238" s="326"/>
      <c r="G238" s="357"/>
      <c r="H238" s="476"/>
      <c r="I238" s="812" t="str">
        <f>IF(I235=1,I$221,"")</f>
        <v>nvt</v>
      </c>
      <c r="J238" s="812" t="str">
        <f t="shared" ref="J238:AM240" si="57">IF(J235=1,J$221,"")</f>
        <v>elektriciteit</v>
      </c>
      <c r="K238" s="812" t="str">
        <f t="shared" si="57"/>
        <v>aardgas</v>
      </c>
      <c r="L238" s="812" t="str">
        <f t="shared" si="57"/>
        <v>stookolie</v>
      </c>
      <c r="M238" s="812" t="str">
        <f t="shared" si="57"/>
        <v>biomassa (bmA)</v>
      </c>
      <c r="N238" s="812" t="str">
        <f t="shared" si="57"/>
        <v>biomassa (bmB)</v>
      </c>
      <c r="O238" s="812" t="str">
        <f t="shared" si="57"/>
        <v>biomassa (bmC)</v>
      </c>
      <c r="P238" s="812" t="str">
        <f t="shared" si="57"/>
        <v>externe warmte forfaitair</v>
      </c>
      <c r="Q238" s="812" t="str">
        <f t="shared" si="57"/>
        <v/>
      </c>
      <c r="R238" s="812" t="str">
        <f t="shared" si="57"/>
        <v>bio-|groen gas</v>
      </c>
      <c r="S238" s="812" t="str">
        <f t="shared" si="57"/>
        <v>aftap AVI</v>
      </c>
      <c r="T238" s="812" t="str">
        <f t="shared" si="57"/>
        <v>aftap AVI+BIO</v>
      </c>
      <c r="U238" s="812" t="str">
        <f t="shared" si="57"/>
        <v>aftap STEG</v>
      </c>
      <c r="V238" s="812" t="str">
        <f t="shared" si="57"/>
        <v>aftap STEG+BIO</v>
      </c>
      <c r="W238" s="812" t="str">
        <f t="shared" si="57"/>
        <v>bio-olie</v>
      </c>
      <c r="X238" s="812" t="str">
        <f t="shared" si="57"/>
        <v>warmtenet (primair)</v>
      </c>
      <c r="Y238" s="812" t="str">
        <f t="shared" si="57"/>
        <v>warmtenet (secundair)</v>
      </c>
      <c r="Z238" s="812" t="str">
        <f t="shared" si="57"/>
        <v>restwarmte CO2-vrij</v>
      </c>
      <c r="AA238" s="812" t="str">
        <f>IF(AA235=1,AA$221,"")</f>
        <v/>
      </c>
      <c r="AB238" s="812" t="str">
        <f t="shared" si="57"/>
        <v/>
      </c>
      <c r="AC238" s="955" t="str">
        <f t="shared" si="57"/>
        <v>WARMTE | Amersfoort, Parkweelde | Collectief WKO</v>
      </c>
      <c r="AD238" s="812" t="str">
        <f t="shared" si="57"/>
        <v/>
      </c>
      <c r="AE238" s="812" t="str">
        <f t="shared" ref="AE238:AI240" si="58">IF(AE235=1,AE$221,"")</f>
        <v>WARMTE | Utrecht en Nieuwgein | Primair warmtenet</v>
      </c>
      <c r="AF238" s="812" t="str">
        <f t="shared" si="58"/>
        <v>WARMTE | Utrecht en Nieuwgein | Secundair warmtenet</v>
      </c>
      <c r="AG238" s="812" t="str">
        <f t="shared" si="58"/>
        <v/>
      </c>
      <c r="AH238" s="812" t="str">
        <f t="shared" si="58"/>
        <v/>
      </c>
      <c r="AI238" s="812" t="str">
        <f t="shared" si="58"/>
        <v/>
      </c>
      <c r="AJ238" s="812" t="str">
        <f t="shared" si="57"/>
        <v/>
      </c>
      <c r="AK238" s="812" t="str">
        <f t="shared" si="57"/>
        <v/>
      </c>
      <c r="AL238" s="812" t="str">
        <f t="shared" si="57"/>
        <v/>
      </c>
      <c r="AM238" s="956" t="str">
        <f t="shared" si="57"/>
        <v/>
      </c>
      <c r="AN238" s="967"/>
      <c r="AO238" s="16"/>
      <c r="AP238" s="16"/>
      <c r="AQ238" s="16"/>
      <c r="AR238" s="16"/>
      <c r="AS238" s="16"/>
      <c r="AT238" s="16"/>
      <c r="AU238" s="16"/>
      <c r="AV238" s="16"/>
      <c r="AW238" s="5"/>
      <c r="AX238" s="5"/>
      <c r="AY238" s="5"/>
      <c r="AZ238" s="5"/>
      <c r="BA238" s="5"/>
      <c r="BB238" s="5"/>
      <c r="BC238" s="5"/>
      <c r="BD238" s="22"/>
      <c r="BE238" s="5"/>
      <c r="BF238" s="5"/>
      <c r="BG238" s="5"/>
      <c r="BH238" s="5"/>
      <c r="BI238" s="5"/>
    </row>
    <row r="239" spans="1:62" ht="63.75" hidden="1" x14ac:dyDescent="0.2">
      <c r="B239" s="1036" t="s">
        <v>758</v>
      </c>
      <c r="C239" s="727"/>
      <c r="D239" s="1015"/>
      <c r="E239" s="326" t="s">
        <v>795</v>
      </c>
      <c r="F239" s="326"/>
      <c r="G239" s="357"/>
      <c r="H239" s="476"/>
      <c r="I239" s="812" t="str">
        <f t="shared" ref="I239:X240" si="59">IF(I236=1,I$221,"")</f>
        <v>nvt</v>
      </c>
      <c r="J239" s="812" t="str">
        <f t="shared" si="59"/>
        <v>elektriciteit</v>
      </c>
      <c r="K239" s="812" t="str">
        <f t="shared" si="59"/>
        <v>aardgas</v>
      </c>
      <c r="L239" s="812" t="str">
        <f t="shared" si="59"/>
        <v>stookolie</v>
      </c>
      <c r="M239" s="812" t="str">
        <f t="shared" si="59"/>
        <v>biomassa (bmA)</v>
      </c>
      <c r="N239" s="812" t="str">
        <f t="shared" si="59"/>
        <v>biomassa (bmB)</v>
      </c>
      <c r="O239" s="812" t="str">
        <f t="shared" si="59"/>
        <v>biomassa (bmC)</v>
      </c>
      <c r="P239" s="812" t="str">
        <f t="shared" si="59"/>
        <v>externe warmte forfaitair</v>
      </c>
      <c r="Q239" s="812" t="str">
        <f t="shared" si="59"/>
        <v>externe koude forfaitair</v>
      </c>
      <c r="R239" s="812" t="str">
        <f t="shared" si="59"/>
        <v>bio-|groen gas</v>
      </c>
      <c r="S239" s="812" t="str">
        <f t="shared" si="59"/>
        <v/>
      </c>
      <c r="T239" s="812" t="str">
        <f t="shared" si="59"/>
        <v/>
      </c>
      <c r="U239" s="812" t="str">
        <f t="shared" si="59"/>
        <v/>
      </c>
      <c r="V239" s="812" t="str">
        <f t="shared" si="59"/>
        <v/>
      </c>
      <c r="W239" s="812" t="str">
        <f t="shared" si="59"/>
        <v>bio-olie</v>
      </c>
      <c r="X239" s="812" t="str">
        <f t="shared" si="59"/>
        <v/>
      </c>
      <c r="Y239" s="812" t="str">
        <f t="shared" si="57"/>
        <v/>
      </c>
      <c r="Z239" s="812" t="str">
        <f t="shared" si="57"/>
        <v/>
      </c>
      <c r="AA239" s="812" t="str">
        <f>IF(AA236=1,AA$221,"")</f>
        <v/>
      </c>
      <c r="AB239" s="812" t="str">
        <f t="shared" si="57"/>
        <v/>
      </c>
      <c r="AC239" s="955" t="str">
        <f t="shared" si="57"/>
        <v/>
      </c>
      <c r="AD239" s="812" t="str">
        <f t="shared" si="57"/>
        <v>KOUDE | Amersfoort, Parkweelde | Collectief WKO</v>
      </c>
      <c r="AE239" s="812" t="str">
        <f t="shared" si="58"/>
        <v/>
      </c>
      <c r="AF239" s="812" t="str">
        <f t="shared" si="58"/>
        <v/>
      </c>
      <c r="AG239" s="812" t="str">
        <f t="shared" si="58"/>
        <v/>
      </c>
      <c r="AH239" s="812" t="str">
        <f t="shared" si="58"/>
        <v/>
      </c>
      <c r="AI239" s="812" t="str">
        <f t="shared" si="58"/>
        <v/>
      </c>
      <c r="AJ239" s="812" t="str">
        <f t="shared" si="57"/>
        <v/>
      </c>
      <c r="AK239" s="812" t="str">
        <f t="shared" si="57"/>
        <v/>
      </c>
      <c r="AL239" s="812" t="str">
        <f t="shared" si="57"/>
        <v/>
      </c>
      <c r="AM239" s="956" t="str">
        <f t="shared" si="57"/>
        <v/>
      </c>
      <c r="AN239" s="967"/>
      <c r="AO239" s="16"/>
      <c r="AP239" s="16"/>
      <c r="AQ239" s="16"/>
      <c r="AR239" s="16"/>
      <c r="AS239" s="16"/>
      <c r="AT239" s="16"/>
      <c r="AU239" s="16"/>
      <c r="AV239" s="16"/>
      <c r="AW239" s="5"/>
      <c r="AX239" s="5"/>
      <c r="AY239" s="5"/>
      <c r="AZ239" s="5"/>
      <c r="BA239" s="5"/>
      <c r="BB239" s="5"/>
      <c r="BC239" s="5"/>
      <c r="BD239" s="22"/>
      <c r="BE239" s="5"/>
      <c r="BF239" s="5"/>
      <c r="BG239" s="5"/>
      <c r="BH239" s="5"/>
      <c r="BI239" s="5"/>
    </row>
    <row r="240" spans="1:62" ht="38.25" hidden="1" x14ac:dyDescent="0.2">
      <c r="B240" s="1036" t="s">
        <v>758</v>
      </c>
      <c r="C240" s="727"/>
      <c r="D240" s="1015"/>
      <c r="E240" s="326" t="s">
        <v>796</v>
      </c>
      <c r="F240" s="326"/>
      <c r="G240" s="357"/>
      <c r="H240" s="476"/>
      <c r="I240" s="812" t="str">
        <f t="shared" si="59"/>
        <v>nvt</v>
      </c>
      <c r="J240" s="812" t="str">
        <f t="shared" si="57"/>
        <v>elektriciteit</v>
      </c>
      <c r="K240" s="812" t="str">
        <f t="shared" si="57"/>
        <v>aardgas</v>
      </c>
      <c r="L240" s="812" t="str">
        <f t="shared" si="57"/>
        <v>stookolie</v>
      </c>
      <c r="M240" s="812" t="str">
        <f t="shared" si="57"/>
        <v>biomassa (bmA)</v>
      </c>
      <c r="N240" s="812" t="str">
        <f t="shared" si="57"/>
        <v>biomassa (bmB)</v>
      </c>
      <c r="O240" s="812" t="str">
        <f t="shared" si="57"/>
        <v>biomassa (bmC)</v>
      </c>
      <c r="P240" s="812" t="str">
        <f t="shared" si="57"/>
        <v>externe warmte forfaitair</v>
      </c>
      <c r="Q240" s="812" t="str">
        <f t="shared" si="57"/>
        <v/>
      </c>
      <c r="R240" s="812" t="str">
        <f t="shared" si="57"/>
        <v>bio-|groen gas</v>
      </c>
      <c r="S240" s="812" t="str">
        <f t="shared" si="57"/>
        <v>aftap AVI</v>
      </c>
      <c r="T240" s="812" t="str">
        <f t="shared" si="57"/>
        <v>aftap AVI+BIO</v>
      </c>
      <c r="U240" s="812" t="str">
        <f t="shared" si="57"/>
        <v>aftap STEG</v>
      </c>
      <c r="V240" s="812" t="str">
        <f t="shared" si="57"/>
        <v>aftap STEG+BIO</v>
      </c>
      <c r="W240" s="812" t="str">
        <f t="shared" si="57"/>
        <v>bio-olie</v>
      </c>
      <c r="X240" s="812" t="str">
        <f t="shared" si="57"/>
        <v>warmtenet (primair)</v>
      </c>
      <c r="Y240" s="812" t="str">
        <f t="shared" si="57"/>
        <v>warmtenet (secundair)</v>
      </c>
      <c r="Z240" s="812" t="str">
        <f t="shared" si="57"/>
        <v>restwarmte CO2-vrij</v>
      </c>
      <c r="AA240" s="812" t="str">
        <f>IF(AA237=1,AA$221,"")</f>
        <v/>
      </c>
      <c r="AB240" s="812" t="str">
        <f t="shared" si="57"/>
        <v/>
      </c>
      <c r="AC240" s="955" t="str">
        <f t="shared" si="57"/>
        <v/>
      </c>
      <c r="AD240" s="812" t="str">
        <f t="shared" si="57"/>
        <v/>
      </c>
      <c r="AE240" s="812" t="str">
        <f t="shared" si="58"/>
        <v/>
      </c>
      <c r="AF240" s="812" t="str">
        <f t="shared" si="58"/>
        <v/>
      </c>
      <c r="AG240" s="812" t="str">
        <f t="shared" si="58"/>
        <v/>
      </c>
      <c r="AH240" s="812" t="str">
        <f t="shared" si="58"/>
        <v/>
      </c>
      <c r="AI240" s="812" t="str">
        <f t="shared" si="58"/>
        <v/>
      </c>
      <c r="AJ240" s="812" t="str">
        <f t="shared" si="57"/>
        <v/>
      </c>
      <c r="AK240" s="812" t="str">
        <f t="shared" si="57"/>
        <v/>
      </c>
      <c r="AL240" s="812" t="str">
        <f t="shared" si="57"/>
        <v/>
      </c>
      <c r="AM240" s="956" t="str">
        <f t="shared" si="57"/>
        <v/>
      </c>
      <c r="AN240" s="967"/>
      <c r="AO240" s="16"/>
      <c r="AP240" s="16"/>
      <c r="AQ240" s="16"/>
      <c r="AR240" s="16"/>
      <c r="AS240" s="16"/>
      <c r="AT240" s="16"/>
      <c r="AU240" s="16"/>
      <c r="AV240" s="16"/>
      <c r="AW240" s="5"/>
      <c r="AX240" s="5"/>
      <c r="AY240" s="5"/>
      <c r="AZ240" s="5"/>
      <c r="BA240" s="5"/>
      <c r="BB240" s="5"/>
      <c r="BC240" s="5"/>
      <c r="BD240" s="22"/>
      <c r="BE240" s="5"/>
      <c r="BF240" s="5"/>
      <c r="BG240" s="5"/>
      <c r="BH240" s="5"/>
      <c r="BI240" s="5"/>
    </row>
    <row r="241" spans="1:83" s="2" customFormat="1" hidden="1" x14ac:dyDescent="0.2">
      <c r="A241" s="309"/>
      <c r="B241" s="1036" t="s">
        <v>758</v>
      </c>
      <c r="C241" s="727"/>
      <c r="D241" s="1015"/>
      <c r="E241" s="460" t="s">
        <v>756</v>
      </c>
      <c r="F241" s="471"/>
      <c r="G241" s="460"/>
      <c r="H241" s="459"/>
      <c r="I241" s="457"/>
      <c r="J241" s="457"/>
      <c r="K241" s="457"/>
      <c r="L241" s="457"/>
      <c r="M241" s="457"/>
      <c r="N241" s="457"/>
      <c r="O241" s="457"/>
      <c r="P241" s="457"/>
      <c r="Q241" s="457"/>
      <c r="R241" s="457"/>
      <c r="S241" s="457"/>
      <c r="T241" s="457"/>
      <c r="U241" s="457"/>
      <c r="V241" s="457"/>
      <c r="W241" s="457"/>
      <c r="X241" s="457"/>
      <c r="Y241" s="457"/>
      <c r="Z241" s="457"/>
      <c r="AA241" s="457"/>
      <c r="AB241" s="457"/>
      <c r="AC241" s="958"/>
      <c r="AD241" s="959"/>
      <c r="AE241" s="959"/>
      <c r="AF241" s="959"/>
      <c r="AG241" s="959"/>
      <c r="AH241" s="959"/>
      <c r="AI241" s="959"/>
      <c r="AJ241" s="959"/>
      <c r="AK241" s="959"/>
      <c r="AL241" s="959"/>
      <c r="AM241" s="960"/>
      <c r="AN241" s="459"/>
      <c r="AO241" s="394"/>
      <c r="AP241" s="394"/>
      <c r="AQ241" s="9"/>
      <c r="AR241" s="9"/>
      <c r="AS241" s="9"/>
      <c r="AT241" s="9"/>
      <c r="AU241" s="9"/>
      <c r="AV241" s="9"/>
      <c r="AW241" s="4"/>
      <c r="AX241" s="4"/>
      <c r="AY241" s="4"/>
      <c r="AZ241" s="4"/>
      <c r="BA241" s="4"/>
      <c r="BB241" s="4"/>
      <c r="BC241" s="4"/>
      <c r="BD241" s="22"/>
      <c r="BE241" s="4"/>
      <c r="BF241" s="4"/>
      <c r="BG241" s="4"/>
      <c r="BH241" s="4"/>
      <c r="BI241" s="4"/>
    </row>
    <row r="242" spans="1:83" ht="15" hidden="1" x14ac:dyDescent="0.2">
      <c r="B242" s="1036" t="s">
        <v>758</v>
      </c>
      <c r="C242" s="727"/>
      <c r="D242" s="1012"/>
      <c r="E242" s="5"/>
      <c r="F242" s="5"/>
      <c r="G242" s="5"/>
      <c r="H242" s="16"/>
      <c r="I242" s="16"/>
      <c r="J242" s="16"/>
      <c r="K242" s="16"/>
      <c r="L242" s="16"/>
      <c r="M242" s="16"/>
      <c r="N242" s="16"/>
      <c r="O242" s="16"/>
      <c r="P242" s="16"/>
      <c r="Q242" s="16"/>
      <c r="R242" s="16"/>
      <c r="S242" s="16"/>
      <c r="T242" s="16"/>
      <c r="U242" s="301"/>
      <c r="V242" s="16"/>
      <c r="W242" s="16"/>
      <c r="X242" s="16"/>
      <c r="Y242" s="20"/>
      <c r="Z242" s="5"/>
      <c r="AA242" s="5"/>
      <c r="AB242" s="5"/>
      <c r="AC242" s="5"/>
      <c r="AD242" s="5"/>
      <c r="AE242" s="5"/>
      <c r="AF242" s="5"/>
      <c r="AG242" s="5"/>
      <c r="AH242" s="5"/>
      <c r="AI242" s="5"/>
      <c r="AJ242" s="5"/>
      <c r="AK242" s="5"/>
      <c r="AL242" s="5"/>
      <c r="AM242" s="5"/>
      <c r="AN242" s="5"/>
      <c r="AO242" s="5"/>
      <c r="AP242" s="5"/>
      <c r="AQ242" s="5"/>
      <c r="AR242" s="5"/>
      <c r="AS242" s="22"/>
    </row>
    <row r="243" spans="1:83" hidden="1" x14ac:dyDescent="0.2">
      <c r="B243" s="1036" t="s">
        <v>797</v>
      </c>
      <c r="C243" s="727"/>
      <c r="D243" s="1013"/>
      <c r="E243" s="5"/>
      <c r="F243" s="5"/>
      <c r="G243" s="5"/>
      <c r="H243" s="5"/>
      <c r="I243" s="5"/>
      <c r="J243" s="5"/>
      <c r="K243" s="5"/>
      <c r="L243" s="5"/>
      <c r="M243" s="5"/>
      <c r="N243" s="5"/>
      <c r="O243" s="5"/>
      <c r="P243" s="5"/>
      <c r="Q243" s="5"/>
      <c r="R243" s="5"/>
      <c r="S243" s="5"/>
      <c r="T243" s="5"/>
      <c r="U243" s="16"/>
      <c r="V243" s="16"/>
      <c r="W243" s="16"/>
      <c r="X243" s="16"/>
      <c r="Y243" s="20"/>
      <c r="Z243" s="16"/>
      <c r="AA243" s="5"/>
      <c r="AB243" s="5"/>
      <c r="AC243" s="5"/>
      <c r="AD243" s="5"/>
      <c r="AE243" s="5"/>
      <c r="AF243" s="5"/>
      <c r="AG243" s="5"/>
      <c r="AH243" s="5"/>
      <c r="AI243" s="5"/>
      <c r="AJ243" s="5"/>
      <c r="AK243" s="5"/>
      <c r="AL243" s="5"/>
      <c r="AM243" s="5"/>
      <c r="AN243" s="5"/>
      <c r="AO243" s="5"/>
      <c r="AP243" s="5"/>
      <c r="AQ243" s="5"/>
      <c r="AR243" s="5"/>
      <c r="AS243" s="22"/>
    </row>
    <row r="244" spans="1:83" ht="21" hidden="1" x14ac:dyDescent="0.2">
      <c r="B244" s="1036" t="s">
        <v>797</v>
      </c>
      <c r="C244" s="727"/>
      <c r="D244" s="1012"/>
      <c r="E244" s="215" t="s">
        <v>798</v>
      </c>
      <c r="F244" s="215"/>
      <c r="G244" s="215"/>
      <c r="H244" s="215"/>
      <c r="I244" s="215"/>
      <c r="J244" s="215"/>
      <c r="K244" s="215"/>
      <c r="L244" s="215"/>
      <c r="M244" s="215"/>
      <c r="N244" s="215"/>
      <c r="O244" s="215"/>
      <c r="P244" s="215"/>
      <c r="Q244" s="215"/>
      <c r="R244" s="215"/>
      <c r="S244" s="215"/>
      <c r="T244" s="215"/>
      <c r="U244" s="215"/>
      <c r="V244" s="215"/>
      <c r="W244" s="215"/>
      <c r="X244" s="215"/>
      <c r="Y244" s="215"/>
      <c r="Z244" s="215"/>
      <c r="AA244" s="215"/>
      <c r="AB244" s="215"/>
      <c r="AC244" s="215"/>
      <c r="AD244" s="215"/>
      <c r="AE244" s="215"/>
      <c r="AF244" s="215"/>
      <c r="AG244" s="215"/>
      <c r="AH244" s="215"/>
      <c r="AI244" s="215"/>
      <c r="AJ244" s="215"/>
      <c r="AK244" s="215"/>
      <c r="AL244" s="215"/>
      <c r="AM244" s="215"/>
      <c r="AN244" s="215"/>
      <c r="AO244" s="215"/>
      <c r="AP244" s="215"/>
      <c r="AQ244" s="215"/>
      <c r="AR244" s="215"/>
      <c r="AS244" s="215"/>
      <c r="AT244" s="215"/>
      <c r="AU244" s="215"/>
      <c r="AV244" s="215"/>
      <c r="AW244" s="215"/>
      <c r="AX244" s="215"/>
      <c r="AY244" s="215"/>
      <c r="AZ244" s="215"/>
      <c r="BA244" s="215"/>
      <c r="BB244" s="215"/>
      <c r="BC244" s="215"/>
      <c r="BD244" s="215"/>
      <c r="BE244" s="215"/>
      <c r="BF244" s="215"/>
      <c r="BG244" s="215"/>
      <c r="BH244" s="215"/>
      <c r="BI244" s="215"/>
      <c r="BJ244" s="20"/>
      <c r="BK244" s="5"/>
      <c r="BL244" s="5"/>
      <c r="BM244" s="5"/>
      <c r="BN244" s="5"/>
      <c r="BO244" s="5"/>
      <c r="BP244" s="5"/>
      <c r="BQ244" s="5"/>
      <c r="BR244" s="5"/>
      <c r="BS244" s="5"/>
      <c r="BT244" s="5"/>
      <c r="BU244" s="5"/>
      <c r="BV244" s="5"/>
      <c r="BW244" s="5"/>
      <c r="BX244" s="5"/>
      <c r="BY244" s="5"/>
      <c r="BZ244" s="5"/>
      <c r="CA244" s="5"/>
      <c r="CB244" s="5"/>
      <c r="CC244" s="5"/>
      <c r="CD244" s="22"/>
    </row>
    <row r="245" spans="1:83" hidden="1" x14ac:dyDescent="0.2">
      <c r="B245" s="1036" t="s">
        <v>797</v>
      </c>
      <c r="C245" s="727"/>
      <c r="D245" s="1013"/>
      <c r="E245" s="299" t="s">
        <v>491</v>
      </c>
      <c r="F245" s="299"/>
      <c r="G245" s="299" t="s">
        <v>423</v>
      </c>
      <c r="H245" s="300"/>
      <c r="I245" s="300">
        <f t="shared" ref="I245:BH245" ca="1" si="60">OFFSET(I245,0,-1)+1</f>
        <v>1</v>
      </c>
      <c r="J245" s="300">
        <f t="shared" ca="1" si="60"/>
        <v>2</v>
      </c>
      <c r="K245" s="300">
        <f t="shared" ca="1" si="60"/>
        <v>3</v>
      </c>
      <c r="L245" s="300">
        <f t="shared" ca="1" si="60"/>
        <v>4</v>
      </c>
      <c r="M245" s="300">
        <f t="shared" ca="1" si="60"/>
        <v>5</v>
      </c>
      <c r="N245" s="300">
        <f t="shared" ca="1" si="60"/>
        <v>6</v>
      </c>
      <c r="O245" s="300">
        <f t="shared" ca="1" si="60"/>
        <v>7</v>
      </c>
      <c r="P245" s="300">
        <f t="shared" ca="1" si="60"/>
        <v>8</v>
      </c>
      <c r="Q245" s="300">
        <f t="shared" ca="1" si="60"/>
        <v>9</v>
      </c>
      <c r="R245" s="300">
        <f t="shared" ca="1" si="60"/>
        <v>10</v>
      </c>
      <c r="S245" s="300">
        <f t="shared" ca="1" si="60"/>
        <v>11</v>
      </c>
      <c r="T245" s="300">
        <f t="shared" ca="1" si="60"/>
        <v>12</v>
      </c>
      <c r="U245" s="300">
        <f t="shared" ca="1" si="60"/>
        <v>13</v>
      </c>
      <c r="V245" s="300">
        <f t="shared" ca="1" si="60"/>
        <v>14</v>
      </c>
      <c r="W245" s="300">
        <f t="shared" ca="1" si="60"/>
        <v>15</v>
      </c>
      <c r="X245" s="300">
        <f t="shared" ca="1" si="60"/>
        <v>16</v>
      </c>
      <c r="Y245" s="300">
        <f t="shared" ca="1" si="60"/>
        <v>17</v>
      </c>
      <c r="Z245" s="300">
        <f t="shared" ca="1" si="60"/>
        <v>18</v>
      </c>
      <c r="AA245" s="300">
        <f t="shared" ca="1" si="60"/>
        <v>19</v>
      </c>
      <c r="AB245" s="300">
        <f t="shared" ca="1" si="60"/>
        <v>20</v>
      </c>
      <c r="AC245" s="300">
        <f t="shared" ca="1" si="60"/>
        <v>21</v>
      </c>
      <c r="AD245" s="300">
        <f t="shared" ca="1" si="60"/>
        <v>22</v>
      </c>
      <c r="AE245" s="300">
        <f t="shared" ca="1" si="60"/>
        <v>23</v>
      </c>
      <c r="AF245" s="300">
        <f t="shared" ca="1" si="60"/>
        <v>24</v>
      </c>
      <c r="AG245" s="300">
        <f t="shared" ca="1" si="60"/>
        <v>25</v>
      </c>
      <c r="AH245" s="300">
        <f t="shared" ca="1" si="60"/>
        <v>26</v>
      </c>
      <c r="AI245" s="300">
        <f t="shared" ca="1" si="60"/>
        <v>27</v>
      </c>
      <c r="AJ245" s="300">
        <f t="shared" ca="1" si="60"/>
        <v>28</v>
      </c>
      <c r="AK245" s="300">
        <f t="shared" ca="1" si="60"/>
        <v>29</v>
      </c>
      <c r="AL245" s="300">
        <f t="shared" ca="1" si="60"/>
        <v>30</v>
      </c>
      <c r="AM245" s="300">
        <f t="shared" ca="1" si="60"/>
        <v>31</v>
      </c>
      <c r="AN245" s="300">
        <f t="shared" ca="1" si="60"/>
        <v>32</v>
      </c>
      <c r="AO245" s="300">
        <f t="shared" ca="1" si="60"/>
        <v>33</v>
      </c>
      <c r="AP245" s="300">
        <f t="shared" ca="1" si="60"/>
        <v>34</v>
      </c>
      <c r="AQ245" s="300">
        <f t="shared" ca="1" si="60"/>
        <v>35</v>
      </c>
      <c r="AR245" s="300">
        <f t="shared" ca="1" si="60"/>
        <v>36</v>
      </c>
      <c r="AS245" s="300">
        <f t="shared" ca="1" si="60"/>
        <v>37</v>
      </c>
      <c r="AT245" s="300">
        <f t="shared" ca="1" si="60"/>
        <v>38</v>
      </c>
      <c r="AU245" s="300">
        <f t="shared" ca="1" si="60"/>
        <v>39</v>
      </c>
      <c r="AV245" s="300">
        <f t="shared" ca="1" si="60"/>
        <v>40</v>
      </c>
      <c r="AW245" s="300">
        <f t="shared" ca="1" si="60"/>
        <v>41</v>
      </c>
      <c r="AX245" s="300">
        <f t="shared" ca="1" si="60"/>
        <v>42</v>
      </c>
      <c r="AY245" s="300">
        <f t="shared" ca="1" si="60"/>
        <v>43</v>
      </c>
      <c r="AZ245" s="300">
        <f t="shared" ca="1" si="60"/>
        <v>44</v>
      </c>
      <c r="BA245" s="300">
        <f t="shared" ca="1" si="60"/>
        <v>45</v>
      </c>
      <c r="BB245" s="300">
        <f t="shared" ca="1" si="60"/>
        <v>46</v>
      </c>
      <c r="BC245" s="300">
        <f t="shared" ca="1" si="60"/>
        <v>47</v>
      </c>
      <c r="BD245" s="300">
        <f t="shared" ca="1" si="60"/>
        <v>48</v>
      </c>
      <c r="BE245" s="300">
        <f t="shared" ca="1" si="60"/>
        <v>49</v>
      </c>
      <c r="BF245" s="300">
        <f t="shared" ca="1" si="60"/>
        <v>50</v>
      </c>
      <c r="BG245" s="300">
        <f t="shared" ca="1" si="60"/>
        <v>51</v>
      </c>
      <c r="BH245" s="300">
        <f t="shared" ca="1" si="60"/>
        <v>52</v>
      </c>
      <c r="BI245" s="300"/>
      <c r="BJ245" s="5"/>
      <c r="BK245" s="20"/>
      <c r="BL245" s="5"/>
      <c r="BM245" s="5"/>
      <c r="BN245" s="5"/>
      <c r="BO245" s="5"/>
      <c r="BP245" s="5"/>
      <c r="BQ245" s="5"/>
      <c r="BR245" s="5"/>
      <c r="BS245" s="5"/>
      <c r="BT245" s="5"/>
      <c r="BU245" s="5"/>
      <c r="BV245" s="5"/>
      <c r="BW245" s="5"/>
      <c r="BX245" s="5"/>
      <c r="BY245" s="5"/>
      <c r="BZ245" s="5"/>
      <c r="CA245" s="5"/>
      <c r="CB245" s="5"/>
      <c r="CC245" s="5"/>
      <c r="CD245" s="22"/>
      <c r="CE245" s="209"/>
    </row>
    <row r="246" spans="1:83" s="2" customFormat="1" ht="18.75" hidden="1" x14ac:dyDescent="0.2">
      <c r="A246" s="309"/>
      <c r="B246" s="1036" t="s">
        <v>797</v>
      </c>
      <c r="C246" s="727"/>
      <c r="D246" s="1017"/>
      <c r="E246" s="382" t="s">
        <v>799</v>
      </c>
      <c r="F246" s="383"/>
      <c r="G246" s="382"/>
      <c r="H246" s="384"/>
      <c r="I246" s="385"/>
      <c r="J246" s="384"/>
      <c r="K246" s="9"/>
      <c r="L246" s="9"/>
      <c r="M246" s="4"/>
      <c r="N246" s="4"/>
      <c r="O246" s="4"/>
      <c r="P246" s="4"/>
      <c r="Q246" s="688"/>
      <c r="R246" s="688"/>
      <c r="S246" s="688"/>
      <c r="T246" s="688"/>
      <c r="U246" s="688"/>
      <c r="V246" s="688"/>
      <c r="W246" s="688"/>
      <c r="X246" s="688"/>
      <c r="Y246" s="385"/>
      <c r="Z246" s="384"/>
      <c r="AA246" s="9"/>
      <c r="AB246" s="9"/>
      <c r="AC246" s="9"/>
      <c r="AD246" s="9"/>
      <c r="AE246" s="9"/>
      <c r="AF246" s="4"/>
      <c r="AG246" s="4"/>
      <c r="AH246" s="4"/>
      <c r="AI246" s="4"/>
      <c r="AJ246" s="4"/>
      <c r="AK246" s="4"/>
      <c r="AL246" s="4"/>
      <c r="AM246" s="688"/>
      <c r="AN246" s="688"/>
      <c r="AO246" s="688"/>
      <c r="AP246" s="688"/>
      <c r="AQ246" s="688"/>
      <c r="AR246" s="688"/>
      <c r="AS246" s="688"/>
      <c r="AT246" s="688"/>
      <c r="AU246" s="688"/>
      <c r="AV246" s="688"/>
      <c r="AW246" s="688"/>
      <c r="AX246" s="688"/>
      <c r="AY246" s="688"/>
      <c r="AZ246" s="688"/>
      <c r="BA246" s="688"/>
      <c r="BB246" s="688"/>
      <c r="BC246" s="688"/>
      <c r="BD246" s="688"/>
      <c r="BE246" s="688"/>
      <c r="BF246" s="688"/>
      <c r="BG246" s="688"/>
      <c r="BH246" s="688"/>
      <c r="BI246" s="4"/>
      <c r="BJ246" s="8"/>
      <c r="BK246" s="4"/>
      <c r="BL246" s="4"/>
      <c r="BM246" s="4"/>
      <c r="BN246" s="4"/>
      <c r="BO246" s="4"/>
      <c r="BP246" s="4"/>
      <c r="BQ246" s="4"/>
      <c r="BR246" s="4"/>
      <c r="BS246" s="4"/>
      <c r="BT246" s="4"/>
      <c r="BU246" s="4"/>
      <c r="BV246" s="4"/>
      <c r="BW246" s="4"/>
      <c r="BX246" s="4"/>
      <c r="BY246" s="4"/>
      <c r="BZ246" s="4"/>
      <c r="CA246" s="4"/>
      <c r="CB246" s="4"/>
      <c r="CC246" s="4"/>
      <c r="CD246" s="22"/>
    </row>
    <row r="247" spans="1:83" ht="76.5" hidden="1" x14ac:dyDescent="0.2">
      <c r="B247" s="1036" t="s">
        <v>797</v>
      </c>
      <c r="C247" s="727"/>
      <c r="D247" s="1012"/>
      <c r="E247" s="357" t="s">
        <v>800</v>
      </c>
      <c r="F247" s="326"/>
      <c r="G247" s="357" t="s">
        <v>70</v>
      </c>
      <c r="H247" s="476"/>
      <c r="I247" s="961" t="s">
        <v>615</v>
      </c>
      <c r="J247" s="961" t="s">
        <v>769</v>
      </c>
      <c r="K247" s="961" t="s">
        <v>801</v>
      </c>
      <c r="L247" s="961" t="s">
        <v>802</v>
      </c>
      <c r="M247" s="961" t="s">
        <v>803</v>
      </c>
      <c r="N247" s="961" t="s">
        <v>804</v>
      </c>
      <c r="O247" s="961" t="s">
        <v>805</v>
      </c>
      <c r="P247" s="961" t="s">
        <v>806</v>
      </c>
      <c r="Q247" s="962" t="s">
        <v>807</v>
      </c>
      <c r="R247" s="962" t="s">
        <v>808</v>
      </c>
      <c r="S247" s="962" t="s">
        <v>809</v>
      </c>
      <c r="T247" s="591" t="s">
        <v>810</v>
      </c>
      <c r="U247" s="591" t="s">
        <v>811</v>
      </c>
      <c r="V247" s="591" t="s">
        <v>812</v>
      </c>
      <c r="W247" s="591" t="s">
        <v>813</v>
      </c>
      <c r="X247" s="591" t="s">
        <v>814</v>
      </c>
      <c r="Y247" s="961" t="s">
        <v>815</v>
      </c>
      <c r="Z247" s="961" t="s">
        <v>816</v>
      </c>
      <c r="AA247" s="961" t="s">
        <v>817</v>
      </c>
      <c r="AB247" s="961" t="s">
        <v>818</v>
      </c>
      <c r="AC247" s="962" t="s">
        <v>819</v>
      </c>
      <c r="AD247" s="962" t="s">
        <v>820</v>
      </c>
      <c r="AE247" s="962" t="s">
        <v>821</v>
      </c>
      <c r="AF247" s="962" t="s">
        <v>822</v>
      </c>
      <c r="AG247" s="962" t="s">
        <v>823</v>
      </c>
      <c r="AH247" s="962" t="s">
        <v>824</v>
      </c>
      <c r="AI247" s="962" t="s">
        <v>825</v>
      </c>
      <c r="AJ247" s="962" t="s">
        <v>826</v>
      </c>
      <c r="AK247" s="962" t="s">
        <v>827</v>
      </c>
      <c r="AL247" s="962" t="s">
        <v>828</v>
      </c>
      <c r="AM247" s="962" t="s">
        <v>829</v>
      </c>
      <c r="AN247" s="591" t="s">
        <v>830</v>
      </c>
      <c r="AO247" s="591" t="s">
        <v>831</v>
      </c>
      <c r="AP247" s="591" t="s">
        <v>832</v>
      </c>
      <c r="AQ247" s="591" t="s">
        <v>833</v>
      </c>
      <c r="AR247" s="591" t="s">
        <v>834</v>
      </c>
      <c r="AS247" s="591" t="s">
        <v>835</v>
      </c>
      <c r="AT247" s="591" t="s">
        <v>836</v>
      </c>
      <c r="AU247" s="591" t="s">
        <v>837</v>
      </c>
      <c r="AV247" s="591" t="s">
        <v>838</v>
      </c>
      <c r="AW247" s="591" t="s">
        <v>839</v>
      </c>
      <c r="AX247" s="591" t="s">
        <v>840</v>
      </c>
      <c r="AY247" s="591" t="s">
        <v>841</v>
      </c>
      <c r="AZ247" s="591" t="s">
        <v>842</v>
      </c>
      <c r="BA247" s="591" t="s">
        <v>843</v>
      </c>
      <c r="BB247" s="591" t="s">
        <v>844</v>
      </c>
      <c r="BC247" s="591" t="s">
        <v>845</v>
      </c>
      <c r="BD247" s="591" t="s">
        <v>846</v>
      </c>
      <c r="BE247" s="591" t="s">
        <v>847</v>
      </c>
      <c r="BF247" s="591" t="s">
        <v>848</v>
      </c>
      <c r="BG247" s="591"/>
      <c r="BH247" s="591"/>
      <c r="BI247" s="476"/>
      <c r="BJ247" s="22"/>
      <c r="BK247" s="20"/>
      <c r="BL247" s="16"/>
      <c r="BM247" s="16"/>
      <c r="BN247" s="16"/>
      <c r="BO247" s="5"/>
      <c r="BP247" s="5"/>
      <c r="BQ247" s="5"/>
      <c r="BR247" s="5"/>
      <c r="BS247" s="5"/>
      <c r="BT247" s="5"/>
      <c r="BU247" s="5"/>
      <c r="BV247" s="5"/>
      <c r="BW247" s="5"/>
      <c r="BX247" s="5"/>
      <c r="BY247" s="5"/>
      <c r="BZ247" s="5"/>
      <c r="CA247" s="5"/>
      <c r="CB247" s="5"/>
      <c r="CC247" s="5"/>
      <c r="CE247" s="209"/>
    </row>
    <row r="248" spans="1:83" hidden="1" x14ac:dyDescent="0.2">
      <c r="B248" s="1036" t="s">
        <v>797</v>
      </c>
      <c r="C248" s="727"/>
      <c r="D248" s="1012"/>
      <c r="E248" s="357" t="s">
        <v>791</v>
      </c>
      <c r="F248" s="326"/>
      <c r="G248" s="357" t="s">
        <v>70</v>
      </c>
      <c r="H248" s="476"/>
      <c r="I248" s="965">
        <v>1</v>
      </c>
      <c r="J248" s="965">
        <v>0</v>
      </c>
      <c r="K248" s="965">
        <v>0</v>
      </c>
      <c r="L248" s="965">
        <v>1</v>
      </c>
      <c r="M248" s="965">
        <v>0</v>
      </c>
      <c r="N248" s="965">
        <v>1</v>
      </c>
      <c r="O248" s="965">
        <v>0</v>
      </c>
      <c r="P248" s="965">
        <v>1</v>
      </c>
      <c r="Q248" s="965">
        <v>1</v>
      </c>
      <c r="R248" s="965">
        <v>1</v>
      </c>
      <c r="S248" s="965">
        <v>0</v>
      </c>
      <c r="T248" s="966">
        <v>1</v>
      </c>
      <c r="U248" s="966">
        <v>1</v>
      </c>
      <c r="V248" s="966">
        <v>1</v>
      </c>
      <c r="W248" s="966">
        <v>0</v>
      </c>
      <c r="X248" s="966">
        <v>1</v>
      </c>
      <c r="Y248" s="965">
        <v>0</v>
      </c>
      <c r="Z248" s="965">
        <v>0</v>
      </c>
      <c r="AA248" s="965">
        <v>1</v>
      </c>
      <c r="AB248" s="965">
        <v>0</v>
      </c>
      <c r="AC248" s="965">
        <v>1</v>
      </c>
      <c r="AD248" s="965">
        <v>1</v>
      </c>
      <c r="AE248" s="965">
        <v>1</v>
      </c>
      <c r="AF248" s="965">
        <v>1</v>
      </c>
      <c r="AG248" s="965">
        <v>1</v>
      </c>
      <c r="AH248" s="965">
        <v>1</v>
      </c>
      <c r="AI248" s="965">
        <v>1</v>
      </c>
      <c r="AJ248" s="965">
        <v>1</v>
      </c>
      <c r="AK248" s="965">
        <v>1</v>
      </c>
      <c r="AL248" s="965">
        <v>1</v>
      </c>
      <c r="AM248" s="965">
        <v>1</v>
      </c>
      <c r="AN248" s="966">
        <v>1</v>
      </c>
      <c r="AO248" s="966">
        <v>1</v>
      </c>
      <c r="AP248" s="966">
        <v>0</v>
      </c>
      <c r="AQ248" s="966">
        <v>1</v>
      </c>
      <c r="AR248" s="966">
        <v>1</v>
      </c>
      <c r="AS248" s="966">
        <v>1</v>
      </c>
      <c r="AT248" s="966">
        <v>1</v>
      </c>
      <c r="AU248" s="966">
        <v>1</v>
      </c>
      <c r="AV248" s="966">
        <v>1</v>
      </c>
      <c r="AW248" s="966">
        <v>1</v>
      </c>
      <c r="AX248" s="966">
        <v>1</v>
      </c>
      <c r="AY248" s="966">
        <v>1</v>
      </c>
      <c r="AZ248" s="966">
        <v>1</v>
      </c>
      <c r="BA248" s="966">
        <v>1</v>
      </c>
      <c r="BB248" s="966">
        <v>1</v>
      </c>
      <c r="BC248" s="966">
        <v>1</v>
      </c>
      <c r="BD248" s="966">
        <v>1</v>
      </c>
      <c r="BE248" s="966">
        <v>1</v>
      </c>
      <c r="BF248" s="966">
        <v>1</v>
      </c>
      <c r="BG248" s="966"/>
      <c r="BH248" s="966"/>
      <c r="BI248" s="476"/>
      <c r="BJ248" s="22"/>
      <c r="BK248" s="20"/>
      <c r="BL248" s="16"/>
      <c r="BM248" s="16"/>
      <c r="BN248" s="16"/>
      <c r="BO248" s="5"/>
      <c r="BP248" s="5"/>
      <c r="BQ248" s="5"/>
      <c r="BR248" s="5"/>
      <c r="BS248" s="5"/>
      <c r="BT248" s="5"/>
      <c r="BU248" s="5"/>
      <c r="BV248" s="5"/>
      <c r="BW248" s="5"/>
      <c r="BX248" s="5"/>
      <c r="BY248" s="5"/>
      <c r="BZ248" s="5"/>
      <c r="CA248" s="5"/>
      <c r="CB248" s="5"/>
      <c r="CC248" s="5"/>
      <c r="CE248" s="209"/>
    </row>
    <row r="249" spans="1:83" hidden="1" x14ac:dyDescent="0.2">
      <c r="B249" s="1036" t="s">
        <v>797</v>
      </c>
      <c r="C249" s="727"/>
      <c r="D249" s="1012"/>
      <c r="E249" s="357" t="s">
        <v>792</v>
      </c>
      <c r="F249" s="326"/>
      <c r="G249" s="357" t="s">
        <v>70</v>
      </c>
      <c r="H249" s="476"/>
      <c r="I249" s="965">
        <v>0</v>
      </c>
      <c r="J249" s="965">
        <v>1</v>
      </c>
      <c r="K249" s="965">
        <v>0</v>
      </c>
      <c r="L249" s="965">
        <v>0</v>
      </c>
      <c r="M249" s="965">
        <v>1</v>
      </c>
      <c r="N249" s="965">
        <v>0</v>
      </c>
      <c r="O249" s="965">
        <v>1</v>
      </c>
      <c r="P249" s="965">
        <v>0</v>
      </c>
      <c r="Q249" s="965">
        <v>0</v>
      </c>
      <c r="R249" s="965">
        <v>0</v>
      </c>
      <c r="S249" s="965">
        <v>1</v>
      </c>
      <c r="T249" s="966">
        <v>0</v>
      </c>
      <c r="U249" s="966">
        <v>0</v>
      </c>
      <c r="V249" s="966">
        <v>0</v>
      </c>
      <c r="W249" s="966">
        <v>1</v>
      </c>
      <c r="X249" s="966">
        <v>0</v>
      </c>
      <c r="Y249" s="965">
        <v>1</v>
      </c>
      <c r="Z249" s="965">
        <v>1</v>
      </c>
      <c r="AA249" s="965">
        <v>0</v>
      </c>
      <c r="AB249" s="965">
        <v>1</v>
      </c>
      <c r="AC249" s="965">
        <v>0</v>
      </c>
      <c r="AD249" s="965">
        <v>0</v>
      </c>
      <c r="AE249" s="965">
        <v>0</v>
      </c>
      <c r="AF249" s="965">
        <v>0</v>
      </c>
      <c r="AG249" s="965">
        <v>0</v>
      </c>
      <c r="AH249" s="965">
        <v>0</v>
      </c>
      <c r="AI249" s="965">
        <v>0</v>
      </c>
      <c r="AJ249" s="965">
        <v>0</v>
      </c>
      <c r="AK249" s="965">
        <v>0</v>
      </c>
      <c r="AL249" s="965">
        <v>0</v>
      </c>
      <c r="AM249" s="965">
        <v>0</v>
      </c>
      <c r="AN249" s="966">
        <v>0</v>
      </c>
      <c r="AO249" s="966">
        <v>0</v>
      </c>
      <c r="AP249" s="966">
        <v>1</v>
      </c>
      <c r="AQ249" s="966">
        <v>0</v>
      </c>
      <c r="AR249" s="966">
        <v>0</v>
      </c>
      <c r="AS249" s="966">
        <v>0</v>
      </c>
      <c r="AT249" s="966">
        <v>0</v>
      </c>
      <c r="AU249" s="966">
        <v>0</v>
      </c>
      <c r="AV249" s="966">
        <v>0</v>
      </c>
      <c r="AW249" s="966">
        <v>0</v>
      </c>
      <c r="AX249" s="966">
        <v>0</v>
      </c>
      <c r="AY249" s="966">
        <v>0</v>
      </c>
      <c r="AZ249" s="966">
        <v>0</v>
      </c>
      <c r="BA249" s="966">
        <v>0</v>
      </c>
      <c r="BB249" s="966">
        <v>0</v>
      </c>
      <c r="BC249" s="966">
        <v>0</v>
      </c>
      <c r="BD249" s="966">
        <v>0</v>
      </c>
      <c r="BE249" s="966">
        <v>0</v>
      </c>
      <c r="BF249" s="966">
        <v>0</v>
      </c>
      <c r="BG249" s="966"/>
      <c r="BH249" s="966"/>
      <c r="BI249" s="476"/>
      <c r="BJ249" s="22"/>
      <c r="BK249" s="20"/>
      <c r="BL249" s="16"/>
      <c r="BM249" s="16"/>
      <c r="BN249" s="16"/>
      <c r="BO249" s="5"/>
      <c r="BP249" s="5"/>
      <c r="BQ249" s="5"/>
      <c r="BR249" s="5"/>
      <c r="BS249" s="5"/>
      <c r="BT249" s="5"/>
      <c r="BU249" s="5"/>
      <c r="BV249" s="5"/>
      <c r="BW249" s="5"/>
      <c r="BX249" s="5"/>
      <c r="BY249" s="5"/>
      <c r="BZ249" s="5"/>
      <c r="CA249" s="5"/>
      <c r="CB249" s="5"/>
      <c r="CC249" s="5"/>
      <c r="CE249" s="209"/>
    </row>
    <row r="250" spans="1:83" hidden="1" x14ac:dyDescent="0.2">
      <c r="B250" s="1036" t="s">
        <v>797</v>
      </c>
      <c r="C250" s="727"/>
      <c r="D250" s="1012"/>
      <c r="E250" s="357" t="s">
        <v>793</v>
      </c>
      <c r="F250" s="326"/>
      <c r="G250" s="357" t="s">
        <v>70</v>
      </c>
      <c r="H250" s="476"/>
      <c r="I250" s="965">
        <v>0</v>
      </c>
      <c r="J250" s="965">
        <v>0</v>
      </c>
      <c r="K250" s="965">
        <v>1</v>
      </c>
      <c r="L250" s="965">
        <v>0</v>
      </c>
      <c r="M250" s="965">
        <v>0</v>
      </c>
      <c r="N250" s="965">
        <v>0</v>
      </c>
      <c r="O250" s="965">
        <v>0</v>
      </c>
      <c r="P250" s="965">
        <v>0</v>
      </c>
      <c r="Q250" s="965">
        <v>0</v>
      </c>
      <c r="R250" s="965">
        <v>0</v>
      </c>
      <c r="S250" s="965">
        <v>0</v>
      </c>
      <c r="T250" s="966">
        <v>0</v>
      </c>
      <c r="U250" s="966">
        <v>0</v>
      </c>
      <c r="V250" s="966">
        <v>0</v>
      </c>
      <c r="W250" s="966">
        <v>0</v>
      </c>
      <c r="X250" s="966">
        <v>0</v>
      </c>
      <c r="Y250" s="965">
        <v>0</v>
      </c>
      <c r="Z250" s="965">
        <v>0</v>
      </c>
      <c r="AA250" s="965">
        <v>0</v>
      </c>
      <c r="AB250" s="965">
        <v>0</v>
      </c>
      <c r="AC250" s="965">
        <v>0</v>
      </c>
      <c r="AD250" s="965">
        <v>0</v>
      </c>
      <c r="AE250" s="965">
        <v>0</v>
      </c>
      <c r="AF250" s="965">
        <v>0</v>
      </c>
      <c r="AG250" s="965">
        <v>0</v>
      </c>
      <c r="AH250" s="965">
        <v>0</v>
      </c>
      <c r="AI250" s="965">
        <v>0</v>
      </c>
      <c r="AJ250" s="965">
        <v>0</v>
      </c>
      <c r="AK250" s="965">
        <v>0</v>
      </c>
      <c r="AL250" s="965">
        <v>0</v>
      </c>
      <c r="AM250" s="965">
        <v>0</v>
      </c>
      <c r="AN250" s="966">
        <v>0</v>
      </c>
      <c r="AO250" s="966">
        <v>0</v>
      </c>
      <c r="AP250" s="966">
        <v>0</v>
      </c>
      <c r="AQ250" s="966">
        <v>0</v>
      </c>
      <c r="AR250" s="966">
        <v>0</v>
      </c>
      <c r="AS250" s="966">
        <v>0</v>
      </c>
      <c r="AT250" s="966">
        <v>0</v>
      </c>
      <c r="AU250" s="966">
        <v>0</v>
      </c>
      <c r="AV250" s="966">
        <v>0</v>
      </c>
      <c r="AW250" s="966">
        <v>0</v>
      </c>
      <c r="AX250" s="966">
        <v>0</v>
      </c>
      <c r="AY250" s="966">
        <v>0</v>
      </c>
      <c r="AZ250" s="966">
        <v>0</v>
      </c>
      <c r="BA250" s="966">
        <v>0</v>
      </c>
      <c r="BB250" s="966">
        <v>0</v>
      </c>
      <c r="BC250" s="966">
        <v>0</v>
      </c>
      <c r="BD250" s="966">
        <v>0</v>
      </c>
      <c r="BE250" s="966">
        <v>0</v>
      </c>
      <c r="BF250" s="966">
        <v>0</v>
      </c>
      <c r="BG250" s="966"/>
      <c r="BH250" s="966"/>
      <c r="BI250" s="476"/>
      <c r="BJ250" s="22"/>
      <c r="BK250" s="20"/>
      <c r="BL250" s="16"/>
      <c r="BM250" s="16"/>
      <c r="BN250" s="16"/>
      <c r="BO250" s="5"/>
      <c r="BP250" s="5"/>
      <c r="BQ250" s="5"/>
      <c r="BR250" s="5"/>
      <c r="BS250" s="5"/>
      <c r="BT250" s="5"/>
      <c r="BU250" s="5"/>
      <c r="BV250" s="5"/>
      <c r="BW250" s="5"/>
      <c r="BX250" s="5"/>
      <c r="BY250" s="5"/>
      <c r="BZ250" s="5"/>
      <c r="CA250" s="5"/>
      <c r="CB250" s="5"/>
      <c r="CC250" s="5"/>
      <c r="CE250" s="209"/>
    </row>
    <row r="251" spans="1:83" ht="25.5" hidden="1" x14ac:dyDescent="0.2">
      <c r="B251" s="1036" t="s">
        <v>797</v>
      </c>
      <c r="C251" s="727"/>
      <c r="D251" s="1012"/>
      <c r="E251" s="357" t="s">
        <v>849</v>
      </c>
      <c r="F251" s="326"/>
      <c r="G251" s="357" t="s">
        <v>70</v>
      </c>
      <c r="H251" s="476"/>
      <c r="I251" s="961" t="s">
        <v>850</v>
      </c>
      <c r="J251" s="961" t="s">
        <v>850</v>
      </c>
      <c r="K251" s="961" t="s">
        <v>850</v>
      </c>
      <c r="L251" s="962" t="s">
        <v>851</v>
      </c>
      <c r="M251" s="962" t="s">
        <v>851</v>
      </c>
      <c r="N251" s="962" t="s">
        <v>852</v>
      </c>
      <c r="O251" s="962" t="s">
        <v>852</v>
      </c>
      <c r="P251" s="962" t="s">
        <v>853</v>
      </c>
      <c r="Q251" s="962" t="s">
        <v>854</v>
      </c>
      <c r="R251" s="962" t="s">
        <v>855</v>
      </c>
      <c r="S251" s="962" t="s">
        <v>855</v>
      </c>
      <c r="T251" s="591" t="s">
        <v>856</v>
      </c>
      <c r="U251" s="591" t="s">
        <v>857</v>
      </c>
      <c r="V251" s="591" t="s">
        <v>857</v>
      </c>
      <c r="W251" s="591" t="s">
        <v>857</v>
      </c>
      <c r="X251" s="591" t="s">
        <v>858</v>
      </c>
      <c r="Y251" s="961" t="s">
        <v>859</v>
      </c>
      <c r="Z251" s="961" t="s">
        <v>860</v>
      </c>
      <c r="AA251" s="961" t="s">
        <v>861</v>
      </c>
      <c r="AB251" s="961" t="s">
        <v>861</v>
      </c>
      <c r="AC251" s="962" t="s">
        <v>862</v>
      </c>
      <c r="AD251" s="962" t="s">
        <v>863</v>
      </c>
      <c r="AE251" s="962" t="s">
        <v>864</v>
      </c>
      <c r="AF251" s="962" t="s">
        <v>865</v>
      </c>
      <c r="AG251" s="962" t="s">
        <v>866</v>
      </c>
      <c r="AH251" s="962" t="s">
        <v>866</v>
      </c>
      <c r="AI251" s="962" t="s">
        <v>867</v>
      </c>
      <c r="AJ251" s="962" t="s">
        <v>867</v>
      </c>
      <c r="AK251" s="962" t="s">
        <v>868</v>
      </c>
      <c r="AL251" s="962" t="s">
        <v>868</v>
      </c>
      <c r="AM251" s="962" t="s">
        <v>869</v>
      </c>
      <c r="AN251" s="591" t="s">
        <v>870</v>
      </c>
      <c r="AO251" s="591" t="s">
        <v>871</v>
      </c>
      <c r="AP251" s="591" t="s">
        <v>872</v>
      </c>
      <c r="AQ251" s="591" t="s">
        <v>873</v>
      </c>
      <c r="AR251" s="591" t="s">
        <v>873</v>
      </c>
      <c r="AS251" s="591" t="s">
        <v>874</v>
      </c>
      <c r="AT251" s="591" t="s">
        <v>874</v>
      </c>
      <c r="AU251" s="591" t="s">
        <v>875</v>
      </c>
      <c r="AV251" s="591" t="s">
        <v>875</v>
      </c>
      <c r="AW251" s="591" t="s">
        <v>876</v>
      </c>
      <c r="AX251" s="591" t="s">
        <v>876</v>
      </c>
      <c r="AY251" s="591" t="s">
        <v>877</v>
      </c>
      <c r="AZ251" s="591" t="s">
        <v>877</v>
      </c>
      <c r="BA251" s="591" t="s">
        <v>878</v>
      </c>
      <c r="BB251" s="591" t="s">
        <v>878</v>
      </c>
      <c r="BC251" s="591" t="s">
        <v>879</v>
      </c>
      <c r="BD251" s="591" t="s">
        <v>879</v>
      </c>
      <c r="BE251" s="591" t="s">
        <v>879</v>
      </c>
      <c r="BF251" s="591" t="s">
        <v>879</v>
      </c>
      <c r="BG251" s="591"/>
      <c r="BH251" s="591"/>
      <c r="BI251" s="476"/>
      <c r="BJ251" s="22"/>
      <c r="BK251" s="20"/>
      <c r="BL251" s="16"/>
      <c r="BM251" s="16"/>
      <c r="BN251" s="16"/>
      <c r="BO251" s="5"/>
      <c r="BP251" s="5"/>
      <c r="BQ251" s="5"/>
      <c r="BR251" s="5"/>
      <c r="BS251" s="5"/>
      <c r="BT251" s="5"/>
      <c r="BU251" s="5"/>
      <c r="BV251" s="5"/>
      <c r="BW251" s="5"/>
      <c r="BX251" s="5"/>
      <c r="BY251" s="5"/>
      <c r="BZ251" s="5"/>
      <c r="CA251" s="5"/>
      <c r="CB251" s="5"/>
      <c r="CC251" s="5"/>
      <c r="CE251" s="209"/>
    </row>
    <row r="252" spans="1:83" hidden="1" x14ac:dyDescent="0.2">
      <c r="B252" s="1036" t="s">
        <v>797</v>
      </c>
      <c r="C252" s="727"/>
      <c r="D252" s="1012"/>
      <c r="E252" s="357" t="s">
        <v>880</v>
      </c>
      <c r="F252" s="326"/>
      <c r="G252" s="357" t="s">
        <v>70</v>
      </c>
      <c r="H252" s="476"/>
      <c r="I252" s="963">
        <v>0.55000000000000004</v>
      </c>
      <c r="J252" s="963">
        <v>0.12</v>
      </c>
      <c r="K252" s="963">
        <v>0.68</v>
      </c>
      <c r="L252" s="963">
        <v>0.4</v>
      </c>
      <c r="M252" s="963">
        <v>0.13</v>
      </c>
      <c r="N252" s="963">
        <v>0.84</v>
      </c>
      <c r="O252" s="963">
        <v>0.09</v>
      </c>
      <c r="P252" s="963">
        <v>0.19</v>
      </c>
      <c r="Q252" s="963">
        <v>0.32</v>
      </c>
      <c r="R252" s="964">
        <v>0.51</v>
      </c>
      <c r="S252" s="964">
        <v>0.08</v>
      </c>
      <c r="T252" s="964">
        <v>0.45</v>
      </c>
      <c r="U252" s="964">
        <v>0.39</v>
      </c>
      <c r="V252" s="964">
        <v>0.69</v>
      </c>
      <c r="W252" s="964">
        <v>0.11</v>
      </c>
      <c r="X252" s="964">
        <v>0.15</v>
      </c>
      <c r="Y252" s="963">
        <v>0.21</v>
      </c>
      <c r="Z252" s="963">
        <v>0.16</v>
      </c>
      <c r="AA252" s="963">
        <v>0.68</v>
      </c>
      <c r="AB252" s="963">
        <v>0.06</v>
      </c>
      <c r="AC252" s="963">
        <v>0.5</v>
      </c>
      <c r="AD252" s="963">
        <v>0.28000000000000003</v>
      </c>
      <c r="AE252" s="963">
        <v>0.15</v>
      </c>
      <c r="AF252" s="963">
        <v>0.66</v>
      </c>
      <c r="AG252" s="963">
        <v>0.28000000000000003</v>
      </c>
      <c r="AH252" s="963">
        <v>0.31</v>
      </c>
      <c r="AI252" s="963">
        <v>0.15</v>
      </c>
      <c r="AJ252" s="963">
        <v>0.32</v>
      </c>
      <c r="AK252" s="963">
        <v>0.35</v>
      </c>
      <c r="AL252" s="963">
        <v>0.45</v>
      </c>
      <c r="AM252" s="963">
        <v>0.59</v>
      </c>
      <c r="AN252" s="964">
        <v>0.15</v>
      </c>
      <c r="AO252" s="964">
        <v>0.15</v>
      </c>
      <c r="AP252" s="964">
        <v>1.4999999999999999E-2</v>
      </c>
      <c r="AQ252" s="964">
        <v>0.34</v>
      </c>
      <c r="AR252" s="964">
        <v>0.38</v>
      </c>
      <c r="AS252" s="964">
        <v>0.26</v>
      </c>
      <c r="AT252" s="964">
        <v>0.34</v>
      </c>
      <c r="AU252" s="964">
        <v>0.16</v>
      </c>
      <c r="AV252" s="964">
        <v>0.21</v>
      </c>
      <c r="AW252" s="964">
        <v>0.33</v>
      </c>
      <c r="AX252" s="964">
        <v>0.41</v>
      </c>
      <c r="AY252" s="964">
        <v>0.45</v>
      </c>
      <c r="AZ252" s="964">
        <v>0.59</v>
      </c>
      <c r="BA252" s="964">
        <v>0.39</v>
      </c>
      <c r="BB252" s="964">
        <v>0.51</v>
      </c>
      <c r="BC252" s="964">
        <v>0.44</v>
      </c>
      <c r="BD252" s="964">
        <v>0.56999999999999995</v>
      </c>
      <c r="BE252" s="964">
        <v>0.49</v>
      </c>
      <c r="BF252" s="964">
        <v>0.61</v>
      </c>
      <c r="BG252" s="964"/>
      <c r="BH252" s="964"/>
      <c r="BI252" s="476"/>
      <c r="BJ252" s="22"/>
      <c r="BK252" s="20"/>
      <c r="BL252" s="16"/>
      <c r="BM252" s="16"/>
      <c r="BN252" s="16"/>
      <c r="BO252" s="5"/>
      <c r="BP252" s="5"/>
      <c r="BQ252" s="5"/>
      <c r="BR252" s="5"/>
      <c r="BS252" s="5"/>
      <c r="BT252" s="5"/>
      <c r="BU252" s="5"/>
      <c r="BV252" s="5"/>
      <c r="BW252" s="5"/>
      <c r="BX252" s="5"/>
      <c r="BY252" s="5"/>
      <c r="BZ252" s="5"/>
      <c r="CA252" s="5"/>
      <c r="CB252" s="5"/>
      <c r="CC252" s="5"/>
      <c r="CE252" s="209"/>
    </row>
    <row r="253" spans="1:83" hidden="1" x14ac:dyDescent="0.2">
      <c r="B253" s="1036" t="s">
        <v>797</v>
      </c>
      <c r="C253" s="727"/>
      <c r="D253" s="1012"/>
      <c r="E253" s="357" t="s">
        <v>881</v>
      </c>
      <c r="F253" s="326"/>
      <c r="G253" s="357" t="s">
        <v>70</v>
      </c>
      <c r="H253" s="476"/>
      <c r="I253" s="963">
        <v>0.63</v>
      </c>
      <c r="J253" s="963">
        <v>0.92</v>
      </c>
      <c r="K253" s="963">
        <v>0.61</v>
      </c>
      <c r="L253" s="963">
        <v>0.66</v>
      </c>
      <c r="M253" s="963">
        <v>0.88</v>
      </c>
      <c r="N253" s="963">
        <v>0.54</v>
      </c>
      <c r="O253" s="963">
        <v>1</v>
      </c>
      <c r="P253" s="963">
        <v>0.85</v>
      </c>
      <c r="Q253" s="963">
        <v>0.78</v>
      </c>
      <c r="R253" s="964">
        <v>0.46</v>
      </c>
      <c r="S253" s="964">
        <v>0.93</v>
      </c>
      <c r="T253" s="964">
        <v>0.73</v>
      </c>
      <c r="U253" s="964">
        <v>0.7</v>
      </c>
      <c r="V253" s="964">
        <v>0.56999999999999995</v>
      </c>
      <c r="W253" s="964">
        <v>1</v>
      </c>
      <c r="X253" s="964">
        <v>0.89</v>
      </c>
      <c r="Y253" s="963">
        <v>0.46</v>
      </c>
      <c r="Z253" s="963">
        <v>0.57999999999999996</v>
      </c>
      <c r="AA253" s="963">
        <v>0.56999999999999995</v>
      </c>
      <c r="AB253" s="963">
        <v>1</v>
      </c>
      <c r="AC253" s="963">
        <v>0.65</v>
      </c>
      <c r="AD253" s="963">
        <v>0.78</v>
      </c>
      <c r="AE253" s="963">
        <v>0.85</v>
      </c>
      <c r="AF253" s="963">
        <v>0.49</v>
      </c>
      <c r="AG253" s="963">
        <v>0.55000000000000004</v>
      </c>
      <c r="AH253" s="963">
        <v>0.55000000000000004</v>
      </c>
      <c r="AI253" s="963">
        <v>0.73</v>
      </c>
      <c r="AJ253" s="963">
        <v>0.73</v>
      </c>
      <c r="AK253" s="963">
        <v>0.6</v>
      </c>
      <c r="AL253" s="963">
        <v>0.6</v>
      </c>
      <c r="AM253" s="963">
        <v>0</v>
      </c>
      <c r="AN253" s="964">
        <v>0.89</v>
      </c>
      <c r="AO253" s="964">
        <v>0.87</v>
      </c>
      <c r="AP253" s="964">
        <v>4.0000000000000001E-3</v>
      </c>
      <c r="AQ253" s="964">
        <v>0.72</v>
      </c>
      <c r="AR253" s="964">
        <v>0.72</v>
      </c>
      <c r="AS253" s="964">
        <v>0.67</v>
      </c>
      <c r="AT253" s="964">
        <v>0.67</v>
      </c>
      <c r="AU253" s="964">
        <v>0.81</v>
      </c>
      <c r="AV253" s="964">
        <v>0.81</v>
      </c>
      <c r="AW253" s="964">
        <v>0.65</v>
      </c>
      <c r="AX253" s="964">
        <v>0.65</v>
      </c>
      <c r="AY253" s="964">
        <v>0.15</v>
      </c>
      <c r="AZ253" s="964">
        <v>0.15</v>
      </c>
      <c r="BA253" s="964">
        <v>0.67</v>
      </c>
      <c r="BB253" s="964">
        <v>0.67</v>
      </c>
      <c r="BC253" s="964">
        <v>0.42</v>
      </c>
      <c r="BD253" s="964">
        <v>0.42</v>
      </c>
      <c r="BE253" s="964">
        <v>0.32</v>
      </c>
      <c r="BF253" s="964">
        <v>0.32</v>
      </c>
      <c r="BG253" s="964"/>
      <c r="BH253" s="964"/>
      <c r="BI253" s="476"/>
      <c r="BJ253" s="22"/>
      <c r="BK253" s="20"/>
      <c r="BL253" s="16"/>
      <c r="BM253" s="16"/>
      <c r="BN253" s="16"/>
      <c r="BO253" s="5"/>
      <c r="BP253" s="5"/>
      <c r="BQ253" s="5"/>
      <c r="BR253" s="5"/>
      <c r="BS253" s="5"/>
      <c r="BT253" s="5"/>
      <c r="BU253" s="5"/>
      <c r="BV253" s="5"/>
      <c r="BW253" s="5"/>
      <c r="BX253" s="5"/>
      <c r="BY253" s="5"/>
      <c r="BZ253" s="5"/>
      <c r="CA253" s="5"/>
      <c r="CB253" s="5"/>
      <c r="CC253" s="5"/>
      <c r="CE253" s="209"/>
    </row>
    <row r="254" spans="1:83" hidden="1" x14ac:dyDescent="0.2">
      <c r="B254" s="1036" t="s">
        <v>797</v>
      </c>
      <c r="C254" s="727"/>
      <c r="D254" s="1012"/>
      <c r="E254" s="357" t="s">
        <v>225</v>
      </c>
      <c r="F254" s="326"/>
      <c r="G254" s="357" t="s">
        <v>882</v>
      </c>
      <c r="H254" s="476"/>
      <c r="I254" s="963">
        <v>0.13</v>
      </c>
      <c r="J254" s="963">
        <v>0.03</v>
      </c>
      <c r="K254" s="963">
        <v>0.16</v>
      </c>
      <c r="L254" s="963">
        <v>0.13</v>
      </c>
      <c r="M254" s="963">
        <v>0.2</v>
      </c>
      <c r="N254" s="963">
        <v>0.19</v>
      </c>
      <c r="O254" s="963">
        <v>0.21</v>
      </c>
      <c r="P254" s="963">
        <v>3.5000000000000003E-2</v>
      </c>
      <c r="Q254" s="963">
        <v>5.5E-2</v>
      </c>
      <c r="R254" s="964">
        <v>0.14000000000000001</v>
      </c>
      <c r="S254" s="964">
        <v>0.01</v>
      </c>
      <c r="T254" s="964">
        <v>0.17</v>
      </c>
      <c r="U254" s="964">
        <v>0.09</v>
      </c>
      <c r="V254" s="964">
        <v>0.17</v>
      </c>
      <c r="W254" s="964">
        <v>0.03</v>
      </c>
      <c r="X254" s="964">
        <v>2.5999999999999999E-2</v>
      </c>
      <c r="Y254" s="963">
        <v>0.17</v>
      </c>
      <c r="Z254" s="963">
        <v>0.17</v>
      </c>
      <c r="AA254" s="963">
        <v>0.16</v>
      </c>
      <c r="AB254" s="963">
        <v>0.02</v>
      </c>
      <c r="AC254" s="963">
        <v>0.1</v>
      </c>
      <c r="AD254" s="963">
        <v>7.0000000000000007E-2</v>
      </c>
      <c r="AE254" s="963">
        <v>2.5000000000000001E-2</v>
      </c>
      <c r="AF254" s="963">
        <v>0.107</v>
      </c>
      <c r="AG254" s="963">
        <v>6.2E-2</v>
      </c>
      <c r="AH254" s="963">
        <v>6.8000000000000005E-2</v>
      </c>
      <c r="AI254" s="963">
        <v>3.3000000000000002E-2</v>
      </c>
      <c r="AJ254" s="963">
        <v>6.0999999999999999E-2</v>
      </c>
      <c r="AK254" s="963">
        <v>6.8000000000000005E-2</v>
      </c>
      <c r="AL254" s="963">
        <v>0.09</v>
      </c>
      <c r="AM254" s="963">
        <v>0.17</v>
      </c>
      <c r="AN254" s="964">
        <v>3.2000000000000001E-2</v>
      </c>
      <c r="AO254" s="964">
        <v>6.6000000000000003E-2</v>
      </c>
      <c r="AP254" s="964">
        <v>1</v>
      </c>
      <c r="AQ254" s="964">
        <v>0.17</v>
      </c>
      <c r="AR254" s="964">
        <v>0.17</v>
      </c>
      <c r="AS254" s="964">
        <v>0.17</v>
      </c>
      <c r="AT254" s="964">
        <v>0.17</v>
      </c>
      <c r="AU254" s="964">
        <v>0.17</v>
      </c>
      <c r="AV254" s="964">
        <v>0.17</v>
      </c>
      <c r="AW254" s="964">
        <v>0.17</v>
      </c>
      <c r="AX254" s="964">
        <v>0.17</v>
      </c>
      <c r="AY254" s="964">
        <v>0.17</v>
      </c>
      <c r="AZ254" s="964">
        <v>0.17</v>
      </c>
      <c r="BA254" s="964">
        <v>7.0999999999999994E-2</v>
      </c>
      <c r="BB254" s="964">
        <v>9.5000000000000001E-2</v>
      </c>
      <c r="BC254" s="964">
        <v>0.17</v>
      </c>
      <c r="BD254" s="964">
        <v>0.17</v>
      </c>
      <c r="BE254" s="964">
        <v>0.17</v>
      </c>
      <c r="BF254" s="964">
        <v>0.17</v>
      </c>
      <c r="BG254" s="964"/>
      <c r="BH254" s="964"/>
      <c r="BI254" s="476"/>
      <c r="BJ254" s="22"/>
      <c r="BK254" s="20"/>
      <c r="BL254" s="16"/>
      <c r="BM254" s="16"/>
      <c r="BN254" s="16"/>
      <c r="BO254" s="5"/>
      <c r="BP254" s="5"/>
      <c r="BQ254" s="5"/>
      <c r="BR254" s="5"/>
      <c r="BS254" s="5"/>
      <c r="BT254" s="5"/>
      <c r="BU254" s="5"/>
      <c r="BV254" s="5"/>
      <c r="BW254" s="5"/>
      <c r="BX254" s="5"/>
      <c r="BY254" s="5"/>
      <c r="BZ254" s="5"/>
      <c r="CA254" s="5"/>
      <c r="CB254" s="5"/>
      <c r="CC254" s="5"/>
      <c r="CE254" s="209"/>
    </row>
    <row r="255" spans="1:83" s="2" customFormat="1" hidden="1" x14ac:dyDescent="0.2">
      <c r="A255" s="309"/>
      <c r="B255" s="1036" t="s">
        <v>797</v>
      </c>
      <c r="C255" s="727"/>
      <c r="D255" s="1015"/>
      <c r="E255" s="460" t="s">
        <v>883</v>
      </c>
      <c r="F255" s="471"/>
      <c r="G255" s="460"/>
      <c r="H255" s="459"/>
      <c r="I255" s="457"/>
      <c r="J255" s="457"/>
      <c r="K255" s="457"/>
      <c r="L255" s="457"/>
      <c r="M255" s="457"/>
      <c r="N255" s="457"/>
      <c r="O255" s="457"/>
      <c r="P255" s="457"/>
      <c r="Q255" s="457"/>
      <c r="R255" s="457"/>
      <c r="S255" s="457"/>
      <c r="T255" s="457"/>
      <c r="U255" s="457"/>
      <c r="V255" s="457"/>
      <c r="W255" s="457"/>
      <c r="X255" s="457"/>
      <c r="Y255" s="457"/>
      <c r="Z255" s="457"/>
      <c r="AA255" s="457"/>
      <c r="AB255" s="457"/>
      <c r="AC255" s="457"/>
      <c r="AD255" s="457"/>
      <c r="AE255" s="457"/>
      <c r="AF255" s="457"/>
      <c r="AG255" s="457"/>
      <c r="AH255" s="457"/>
      <c r="AI255" s="457"/>
      <c r="AJ255" s="457"/>
      <c r="AK255" s="457"/>
      <c r="AL255" s="457"/>
      <c r="AM255" s="457"/>
      <c r="AN255" s="457"/>
      <c r="AO255" s="457"/>
      <c r="AP255" s="457"/>
      <c r="AQ255" s="457"/>
      <c r="AR255" s="457"/>
      <c r="AS255" s="457"/>
      <c r="AT255" s="457"/>
      <c r="AU255" s="457"/>
      <c r="AV255" s="457"/>
      <c r="AW255" s="457"/>
      <c r="AX255" s="457"/>
      <c r="AY255" s="457"/>
      <c r="AZ255" s="457"/>
      <c r="BA255" s="457"/>
      <c r="BB255" s="457"/>
      <c r="BC255" s="457"/>
      <c r="BD255" s="457"/>
      <c r="BE255" s="457"/>
      <c r="BF255" s="457"/>
      <c r="BG255" s="457"/>
      <c r="BH255" s="457"/>
      <c r="BI255" s="457"/>
    </row>
    <row r="256" spans="1:83" hidden="1" x14ac:dyDescent="0.2">
      <c r="B256" s="1036" t="s">
        <v>797</v>
      </c>
      <c r="C256" s="727"/>
      <c r="D256" s="1012"/>
      <c r="E256" s="5"/>
      <c r="F256" s="5"/>
      <c r="G256" s="5"/>
      <c r="H256" s="5"/>
      <c r="I256" s="5"/>
      <c r="J256" s="5"/>
      <c r="K256" s="5"/>
      <c r="L256" s="5"/>
      <c r="M256" s="5"/>
      <c r="N256" s="5"/>
      <c r="O256" s="5"/>
      <c r="P256" s="5"/>
      <c r="Q256" s="5"/>
      <c r="R256" s="5"/>
      <c r="S256" s="5"/>
      <c r="T256" s="5"/>
      <c r="U256" s="16"/>
      <c r="V256" s="16"/>
      <c r="W256" s="16"/>
      <c r="X256" s="16"/>
      <c r="Y256" s="20"/>
      <c r="Z256" s="5"/>
      <c r="AA256" s="5"/>
      <c r="AB256" s="5"/>
      <c r="AC256" s="5"/>
      <c r="AD256" s="5"/>
      <c r="AE256" s="5"/>
      <c r="AF256" s="5"/>
      <c r="AG256" s="5"/>
      <c r="AH256" s="5"/>
      <c r="AI256" s="5"/>
      <c r="AJ256" s="5"/>
      <c r="AK256" s="5"/>
      <c r="AL256" s="5"/>
      <c r="AM256" s="5"/>
      <c r="AN256" s="5"/>
      <c r="AO256" s="5"/>
      <c r="AP256" s="5"/>
      <c r="AQ256" s="5"/>
      <c r="AR256" s="5"/>
      <c r="AS256" s="22"/>
    </row>
    <row r="257" spans="1:50" hidden="1" x14ac:dyDescent="0.2">
      <c r="B257" s="1036" t="s">
        <v>884</v>
      </c>
      <c r="C257" s="727"/>
      <c r="D257" s="1012"/>
      <c r="E257" s="5"/>
      <c r="F257" s="5"/>
      <c r="G257" s="5"/>
      <c r="H257" s="5"/>
      <c r="I257" s="5"/>
      <c r="J257" s="5"/>
      <c r="K257" s="5"/>
      <c r="L257" s="5"/>
      <c r="M257" s="5"/>
      <c r="N257" s="5"/>
      <c r="O257" s="5"/>
      <c r="P257" s="5"/>
      <c r="Q257" s="5"/>
      <c r="R257" s="5"/>
      <c r="S257" s="5"/>
      <c r="T257" s="5"/>
      <c r="U257" s="16"/>
      <c r="V257" s="16"/>
      <c r="W257" s="16"/>
      <c r="X257" s="16"/>
      <c r="Y257" s="20"/>
      <c r="Z257" s="5"/>
      <c r="AA257" s="5"/>
      <c r="AB257" s="5"/>
      <c r="AC257" s="5"/>
      <c r="AD257" s="5"/>
      <c r="AE257" s="5"/>
      <c r="AF257" s="5"/>
      <c r="AG257" s="5"/>
      <c r="AH257" s="5"/>
      <c r="AI257" s="5"/>
      <c r="AJ257" s="5"/>
      <c r="AK257" s="5"/>
      <c r="AL257" s="5"/>
      <c r="AM257" s="5"/>
      <c r="AN257" s="5"/>
      <c r="AO257" s="5"/>
      <c r="AP257" s="5"/>
      <c r="AQ257" s="5"/>
      <c r="AR257" s="5"/>
      <c r="AS257" s="22"/>
    </row>
    <row r="258" spans="1:50" ht="21" hidden="1" x14ac:dyDescent="0.2">
      <c r="B258" s="1036" t="s">
        <v>884</v>
      </c>
      <c r="C258" s="727"/>
      <c r="D258" s="1012"/>
      <c r="E258" s="215" t="s">
        <v>885</v>
      </c>
      <c r="F258" s="215"/>
      <c r="G258" s="215"/>
      <c r="H258" s="215"/>
      <c r="I258" s="215"/>
      <c r="J258" s="215"/>
      <c r="K258" s="215"/>
      <c r="L258" s="215"/>
      <c r="M258" s="215"/>
      <c r="N258" s="215"/>
      <c r="O258" s="215"/>
      <c r="P258" s="215"/>
      <c r="Q258" s="215"/>
      <c r="R258" s="215"/>
      <c r="S258" s="215"/>
      <c r="T258" s="61"/>
      <c r="U258" s="61"/>
      <c r="V258" s="61"/>
      <c r="W258" s="61"/>
      <c r="X258" s="61"/>
      <c r="Y258" s="61"/>
      <c r="Z258" s="5"/>
      <c r="AA258" s="20"/>
      <c r="AB258" s="5"/>
      <c r="AC258" s="5"/>
      <c r="AD258" s="5"/>
      <c r="AE258" s="5"/>
      <c r="AF258" s="5"/>
      <c r="AG258" s="5"/>
      <c r="AH258" s="5"/>
      <c r="AI258" s="5"/>
      <c r="AJ258" s="5"/>
      <c r="AK258" s="5"/>
      <c r="AL258" s="5"/>
      <c r="AM258" s="5"/>
      <c r="AN258" s="5"/>
      <c r="AO258" s="5"/>
      <c r="AP258" s="5"/>
      <c r="AQ258" s="5"/>
      <c r="AR258" s="5"/>
      <c r="AS258" s="437"/>
      <c r="AT258" s="5"/>
      <c r="AU258" s="209"/>
      <c r="AX258" s="274"/>
    </row>
    <row r="259" spans="1:50" hidden="1" x14ac:dyDescent="0.2">
      <c r="B259" s="1036" t="s">
        <v>884</v>
      </c>
      <c r="C259" s="727"/>
      <c r="D259" s="1013"/>
      <c r="E259" s="299" t="s">
        <v>491</v>
      </c>
      <c r="F259" s="299"/>
      <c r="G259" s="299" t="s">
        <v>423</v>
      </c>
      <c r="H259" s="300"/>
      <c r="I259" s="300">
        <f t="shared" ref="I259:R259" ca="1" si="61">OFFSET(I259,0,-1)+1</f>
        <v>1</v>
      </c>
      <c r="J259" s="300">
        <f t="shared" ca="1" si="61"/>
        <v>2</v>
      </c>
      <c r="K259" s="300">
        <f t="shared" ca="1" si="61"/>
        <v>3</v>
      </c>
      <c r="L259" s="300">
        <f t="shared" ca="1" si="61"/>
        <v>4</v>
      </c>
      <c r="M259" s="300">
        <f t="shared" ca="1" si="61"/>
        <v>5</v>
      </c>
      <c r="N259" s="300">
        <f t="shared" ca="1" si="61"/>
        <v>6</v>
      </c>
      <c r="O259" s="300">
        <f t="shared" ca="1" si="61"/>
        <v>7</v>
      </c>
      <c r="P259" s="300">
        <f t="shared" ca="1" si="61"/>
        <v>8</v>
      </c>
      <c r="Q259" s="300">
        <f t="shared" ca="1" si="61"/>
        <v>9</v>
      </c>
      <c r="R259" s="300">
        <f t="shared" ca="1" si="61"/>
        <v>10</v>
      </c>
      <c r="S259" s="300"/>
      <c r="T259" s="61"/>
      <c r="U259" s="61"/>
      <c r="V259" s="61"/>
      <c r="W259" s="61"/>
      <c r="X259" s="61"/>
      <c r="Y259" s="61"/>
      <c r="Z259" s="61"/>
      <c r="AA259" s="60"/>
      <c r="AB259" s="5"/>
      <c r="AC259" s="5"/>
      <c r="AD259" s="5"/>
      <c r="AE259" s="5"/>
      <c r="AF259" s="5"/>
      <c r="AG259" s="5"/>
      <c r="AH259" s="5"/>
      <c r="AI259" s="5"/>
      <c r="AJ259" s="5"/>
      <c r="AK259" s="5"/>
      <c r="AL259" s="5"/>
      <c r="AM259" s="5"/>
      <c r="AN259" s="5"/>
      <c r="AO259" s="5"/>
      <c r="AP259" s="5"/>
      <c r="AQ259" s="5"/>
      <c r="AR259" s="5"/>
      <c r="AS259" s="5"/>
      <c r="AT259" s="5"/>
      <c r="AU259" s="209"/>
      <c r="AX259" s="274"/>
    </row>
    <row r="260" spans="1:50" s="2" customFormat="1" ht="18.75" hidden="1" x14ac:dyDescent="0.2">
      <c r="A260" s="309"/>
      <c r="B260" s="1036" t="s">
        <v>884</v>
      </c>
      <c r="C260" s="727"/>
      <c r="D260" s="1017"/>
      <c r="E260" s="382" t="s">
        <v>886</v>
      </c>
      <c r="F260" s="383"/>
      <c r="G260" s="382"/>
      <c r="H260" s="384"/>
      <c r="I260" s="385"/>
      <c r="J260" s="384"/>
      <c r="K260" s="9"/>
      <c r="L260" s="688"/>
      <c r="M260" s="688" t="s">
        <v>782</v>
      </c>
      <c r="N260" s="688" t="s">
        <v>782</v>
      </c>
      <c r="O260" s="688" t="s">
        <v>782</v>
      </c>
      <c r="P260" s="688" t="s">
        <v>782</v>
      </c>
      <c r="Q260" s="688" t="s">
        <v>782</v>
      </c>
      <c r="R260" s="688" t="s">
        <v>782</v>
      </c>
      <c r="S260" s="4"/>
      <c r="T260" s="4"/>
      <c r="AC260" s="4"/>
      <c r="AD260" s="8"/>
      <c r="AE260" s="4"/>
      <c r="AF260" s="4"/>
      <c r="AG260" s="4"/>
      <c r="AH260" s="4"/>
      <c r="AI260" s="4"/>
      <c r="AJ260" s="4"/>
      <c r="AK260" s="4"/>
      <c r="AL260" s="4"/>
      <c r="AM260" s="4"/>
      <c r="AN260" s="4"/>
      <c r="AO260" s="4"/>
      <c r="AP260" s="4"/>
      <c r="AQ260" s="4"/>
      <c r="AR260" s="4"/>
      <c r="AS260" s="4"/>
      <c r="AT260" s="4"/>
      <c r="AU260" s="4"/>
      <c r="AV260" s="4"/>
      <c r="AW260" s="4"/>
      <c r="AX260" s="22"/>
    </row>
    <row r="261" spans="1:50" hidden="1" x14ac:dyDescent="0.2">
      <c r="B261" s="1036" t="s">
        <v>884</v>
      </c>
      <c r="C261" s="727"/>
      <c r="D261" s="1013"/>
      <c r="E261" s="220" t="s">
        <v>887</v>
      </c>
      <c r="F261" s="328"/>
      <c r="G261" s="220" t="s">
        <v>70</v>
      </c>
      <c r="H261" s="398"/>
      <c r="I261" s="399" t="s">
        <v>888</v>
      </c>
      <c r="J261" s="399" t="s">
        <v>99</v>
      </c>
      <c r="K261" s="333" t="s">
        <v>889</v>
      </c>
      <c r="L261" s="333" t="s">
        <v>890</v>
      </c>
      <c r="M261" s="333" t="s">
        <v>1133</v>
      </c>
      <c r="N261" s="593"/>
      <c r="O261" s="593"/>
      <c r="P261" s="593"/>
      <c r="Q261" s="593"/>
      <c r="R261" s="593"/>
      <c r="S261" s="398"/>
      <c r="T261" s="20"/>
      <c r="U261" s="24"/>
      <c r="V261" s="24"/>
      <c r="W261" s="24"/>
      <c r="X261" s="16"/>
      <c r="Y261" s="16"/>
      <c r="Z261" s="16"/>
      <c r="AA261" s="20"/>
      <c r="AB261" s="16"/>
      <c r="AC261" s="16"/>
      <c r="AD261" s="16"/>
      <c r="AE261" s="16"/>
      <c r="AF261" s="16"/>
      <c r="AG261" s="5"/>
      <c r="AH261" s="5"/>
      <c r="AI261" s="5"/>
      <c r="AJ261" s="5"/>
      <c r="AK261" s="5"/>
      <c r="AL261" s="5"/>
      <c r="AM261" s="5"/>
      <c r="AN261" s="5"/>
      <c r="AO261" s="5"/>
      <c r="AP261" s="5"/>
      <c r="AQ261" s="5"/>
      <c r="AR261" s="5"/>
      <c r="AS261" s="5"/>
      <c r="AT261" s="5"/>
      <c r="AU261" s="209"/>
      <c r="AX261" s="274"/>
    </row>
    <row r="262" spans="1:50" hidden="1" x14ac:dyDescent="0.2">
      <c r="B262" s="1036" t="s">
        <v>884</v>
      </c>
      <c r="C262" s="727"/>
      <c r="D262" s="1013"/>
      <c r="E262" s="220" t="s">
        <v>891</v>
      </c>
      <c r="F262" s="328"/>
      <c r="G262" s="220" t="s">
        <v>70</v>
      </c>
      <c r="H262" s="398"/>
      <c r="I262" s="538">
        <v>2.56</v>
      </c>
      <c r="J262" s="538">
        <v>1.45</v>
      </c>
      <c r="K262" s="538">
        <f>1/1.12</f>
        <v>0.89285714285714279</v>
      </c>
      <c r="L262" s="538">
        <f>1/2.35</f>
        <v>0.42553191489361702</v>
      </c>
      <c r="M262" s="538">
        <f>1/2.906</f>
        <v>0.34411562284927733</v>
      </c>
      <c r="N262" s="592"/>
      <c r="O262" s="592"/>
      <c r="P262" s="592"/>
      <c r="Q262" s="592"/>
      <c r="R262" s="592"/>
      <c r="S262" s="398"/>
      <c r="T262" s="20"/>
      <c r="U262" s="16"/>
      <c r="V262" s="25"/>
      <c r="W262" s="24"/>
      <c r="X262" s="16"/>
      <c r="Y262" s="16"/>
      <c r="Z262" s="16"/>
      <c r="AA262" s="20"/>
      <c r="AB262" s="16"/>
      <c r="AC262" s="16"/>
      <c r="AD262" s="16"/>
      <c r="AE262" s="16"/>
      <c r="AF262" s="16"/>
      <c r="AG262" s="5"/>
      <c r="AH262" s="5"/>
      <c r="AI262" s="5"/>
      <c r="AJ262" s="5"/>
      <c r="AK262" s="5"/>
      <c r="AL262" s="5"/>
      <c r="AM262" s="5"/>
      <c r="AN262" s="5"/>
      <c r="AO262" s="5"/>
      <c r="AP262" s="5"/>
      <c r="AQ262" s="5"/>
      <c r="AR262" s="5"/>
      <c r="AS262" s="5"/>
      <c r="AT262" s="5"/>
      <c r="AU262" s="209"/>
      <c r="AX262" s="274"/>
    </row>
    <row r="263" spans="1:50" hidden="1" x14ac:dyDescent="0.2">
      <c r="B263" s="1036" t="s">
        <v>884</v>
      </c>
      <c r="C263" s="727"/>
      <c r="D263" s="1012"/>
      <c r="E263" s="220" t="s">
        <v>892</v>
      </c>
      <c r="F263" s="326"/>
      <c r="G263" s="357" t="s">
        <v>70</v>
      </c>
      <c r="H263" s="476"/>
      <c r="I263" s="397">
        <v>2</v>
      </c>
      <c r="J263" s="397">
        <f>J262</f>
        <v>1.45</v>
      </c>
      <c r="K263" s="538">
        <f>K262</f>
        <v>0.89285714285714279</v>
      </c>
      <c r="L263" s="538">
        <f t="shared" ref="L263:M263" si="62">L262</f>
        <v>0.42553191489361702</v>
      </c>
      <c r="M263" s="538">
        <f t="shared" si="62"/>
        <v>0.34411562284927733</v>
      </c>
      <c r="N263" s="594"/>
      <c r="O263" s="594"/>
      <c r="P263" s="594"/>
      <c r="Q263" s="594"/>
      <c r="R263" s="594"/>
      <c r="S263" s="476"/>
      <c r="T263" s="28"/>
      <c r="U263" s="16"/>
      <c r="V263" s="16"/>
      <c r="W263" s="24"/>
      <c r="X263" s="24"/>
      <c r="Y263" s="24"/>
      <c r="Z263" s="16"/>
      <c r="AA263" s="20"/>
      <c r="AB263" s="16"/>
      <c r="AC263" s="16"/>
      <c r="AD263" s="16"/>
      <c r="AE263" s="16"/>
      <c r="AF263" s="16"/>
      <c r="AG263" s="16"/>
      <c r="AH263" s="16"/>
      <c r="AI263" s="5"/>
      <c r="AJ263" s="5"/>
      <c r="AK263" s="5"/>
      <c r="AL263" s="5"/>
      <c r="AM263" s="5"/>
      <c r="AN263" s="5"/>
      <c r="AO263" s="5"/>
      <c r="AP263" s="5"/>
      <c r="AQ263" s="5"/>
      <c r="AR263" s="5"/>
      <c r="AS263" s="5"/>
      <c r="AT263" s="5"/>
      <c r="AU263" s="209"/>
      <c r="AX263" s="274"/>
    </row>
    <row r="264" spans="1:50" hidden="1" x14ac:dyDescent="0.2">
      <c r="B264" s="1036" t="s">
        <v>884</v>
      </c>
      <c r="C264" s="727"/>
      <c r="D264" s="1013"/>
      <c r="E264" s="220" t="s">
        <v>893</v>
      </c>
      <c r="F264" s="328"/>
      <c r="G264" s="220" t="s">
        <v>773</v>
      </c>
      <c r="H264" s="398"/>
      <c r="I264" s="399">
        <f>0.0613*2.56*3.6</f>
        <v>0.56494080000000002</v>
      </c>
      <c r="J264" s="399">
        <v>0.34</v>
      </c>
      <c r="K264" s="399">
        <v>0.19</v>
      </c>
      <c r="L264" s="399">
        <v>0.06</v>
      </c>
      <c r="M264" s="399">
        <v>0.06</v>
      </c>
      <c r="N264" s="592"/>
      <c r="O264" s="592"/>
      <c r="P264" s="592"/>
      <c r="Q264" s="592"/>
      <c r="R264" s="592"/>
      <c r="S264" s="398"/>
      <c r="T264" s="20"/>
      <c r="U264" s="17"/>
      <c r="V264" s="25"/>
      <c r="W264" s="24"/>
      <c r="X264" s="16"/>
      <c r="Y264" s="16"/>
      <c r="Z264" s="16"/>
      <c r="AA264" s="20"/>
      <c r="AB264" s="16"/>
      <c r="AC264" s="16"/>
      <c r="AD264" s="16"/>
      <c r="AE264" s="16"/>
      <c r="AF264" s="16"/>
      <c r="AG264" s="5"/>
      <c r="AH264" s="5"/>
      <c r="AI264" s="5"/>
      <c r="AJ264" s="5"/>
      <c r="AK264" s="5"/>
      <c r="AL264" s="5"/>
      <c r="AM264" s="5"/>
      <c r="AN264" s="5"/>
      <c r="AO264" s="5"/>
      <c r="AP264" s="5"/>
      <c r="AQ264" s="5"/>
      <c r="AR264" s="5"/>
      <c r="AS264" s="5"/>
      <c r="AT264" s="5"/>
      <c r="AU264" s="209"/>
      <c r="AX264" s="274"/>
    </row>
    <row r="265" spans="1:50" ht="15" hidden="1" x14ac:dyDescent="0.2">
      <c r="B265" s="1036" t="s">
        <v>884</v>
      </c>
      <c r="C265" s="727"/>
      <c r="D265" s="1012"/>
      <c r="E265" s="220" t="s">
        <v>894</v>
      </c>
      <c r="F265" s="326"/>
      <c r="G265" s="220" t="s">
        <v>773</v>
      </c>
      <c r="H265" s="476"/>
      <c r="I265" s="400">
        <f>I264</f>
        <v>0.56494080000000002</v>
      </c>
      <c r="J265" s="400">
        <f>J264</f>
        <v>0.34</v>
      </c>
      <c r="K265" s="400">
        <f>K264</f>
        <v>0.19</v>
      </c>
      <c r="L265" s="400">
        <f>L264</f>
        <v>0.06</v>
      </c>
      <c r="M265" s="400">
        <f>M264</f>
        <v>0.06</v>
      </c>
      <c r="N265" s="594"/>
      <c r="O265" s="594"/>
      <c r="P265" s="594"/>
      <c r="Q265" s="594"/>
      <c r="R265" s="594"/>
      <c r="S265" s="476"/>
      <c r="T265" s="29"/>
      <c r="U265" s="16"/>
      <c r="V265" s="16"/>
      <c r="W265" s="301"/>
      <c r="X265" s="24"/>
      <c r="Y265" s="86"/>
      <c r="Z265" s="16"/>
      <c r="AA265" s="20"/>
      <c r="AB265" s="16"/>
      <c r="AC265" s="16"/>
      <c r="AD265" s="16"/>
      <c r="AE265" s="16"/>
      <c r="AF265" s="16"/>
      <c r="AG265" s="16"/>
      <c r="AH265" s="16"/>
      <c r="AI265" s="5"/>
      <c r="AJ265" s="5"/>
      <c r="AK265" s="5"/>
      <c r="AL265" s="5"/>
      <c r="AM265" s="5"/>
      <c r="AN265" s="5"/>
      <c r="AO265" s="5"/>
      <c r="AP265" s="5"/>
      <c r="AQ265" s="5"/>
      <c r="AR265" s="5"/>
      <c r="AS265" s="5"/>
      <c r="AT265" s="5"/>
      <c r="AU265" s="209"/>
      <c r="AX265" s="274"/>
    </row>
    <row r="266" spans="1:50" ht="63.75" hidden="1" x14ac:dyDescent="0.2">
      <c r="B266" s="1036" t="s">
        <v>884</v>
      </c>
      <c r="C266" s="727"/>
      <c r="D266" s="1012"/>
      <c r="E266" s="539" t="s">
        <v>895</v>
      </c>
      <c r="F266" s="539"/>
      <c r="G266" s="540"/>
      <c r="H266" s="541"/>
      <c r="I266" s="542" t="s">
        <v>896</v>
      </c>
      <c r="J266" s="542" t="s">
        <v>897</v>
      </c>
      <c r="K266" s="542" t="s">
        <v>1132</v>
      </c>
      <c r="L266" s="542" t="s">
        <v>1132</v>
      </c>
      <c r="M266" s="542" t="s">
        <v>1132</v>
      </c>
      <c r="N266" s="542"/>
      <c r="O266" s="542"/>
      <c r="P266" s="542"/>
      <c r="Q266" s="542"/>
      <c r="R266" s="542"/>
      <c r="S266" s="541"/>
      <c r="T266" s="29"/>
      <c r="U266" s="16"/>
      <c r="V266" s="16"/>
      <c r="W266" s="301"/>
      <c r="X266" s="16"/>
      <c r="Y266" s="24"/>
      <c r="Z266" s="24"/>
      <c r="AA266" s="25"/>
      <c r="AB266" s="24"/>
      <c r="AC266" s="16"/>
      <c r="AD266" s="16"/>
      <c r="AE266" s="16"/>
      <c r="AF266" s="16"/>
      <c r="AG266" s="16"/>
      <c r="AH266" s="16"/>
      <c r="AI266" s="5"/>
      <c r="AJ266" s="5"/>
      <c r="AK266" s="5"/>
      <c r="AL266" s="5"/>
      <c r="AM266" s="5"/>
      <c r="AN266" s="5"/>
      <c r="AO266" s="5"/>
      <c r="AP266" s="5"/>
      <c r="AQ266" s="5"/>
      <c r="AR266" s="5"/>
      <c r="AS266" s="5"/>
      <c r="AT266" s="5"/>
      <c r="AU266" s="209"/>
      <c r="AX266" s="274"/>
    </row>
    <row r="267" spans="1:50" ht="15" hidden="1" x14ac:dyDescent="0.2">
      <c r="B267" s="1036" t="s">
        <v>884</v>
      </c>
      <c r="C267" s="727"/>
      <c r="D267" s="1012"/>
      <c r="E267" s="5"/>
      <c r="F267" s="5"/>
      <c r="G267" s="5"/>
      <c r="H267" s="16"/>
      <c r="I267" s="16"/>
      <c r="J267" s="16"/>
      <c r="K267" s="16"/>
      <c r="L267" s="16"/>
      <c r="M267" s="16"/>
      <c r="N267" s="16"/>
      <c r="O267" s="16"/>
      <c r="P267" s="16"/>
      <c r="Q267" s="16"/>
      <c r="R267" s="16"/>
      <c r="S267" s="16"/>
      <c r="T267" s="16"/>
      <c r="U267" s="301"/>
      <c r="V267" s="16"/>
      <c r="W267" s="16"/>
      <c r="X267" s="16"/>
      <c r="Y267" s="20"/>
      <c r="Z267" s="16"/>
      <c r="AA267" s="16"/>
      <c r="AB267" s="16"/>
      <c r="AC267" s="16"/>
      <c r="AD267" s="5"/>
      <c r="AE267" s="5"/>
      <c r="AF267" s="5"/>
      <c r="AG267" s="5"/>
      <c r="AH267" s="5"/>
      <c r="AI267" s="5"/>
      <c r="AJ267" s="5"/>
      <c r="AK267" s="5"/>
      <c r="AL267" s="5"/>
      <c r="AM267" s="5"/>
      <c r="AN267" s="5"/>
      <c r="AO267" s="5"/>
      <c r="AP267" s="5"/>
      <c r="AQ267" s="5"/>
      <c r="AR267" s="5"/>
      <c r="AS267" s="22"/>
    </row>
    <row r="268" spans="1:50" ht="15" hidden="1" x14ac:dyDescent="0.2">
      <c r="B268" s="1036" t="s">
        <v>898</v>
      </c>
      <c r="C268" s="727"/>
      <c r="D268" s="1012"/>
      <c r="E268" s="5"/>
      <c r="F268" s="5"/>
      <c r="G268" s="5"/>
      <c r="H268" s="16"/>
      <c r="I268" s="16"/>
      <c r="J268" s="16"/>
      <c r="K268" s="16"/>
      <c r="L268" s="16"/>
      <c r="M268" s="16"/>
      <c r="N268" s="16"/>
      <c r="O268" s="16"/>
      <c r="P268" s="16"/>
      <c r="Q268" s="16"/>
      <c r="R268" s="16"/>
      <c r="S268" s="16"/>
      <c r="T268" s="16"/>
      <c r="U268" s="301"/>
      <c r="V268" s="16"/>
      <c r="W268" s="16"/>
      <c r="X268" s="16"/>
      <c r="Y268" s="20"/>
      <c r="Z268" s="5"/>
      <c r="AA268" s="5"/>
      <c r="AB268" s="5"/>
      <c r="AC268" s="5"/>
      <c r="AD268" s="5"/>
      <c r="AE268" s="5"/>
      <c r="AF268" s="5"/>
      <c r="AG268" s="5"/>
      <c r="AH268" s="5"/>
      <c r="AI268" s="5"/>
      <c r="AJ268" s="5"/>
      <c r="AK268" s="5"/>
      <c r="AL268" s="5"/>
      <c r="AM268" s="5"/>
      <c r="AN268" s="5"/>
      <c r="AO268" s="5"/>
      <c r="AP268" s="5"/>
      <c r="AQ268" s="5"/>
      <c r="AR268" s="5"/>
      <c r="AS268" s="22"/>
    </row>
    <row r="269" spans="1:50" ht="21" hidden="1" x14ac:dyDescent="0.2">
      <c r="B269" s="1036" t="s">
        <v>898</v>
      </c>
      <c r="C269" s="727"/>
      <c r="D269" s="1012"/>
      <c r="E269" s="215" t="s">
        <v>898</v>
      </c>
      <c r="F269" s="215"/>
      <c r="G269" s="215"/>
      <c r="H269" s="215"/>
      <c r="I269" s="215"/>
      <c r="J269" s="215"/>
      <c r="K269" s="215"/>
      <c r="L269" s="215"/>
      <c r="M269" s="215"/>
      <c r="N269" s="215"/>
      <c r="O269" s="215"/>
      <c r="P269" s="215"/>
      <c r="Q269" s="215"/>
      <c r="R269" s="215"/>
      <c r="S269" s="215"/>
      <c r="T269" s="215"/>
      <c r="U269" s="215"/>
      <c r="V269" s="16"/>
      <c r="W269" s="61"/>
      <c r="X269" s="5"/>
      <c r="Y269" s="20"/>
      <c r="Z269" s="5"/>
      <c r="AA269" s="5"/>
      <c r="AB269" s="5"/>
      <c r="AC269" s="5"/>
      <c r="AD269" s="5"/>
      <c r="AE269" s="5"/>
      <c r="AF269" s="5"/>
      <c r="AG269" s="5"/>
      <c r="AH269" s="5"/>
      <c r="AI269" s="5"/>
      <c r="AJ269" s="5"/>
      <c r="AK269" s="5"/>
      <c r="AL269" s="5"/>
      <c r="AM269" s="5"/>
      <c r="AN269" s="5"/>
      <c r="AO269" s="5"/>
      <c r="AP269" s="5"/>
      <c r="AQ269" s="5"/>
      <c r="AR269" s="5"/>
      <c r="AS269" s="22"/>
    </row>
    <row r="270" spans="1:50" hidden="1" x14ac:dyDescent="0.2">
      <c r="B270" s="1036" t="s">
        <v>898</v>
      </c>
      <c r="C270" s="727"/>
      <c r="D270" s="1013"/>
      <c r="E270" s="299" t="s">
        <v>491</v>
      </c>
      <c r="F270" s="299"/>
      <c r="G270" s="299" t="s">
        <v>423</v>
      </c>
      <c r="H270" s="300"/>
      <c r="I270" s="300">
        <f t="shared" ref="I270:T270" ca="1" si="63">OFFSET(I270,0,-1)+1</f>
        <v>1</v>
      </c>
      <c r="J270" s="300">
        <f t="shared" ca="1" si="63"/>
        <v>2</v>
      </c>
      <c r="K270" s="300">
        <f t="shared" ca="1" si="63"/>
        <v>3</v>
      </c>
      <c r="L270" s="300">
        <f t="shared" ca="1" si="63"/>
        <v>4</v>
      </c>
      <c r="M270" s="300">
        <f t="shared" ca="1" si="63"/>
        <v>5</v>
      </c>
      <c r="N270" s="300">
        <f t="shared" ca="1" si="63"/>
        <v>6</v>
      </c>
      <c r="O270" s="300">
        <f t="shared" ca="1" si="63"/>
        <v>7</v>
      </c>
      <c r="P270" s="300">
        <f t="shared" ca="1" si="63"/>
        <v>8</v>
      </c>
      <c r="Q270" s="300">
        <f t="shared" ca="1" si="63"/>
        <v>9</v>
      </c>
      <c r="R270" s="300">
        <f t="shared" ca="1" si="63"/>
        <v>10</v>
      </c>
      <c r="S270" s="300">
        <f t="shared" ca="1" si="63"/>
        <v>11</v>
      </c>
      <c r="T270" s="300">
        <f t="shared" ca="1" si="63"/>
        <v>12</v>
      </c>
      <c r="U270" s="300"/>
      <c r="V270" s="61"/>
      <c r="W270" s="61"/>
      <c r="X270" s="61"/>
      <c r="Y270" s="20"/>
      <c r="Z270" s="5"/>
      <c r="AA270" s="5"/>
      <c r="AB270" s="5"/>
      <c r="AC270" s="5"/>
      <c r="AD270" s="5"/>
      <c r="AE270" s="5"/>
      <c r="AF270" s="5"/>
      <c r="AG270" s="5"/>
      <c r="AH270" s="5"/>
      <c r="AI270" s="5"/>
      <c r="AJ270" s="5"/>
      <c r="AK270" s="5"/>
      <c r="AL270" s="5"/>
      <c r="AM270" s="5"/>
      <c r="AN270" s="5"/>
      <c r="AO270" s="5"/>
      <c r="AP270" s="5"/>
      <c r="AQ270" s="5"/>
      <c r="AR270" s="5"/>
      <c r="AS270" s="22"/>
    </row>
    <row r="271" spans="1:50" s="2" customFormat="1" ht="18.75" hidden="1" x14ac:dyDescent="0.2">
      <c r="A271" s="309"/>
      <c r="B271" s="1036" t="s">
        <v>898</v>
      </c>
      <c r="C271" s="727"/>
      <c r="D271" s="1017"/>
      <c r="E271" s="382" t="s">
        <v>899</v>
      </c>
      <c r="F271" s="383"/>
      <c r="G271" s="382"/>
      <c r="H271" s="384"/>
      <c r="I271" s="385"/>
      <c r="J271" s="384"/>
      <c r="K271" s="9"/>
      <c r="L271" s="9"/>
      <c r="M271" s="9"/>
      <c r="N271" s="9"/>
      <c r="O271" s="9"/>
      <c r="P271" s="9"/>
      <c r="Q271" s="9"/>
      <c r="R271" s="9"/>
      <c r="S271" s="4"/>
      <c r="T271" s="4"/>
      <c r="AC271" s="4"/>
      <c r="AD271" s="8"/>
      <c r="AE271" s="4"/>
      <c r="AF271" s="4"/>
      <c r="AG271" s="4"/>
      <c r="AH271" s="4"/>
      <c r="AI271" s="4"/>
      <c r="AJ271" s="4"/>
      <c r="AK271" s="4"/>
      <c r="AL271" s="4"/>
      <c r="AM271" s="4"/>
      <c r="AN271" s="4"/>
      <c r="AO271" s="4"/>
      <c r="AP271" s="4"/>
      <c r="AQ271" s="4"/>
      <c r="AR271" s="4"/>
      <c r="AS271" s="4"/>
      <c r="AT271" s="4"/>
      <c r="AU271" s="4"/>
      <c r="AV271" s="4"/>
      <c r="AW271" s="4"/>
      <c r="AX271" s="22"/>
    </row>
    <row r="272" spans="1:50" ht="25.5" hidden="1" x14ac:dyDescent="0.2">
      <c r="B272" s="1036" t="s">
        <v>898</v>
      </c>
      <c r="C272" s="727"/>
      <c r="D272" s="1012"/>
      <c r="E272" s="357" t="s">
        <v>124</v>
      </c>
      <c r="F272" s="326"/>
      <c r="G272" s="357" t="s">
        <v>70</v>
      </c>
      <c r="H272" s="476"/>
      <c r="I272" s="477" t="s">
        <v>469</v>
      </c>
      <c r="J272" s="477" t="s">
        <v>465</v>
      </c>
      <c r="K272" s="477" t="s">
        <v>466</v>
      </c>
      <c r="L272" s="477" t="s">
        <v>471</v>
      </c>
      <c r="M272" s="477" t="s">
        <v>468</v>
      </c>
      <c r="N272" s="477" t="s">
        <v>467</v>
      </c>
      <c r="O272" s="477" t="s">
        <v>473</v>
      </c>
      <c r="P272" s="477" t="s">
        <v>472</v>
      </c>
      <c r="Q272" s="477" t="s">
        <v>470</v>
      </c>
      <c r="R272" s="477" t="s">
        <v>900</v>
      </c>
      <c r="S272" s="477" t="s">
        <v>463</v>
      </c>
      <c r="T272" s="477" t="s">
        <v>464</v>
      </c>
      <c r="U272" s="476"/>
      <c r="V272" s="20"/>
      <c r="W272" s="16"/>
      <c r="X272" s="16"/>
      <c r="Y272" s="20"/>
      <c r="Z272" s="5"/>
      <c r="AA272" s="5"/>
      <c r="AB272" s="5"/>
      <c r="AC272" s="5"/>
      <c r="AD272" s="5"/>
      <c r="AE272" s="5"/>
      <c r="AF272" s="5"/>
      <c r="AG272" s="5"/>
      <c r="AH272" s="5"/>
      <c r="AI272" s="5"/>
      <c r="AJ272" s="5"/>
      <c r="AK272" s="5"/>
      <c r="AL272" s="5"/>
      <c r="AM272" s="5"/>
      <c r="AN272" s="5"/>
      <c r="AO272" s="5"/>
      <c r="AP272" s="5"/>
      <c r="AQ272" s="5"/>
      <c r="AR272" s="5"/>
      <c r="AS272" s="22"/>
    </row>
    <row r="273" spans="1:50" hidden="1" x14ac:dyDescent="0.2">
      <c r="B273" s="1036" t="s">
        <v>898</v>
      </c>
      <c r="C273" s="727"/>
      <c r="D273" s="1012"/>
      <c r="E273" s="5"/>
      <c r="F273" s="5"/>
      <c r="G273" s="5"/>
      <c r="H273" s="16"/>
      <c r="I273" s="16"/>
      <c r="J273" s="16"/>
      <c r="K273" s="16"/>
      <c r="L273" s="16"/>
      <c r="M273" s="16"/>
      <c r="N273" s="16"/>
      <c r="O273" s="16"/>
      <c r="P273" s="16"/>
      <c r="Q273" s="16"/>
      <c r="R273" s="16"/>
      <c r="S273" s="16"/>
      <c r="T273" s="16"/>
      <c r="U273" s="16"/>
      <c r="V273" s="16"/>
      <c r="W273" s="16"/>
      <c r="X273" s="16"/>
      <c r="Y273" s="20"/>
      <c r="Z273" s="5"/>
      <c r="AA273" s="5"/>
      <c r="AB273" s="5"/>
      <c r="AC273" s="5"/>
      <c r="AD273" s="5"/>
      <c r="AE273" s="5"/>
      <c r="AF273" s="5"/>
      <c r="AG273" s="5"/>
      <c r="AH273" s="5"/>
      <c r="AI273" s="5"/>
      <c r="AJ273" s="5"/>
      <c r="AK273" s="5"/>
      <c r="AL273" s="5"/>
      <c r="AM273" s="5"/>
      <c r="AN273" s="5"/>
      <c r="AO273" s="5"/>
      <c r="AP273" s="5"/>
      <c r="AQ273" s="5"/>
      <c r="AR273" s="5"/>
      <c r="AS273" s="22"/>
    </row>
    <row r="274" spans="1:50" hidden="1" x14ac:dyDescent="0.2">
      <c r="B274" s="1036" t="s">
        <v>901</v>
      </c>
      <c r="C274" s="727"/>
      <c r="D274" s="1012"/>
      <c r="E274" s="5"/>
      <c r="F274" s="5"/>
      <c r="G274" s="5"/>
      <c r="H274" s="16"/>
      <c r="I274" s="16"/>
      <c r="J274" s="16"/>
      <c r="K274" s="16"/>
      <c r="L274" s="16"/>
      <c r="M274" s="16"/>
      <c r="N274" s="16"/>
      <c r="O274" s="16"/>
      <c r="P274" s="16"/>
      <c r="Q274" s="16"/>
      <c r="R274" s="16"/>
      <c r="S274" s="16"/>
      <c r="T274" s="16"/>
      <c r="U274" s="16"/>
      <c r="V274" s="16"/>
      <c r="W274" s="16"/>
      <c r="X274" s="16"/>
      <c r="Y274" s="20"/>
      <c r="Z274" s="5"/>
      <c r="AA274" s="5"/>
      <c r="AB274" s="5"/>
      <c r="AC274" s="5"/>
      <c r="AD274" s="5"/>
      <c r="AE274" s="5"/>
      <c r="AF274" s="5"/>
      <c r="AG274" s="5"/>
      <c r="AH274" s="5"/>
      <c r="AI274" s="5"/>
      <c r="AJ274" s="5"/>
      <c r="AK274" s="5"/>
      <c r="AL274" s="5"/>
      <c r="AM274" s="5"/>
      <c r="AN274" s="5"/>
      <c r="AO274" s="5"/>
      <c r="AP274" s="5"/>
      <c r="AQ274" s="5"/>
      <c r="AR274" s="5"/>
      <c r="AS274" s="22"/>
    </row>
    <row r="275" spans="1:50" ht="21" hidden="1" x14ac:dyDescent="0.2">
      <c r="B275" s="1036" t="s">
        <v>901</v>
      </c>
      <c r="C275" s="727"/>
      <c r="D275" s="1012"/>
      <c r="E275" s="215" t="s">
        <v>1134</v>
      </c>
      <c r="F275" s="215"/>
      <c r="G275" s="215"/>
      <c r="H275" s="215"/>
      <c r="I275" s="215"/>
      <c r="J275" s="215"/>
      <c r="K275" s="215"/>
      <c r="L275" s="215"/>
      <c r="M275" s="215"/>
      <c r="N275" s="215"/>
      <c r="O275" s="215"/>
      <c r="P275" s="215"/>
      <c r="Q275" s="215"/>
      <c r="R275" s="215"/>
      <c r="S275" s="215"/>
      <c r="T275" s="215"/>
      <c r="U275" s="215"/>
      <c r="V275" s="5"/>
      <c r="W275" s="5"/>
      <c r="X275" s="5"/>
      <c r="Y275" s="20"/>
      <c r="Z275" s="5"/>
      <c r="AA275" s="5"/>
      <c r="AB275" s="5"/>
      <c r="AC275" s="5"/>
      <c r="AD275" s="209"/>
      <c r="AE275" s="5"/>
      <c r="AF275" s="5"/>
      <c r="AG275" s="5"/>
      <c r="AH275" s="5"/>
      <c r="AI275" s="5"/>
      <c r="AJ275" s="5"/>
      <c r="AK275" s="5"/>
      <c r="AL275" s="5"/>
      <c r="AM275" s="5"/>
      <c r="AN275" s="5"/>
      <c r="AO275" s="5"/>
      <c r="AP275" s="5"/>
      <c r="AQ275" s="5"/>
      <c r="AR275" s="5"/>
      <c r="AS275" s="209"/>
    </row>
    <row r="276" spans="1:50" s="2" customFormat="1" hidden="1" x14ac:dyDescent="0.2">
      <c r="A276" s="309"/>
      <c r="B276" s="1036" t="s">
        <v>901</v>
      </c>
      <c r="C276" s="728"/>
      <c r="D276" s="1015"/>
      <c r="E276" s="683" t="s">
        <v>491</v>
      </c>
      <c r="F276" s="683"/>
      <c r="G276" s="683" t="s">
        <v>423</v>
      </c>
      <c r="H276" s="314"/>
      <c r="I276" s="314">
        <f ca="1">OFFSET(I276,0,-1)+1</f>
        <v>1</v>
      </c>
      <c r="J276" s="314">
        <f t="shared" ref="J276:T276" ca="1" si="64">OFFSET(J276,0,-1)+1</f>
        <v>2</v>
      </c>
      <c r="K276" s="314">
        <f t="shared" ca="1" si="64"/>
        <v>3</v>
      </c>
      <c r="L276" s="314">
        <f t="shared" ca="1" si="64"/>
        <v>4</v>
      </c>
      <c r="M276" s="314">
        <f t="shared" ca="1" si="64"/>
        <v>5</v>
      </c>
      <c r="N276" s="314">
        <f t="shared" ca="1" si="64"/>
        <v>6</v>
      </c>
      <c r="O276" s="314">
        <f t="shared" ca="1" si="64"/>
        <v>7</v>
      </c>
      <c r="P276" s="314">
        <f t="shared" ca="1" si="64"/>
        <v>8</v>
      </c>
      <c r="Q276" s="314">
        <f t="shared" ca="1" si="64"/>
        <v>9</v>
      </c>
      <c r="R276" s="314">
        <f t="shared" ca="1" si="64"/>
        <v>10</v>
      </c>
      <c r="S276" s="314">
        <f t="shared" ca="1" si="64"/>
        <v>11</v>
      </c>
      <c r="T276" s="314">
        <f t="shared" ca="1" si="64"/>
        <v>12</v>
      </c>
      <c r="U276" s="314"/>
      <c r="V276" s="9"/>
      <c r="W276" s="9"/>
      <c r="X276" s="9"/>
      <c r="Y276" s="8"/>
      <c r="Z276" s="4"/>
      <c r="AA276" s="4"/>
      <c r="AB276" s="4"/>
      <c r="AC276" s="4"/>
      <c r="AD276" s="4"/>
      <c r="AE276" s="4"/>
      <c r="AF276" s="4"/>
      <c r="AG276" s="4"/>
      <c r="AH276" s="4"/>
      <c r="AI276" s="4"/>
      <c r="AJ276" s="4"/>
      <c r="AK276" s="4"/>
      <c r="AL276" s="4"/>
      <c r="AM276" s="4"/>
      <c r="AN276" s="4"/>
      <c r="AO276" s="4"/>
      <c r="AP276" s="4"/>
      <c r="AQ276" s="4"/>
      <c r="AR276" s="4"/>
      <c r="AS276" s="580"/>
    </row>
    <row r="277" spans="1:50" s="2" customFormat="1" hidden="1" x14ac:dyDescent="0.2">
      <c r="A277" s="309"/>
      <c r="B277" s="1036" t="s">
        <v>901</v>
      </c>
      <c r="C277" s="727"/>
      <c r="D277" s="1017"/>
      <c r="E277" s="382" t="s">
        <v>902</v>
      </c>
      <c r="F277" s="382" t="s">
        <v>903</v>
      </c>
      <c r="G277" s="382"/>
      <c r="H277" s="384"/>
      <c r="I277" s="385"/>
      <c r="J277" s="384"/>
      <c r="K277" s="9"/>
      <c r="L277" s="9"/>
      <c r="M277" s="9"/>
      <c r="N277" s="9"/>
      <c r="O277" s="9"/>
      <c r="P277" s="9"/>
      <c r="Q277" s="9"/>
      <c r="R277" s="9"/>
      <c r="S277" s="4"/>
      <c r="T277" s="4"/>
      <c r="AC277" s="4"/>
      <c r="AD277" s="8"/>
      <c r="AE277" s="4"/>
      <c r="AF277" s="4"/>
      <c r="AG277" s="4"/>
      <c r="AH277" s="4"/>
      <c r="AI277" s="4"/>
      <c r="AJ277" s="4"/>
      <c r="AK277" s="4"/>
      <c r="AL277" s="4"/>
      <c r="AM277" s="4"/>
      <c r="AN277" s="4"/>
      <c r="AO277" s="4"/>
      <c r="AP277" s="4"/>
      <c r="AQ277" s="4"/>
      <c r="AR277" s="4"/>
      <c r="AS277" s="4"/>
      <c r="AT277" s="4"/>
      <c r="AU277" s="4"/>
      <c r="AV277" s="4"/>
      <c r="AW277" s="4"/>
      <c r="AX277" s="22"/>
    </row>
    <row r="278" spans="1:50" ht="25.5" hidden="1" x14ac:dyDescent="0.2">
      <c r="B278" s="1036" t="s">
        <v>901</v>
      </c>
      <c r="C278" s="727"/>
      <c r="D278" s="1012"/>
      <c r="E278" s="357" t="s">
        <v>124</v>
      </c>
      <c r="F278" s="326"/>
      <c r="G278" s="357" t="s">
        <v>70</v>
      </c>
      <c r="H278" s="476"/>
      <c r="I278" s="477" t="str">
        <f>I$272</f>
        <v>kantoor</v>
      </c>
      <c r="J278" s="477" t="str">
        <f t="shared" ref="J278:T278" si="65">J$272</f>
        <v>bijeenkomst overig</v>
      </c>
      <c r="K278" s="477" t="str">
        <f t="shared" si="65"/>
        <v>bijeenkomst kinderopvang</v>
      </c>
      <c r="L278" s="477" t="str">
        <f t="shared" si="65"/>
        <v>onderwijs</v>
      </c>
      <c r="M278" s="477" t="str">
        <f t="shared" si="65"/>
        <v>gezondheid overig</v>
      </c>
      <c r="N278" s="477" t="str">
        <f t="shared" si="65"/>
        <v>gezondheid met bed</v>
      </c>
      <c r="O278" s="477" t="str">
        <f t="shared" si="65"/>
        <v>winkel</v>
      </c>
      <c r="P278" s="477" t="str">
        <f t="shared" si="65"/>
        <v>sport</v>
      </c>
      <c r="Q278" s="477" t="str">
        <f t="shared" si="65"/>
        <v>logies</v>
      </c>
      <c r="R278" s="477" t="str">
        <f t="shared" si="65"/>
        <v>cellengebouw</v>
      </c>
      <c r="S278" s="477" t="str">
        <f t="shared" si="65"/>
        <v>woning</v>
      </c>
      <c r="T278" s="477" t="str">
        <f t="shared" si="65"/>
        <v>woongebouw</v>
      </c>
      <c r="U278" s="477"/>
      <c r="V278" s="20"/>
      <c r="W278" s="16"/>
      <c r="X278" s="16"/>
      <c r="Y278" s="20"/>
      <c r="Z278" s="5"/>
      <c r="AA278" s="5"/>
      <c r="AB278" s="5"/>
      <c r="AC278" s="5"/>
      <c r="AD278" s="5"/>
      <c r="AE278" s="5"/>
      <c r="AF278" s="5"/>
      <c r="AG278" s="5"/>
      <c r="AH278" s="5"/>
      <c r="AI278" s="5"/>
      <c r="AJ278" s="5"/>
      <c r="AK278" s="5"/>
      <c r="AL278" s="5"/>
      <c r="AM278" s="5"/>
      <c r="AN278" s="5"/>
      <c r="AO278" s="5"/>
      <c r="AP278" s="5"/>
      <c r="AQ278" s="5"/>
      <c r="AR278" s="5"/>
      <c r="AS278" s="22"/>
    </row>
    <row r="279" spans="1:50" hidden="1" x14ac:dyDescent="0.2">
      <c r="B279" s="1036" t="s">
        <v>901</v>
      </c>
      <c r="C279" s="727"/>
      <c r="D279" s="1012"/>
      <c r="E279" s="439" t="s">
        <v>540</v>
      </c>
      <c r="F279" s="439"/>
      <c r="G279" s="439" t="s">
        <v>70</v>
      </c>
      <c r="H279" s="439" t="s">
        <v>904</v>
      </c>
      <c r="I279" s="439">
        <v>0.67200000000000004</v>
      </c>
      <c r="J279" s="439">
        <v>0.67200000000000004</v>
      </c>
      <c r="K279" s="439">
        <v>0.67200000000000004</v>
      </c>
      <c r="L279" s="439">
        <v>0.67200000000000004</v>
      </c>
      <c r="M279" s="439">
        <v>0.67200000000000004</v>
      </c>
      <c r="N279" s="439">
        <v>0.67200000000000004</v>
      </c>
      <c r="O279" s="439">
        <v>0.67200000000000004</v>
      </c>
      <c r="P279" s="439">
        <v>0.67200000000000004</v>
      </c>
      <c r="Q279" s="439">
        <v>0.67200000000000004</v>
      </c>
      <c r="R279" s="439">
        <v>0.67200000000000004</v>
      </c>
      <c r="S279" s="439">
        <v>0.67200000000000004</v>
      </c>
      <c r="T279" s="439">
        <v>0.67200000000000004</v>
      </c>
      <c r="U279" s="439"/>
      <c r="V279" s="16"/>
      <c r="W279" s="16"/>
      <c r="X279" s="16"/>
      <c r="Y279" s="20"/>
      <c r="Z279" s="5"/>
      <c r="AA279" s="5"/>
      <c r="AB279" s="5"/>
      <c r="AC279" s="5"/>
      <c r="AD279" s="5"/>
      <c r="AE279" s="5"/>
      <c r="AF279" s="5"/>
      <c r="AG279" s="5"/>
      <c r="AH279" s="5"/>
      <c r="AI279" s="5"/>
      <c r="AJ279" s="5"/>
      <c r="AK279" s="5"/>
      <c r="AL279" s="5"/>
      <c r="AM279" s="5"/>
      <c r="AN279" s="5"/>
      <c r="AO279" s="5"/>
      <c r="AP279" s="5"/>
      <c r="AQ279" s="5"/>
      <c r="AR279" s="5"/>
      <c r="AS279" s="22"/>
    </row>
    <row r="280" spans="1:50" hidden="1" x14ac:dyDescent="0.2">
      <c r="B280" s="1036" t="s">
        <v>901</v>
      </c>
      <c r="C280" s="727"/>
      <c r="D280" s="1012"/>
      <c r="E280" s="439" t="s">
        <v>905</v>
      </c>
      <c r="F280" s="439"/>
      <c r="G280" s="439" t="s">
        <v>70</v>
      </c>
      <c r="H280" s="439" t="s">
        <v>904</v>
      </c>
      <c r="I280" s="439">
        <v>-0.376</v>
      </c>
      <c r="J280" s="439">
        <v>-0.376</v>
      </c>
      <c r="K280" s="439">
        <v>-0.376</v>
      </c>
      <c r="L280" s="439">
        <v>-0.376</v>
      </c>
      <c r="M280" s="439">
        <v>-0.376</v>
      </c>
      <c r="N280" s="439">
        <v>-0.376</v>
      </c>
      <c r="O280" s="439">
        <v>-0.376</v>
      </c>
      <c r="P280" s="439">
        <v>-0.376</v>
      </c>
      <c r="Q280" s="439">
        <v>-0.376</v>
      </c>
      <c r="R280" s="439">
        <v>-0.376</v>
      </c>
      <c r="S280" s="439">
        <v>-0.376</v>
      </c>
      <c r="T280" s="439">
        <v>-0.376</v>
      </c>
      <c r="U280" s="439"/>
      <c r="V280" s="16"/>
      <c r="W280" s="16"/>
      <c r="X280" s="16"/>
      <c r="Y280" s="20"/>
      <c r="Z280" s="5"/>
      <c r="AA280" s="5"/>
      <c r="AB280" s="5"/>
      <c r="AC280" s="5"/>
      <c r="AD280" s="5"/>
      <c r="AE280" s="5"/>
      <c r="AF280" s="5"/>
      <c r="AG280" s="5"/>
      <c r="AH280" s="5"/>
      <c r="AI280" s="5"/>
      <c r="AJ280" s="5"/>
      <c r="AK280" s="5"/>
      <c r="AL280" s="5"/>
      <c r="AM280" s="5"/>
      <c r="AN280" s="5"/>
      <c r="AO280" s="5"/>
      <c r="AP280" s="5"/>
      <c r="AQ280" s="5"/>
      <c r="AR280" s="5"/>
      <c r="AS280" s="22"/>
    </row>
    <row r="281" spans="1:50" hidden="1" x14ac:dyDescent="0.2">
      <c r="B281" s="1036" t="s">
        <v>901</v>
      </c>
      <c r="C281" s="727"/>
      <c r="D281" s="1012"/>
      <c r="E281" s="16"/>
      <c r="F281" s="16"/>
      <c r="G281" s="16"/>
      <c r="H281" s="16"/>
      <c r="I281" s="16"/>
      <c r="J281" s="16"/>
      <c r="K281" s="16"/>
      <c r="L281" s="16"/>
      <c r="M281" s="16"/>
      <c r="N281" s="16"/>
      <c r="O281" s="16"/>
      <c r="P281" s="16"/>
      <c r="Q281" s="16"/>
      <c r="R281" s="16"/>
      <c r="S281" s="16"/>
      <c r="T281" s="16"/>
      <c r="U281" s="16"/>
      <c r="V281" s="16"/>
      <c r="W281" s="16"/>
      <c r="X281" s="16"/>
      <c r="Y281" s="20"/>
      <c r="Z281" s="5"/>
      <c r="AA281" s="5"/>
      <c r="AB281" s="5"/>
      <c r="AC281" s="5"/>
      <c r="AD281" s="5"/>
      <c r="AE281" s="5"/>
      <c r="AF281" s="5"/>
      <c r="AG281" s="5"/>
      <c r="AH281" s="5"/>
      <c r="AI281" s="5"/>
      <c r="AJ281" s="5"/>
      <c r="AK281" s="5"/>
      <c r="AL281" s="5"/>
      <c r="AM281" s="5"/>
      <c r="AN281" s="5"/>
      <c r="AO281" s="5"/>
      <c r="AP281" s="5"/>
      <c r="AQ281" s="5"/>
      <c r="AR281" s="5"/>
      <c r="AS281" s="22"/>
    </row>
    <row r="282" spans="1:50" hidden="1" x14ac:dyDescent="0.2">
      <c r="B282" s="1036" t="s">
        <v>906</v>
      </c>
      <c r="C282" s="727"/>
      <c r="D282" s="1012"/>
      <c r="E282" s="5"/>
      <c r="F282" s="5"/>
      <c r="G282" s="5"/>
      <c r="H282" s="16"/>
      <c r="I282" s="16"/>
      <c r="J282" s="16"/>
      <c r="K282" s="16"/>
      <c r="L282" s="16"/>
      <c r="M282" s="16"/>
      <c r="N282" s="16"/>
      <c r="O282" s="16"/>
      <c r="P282" s="16"/>
      <c r="Q282" s="16"/>
      <c r="R282" s="16"/>
      <c r="S282" s="16"/>
      <c r="T282" s="16"/>
      <c r="U282" s="16"/>
      <c r="V282" s="16"/>
      <c r="W282" s="16"/>
      <c r="X282" s="16"/>
      <c r="Y282" s="20"/>
      <c r="Z282" s="5"/>
      <c r="AA282" s="5"/>
      <c r="AB282" s="5"/>
      <c r="AC282" s="5"/>
      <c r="AD282" s="5"/>
      <c r="AE282" s="5"/>
      <c r="AF282" s="5"/>
      <c r="AG282" s="5"/>
      <c r="AH282" s="5"/>
      <c r="AI282" s="5"/>
      <c r="AJ282" s="5"/>
      <c r="AK282" s="5"/>
      <c r="AL282" s="5"/>
      <c r="AM282" s="5"/>
      <c r="AN282" s="5"/>
      <c r="AO282" s="5"/>
      <c r="AP282" s="5"/>
      <c r="AQ282" s="5"/>
      <c r="AR282" s="5"/>
      <c r="AS282" s="22"/>
    </row>
    <row r="283" spans="1:50" ht="21" hidden="1" x14ac:dyDescent="0.2">
      <c r="B283" s="1036" t="s">
        <v>906</v>
      </c>
      <c r="C283" s="727"/>
      <c r="D283" s="1012"/>
      <c r="E283" s="215" t="s">
        <v>906</v>
      </c>
      <c r="F283" s="215"/>
      <c r="G283" s="215"/>
      <c r="H283" s="215"/>
      <c r="I283" s="215"/>
      <c r="J283" s="215"/>
      <c r="K283" s="215"/>
      <c r="L283" s="215"/>
      <c r="M283" s="215"/>
      <c r="N283" s="215"/>
      <c r="O283" s="215"/>
      <c r="P283" s="215"/>
      <c r="Q283" s="215"/>
      <c r="R283" s="215"/>
      <c r="S283" s="215"/>
      <c r="T283" s="215"/>
      <c r="U283" s="215"/>
      <c r="V283" s="16"/>
      <c r="W283" s="61"/>
      <c r="X283" s="5"/>
      <c r="Y283" s="20"/>
      <c r="Z283" s="5"/>
      <c r="AA283" s="5"/>
      <c r="AB283" s="5"/>
      <c r="AC283" s="5"/>
      <c r="AD283" s="5"/>
      <c r="AE283" s="5"/>
      <c r="AF283" s="5"/>
      <c r="AG283" s="5"/>
      <c r="AH283" s="5"/>
      <c r="AI283" s="5"/>
      <c r="AJ283" s="5"/>
      <c r="AK283" s="5"/>
      <c r="AL283" s="5"/>
      <c r="AM283" s="5"/>
      <c r="AN283" s="5"/>
      <c r="AO283" s="5"/>
      <c r="AP283" s="5"/>
      <c r="AQ283" s="5"/>
      <c r="AR283" s="5"/>
      <c r="AS283" s="22"/>
    </row>
    <row r="284" spans="1:50" hidden="1" x14ac:dyDescent="0.2">
      <c r="B284" s="1036" t="s">
        <v>906</v>
      </c>
      <c r="C284" s="727"/>
      <c r="D284" s="1013"/>
      <c r="E284" s="299" t="s">
        <v>491</v>
      </c>
      <c r="F284" s="299"/>
      <c r="G284" s="299" t="s">
        <v>423</v>
      </c>
      <c r="H284" s="300"/>
      <c r="I284" s="300">
        <f t="shared" ref="I284:T284" ca="1" si="66">OFFSET(I284,0,-1)+1</f>
        <v>1</v>
      </c>
      <c r="J284" s="300">
        <f t="shared" ca="1" si="66"/>
        <v>2</v>
      </c>
      <c r="K284" s="300">
        <f t="shared" ca="1" si="66"/>
        <v>3</v>
      </c>
      <c r="L284" s="300">
        <f t="shared" ca="1" si="66"/>
        <v>4</v>
      </c>
      <c r="M284" s="300">
        <f t="shared" ca="1" si="66"/>
        <v>5</v>
      </c>
      <c r="N284" s="300">
        <f t="shared" ca="1" si="66"/>
        <v>6</v>
      </c>
      <c r="O284" s="300">
        <f t="shared" ca="1" si="66"/>
        <v>7</v>
      </c>
      <c r="P284" s="300">
        <f t="shared" ca="1" si="66"/>
        <v>8</v>
      </c>
      <c r="Q284" s="300">
        <f t="shared" ca="1" si="66"/>
        <v>9</v>
      </c>
      <c r="R284" s="300">
        <f t="shared" ca="1" si="66"/>
        <v>10</v>
      </c>
      <c r="S284" s="300">
        <f t="shared" ca="1" si="66"/>
        <v>11</v>
      </c>
      <c r="T284" s="300">
        <f t="shared" ca="1" si="66"/>
        <v>12</v>
      </c>
      <c r="U284" s="300"/>
      <c r="V284" s="61"/>
      <c r="W284" s="61"/>
      <c r="X284" s="61"/>
      <c r="Y284" s="20"/>
      <c r="Z284" s="5"/>
      <c r="AA284" s="5"/>
      <c r="AB284" s="5"/>
      <c r="AC284" s="5"/>
      <c r="AD284" s="5"/>
      <c r="AE284" s="5"/>
      <c r="AF284" s="5"/>
      <c r="AG284" s="5"/>
      <c r="AH284" s="5"/>
      <c r="AI284" s="5"/>
      <c r="AJ284" s="5"/>
      <c r="AK284" s="5"/>
      <c r="AL284" s="5"/>
      <c r="AM284" s="5"/>
      <c r="AN284" s="5"/>
      <c r="AO284" s="5"/>
      <c r="AP284" s="5"/>
      <c r="AQ284" s="5"/>
      <c r="AR284" s="5"/>
      <c r="AS284" s="22"/>
    </row>
    <row r="285" spans="1:50" s="2" customFormat="1" ht="18.75" hidden="1" x14ac:dyDescent="0.2">
      <c r="A285" s="309"/>
      <c r="B285" s="1036" t="s">
        <v>906</v>
      </c>
      <c r="C285" s="727"/>
      <c r="D285" s="1017"/>
      <c r="E285" s="382" t="s">
        <v>907</v>
      </c>
      <c r="F285" s="383"/>
      <c r="G285" s="382"/>
      <c r="H285" s="384"/>
      <c r="I285" s="385"/>
      <c r="J285" s="384"/>
      <c r="K285" s="9"/>
      <c r="L285" s="9"/>
      <c r="M285" s="9"/>
      <c r="N285" s="9"/>
      <c r="O285" s="9"/>
      <c r="P285" s="9"/>
      <c r="Q285" s="9"/>
      <c r="R285" s="9"/>
      <c r="S285" s="4"/>
      <c r="T285" s="4"/>
      <c r="AC285" s="4"/>
      <c r="AD285" s="8"/>
      <c r="AE285" s="4"/>
      <c r="AF285" s="4"/>
      <c r="AG285" s="4"/>
      <c r="AH285" s="4"/>
      <c r="AI285" s="4"/>
      <c r="AJ285" s="4"/>
      <c r="AK285" s="4"/>
      <c r="AL285" s="4"/>
      <c r="AM285" s="4"/>
      <c r="AN285" s="4"/>
      <c r="AO285" s="4"/>
      <c r="AP285" s="4"/>
      <c r="AQ285" s="4"/>
      <c r="AR285" s="4"/>
      <c r="AS285" s="4"/>
      <c r="AT285" s="4"/>
      <c r="AU285" s="4"/>
      <c r="AV285" s="4"/>
      <c r="AW285" s="4"/>
      <c r="AX285" s="22"/>
    </row>
    <row r="286" spans="1:50" ht="25.5" hidden="1" x14ac:dyDescent="0.2">
      <c r="B286" s="1036" t="s">
        <v>906</v>
      </c>
      <c r="C286" s="727"/>
      <c r="D286" s="1012"/>
      <c r="E286" s="357" t="s">
        <v>124</v>
      </c>
      <c r="F286" s="326"/>
      <c r="G286" s="357" t="s">
        <v>70</v>
      </c>
      <c r="H286" s="476"/>
      <c r="I286" s="477" t="str">
        <f>I$272</f>
        <v>kantoor</v>
      </c>
      <c r="J286" s="477" t="str">
        <f t="shared" ref="J286:T286" si="67">J$272</f>
        <v>bijeenkomst overig</v>
      </c>
      <c r="K286" s="477" t="str">
        <f t="shared" si="67"/>
        <v>bijeenkomst kinderopvang</v>
      </c>
      <c r="L286" s="477" t="str">
        <f t="shared" si="67"/>
        <v>onderwijs</v>
      </c>
      <c r="M286" s="477" t="str">
        <f t="shared" si="67"/>
        <v>gezondheid overig</v>
      </c>
      <c r="N286" s="477" t="str">
        <f t="shared" si="67"/>
        <v>gezondheid met bed</v>
      </c>
      <c r="O286" s="477" t="str">
        <f t="shared" si="67"/>
        <v>winkel</v>
      </c>
      <c r="P286" s="477" t="str">
        <f t="shared" si="67"/>
        <v>sport</v>
      </c>
      <c r="Q286" s="477" t="str">
        <f t="shared" si="67"/>
        <v>logies</v>
      </c>
      <c r="R286" s="477" t="str">
        <f t="shared" si="67"/>
        <v>cellengebouw</v>
      </c>
      <c r="S286" s="477" t="str">
        <f t="shared" si="67"/>
        <v>woning</v>
      </c>
      <c r="T286" s="477" t="str">
        <f t="shared" si="67"/>
        <v>woongebouw</v>
      </c>
      <c r="U286" s="476"/>
      <c r="V286" s="20"/>
      <c r="W286" s="16"/>
      <c r="X286" s="16"/>
      <c r="Y286" s="20"/>
      <c r="Z286" s="5"/>
      <c r="AA286" s="5"/>
      <c r="AB286" s="5"/>
      <c r="AC286" s="5"/>
      <c r="AD286" s="5"/>
      <c r="AE286" s="5"/>
      <c r="AF286" s="5"/>
      <c r="AG286" s="5"/>
      <c r="AH286" s="5"/>
      <c r="AI286" s="5"/>
      <c r="AJ286" s="5"/>
      <c r="AK286" s="5"/>
      <c r="AL286" s="5"/>
      <c r="AM286" s="5"/>
      <c r="AN286" s="5"/>
      <c r="AO286" s="5"/>
      <c r="AP286" s="5"/>
      <c r="AQ286" s="5"/>
      <c r="AR286" s="5"/>
      <c r="AS286" s="22"/>
    </row>
    <row r="287" spans="1:50" hidden="1" x14ac:dyDescent="0.2">
      <c r="B287" s="1036" t="s">
        <v>906</v>
      </c>
      <c r="C287" s="727"/>
      <c r="D287" s="1013" t="s">
        <v>50</v>
      </c>
      <c r="E287" s="357" t="s">
        <v>908</v>
      </c>
      <c r="F287" s="357"/>
      <c r="G287" s="357" t="s">
        <v>169</v>
      </c>
      <c r="H287" s="476"/>
      <c r="I287" s="331">
        <v>1.4</v>
      </c>
      <c r="J287" s="331">
        <v>2.8</v>
      </c>
      <c r="K287" s="331">
        <v>2.8</v>
      </c>
      <c r="L287" s="331">
        <v>1.4</v>
      </c>
      <c r="M287" s="331">
        <v>2.8</v>
      </c>
      <c r="N287" s="331">
        <v>15.3</v>
      </c>
      <c r="O287" s="331">
        <v>1.4</v>
      </c>
      <c r="P287" s="331">
        <v>12.5</v>
      </c>
      <c r="Q287" s="331">
        <v>12.5</v>
      </c>
      <c r="R287" s="331">
        <v>4.2</v>
      </c>
      <c r="S287" s="331">
        <v>0</v>
      </c>
      <c r="T287" s="331">
        <v>0</v>
      </c>
      <c r="U287" s="476"/>
      <c r="V287" s="20"/>
      <c r="X287" s="16"/>
      <c r="Y287" s="20"/>
      <c r="Z287" s="5"/>
      <c r="AA287" s="5"/>
      <c r="AB287" s="5"/>
      <c r="AC287" s="5"/>
      <c r="AD287" s="5"/>
      <c r="AE287" s="5"/>
      <c r="AF287" s="5"/>
      <c r="AG287" s="5"/>
      <c r="AH287" s="5"/>
      <c r="AI287" s="5"/>
      <c r="AJ287" s="5"/>
      <c r="AK287" s="5"/>
      <c r="AL287" s="5"/>
      <c r="AM287" s="5"/>
      <c r="AN287" s="5"/>
      <c r="AO287" s="5"/>
      <c r="AP287" s="5"/>
      <c r="AQ287" s="5"/>
      <c r="AR287" s="5"/>
      <c r="AS287" s="437"/>
    </row>
    <row r="288" spans="1:50" hidden="1" x14ac:dyDescent="0.2">
      <c r="B288" s="1036" t="s">
        <v>906</v>
      </c>
      <c r="C288" s="727"/>
      <c r="D288" s="1012"/>
      <c r="E288" s="391" t="s">
        <v>909</v>
      </c>
      <c r="F288" s="391"/>
      <c r="G288" s="391"/>
      <c r="H288" s="544"/>
      <c r="I288" s="544"/>
      <c r="J288" s="544"/>
      <c r="K288" s="544"/>
      <c r="L288" s="544"/>
      <c r="M288" s="544"/>
      <c r="N288" s="544"/>
      <c r="O288" s="544"/>
      <c r="P288" s="544"/>
      <c r="Q288" s="544"/>
      <c r="R288" s="544"/>
      <c r="S288" s="544"/>
      <c r="T288" s="525"/>
      <c r="U288" s="544"/>
      <c r="V288" s="16"/>
      <c r="X288" s="16"/>
      <c r="Y288" s="20"/>
      <c r="Z288" s="5"/>
      <c r="AA288" s="5"/>
      <c r="AB288" s="5"/>
      <c r="AC288" s="5"/>
      <c r="AD288" s="5"/>
      <c r="AE288" s="5"/>
      <c r="AF288" s="5"/>
      <c r="AG288" s="5"/>
      <c r="AH288" s="5"/>
      <c r="AI288" s="5"/>
      <c r="AJ288" s="5"/>
      <c r="AK288" s="5"/>
      <c r="AL288" s="5"/>
      <c r="AM288" s="5"/>
      <c r="AN288" s="5"/>
      <c r="AO288" s="5"/>
      <c r="AP288" s="5"/>
      <c r="AQ288" s="5"/>
      <c r="AR288" s="5"/>
      <c r="AS288" s="22"/>
    </row>
    <row r="289" spans="1:50" hidden="1" x14ac:dyDescent="0.2">
      <c r="B289" s="1036" t="s">
        <v>906</v>
      </c>
      <c r="C289" s="727"/>
      <c r="D289" s="1012"/>
      <c r="E289" s="5"/>
      <c r="F289" s="5"/>
      <c r="G289" s="5"/>
      <c r="H289" s="16"/>
      <c r="I289" s="16"/>
      <c r="J289" s="16"/>
      <c r="K289" s="16"/>
      <c r="L289" s="16"/>
      <c r="M289" s="16"/>
      <c r="N289" s="16"/>
      <c r="O289" s="16"/>
      <c r="P289" s="16"/>
      <c r="Q289" s="16"/>
      <c r="R289" s="16"/>
      <c r="S289" s="16"/>
      <c r="T289" s="16"/>
      <c r="U289" s="16"/>
      <c r="V289" s="16"/>
      <c r="X289" s="16"/>
      <c r="Y289" s="20"/>
      <c r="Z289" s="5"/>
      <c r="AA289" s="5"/>
      <c r="AB289" s="5"/>
      <c r="AC289" s="5"/>
      <c r="AD289" s="5"/>
      <c r="AE289" s="5"/>
      <c r="AF289" s="5"/>
      <c r="AG289" s="5"/>
      <c r="AH289" s="5"/>
      <c r="AI289" s="5"/>
      <c r="AJ289" s="5"/>
      <c r="AK289" s="5"/>
      <c r="AL289" s="5"/>
      <c r="AM289" s="5"/>
      <c r="AN289" s="5"/>
      <c r="AO289" s="5"/>
      <c r="AP289" s="5"/>
      <c r="AQ289" s="5"/>
      <c r="AR289" s="5"/>
      <c r="AS289" s="22"/>
    </row>
    <row r="290" spans="1:50" hidden="1" x14ac:dyDescent="0.2">
      <c r="B290" s="1036" t="s">
        <v>906</v>
      </c>
      <c r="C290" s="727"/>
      <c r="D290" s="1012"/>
      <c r="E290" s="5"/>
      <c r="F290" s="5"/>
      <c r="G290" s="5"/>
      <c r="H290" s="16"/>
      <c r="I290" s="16"/>
      <c r="J290" s="16"/>
      <c r="K290" s="16"/>
      <c r="L290" s="16"/>
      <c r="M290" s="16"/>
      <c r="N290" s="16"/>
      <c r="O290" s="16"/>
      <c r="P290" s="16"/>
      <c r="Q290" s="16"/>
      <c r="R290" s="16"/>
      <c r="S290" s="16"/>
      <c r="T290" s="16"/>
      <c r="U290" s="16"/>
      <c r="V290" s="16"/>
      <c r="X290" s="16"/>
      <c r="Y290" s="20"/>
      <c r="Z290" s="5"/>
      <c r="AA290" s="5"/>
      <c r="AB290" s="5"/>
      <c r="AC290" s="5"/>
      <c r="AD290" s="5"/>
      <c r="AE290" s="5"/>
      <c r="AF290" s="5"/>
      <c r="AG290" s="5"/>
      <c r="AH290" s="5"/>
      <c r="AI290" s="5"/>
      <c r="AJ290" s="5"/>
      <c r="AK290" s="5"/>
      <c r="AL290" s="5"/>
      <c r="AM290" s="5"/>
      <c r="AN290" s="5"/>
      <c r="AO290" s="5"/>
      <c r="AP290" s="5"/>
      <c r="AQ290" s="5"/>
      <c r="AR290" s="5"/>
      <c r="AS290" s="22"/>
    </row>
    <row r="291" spans="1:50" ht="21" hidden="1" x14ac:dyDescent="0.2">
      <c r="B291" s="1036" t="s">
        <v>906</v>
      </c>
      <c r="C291" s="727"/>
      <c r="D291" s="1012"/>
      <c r="E291" s="240" t="s">
        <v>910</v>
      </c>
      <c r="F291" s="240"/>
      <c r="G291" s="240"/>
      <c r="H291" s="240"/>
      <c r="I291" s="240"/>
      <c r="J291" s="240"/>
      <c r="K291" s="240"/>
      <c r="L291" s="240"/>
      <c r="M291" s="240"/>
      <c r="N291" s="240"/>
      <c r="O291" s="240"/>
      <c r="P291" s="240"/>
      <c r="Q291" s="240"/>
      <c r="R291" s="240"/>
      <c r="S291" s="240"/>
      <c r="T291" s="240"/>
      <c r="U291" s="240"/>
      <c r="V291" s="16"/>
      <c r="X291" s="5"/>
      <c r="Y291" s="20"/>
      <c r="Z291" s="5"/>
      <c r="AA291" s="5"/>
      <c r="AB291" s="5"/>
      <c r="AC291" s="5"/>
      <c r="AD291" s="5"/>
      <c r="AE291" s="5"/>
      <c r="AF291" s="5"/>
      <c r="AG291" s="5"/>
      <c r="AH291" s="5"/>
      <c r="AI291" s="5"/>
      <c r="AJ291" s="5"/>
      <c r="AK291" s="5"/>
      <c r="AL291" s="5"/>
      <c r="AM291" s="5"/>
      <c r="AN291" s="5"/>
      <c r="AO291" s="5"/>
      <c r="AP291" s="5"/>
      <c r="AQ291" s="5"/>
      <c r="AR291" s="5"/>
    </row>
    <row r="292" spans="1:50" hidden="1" x14ac:dyDescent="0.2">
      <c r="B292" s="1036" t="s">
        <v>906</v>
      </c>
      <c r="C292" s="727"/>
      <c r="D292" s="1013"/>
      <c r="E292" s="386" t="s">
        <v>491</v>
      </c>
      <c r="F292" s="386"/>
      <c r="G292" s="386" t="s">
        <v>423</v>
      </c>
      <c r="H292" s="387"/>
      <c r="I292" s="387">
        <f t="shared" ref="I292:T292" ca="1" si="68">OFFSET(I292,0,-1)+1</f>
        <v>1</v>
      </c>
      <c r="J292" s="387">
        <f t="shared" ca="1" si="68"/>
        <v>2</v>
      </c>
      <c r="K292" s="387">
        <f t="shared" ca="1" si="68"/>
        <v>3</v>
      </c>
      <c r="L292" s="387">
        <f t="shared" ca="1" si="68"/>
        <v>4</v>
      </c>
      <c r="M292" s="387">
        <f t="shared" ca="1" si="68"/>
        <v>5</v>
      </c>
      <c r="N292" s="387">
        <f t="shared" ca="1" si="68"/>
        <v>6</v>
      </c>
      <c r="O292" s="387">
        <f t="shared" ca="1" si="68"/>
        <v>7</v>
      </c>
      <c r="P292" s="387">
        <f t="shared" ca="1" si="68"/>
        <v>8</v>
      </c>
      <c r="Q292" s="387">
        <f t="shared" ca="1" si="68"/>
        <v>9</v>
      </c>
      <c r="R292" s="387">
        <f t="shared" ca="1" si="68"/>
        <v>10</v>
      </c>
      <c r="S292" s="387">
        <f t="shared" ca="1" si="68"/>
        <v>11</v>
      </c>
      <c r="T292" s="387">
        <f t="shared" ca="1" si="68"/>
        <v>12</v>
      </c>
      <c r="U292" s="387"/>
      <c r="V292" s="61"/>
      <c r="X292" s="61"/>
      <c r="Y292" s="20"/>
      <c r="Z292" s="5"/>
      <c r="AA292" s="5"/>
      <c r="AB292" s="5"/>
      <c r="AC292" s="5"/>
      <c r="AD292" s="5"/>
      <c r="AE292" s="5"/>
      <c r="AF292" s="5"/>
      <c r="AG292" s="5"/>
      <c r="AH292" s="5"/>
      <c r="AI292" s="5"/>
      <c r="AJ292" s="5"/>
      <c r="AK292" s="5"/>
      <c r="AL292" s="5"/>
      <c r="AM292" s="5"/>
      <c r="AN292" s="5"/>
      <c r="AO292" s="5"/>
      <c r="AP292" s="5"/>
      <c r="AQ292" s="5"/>
      <c r="AR292" s="5"/>
    </row>
    <row r="293" spans="1:50" s="2" customFormat="1" ht="18.75" hidden="1" x14ac:dyDescent="0.2">
      <c r="A293" s="309"/>
      <c r="B293" s="1036" t="s">
        <v>906</v>
      </c>
      <c r="C293" s="727"/>
      <c r="D293" s="1017"/>
      <c r="E293" s="382" t="s">
        <v>911</v>
      </c>
      <c r="F293" s="383"/>
      <c r="G293" s="382"/>
      <c r="H293" s="384"/>
      <c r="I293" s="385"/>
      <c r="J293" s="384"/>
      <c r="K293" s="9"/>
      <c r="L293" s="9"/>
      <c r="M293" s="9"/>
      <c r="N293" s="9"/>
      <c r="O293" s="9"/>
      <c r="P293" s="9"/>
      <c r="Q293" s="9"/>
      <c r="R293" s="9"/>
      <c r="S293" s="4"/>
      <c r="T293" s="4"/>
      <c r="AC293" s="4"/>
      <c r="AD293" s="8"/>
      <c r="AE293" s="4"/>
      <c r="AF293" s="4"/>
      <c r="AG293" s="4"/>
      <c r="AH293" s="4"/>
      <c r="AI293" s="4"/>
      <c r="AJ293" s="4"/>
      <c r="AK293" s="4"/>
      <c r="AL293" s="4"/>
      <c r="AM293" s="4"/>
      <c r="AN293" s="4"/>
      <c r="AO293" s="4"/>
      <c r="AP293" s="4"/>
      <c r="AQ293" s="4"/>
      <c r="AR293" s="4"/>
      <c r="AS293" s="4"/>
      <c r="AT293" s="4"/>
      <c r="AU293" s="4"/>
      <c r="AV293" s="4"/>
      <c r="AW293" s="4"/>
      <c r="AX293" s="22"/>
    </row>
    <row r="294" spans="1:50" ht="25.5" hidden="1" x14ac:dyDescent="0.2">
      <c r="B294" s="1036" t="s">
        <v>906</v>
      </c>
      <c r="C294" s="727"/>
      <c r="D294" s="1012"/>
      <c r="E294" s="395" t="s">
        <v>124</v>
      </c>
      <c r="F294" s="396"/>
      <c r="G294" s="395" t="s">
        <v>70</v>
      </c>
      <c r="H294" s="408"/>
      <c r="I294" s="477" t="str">
        <f>I$272</f>
        <v>kantoor</v>
      </c>
      <c r="J294" s="477" t="str">
        <f t="shared" ref="J294:T294" si="69">J$272</f>
        <v>bijeenkomst overig</v>
      </c>
      <c r="K294" s="477" t="str">
        <f t="shared" si="69"/>
        <v>bijeenkomst kinderopvang</v>
      </c>
      <c r="L294" s="477" t="str">
        <f t="shared" si="69"/>
        <v>onderwijs</v>
      </c>
      <c r="M294" s="477" t="str">
        <f t="shared" si="69"/>
        <v>gezondheid overig</v>
      </c>
      <c r="N294" s="477" t="str">
        <f t="shared" si="69"/>
        <v>gezondheid met bed</v>
      </c>
      <c r="O294" s="477" t="str">
        <f t="shared" si="69"/>
        <v>winkel</v>
      </c>
      <c r="P294" s="477" t="str">
        <f t="shared" si="69"/>
        <v>sport</v>
      </c>
      <c r="Q294" s="477" t="str">
        <f t="shared" si="69"/>
        <v>logies</v>
      </c>
      <c r="R294" s="477" t="str">
        <f t="shared" si="69"/>
        <v>cellengebouw</v>
      </c>
      <c r="S294" s="477" t="str">
        <f t="shared" si="69"/>
        <v>woning</v>
      </c>
      <c r="T294" s="477" t="str">
        <f t="shared" si="69"/>
        <v>woongebouw</v>
      </c>
      <c r="U294" s="408"/>
      <c r="V294" s="20"/>
      <c r="X294" s="16"/>
      <c r="Y294" s="20"/>
      <c r="Z294" s="5"/>
      <c r="AA294" s="5"/>
      <c r="AB294" s="5"/>
      <c r="AC294" s="5"/>
      <c r="AD294" s="5"/>
      <c r="AE294" s="5"/>
      <c r="AF294" s="5"/>
      <c r="AG294" s="5"/>
      <c r="AH294" s="5"/>
      <c r="AI294" s="5"/>
      <c r="AJ294" s="5"/>
      <c r="AK294" s="5"/>
      <c r="AL294" s="5"/>
      <c r="AM294" s="5"/>
      <c r="AN294" s="5"/>
      <c r="AO294" s="5"/>
      <c r="AP294" s="5"/>
      <c r="AQ294" s="5"/>
      <c r="AR294" s="5"/>
      <c r="AS294" s="22"/>
    </row>
    <row r="295" spans="1:50" hidden="1" x14ac:dyDescent="0.2">
      <c r="B295" s="1036" t="s">
        <v>906</v>
      </c>
      <c r="C295" s="727"/>
      <c r="D295" s="1012"/>
      <c r="E295" s="395" t="s">
        <v>912</v>
      </c>
      <c r="F295" s="396"/>
      <c r="G295" s="395" t="s">
        <v>152</v>
      </c>
      <c r="H295" s="408"/>
      <c r="I295" s="518">
        <v>4</v>
      </c>
      <c r="J295" s="518">
        <v>1</v>
      </c>
      <c r="K295" s="518">
        <v>1</v>
      </c>
      <c r="L295" s="518">
        <v>2</v>
      </c>
      <c r="M295" s="518">
        <v>3</v>
      </c>
      <c r="N295" s="518">
        <v>4</v>
      </c>
      <c r="O295" s="518">
        <v>3</v>
      </c>
      <c r="P295" s="518">
        <v>1</v>
      </c>
      <c r="Q295" s="518">
        <v>2</v>
      </c>
      <c r="R295" s="518">
        <v>2</v>
      </c>
      <c r="S295" s="518">
        <v>0</v>
      </c>
      <c r="T295" s="518">
        <v>0</v>
      </c>
      <c r="U295" s="408"/>
      <c r="V295" s="20"/>
      <c r="X295" s="16"/>
      <c r="Y295" s="20"/>
      <c r="Z295" s="5"/>
      <c r="AA295" s="5"/>
      <c r="AB295" s="5"/>
      <c r="AC295" s="5"/>
      <c r="AD295" s="5"/>
      <c r="AE295" s="5"/>
      <c r="AF295" s="5"/>
      <c r="AG295" s="5"/>
      <c r="AH295" s="5"/>
      <c r="AI295" s="5"/>
      <c r="AJ295" s="5"/>
      <c r="AK295" s="5"/>
      <c r="AL295" s="5"/>
      <c r="AM295" s="5"/>
      <c r="AN295" s="5"/>
      <c r="AO295" s="5"/>
      <c r="AP295" s="5"/>
      <c r="AQ295" s="5"/>
      <c r="AR295" s="5"/>
      <c r="AS295" s="22"/>
    </row>
    <row r="296" spans="1:50" hidden="1" x14ac:dyDescent="0.2">
      <c r="B296" s="1036" t="s">
        <v>906</v>
      </c>
      <c r="C296" s="727"/>
      <c r="D296" s="1012"/>
      <c r="E296" s="495" t="s">
        <v>913</v>
      </c>
      <c r="F296" s="396"/>
      <c r="G296" s="534" t="s">
        <v>169</v>
      </c>
      <c r="H296" s="408"/>
      <c r="I296" s="407">
        <f>I295*365*24/1000</f>
        <v>35.04</v>
      </c>
      <c r="J296" s="407">
        <f>J295*365*24/1000</f>
        <v>8.76</v>
      </c>
      <c r="K296" s="407">
        <f t="shared" ref="K296:Q296" si="70">K295*365*24/1000</f>
        <v>8.76</v>
      </c>
      <c r="L296" s="407">
        <f>L295*365*24/1000</f>
        <v>17.52</v>
      </c>
      <c r="M296" s="407">
        <f t="shared" si="70"/>
        <v>26.28</v>
      </c>
      <c r="N296" s="407">
        <f t="shared" si="70"/>
        <v>35.04</v>
      </c>
      <c r="O296" s="407">
        <f>O295*365*24/1000</f>
        <v>26.28</v>
      </c>
      <c r="P296" s="407">
        <f>P295*365*24/1000</f>
        <v>8.76</v>
      </c>
      <c r="Q296" s="407">
        <f t="shared" si="70"/>
        <v>17.52</v>
      </c>
      <c r="R296" s="407">
        <f>R295*365*24/1000</f>
        <v>17.52</v>
      </c>
      <c r="S296" s="407">
        <f>S295*365*24/1000</f>
        <v>0</v>
      </c>
      <c r="T296" s="407">
        <f>T295*365*24/1000</f>
        <v>0</v>
      </c>
      <c r="U296" s="408"/>
      <c r="V296" s="22"/>
      <c r="X296" s="16"/>
      <c r="Y296" s="20"/>
      <c r="Z296" s="5"/>
      <c r="AA296" s="5"/>
      <c r="AB296" s="5"/>
      <c r="AC296" s="5"/>
      <c r="AD296" s="5"/>
      <c r="AE296" s="5"/>
      <c r="AF296" s="5"/>
      <c r="AG296" s="5"/>
      <c r="AH296" s="5"/>
      <c r="AI296" s="5"/>
      <c r="AJ296" s="5"/>
      <c r="AK296" s="5"/>
      <c r="AL296" s="5"/>
      <c r="AM296" s="5"/>
      <c r="AN296" s="5"/>
      <c r="AO296" s="5"/>
      <c r="AP296" s="5"/>
      <c r="AQ296" s="5"/>
      <c r="AR296" s="5"/>
      <c r="AS296" s="22"/>
    </row>
    <row r="297" spans="1:50" hidden="1" x14ac:dyDescent="0.2">
      <c r="B297" s="1036" t="s">
        <v>906</v>
      </c>
      <c r="C297" s="727"/>
      <c r="D297" s="1012"/>
      <c r="E297" s="391" t="s">
        <v>914</v>
      </c>
      <c r="F297" s="391"/>
      <c r="G297" s="391"/>
      <c r="H297" s="544"/>
      <c r="I297" s="544"/>
      <c r="J297" s="544"/>
      <c r="K297" s="544"/>
      <c r="L297" s="544"/>
      <c r="M297" s="544"/>
      <c r="N297" s="544"/>
      <c r="O297" s="544"/>
      <c r="P297" s="544"/>
      <c r="Q297" s="544"/>
      <c r="R297" s="544"/>
      <c r="S297" s="544"/>
      <c r="T297" s="525"/>
      <c r="U297" s="544"/>
      <c r="V297" s="16"/>
      <c r="X297" s="16"/>
      <c r="Y297" s="20"/>
      <c r="Z297" s="5"/>
      <c r="AA297" s="5"/>
      <c r="AB297" s="5"/>
      <c r="AC297" s="5"/>
      <c r="AD297" s="5"/>
      <c r="AE297" s="5"/>
      <c r="AF297" s="5"/>
      <c r="AG297" s="5"/>
      <c r="AH297" s="5"/>
      <c r="AI297" s="5"/>
      <c r="AJ297" s="5"/>
      <c r="AK297" s="5"/>
      <c r="AL297" s="5"/>
      <c r="AM297" s="5"/>
      <c r="AN297" s="5"/>
      <c r="AO297" s="5"/>
      <c r="AP297" s="5"/>
      <c r="AQ297" s="5"/>
      <c r="AR297" s="5"/>
      <c r="AS297" s="22"/>
    </row>
    <row r="298" spans="1:50" hidden="1" x14ac:dyDescent="0.2">
      <c r="B298" s="1036" t="s">
        <v>906</v>
      </c>
      <c r="C298" s="727"/>
      <c r="D298" s="1012"/>
      <c r="E298" s="5"/>
      <c r="F298" s="5"/>
      <c r="G298" s="5"/>
      <c r="H298" s="16"/>
      <c r="I298" s="16"/>
      <c r="J298" s="16"/>
      <c r="K298" s="16"/>
      <c r="L298" s="16"/>
      <c r="M298" s="16"/>
      <c r="N298" s="16"/>
      <c r="O298" s="16"/>
      <c r="P298" s="16"/>
      <c r="Q298" s="16"/>
      <c r="R298" s="16"/>
      <c r="S298" s="16"/>
      <c r="T298" s="16"/>
      <c r="U298" s="16"/>
      <c r="V298" s="16"/>
      <c r="W298" s="16"/>
      <c r="X298" s="16"/>
      <c r="Y298" s="20"/>
      <c r="Z298" s="5"/>
      <c r="AA298" s="5"/>
      <c r="AB298" s="5"/>
      <c r="AC298" s="5"/>
      <c r="AD298" s="5"/>
      <c r="AE298" s="5"/>
      <c r="AF298" s="5"/>
      <c r="AG298" s="5"/>
      <c r="AH298" s="5"/>
      <c r="AI298" s="5"/>
      <c r="AJ298" s="5"/>
      <c r="AK298" s="5"/>
      <c r="AL298" s="5"/>
      <c r="AM298" s="5"/>
      <c r="AN298" s="5"/>
      <c r="AO298" s="5"/>
      <c r="AP298" s="5"/>
      <c r="AQ298" s="5"/>
      <c r="AR298" s="5"/>
      <c r="AS298" s="22"/>
    </row>
    <row r="299" spans="1:50" hidden="1" x14ac:dyDescent="0.2">
      <c r="B299" s="1036" t="s">
        <v>915</v>
      </c>
      <c r="C299" s="727"/>
      <c r="D299" s="1012"/>
      <c r="E299" s="5"/>
      <c r="F299" s="5"/>
      <c r="G299" s="5"/>
      <c r="H299" s="16"/>
      <c r="I299" s="16"/>
      <c r="J299" s="16"/>
      <c r="K299" s="16"/>
      <c r="L299" s="16"/>
      <c r="M299" s="16"/>
      <c r="N299" s="16"/>
      <c r="O299" s="16"/>
      <c r="P299" s="16"/>
      <c r="Q299" s="16"/>
      <c r="R299" s="16"/>
      <c r="S299" s="16"/>
      <c r="T299" s="16"/>
      <c r="U299" s="16"/>
      <c r="V299" s="16"/>
      <c r="W299" s="16"/>
      <c r="X299" s="16"/>
      <c r="Y299" s="20"/>
      <c r="Z299" s="5"/>
      <c r="AA299" s="5"/>
      <c r="AB299" s="5"/>
      <c r="AC299" s="5"/>
      <c r="AD299" s="5"/>
      <c r="AE299" s="5"/>
      <c r="AF299" s="5"/>
      <c r="AG299" s="5"/>
      <c r="AH299" s="5"/>
      <c r="AI299" s="5"/>
      <c r="AJ299" s="5"/>
      <c r="AK299" s="5"/>
      <c r="AL299" s="5"/>
      <c r="AM299" s="5"/>
      <c r="AN299" s="5"/>
      <c r="AO299" s="5"/>
      <c r="AP299" s="5"/>
      <c r="AQ299" s="5"/>
      <c r="AR299" s="5"/>
      <c r="AS299" s="22"/>
    </row>
    <row r="300" spans="1:50" ht="21" hidden="1" x14ac:dyDescent="0.2">
      <c r="B300" s="1036" t="s">
        <v>915</v>
      </c>
      <c r="C300" s="727"/>
      <c r="D300" s="1012"/>
      <c r="E300" s="240" t="s">
        <v>915</v>
      </c>
      <c r="F300" s="240"/>
      <c r="G300" s="240"/>
      <c r="H300" s="240"/>
      <c r="I300" s="240"/>
      <c r="J300" s="240"/>
      <c r="K300" s="5"/>
      <c r="L300" s="5"/>
      <c r="M300" s="5"/>
      <c r="N300" s="16"/>
      <c r="O300" s="5"/>
      <c r="P300" s="5"/>
      <c r="Q300" s="5"/>
      <c r="R300" s="5"/>
      <c r="S300" s="5"/>
      <c r="T300" s="5"/>
      <c r="U300" s="5"/>
      <c r="V300" s="5"/>
      <c r="W300" s="5"/>
      <c r="X300" s="20"/>
      <c r="Y300" s="5"/>
      <c r="Z300" s="5"/>
      <c r="AA300" s="5"/>
      <c r="AB300" s="5"/>
      <c r="AC300" s="5"/>
      <c r="AD300" s="5"/>
      <c r="AE300" s="5"/>
      <c r="AF300" s="5"/>
      <c r="AG300" s="5"/>
      <c r="AH300" s="5"/>
      <c r="AI300" s="5"/>
      <c r="AJ300" s="5"/>
      <c r="AK300" s="5"/>
      <c r="AL300" s="5"/>
      <c r="AM300" s="5"/>
      <c r="AN300" s="5"/>
      <c r="AO300" s="5"/>
      <c r="AP300" s="5"/>
      <c r="AQ300" s="5"/>
      <c r="AR300" s="437"/>
      <c r="AS300" s="22"/>
    </row>
    <row r="301" spans="1:50" hidden="1" x14ac:dyDescent="0.2">
      <c r="B301" s="1036" t="s">
        <v>915</v>
      </c>
      <c r="C301" s="727"/>
      <c r="D301" s="1012"/>
      <c r="E301" s="386" t="s">
        <v>491</v>
      </c>
      <c r="F301" s="386"/>
      <c r="G301" s="386" t="s">
        <v>423</v>
      </c>
      <c r="H301" s="387"/>
      <c r="I301" s="387">
        <f ca="1">OFFSET(I301,0,-1)+1</f>
        <v>1</v>
      </c>
      <c r="J301" s="387"/>
      <c r="K301" s="16"/>
      <c r="L301" s="16"/>
      <c r="M301" s="5"/>
      <c r="N301" s="16"/>
      <c r="O301" s="16"/>
      <c r="P301" s="16"/>
      <c r="Q301" s="16"/>
      <c r="R301" s="16"/>
      <c r="S301" s="16"/>
      <c r="T301" s="16"/>
      <c r="U301" s="16"/>
      <c r="V301" s="16"/>
      <c r="W301" s="16"/>
      <c r="X301" s="20"/>
      <c r="Y301" s="16"/>
      <c r="Z301" s="5"/>
      <c r="AA301" s="5"/>
      <c r="AB301" s="5"/>
      <c r="AC301" s="5"/>
      <c r="AD301" s="5"/>
      <c r="AE301" s="5"/>
      <c r="AF301" s="5"/>
      <c r="AG301" s="5"/>
      <c r="AH301" s="5"/>
      <c r="AI301" s="5"/>
      <c r="AJ301" s="5"/>
      <c r="AK301" s="5"/>
      <c r="AL301" s="5"/>
      <c r="AM301" s="5"/>
      <c r="AN301" s="5"/>
      <c r="AO301" s="5"/>
      <c r="AP301" s="5"/>
      <c r="AQ301" s="5"/>
      <c r="AR301" s="22"/>
      <c r="AS301"/>
    </row>
    <row r="302" spans="1:50" ht="18.75" hidden="1" x14ac:dyDescent="0.2">
      <c r="B302" s="1036" t="s">
        <v>915</v>
      </c>
      <c r="C302" s="727"/>
      <c r="D302" s="1012"/>
      <c r="E302" s="403" t="s">
        <v>916</v>
      </c>
      <c r="F302" s="404"/>
      <c r="G302" s="405"/>
      <c r="H302" s="406"/>
      <c r="I302" s="406"/>
      <c r="J302" s="406"/>
      <c r="K302" s="20"/>
      <c r="L302" s="20"/>
      <c r="M302" s="20"/>
      <c r="N302" s="20"/>
      <c r="O302" s="20"/>
      <c r="P302" s="16"/>
      <c r="Q302" s="16"/>
      <c r="R302" s="16"/>
      <c r="S302" s="16"/>
      <c r="T302" s="16"/>
      <c r="U302" s="16"/>
      <c r="V302" s="16"/>
      <c r="W302" s="16"/>
      <c r="X302" s="20"/>
      <c r="Y302" s="16"/>
      <c r="Z302" s="5"/>
      <c r="AA302" s="5"/>
      <c r="AB302" s="5"/>
      <c r="AC302" s="5"/>
      <c r="AD302" s="5"/>
      <c r="AE302" s="5"/>
      <c r="AF302" s="5"/>
      <c r="AG302" s="5"/>
      <c r="AH302" s="5"/>
      <c r="AI302" s="5"/>
      <c r="AJ302" s="5"/>
      <c r="AK302" s="5"/>
      <c r="AL302" s="5"/>
      <c r="AM302" s="5"/>
      <c r="AN302" s="5"/>
      <c r="AO302" s="5"/>
      <c r="AP302" s="5"/>
      <c r="AQ302" s="5"/>
      <c r="AR302" s="22"/>
      <c r="AS302"/>
    </row>
    <row r="303" spans="1:50" hidden="1" x14ac:dyDescent="0.2">
      <c r="B303" s="1036" t="s">
        <v>915</v>
      </c>
      <c r="C303" s="727"/>
      <c r="D303" s="1012"/>
      <c r="E303" s="695" t="s">
        <v>917</v>
      </c>
      <c r="F303" s="396" t="s">
        <v>918</v>
      </c>
      <c r="G303" s="395" t="s">
        <v>919</v>
      </c>
      <c r="H303" s="408"/>
      <c r="I303" s="409">
        <v>211</v>
      </c>
      <c r="J303" s="408"/>
      <c r="K303" s="20"/>
      <c r="L303" s="20"/>
      <c r="M303" s="20"/>
      <c r="N303" s="16"/>
      <c r="O303" s="20"/>
      <c r="P303" s="16"/>
      <c r="Q303" s="16"/>
      <c r="R303" s="16"/>
      <c r="S303" s="16"/>
      <c r="T303" s="16"/>
      <c r="U303" s="16"/>
      <c r="V303" s="16"/>
      <c r="W303" s="16"/>
      <c r="X303" s="20"/>
      <c r="Y303" s="16"/>
      <c r="Z303" s="5"/>
      <c r="AA303" s="5"/>
      <c r="AB303" s="5"/>
      <c r="AC303" s="5"/>
      <c r="AD303" s="5"/>
      <c r="AE303" s="5"/>
      <c r="AF303" s="5"/>
      <c r="AG303" s="5"/>
      <c r="AH303" s="5"/>
      <c r="AI303" s="5"/>
      <c r="AJ303" s="5"/>
      <c r="AK303" s="5"/>
      <c r="AL303" s="5"/>
      <c r="AM303" s="5"/>
      <c r="AN303" s="5"/>
      <c r="AO303" s="5"/>
      <c r="AP303" s="5"/>
      <c r="AQ303" s="5"/>
      <c r="AR303" s="379"/>
      <c r="AS303"/>
    </row>
    <row r="304" spans="1:50" hidden="1" x14ac:dyDescent="0.2">
      <c r="B304" s="1036" t="s">
        <v>915</v>
      </c>
      <c r="C304" s="727"/>
      <c r="D304" s="1012"/>
      <c r="E304" s="694"/>
      <c r="F304" s="696" t="s">
        <v>920</v>
      </c>
      <c r="G304" s="395" t="s">
        <v>169</v>
      </c>
      <c r="H304" s="408"/>
      <c r="I304" s="546">
        <f>koken_elektriciteit/$I$317</f>
        <v>1.7756458806698645</v>
      </c>
      <c r="J304" s="408"/>
      <c r="K304" s="20"/>
      <c r="L304" s="20"/>
      <c r="M304" s="20"/>
      <c r="N304" s="16"/>
      <c r="O304" s="20"/>
      <c r="P304" s="16"/>
      <c r="Q304" s="16"/>
      <c r="R304" s="16"/>
      <c r="S304" s="16"/>
      <c r="T304" s="16"/>
      <c r="U304" s="16"/>
      <c r="V304" s="16"/>
      <c r="W304" s="16"/>
      <c r="X304" s="20"/>
      <c r="Y304" s="16"/>
      <c r="Z304" s="5"/>
      <c r="AA304" s="5"/>
      <c r="AB304" s="5"/>
      <c r="AC304" s="5"/>
      <c r="AD304" s="5"/>
      <c r="AE304" s="5"/>
      <c r="AF304" s="5"/>
      <c r="AG304" s="5"/>
      <c r="AH304" s="5"/>
      <c r="AI304" s="5"/>
      <c r="AJ304" s="5"/>
      <c r="AK304" s="5"/>
      <c r="AL304" s="5"/>
      <c r="AM304" s="5"/>
      <c r="AN304" s="5"/>
      <c r="AO304" s="5"/>
      <c r="AP304" s="5"/>
      <c r="AQ304" s="5"/>
      <c r="AR304" s="379"/>
      <c r="AS304"/>
    </row>
    <row r="305" spans="2:45" hidden="1" x14ac:dyDescent="0.2">
      <c r="B305" s="1036" t="s">
        <v>915</v>
      </c>
      <c r="C305" s="727"/>
      <c r="D305" s="1012"/>
      <c r="E305" s="697"/>
      <c r="F305" s="696" t="s">
        <v>208</v>
      </c>
      <c r="G305" s="395" t="s">
        <v>70</v>
      </c>
      <c r="H305" s="408"/>
      <c r="I305" s="698" t="str">
        <f>elektriciteit</f>
        <v>elektriciteit</v>
      </c>
      <c r="J305" s="408"/>
      <c r="K305" s="20"/>
      <c r="L305" s="20"/>
      <c r="M305" s="20"/>
      <c r="N305" s="16"/>
      <c r="O305" s="20"/>
      <c r="P305" s="16"/>
      <c r="Q305" s="16"/>
      <c r="R305" s="16"/>
      <c r="S305" s="16"/>
      <c r="T305" s="16"/>
      <c r="U305" s="16"/>
      <c r="V305" s="16"/>
      <c r="W305" s="16"/>
      <c r="X305" s="20"/>
      <c r="Y305" s="16"/>
      <c r="Z305" s="5"/>
      <c r="AA305" s="5"/>
      <c r="AB305" s="5"/>
      <c r="AC305" s="5"/>
      <c r="AD305" s="5"/>
      <c r="AE305" s="5"/>
      <c r="AF305" s="5"/>
      <c r="AG305" s="5"/>
      <c r="AH305" s="5"/>
      <c r="AI305" s="5"/>
      <c r="AJ305" s="5"/>
      <c r="AK305" s="5"/>
      <c r="AL305" s="5"/>
      <c r="AM305" s="5"/>
      <c r="AN305" s="5"/>
      <c r="AO305" s="5"/>
      <c r="AP305" s="5"/>
      <c r="AQ305" s="5"/>
      <c r="AR305" s="379"/>
      <c r="AS305"/>
    </row>
    <row r="306" spans="2:45" hidden="1" x14ac:dyDescent="0.2">
      <c r="B306" s="1036" t="s">
        <v>915</v>
      </c>
      <c r="C306" s="727"/>
      <c r="D306" s="1012"/>
      <c r="E306" s="695" t="s">
        <v>921</v>
      </c>
      <c r="F306" s="396" t="s">
        <v>922</v>
      </c>
      <c r="G306" s="395" t="s">
        <v>923</v>
      </c>
      <c r="H306" s="408"/>
      <c r="I306" s="409">
        <v>39</v>
      </c>
      <c r="J306" s="408"/>
      <c r="K306" s="20"/>
      <c r="L306" s="20"/>
      <c r="M306" s="20"/>
      <c r="N306" s="16"/>
      <c r="O306" s="20"/>
      <c r="P306" s="16"/>
      <c r="Q306" s="16"/>
      <c r="R306" s="16"/>
      <c r="S306" s="16"/>
      <c r="T306" s="16"/>
      <c r="U306" s="16"/>
      <c r="V306" s="16"/>
      <c r="W306" s="16"/>
      <c r="X306" s="20"/>
      <c r="Y306" s="16"/>
      <c r="Z306" s="5"/>
      <c r="AA306" s="5"/>
      <c r="AB306" s="5"/>
      <c r="AC306" s="5"/>
      <c r="AD306" s="5"/>
      <c r="AE306" s="5"/>
      <c r="AF306" s="5"/>
      <c r="AG306" s="5"/>
      <c r="AH306" s="5"/>
      <c r="AI306" s="5"/>
      <c r="AJ306" s="5"/>
      <c r="AK306" s="5"/>
      <c r="AL306" s="5"/>
      <c r="AM306" s="5"/>
      <c r="AN306" s="5"/>
      <c r="AO306" s="5"/>
      <c r="AP306" s="5"/>
      <c r="AQ306" s="5"/>
      <c r="AR306" s="379"/>
      <c r="AS306"/>
    </row>
    <row r="307" spans="2:45" hidden="1" x14ac:dyDescent="0.2">
      <c r="B307" s="1036" t="s">
        <v>915</v>
      </c>
      <c r="C307" s="727"/>
      <c r="D307" s="1012"/>
      <c r="E307" s="694"/>
      <c r="F307" s="396" t="s">
        <v>924</v>
      </c>
      <c r="G307" s="395" t="s">
        <v>919</v>
      </c>
      <c r="H307" s="408"/>
      <c r="I307" s="698">
        <f>I306*$I$530</f>
        <v>381.00833333333333</v>
      </c>
      <c r="J307" s="408"/>
      <c r="K307" s="20"/>
      <c r="L307" s="20"/>
      <c r="M307" s="20"/>
      <c r="N307" s="16"/>
      <c r="O307" s="20"/>
      <c r="P307" s="16"/>
      <c r="Q307" s="16"/>
      <c r="R307" s="16"/>
      <c r="S307" s="16"/>
      <c r="T307" s="16"/>
      <c r="U307" s="16"/>
      <c r="V307" s="16"/>
      <c r="W307" s="16"/>
      <c r="X307" s="20"/>
      <c r="Y307" s="16"/>
      <c r="Z307" s="5"/>
      <c r="AA307" s="5"/>
      <c r="AB307" s="5"/>
      <c r="AC307" s="5"/>
      <c r="AD307" s="5"/>
      <c r="AE307" s="5"/>
      <c r="AF307" s="5"/>
      <c r="AG307" s="5"/>
      <c r="AH307" s="5"/>
      <c r="AI307" s="5"/>
      <c r="AJ307" s="5"/>
      <c r="AK307" s="5"/>
      <c r="AL307" s="5"/>
      <c r="AM307" s="5"/>
      <c r="AN307" s="5"/>
      <c r="AO307" s="5"/>
      <c r="AP307" s="5"/>
      <c r="AQ307" s="5"/>
      <c r="AR307" s="379"/>
      <c r="AS307"/>
    </row>
    <row r="308" spans="2:45" hidden="1" x14ac:dyDescent="0.2">
      <c r="B308" s="1036" t="s">
        <v>915</v>
      </c>
      <c r="C308" s="727"/>
      <c r="D308" s="1012"/>
      <c r="E308" s="694"/>
      <c r="F308" s="696" t="s">
        <v>920</v>
      </c>
      <c r="G308" s="395" t="s">
        <v>169</v>
      </c>
      <c r="H308" s="408"/>
      <c r="I308" s="546">
        <f>koken_gas/$I$317</f>
        <v>3.2063311733849478</v>
      </c>
      <c r="J308" s="408"/>
      <c r="K308" s="20"/>
      <c r="L308" s="20"/>
      <c r="M308" s="20"/>
      <c r="N308" s="16"/>
      <c r="O308" s="20"/>
      <c r="P308" s="16"/>
      <c r="Q308" s="16"/>
      <c r="R308" s="16"/>
      <c r="S308" s="16"/>
      <c r="T308" s="16"/>
      <c r="U308" s="16"/>
      <c r="V308" s="16"/>
      <c r="W308" s="16"/>
      <c r="X308" s="20"/>
      <c r="Y308" s="16"/>
      <c r="Z308" s="5"/>
      <c r="AA308" s="5"/>
      <c r="AB308" s="5"/>
      <c r="AC308" s="5"/>
      <c r="AD308" s="5"/>
      <c r="AE308" s="5"/>
      <c r="AF308" s="5"/>
      <c r="AG308" s="5"/>
      <c r="AH308" s="5"/>
      <c r="AI308" s="5"/>
      <c r="AJ308" s="5"/>
      <c r="AK308" s="5"/>
      <c r="AL308" s="5"/>
      <c r="AM308" s="5"/>
      <c r="AN308" s="5"/>
      <c r="AO308" s="5"/>
      <c r="AP308" s="5"/>
      <c r="AQ308" s="5"/>
      <c r="AR308" s="379"/>
      <c r="AS308"/>
    </row>
    <row r="309" spans="2:45" hidden="1" x14ac:dyDescent="0.2">
      <c r="B309" s="1036" t="s">
        <v>915</v>
      </c>
      <c r="C309" s="727"/>
      <c r="D309" s="1012"/>
      <c r="E309" s="697"/>
      <c r="F309" s="696" t="s">
        <v>208</v>
      </c>
      <c r="G309" s="395" t="s">
        <v>70</v>
      </c>
      <c r="H309" s="408"/>
      <c r="I309" s="698" t="str">
        <f>aardgas</f>
        <v>aardgas</v>
      </c>
      <c r="J309" s="408"/>
      <c r="K309" s="20"/>
      <c r="L309" s="20"/>
      <c r="M309" s="20"/>
      <c r="N309" s="16"/>
      <c r="O309" s="20"/>
      <c r="P309" s="16"/>
      <c r="Q309" s="16"/>
      <c r="R309" s="16"/>
      <c r="S309" s="16"/>
      <c r="T309" s="16"/>
      <c r="U309" s="16"/>
      <c r="V309" s="16"/>
      <c r="W309" s="16"/>
      <c r="X309" s="20"/>
      <c r="Y309" s="16"/>
      <c r="Z309" s="5"/>
      <c r="AA309" s="5"/>
      <c r="AB309" s="5"/>
      <c r="AC309" s="5"/>
      <c r="AD309" s="5"/>
      <c r="AE309" s="5"/>
      <c r="AF309" s="5"/>
      <c r="AG309" s="5"/>
      <c r="AH309" s="5"/>
      <c r="AI309" s="5"/>
      <c r="AJ309" s="5"/>
      <c r="AK309" s="5"/>
      <c r="AL309" s="5"/>
      <c r="AM309" s="5"/>
      <c r="AN309" s="5"/>
      <c r="AO309" s="5"/>
      <c r="AP309" s="5"/>
      <c r="AQ309" s="5"/>
      <c r="AR309" s="379"/>
      <c r="AS309"/>
    </row>
    <row r="310" spans="2:45" hidden="1" x14ac:dyDescent="0.2">
      <c r="B310" s="1036" t="s">
        <v>915</v>
      </c>
      <c r="C310" s="727"/>
      <c r="D310" s="1012"/>
      <c r="E310" s="789" t="s">
        <v>925</v>
      </c>
      <c r="F310" s="391"/>
      <c r="G310" s="391"/>
      <c r="H310" s="391"/>
      <c r="I310" s="544"/>
      <c r="J310" s="544"/>
      <c r="K310" s="20"/>
      <c r="L310" s="20"/>
      <c r="M310" s="20"/>
      <c r="N310" s="16"/>
      <c r="O310" s="20"/>
      <c r="P310" s="16"/>
      <c r="Q310" s="16"/>
      <c r="R310" s="16"/>
      <c r="S310" s="16"/>
      <c r="T310" s="16"/>
      <c r="U310" s="16"/>
      <c r="V310" s="16"/>
      <c r="W310" s="16"/>
      <c r="X310" s="20"/>
      <c r="Y310" s="16"/>
      <c r="Z310" s="5"/>
      <c r="AA310" s="5"/>
      <c r="AB310" s="5"/>
      <c r="AC310" s="5"/>
      <c r="AD310" s="5"/>
      <c r="AE310" s="5"/>
      <c r="AF310" s="5"/>
      <c r="AG310" s="5"/>
      <c r="AH310" s="5"/>
      <c r="AI310" s="5"/>
      <c r="AJ310" s="5"/>
      <c r="AK310" s="5"/>
      <c r="AL310" s="5"/>
      <c r="AM310" s="5"/>
      <c r="AN310" s="5"/>
      <c r="AO310" s="5"/>
      <c r="AP310" s="5"/>
      <c r="AQ310" s="5"/>
      <c r="AR310" s="379"/>
      <c r="AS310"/>
    </row>
    <row r="311" spans="2:45" hidden="1" x14ac:dyDescent="0.2">
      <c r="B311" s="1036" t="s">
        <v>915</v>
      </c>
      <c r="C311" s="727"/>
      <c r="D311" s="1012"/>
      <c r="E311" s="5"/>
      <c r="F311" s="5"/>
      <c r="G311" s="5"/>
      <c r="H311" s="16"/>
      <c r="I311" s="16"/>
      <c r="J311" s="16"/>
      <c r="K311" s="16"/>
      <c r="L311" s="16"/>
      <c r="M311" s="16"/>
      <c r="N311" s="16"/>
      <c r="O311" s="16"/>
      <c r="P311" s="16"/>
      <c r="Q311" s="16"/>
      <c r="R311" s="16"/>
      <c r="S311" s="16"/>
      <c r="T311" s="16"/>
      <c r="U311" s="16"/>
      <c r="V311" s="16"/>
      <c r="W311" s="16"/>
      <c r="X311" s="16"/>
      <c r="Y311" s="20"/>
      <c r="Z311" s="5"/>
      <c r="AA311" s="5"/>
      <c r="AB311" s="5"/>
      <c r="AC311" s="5"/>
      <c r="AD311" s="5"/>
      <c r="AE311" s="5"/>
      <c r="AF311" s="5"/>
      <c r="AG311" s="5"/>
      <c r="AH311" s="5"/>
      <c r="AI311" s="5"/>
      <c r="AJ311" s="5"/>
      <c r="AK311" s="5"/>
      <c r="AL311" s="5"/>
      <c r="AM311" s="5"/>
      <c r="AN311" s="5"/>
      <c r="AO311" s="5"/>
      <c r="AP311" s="5"/>
      <c r="AQ311" s="5"/>
      <c r="AR311" s="5"/>
      <c r="AS311" s="22"/>
    </row>
    <row r="312" spans="2:45" hidden="1" x14ac:dyDescent="0.2">
      <c r="B312" s="1036" t="s">
        <v>926</v>
      </c>
      <c r="C312" s="727"/>
      <c r="D312" s="1012"/>
      <c r="E312" s="5"/>
      <c r="F312" s="5"/>
      <c r="G312" s="5"/>
      <c r="H312" s="16"/>
      <c r="I312" s="16"/>
      <c r="J312" s="16"/>
      <c r="K312" s="16"/>
      <c r="L312" s="16"/>
      <c r="M312" s="16"/>
      <c r="N312" s="16"/>
      <c r="O312" s="16"/>
      <c r="P312" s="16"/>
      <c r="Q312" s="16"/>
      <c r="R312" s="16"/>
      <c r="S312" s="16"/>
      <c r="T312" s="16"/>
      <c r="U312" s="16"/>
      <c r="V312" s="16"/>
      <c r="W312" s="16"/>
      <c r="X312" s="16"/>
      <c r="Y312" s="20"/>
      <c r="Z312" s="5"/>
      <c r="AA312" s="5"/>
      <c r="AB312" s="5"/>
      <c r="AC312" s="5"/>
      <c r="AD312" s="5"/>
      <c r="AE312" s="5"/>
      <c r="AF312" s="5"/>
      <c r="AG312" s="5"/>
      <c r="AH312" s="5"/>
      <c r="AI312" s="5"/>
      <c r="AJ312" s="5"/>
      <c r="AK312" s="5"/>
      <c r="AL312" s="5"/>
      <c r="AM312" s="5"/>
      <c r="AN312" s="5"/>
      <c r="AO312" s="5"/>
      <c r="AP312" s="5"/>
      <c r="AQ312" s="5"/>
      <c r="AR312" s="5"/>
      <c r="AS312" s="22"/>
    </row>
    <row r="313" spans="2:45" ht="21" hidden="1" x14ac:dyDescent="0.2">
      <c r="B313" s="1036" t="s">
        <v>926</v>
      </c>
      <c r="C313" s="727"/>
      <c r="D313" s="1012"/>
      <c r="E313" s="240" t="s">
        <v>926</v>
      </c>
      <c r="F313" s="240"/>
      <c r="G313" s="240"/>
      <c r="H313" s="240"/>
      <c r="I313" s="240"/>
      <c r="J313" s="240"/>
      <c r="K313" s="240"/>
      <c r="L313" s="5"/>
      <c r="M313" s="5"/>
      <c r="N313" s="5"/>
      <c r="O313" s="16"/>
      <c r="P313" s="5"/>
      <c r="Q313" s="5"/>
      <c r="R313" s="5"/>
      <c r="S313" s="5"/>
      <c r="T313" s="5"/>
      <c r="U313" s="5"/>
      <c r="V313" s="5"/>
      <c r="W313" s="5"/>
      <c r="X313" s="5"/>
      <c r="Y313" s="20"/>
      <c r="Z313" s="5"/>
      <c r="AA313" s="5"/>
      <c r="AB313" s="5"/>
      <c r="AC313" s="5"/>
      <c r="AD313" s="5"/>
      <c r="AE313" s="5"/>
      <c r="AF313" s="5"/>
      <c r="AG313" s="5"/>
      <c r="AH313" s="5"/>
      <c r="AI313" s="5"/>
      <c r="AJ313" s="5"/>
      <c r="AK313" s="5"/>
      <c r="AL313" s="5"/>
      <c r="AM313" s="5"/>
      <c r="AN313" s="5"/>
      <c r="AO313" s="5"/>
      <c r="AP313" s="5"/>
      <c r="AQ313" s="5"/>
      <c r="AR313" s="5"/>
      <c r="AS313" s="437"/>
    </row>
    <row r="314" spans="2:45" hidden="1" x14ac:dyDescent="0.2">
      <c r="B314" s="1036" t="s">
        <v>926</v>
      </c>
      <c r="C314" s="727"/>
      <c r="D314" s="1012"/>
      <c r="E314" s="386" t="s">
        <v>491</v>
      </c>
      <c r="F314" s="386"/>
      <c r="G314" s="386" t="s">
        <v>423</v>
      </c>
      <c r="H314" s="387"/>
      <c r="I314" s="387">
        <f ca="1">OFFSET(I314,0,-1)+1</f>
        <v>1</v>
      </c>
      <c r="J314" s="387">
        <f ca="1">OFFSET(J314,0,-1)+1</f>
        <v>2</v>
      </c>
      <c r="K314" s="387"/>
      <c r="L314" s="16"/>
      <c r="M314" s="16"/>
      <c r="N314" s="5"/>
      <c r="O314" s="16"/>
      <c r="P314" s="16"/>
      <c r="Q314" s="16"/>
      <c r="R314" s="16"/>
      <c r="S314" s="16"/>
      <c r="T314" s="16"/>
      <c r="U314" s="16"/>
      <c r="V314" s="16"/>
      <c r="W314" s="16"/>
      <c r="X314" s="16"/>
      <c r="Y314" s="20"/>
      <c r="Z314" s="16"/>
      <c r="AA314" s="5"/>
      <c r="AB314" s="5"/>
      <c r="AC314" s="5"/>
      <c r="AD314" s="5"/>
      <c r="AE314" s="5"/>
      <c r="AF314" s="5"/>
      <c r="AG314" s="5"/>
      <c r="AH314" s="5"/>
      <c r="AI314" s="5"/>
      <c r="AJ314" s="5"/>
      <c r="AK314" s="5"/>
      <c r="AL314" s="5"/>
      <c r="AM314" s="5"/>
      <c r="AN314" s="5"/>
      <c r="AO314" s="5"/>
      <c r="AP314" s="5"/>
      <c r="AQ314" s="5"/>
      <c r="AR314" s="5"/>
      <c r="AS314" s="22"/>
    </row>
    <row r="315" spans="2:45" ht="18.75" hidden="1" x14ac:dyDescent="0.2">
      <c r="B315" s="1036" t="s">
        <v>926</v>
      </c>
      <c r="C315" s="727"/>
      <c r="D315" s="1012"/>
      <c r="E315" s="403" t="s">
        <v>927</v>
      </c>
      <c r="F315" s="404"/>
      <c r="G315" s="405"/>
      <c r="H315" s="406"/>
      <c r="I315" s="406"/>
      <c r="J315" s="406"/>
      <c r="K315" s="406"/>
      <c r="L315" s="20"/>
      <c r="M315" s="20"/>
      <c r="N315" s="20"/>
      <c r="O315" s="20"/>
      <c r="P315" s="20"/>
      <c r="Q315" s="16"/>
      <c r="R315" s="16"/>
      <c r="S315" s="16"/>
      <c r="T315" s="16"/>
      <c r="U315" s="16"/>
      <c r="V315" s="16"/>
      <c r="W315" s="16"/>
      <c r="X315" s="16"/>
      <c r="Y315" s="20"/>
      <c r="Z315" s="16"/>
      <c r="AA315" s="5"/>
      <c r="AB315" s="5"/>
      <c r="AC315" s="5"/>
      <c r="AD315" s="5"/>
      <c r="AE315" s="5"/>
      <c r="AF315" s="5"/>
      <c r="AG315" s="5"/>
      <c r="AH315" s="5"/>
      <c r="AI315" s="5"/>
      <c r="AJ315" s="5"/>
      <c r="AK315" s="5"/>
      <c r="AL315" s="5"/>
      <c r="AM315" s="5"/>
      <c r="AN315" s="5"/>
      <c r="AO315" s="5"/>
      <c r="AP315" s="5"/>
      <c r="AQ315" s="5"/>
      <c r="AR315" s="5"/>
      <c r="AS315" s="22"/>
    </row>
    <row r="316" spans="2:45" hidden="1" x14ac:dyDescent="0.2">
      <c r="B316" s="1036" t="s">
        <v>926</v>
      </c>
      <c r="C316" s="727"/>
      <c r="D316" s="1012"/>
      <c r="E316" s="395" t="s">
        <v>928</v>
      </c>
      <c r="F316" s="396"/>
      <c r="G316" s="395" t="s">
        <v>919</v>
      </c>
      <c r="H316" s="408"/>
      <c r="I316" s="409">
        <v>2790</v>
      </c>
      <c r="J316" s="789" t="s">
        <v>929</v>
      </c>
      <c r="K316" s="408"/>
      <c r="L316" s="20"/>
      <c r="M316" s="20"/>
      <c r="N316" s="20"/>
      <c r="O316" s="16"/>
      <c r="P316" s="20"/>
      <c r="Q316" s="16"/>
      <c r="R316" s="16"/>
      <c r="S316" s="16"/>
      <c r="T316" s="16"/>
      <c r="U316" s="16"/>
      <c r="V316" s="16"/>
      <c r="W316" s="16"/>
      <c r="X316" s="16"/>
      <c r="Y316" s="20"/>
      <c r="Z316" s="16"/>
      <c r="AA316" s="5"/>
      <c r="AB316" s="5"/>
      <c r="AC316" s="5"/>
      <c r="AD316" s="5"/>
      <c r="AE316" s="5"/>
      <c r="AF316" s="5"/>
      <c r="AG316" s="5"/>
      <c r="AH316" s="5"/>
      <c r="AI316" s="5"/>
      <c r="AJ316" s="5"/>
      <c r="AK316" s="5"/>
      <c r="AL316" s="5"/>
      <c r="AM316" s="5"/>
      <c r="AN316" s="5"/>
      <c r="AO316" s="5"/>
      <c r="AP316" s="5"/>
      <c r="AQ316" s="5"/>
      <c r="AR316" s="5"/>
      <c r="AS316" s="379"/>
    </row>
    <row r="317" spans="2:45" hidden="1" x14ac:dyDescent="0.2">
      <c r="B317" s="1036" t="s">
        <v>926</v>
      </c>
      <c r="C317" s="727"/>
      <c r="D317" s="1012"/>
      <c r="E317" s="395" t="s">
        <v>930</v>
      </c>
      <c r="F317" s="396"/>
      <c r="G317" s="395" t="s">
        <v>931</v>
      </c>
      <c r="H317" s="408"/>
      <c r="I317" s="409">
        <v>118.83</v>
      </c>
      <c r="J317" s="789" t="s">
        <v>929</v>
      </c>
      <c r="K317" s="408"/>
      <c r="L317" s="20"/>
      <c r="M317" s="20"/>
      <c r="N317" s="20"/>
      <c r="O317" s="20"/>
      <c r="P317" s="20"/>
      <c r="Q317" s="16"/>
      <c r="R317" s="16"/>
      <c r="S317" s="16"/>
      <c r="T317" s="16"/>
      <c r="U317" s="16"/>
      <c r="V317" s="16"/>
      <c r="W317" s="16"/>
      <c r="X317" s="16"/>
      <c r="Y317" s="20"/>
      <c r="Z317" s="16"/>
      <c r="AA317" s="5"/>
      <c r="AB317" s="5"/>
      <c r="AC317" s="5"/>
      <c r="AD317" s="5"/>
      <c r="AE317" s="5"/>
      <c r="AF317" s="5"/>
      <c r="AG317" s="5"/>
      <c r="AH317" s="5"/>
      <c r="AI317" s="5"/>
      <c r="AJ317" s="5"/>
      <c r="AK317" s="5"/>
      <c r="AL317" s="5"/>
      <c r="AM317" s="5"/>
      <c r="AN317" s="5"/>
      <c r="AO317" s="5"/>
      <c r="AP317" s="5"/>
      <c r="AQ317" s="5"/>
      <c r="AR317" s="5"/>
      <c r="AS317" s="22"/>
    </row>
    <row r="318" spans="2:45" hidden="1" x14ac:dyDescent="0.2">
      <c r="B318" s="1036" t="s">
        <v>926</v>
      </c>
      <c r="C318" s="727"/>
      <c r="D318" s="1012"/>
      <c r="E318" s="395" t="s">
        <v>932</v>
      </c>
      <c r="F318" s="396"/>
      <c r="G318" s="395" t="s">
        <v>150</v>
      </c>
      <c r="H318" s="408"/>
      <c r="I318" s="410">
        <v>0.25</v>
      </c>
      <c r="J318" s="438"/>
      <c r="K318" s="408"/>
      <c r="L318" s="20"/>
      <c r="M318" s="20"/>
      <c r="N318" s="20"/>
      <c r="O318" s="20"/>
      <c r="P318" s="20"/>
      <c r="Q318" s="16"/>
      <c r="R318" s="16"/>
      <c r="S318" s="16"/>
      <c r="T318" s="16"/>
      <c r="U318" s="16"/>
      <c r="V318" s="16"/>
      <c r="W318" s="16"/>
      <c r="X318" s="16"/>
      <c r="Y318" s="20"/>
      <c r="Z318" s="16"/>
      <c r="AA318" s="5"/>
      <c r="AB318" s="5"/>
      <c r="AC318" s="5"/>
      <c r="AD318" s="5"/>
      <c r="AE318" s="5"/>
      <c r="AF318" s="5"/>
      <c r="AG318" s="5"/>
      <c r="AH318" s="5"/>
      <c r="AI318" s="5"/>
      <c r="AJ318" s="5"/>
      <c r="AK318" s="5"/>
      <c r="AL318" s="5"/>
      <c r="AM318" s="5"/>
      <c r="AN318" s="5"/>
      <c r="AO318" s="5"/>
      <c r="AP318" s="5"/>
      <c r="AQ318" s="5"/>
      <c r="AR318" s="5"/>
      <c r="AS318" s="22"/>
    </row>
    <row r="319" spans="2:45" ht="18.75" hidden="1" x14ac:dyDescent="0.2">
      <c r="B319" s="1036" t="s">
        <v>926</v>
      </c>
      <c r="C319" s="727"/>
      <c r="D319" s="1012"/>
      <c r="E319" s="403" t="s">
        <v>933</v>
      </c>
      <c r="F319" s="404"/>
      <c r="G319" s="405"/>
      <c r="H319" s="406"/>
      <c r="I319" s="406"/>
      <c r="J319" s="406"/>
      <c r="K319" s="406"/>
      <c r="L319" s="20"/>
      <c r="M319" s="20"/>
      <c r="N319" s="16"/>
      <c r="O319" s="16"/>
      <c r="P319" s="16"/>
      <c r="Q319" s="16"/>
      <c r="R319" s="16"/>
      <c r="S319" s="16"/>
      <c r="T319" s="16"/>
      <c r="U319" s="16"/>
      <c r="V319" s="16"/>
      <c r="W319" s="16"/>
      <c r="X319" s="16"/>
      <c r="Y319" s="20"/>
      <c r="Z319" s="16"/>
      <c r="AA319" s="5"/>
      <c r="AB319" s="5"/>
      <c r="AC319" s="5"/>
      <c r="AD319" s="5"/>
      <c r="AE319" s="5"/>
      <c r="AF319" s="5"/>
      <c r="AG319" s="5"/>
      <c r="AH319" s="5"/>
      <c r="AI319" s="5"/>
      <c r="AJ319" s="5"/>
      <c r="AK319" s="5"/>
      <c r="AL319" s="5"/>
      <c r="AM319" s="5"/>
      <c r="AN319" s="5"/>
      <c r="AO319" s="5"/>
      <c r="AP319" s="5"/>
      <c r="AQ319" s="5"/>
      <c r="AR319" s="5"/>
      <c r="AS319" s="22"/>
    </row>
    <row r="320" spans="2:45" hidden="1" x14ac:dyDescent="0.2">
      <c r="B320" s="1036" t="s">
        <v>926</v>
      </c>
      <c r="C320" s="727"/>
      <c r="D320" s="1012"/>
      <c r="E320" s="395" t="s">
        <v>920</v>
      </c>
      <c r="F320" s="396"/>
      <c r="G320" s="395" t="s">
        <v>169</v>
      </c>
      <c r="H320" s="408"/>
      <c r="I320" s="546">
        <f>ROUND(I316/I317,1)</f>
        <v>23.5</v>
      </c>
      <c r="J320" s="407"/>
      <c r="K320" s="408"/>
      <c r="L320" s="20"/>
      <c r="M320" s="20"/>
      <c r="N320" s="16"/>
      <c r="O320" s="16"/>
      <c r="P320" s="16"/>
      <c r="Q320" s="16"/>
      <c r="R320" s="16"/>
      <c r="S320" s="16"/>
      <c r="T320" s="16"/>
      <c r="U320" s="16"/>
      <c r="V320" s="16"/>
      <c r="W320" s="16"/>
      <c r="X320" s="16"/>
      <c r="Y320" s="20"/>
      <c r="Z320" s="16"/>
      <c r="AA320" s="5"/>
      <c r="AB320" s="5"/>
      <c r="AC320" s="5"/>
      <c r="AD320" s="5"/>
      <c r="AE320" s="5"/>
      <c r="AF320" s="5"/>
      <c r="AG320" s="5"/>
      <c r="AH320" s="5"/>
      <c r="AI320" s="5"/>
      <c r="AJ320" s="5"/>
      <c r="AK320" s="5"/>
      <c r="AL320" s="5"/>
      <c r="AM320" s="5"/>
      <c r="AN320" s="5"/>
      <c r="AO320" s="5"/>
      <c r="AP320" s="5"/>
      <c r="AQ320" s="5"/>
      <c r="AR320" s="5"/>
      <c r="AS320" s="22"/>
    </row>
    <row r="321" spans="1:50" hidden="1" x14ac:dyDescent="0.2">
      <c r="B321" s="1036" t="s">
        <v>926</v>
      </c>
      <c r="C321" s="727"/>
      <c r="D321" s="1012"/>
      <c r="E321" s="395" t="s">
        <v>934</v>
      </c>
      <c r="F321" s="396"/>
      <c r="G321" s="395" t="s">
        <v>169</v>
      </c>
      <c r="H321" s="408"/>
      <c r="I321" s="407">
        <v>9.5</v>
      </c>
      <c r="J321" s="411" t="s">
        <v>935</v>
      </c>
      <c r="K321" s="408"/>
      <c r="L321" s="20"/>
      <c r="M321" s="20"/>
      <c r="N321" s="16"/>
      <c r="O321" s="16"/>
      <c r="P321" s="16"/>
      <c r="Q321" s="16"/>
      <c r="R321" s="16"/>
      <c r="S321" s="16"/>
      <c r="T321" s="16"/>
      <c r="U321" s="16"/>
      <c r="V321" s="16"/>
      <c r="W321" s="16"/>
      <c r="X321" s="16"/>
      <c r="Y321" s="20"/>
      <c r="Z321" s="16"/>
      <c r="AA321" s="5"/>
      <c r="AB321" s="5"/>
      <c r="AC321" s="5"/>
      <c r="AD321" s="5"/>
      <c r="AE321" s="5"/>
      <c r="AF321" s="5"/>
      <c r="AG321" s="5"/>
      <c r="AH321" s="5"/>
      <c r="AI321" s="5"/>
      <c r="AJ321" s="5"/>
      <c r="AK321" s="5"/>
      <c r="AL321" s="5"/>
      <c r="AM321" s="5"/>
      <c r="AN321" s="5"/>
      <c r="AO321" s="5"/>
      <c r="AP321" s="5"/>
      <c r="AQ321" s="5"/>
      <c r="AR321" s="5"/>
      <c r="AS321" s="22"/>
    </row>
    <row r="322" spans="1:50" hidden="1" x14ac:dyDescent="0.2">
      <c r="B322" s="1036" t="s">
        <v>926</v>
      </c>
      <c r="C322" s="727"/>
      <c r="D322" s="1012"/>
      <c r="E322" s="395" t="s">
        <v>936</v>
      </c>
      <c r="F322" s="696"/>
      <c r="G322" s="395" t="s">
        <v>169</v>
      </c>
      <c r="H322" s="699"/>
      <c r="I322" s="546">
        <f>I318*koken_elektriciteit/I317</f>
        <v>0.44391147016746613</v>
      </c>
      <c r="J322" s="700"/>
      <c r="K322" s="699"/>
      <c r="L322" s="20"/>
      <c r="M322" s="20"/>
      <c r="N322" s="16"/>
      <c r="O322" s="16"/>
      <c r="P322" s="16"/>
      <c r="Q322" s="16"/>
      <c r="R322" s="16"/>
      <c r="S322" s="16"/>
      <c r="T322" s="16"/>
      <c r="U322" s="16"/>
      <c r="V322" s="16"/>
      <c r="W322" s="16"/>
      <c r="X322" s="16"/>
      <c r="Y322" s="20"/>
      <c r="Z322" s="16"/>
      <c r="AA322" s="5"/>
      <c r="AB322" s="5"/>
      <c r="AC322" s="5"/>
      <c r="AD322" s="5"/>
      <c r="AE322" s="5"/>
      <c r="AF322" s="5"/>
      <c r="AG322" s="5"/>
      <c r="AH322" s="5"/>
      <c r="AI322" s="5"/>
      <c r="AJ322" s="5"/>
      <c r="AK322" s="5"/>
      <c r="AL322" s="5"/>
      <c r="AM322" s="5"/>
      <c r="AN322" s="5"/>
      <c r="AO322" s="5"/>
      <c r="AP322" s="5"/>
      <c r="AQ322" s="5"/>
      <c r="AR322" s="5"/>
      <c r="AS322" s="22"/>
    </row>
    <row r="323" spans="1:50" hidden="1" x14ac:dyDescent="0.2">
      <c r="B323" s="1036" t="s">
        <v>926</v>
      </c>
      <c r="C323" s="727"/>
      <c r="D323" s="1012"/>
      <c r="E323" s="600" t="s">
        <v>937</v>
      </c>
      <c r="F323" s="601"/>
      <c r="G323" s="600" t="s">
        <v>169</v>
      </c>
      <c r="H323" s="602"/>
      <c r="I323" s="603">
        <f>IF(I324&lt;&gt;"",I324,I320-I321-I322)</f>
        <v>13.556088529832534</v>
      </c>
      <c r="J323" s="604"/>
      <c r="K323" s="602"/>
      <c r="L323" s="20"/>
      <c r="M323" s="20"/>
      <c r="N323" s="16"/>
      <c r="O323" s="16"/>
      <c r="P323" s="16"/>
      <c r="Q323" s="16"/>
      <c r="R323" s="16"/>
      <c r="S323" s="16"/>
      <c r="T323" s="16"/>
      <c r="U323" s="16"/>
      <c r="V323" s="16"/>
      <c r="W323" s="16"/>
      <c r="X323" s="16"/>
      <c r="Y323" s="20"/>
      <c r="Z323" s="16"/>
      <c r="AA323" s="5"/>
      <c r="AB323" s="5"/>
      <c r="AC323" s="5"/>
      <c r="AD323" s="5"/>
      <c r="AE323" s="5"/>
      <c r="AF323" s="5"/>
      <c r="AG323" s="5"/>
      <c r="AH323" s="5"/>
      <c r="AI323" s="5"/>
      <c r="AJ323" s="5"/>
      <c r="AK323" s="5"/>
      <c r="AL323" s="5"/>
      <c r="AM323" s="5"/>
      <c r="AN323" s="5"/>
      <c r="AO323" s="5"/>
      <c r="AP323" s="5"/>
      <c r="AQ323" s="5"/>
      <c r="AR323" s="5"/>
      <c r="AS323" s="22"/>
    </row>
    <row r="324" spans="1:50" hidden="1" x14ac:dyDescent="0.2">
      <c r="B324" s="1036" t="s">
        <v>926</v>
      </c>
      <c r="C324" s="727"/>
      <c r="D324" s="1012"/>
      <c r="E324" s="412" t="s">
        <v>938</v>
      </c>
      <c r="F324" s="606"/>
      <c r="G324" s="605"/>
      <c r="H324" s="607"/>
      <c r="I324" s="337"/>
      <c r="J324" s="608"/>
      <c r="K324" s="607"/>
      <c r="L324" s="20"/>
      <c r="M324" s="20"/>
      <c r="N324" s="16"/>
      <c r="O324" s="16"/>
      <c r="P324" s="16"/>
      <c r="Q324" s="16"/>
      <c r="R324" s="16"/>
      <c r="S324" s="16"/>
      <c r="T324" s="16"/>
      <c r="U324" s="16"/>
      <c r="V324" s="16"/>
      <c r="W324" s="16"/>
      <c r="X324" s="16"/>
      <c r="Y324" s="20"/>
      <c r="Z324" s="16"/>
      <c r="AA324" s="5"/>
      <c r="AB324" s="5"/>
      <c r="AC324" s="5"/>
      <c r="AD324" s="5"/>
      <c r="AE324" s="5"/>
      <c r="AF324" s="5"/>
      <c r="AG324" s="5"/>
      <c r="AH324" s="5"/>
      <c r="AI324" s="5"/>
      <c r="AJ324" s="5"/>
      <c r="AK324" s="5"/>
      <c r="AL324" s="5"/>
      <c r="AM324" s="5"/>
      <c r="AN324" s="5"/>
      <c r="AO324" s="5"/>
      <c r="AP324" s="5"/>
      <c r="AQ324" s="5"/>
      <c r="AR324" s="5"/>
      <c r="AS324" s="22"/>
    </row>
    <row r="325" spans="1:50" hidden="1" x14ac:dyDescent="0.2">
      <c r="B325" s="1036" t="s">
        <v>926</v>
      </c>
      <c r="C325" s="727"/>
      <c r="D325" s="1012"/>
      <c r="E325" s="391" t="s">
        <v>939</v>
      </c>
      <c r="F325" s="391"/>
      <c r="G325" s="391"/>
      <c r="H325" s="391"/>
      <c r="I325" s="544"/>
      <c r="J325" s="544"/>
      <c r="K325" s="544"/>
      <c r="L325" s="20"/>
      <c r="M325" s="20"/>
      <c r="N325" s="16"/>
      <c r="O325" s="16"/>
      <c r="P325" s="16"/>
      <c r="Q325" s="16"/>
      <c r="R325" s="16"/>
      <c r="S325" s="16"/>
      <c r="T325" s="16"/>
      <c r="U325" s="16"/>
      <c r="V325" s="16"/>
      <c r="W325" s="16"/>
      <c r="X325" s="14"/>
      <c r="Y325" s="377"/>
      <c r="Z325" s="14"/>
      <c r="AA325" s="18"/>
      <c r="AB325" s="18"/>
      <c r="AC325" s="18"/>
      <c r="AD325" s="18"/>
      <c r="AE325" s="18"/>
      <c r="AF325" s="18"/>
      <c r="AG325" s="18"/>
      <c r="AH325" s="18"/>
      <c r="AI325" s="18"/>
      <c r="AJ325" s="18"/>
      <c r="AK325" s="18"/>
      <c r="AL325" s="18"/>
      <c r="AM325" s="18"/>
      <c r="AN325" s="18"/>
      <c r="AO325" s="18"/>
      <c r="AP325" s="18"/>
      <c r="AQ325" s="18"/>
      <c r="AR325" s="18"/>
      <c r="AS325" s="22"/>
    </row>
    <row r="326" spans="1:50" hidden="1" x14ac:dyDescent="0.2">
      <c r="B326" s="1036" t="s">
        <v>926</v>
      </c>
      <c r="C326" s="727"/>
      <c r="D326" s="1012"/>
      <c r="E326" s="5"/>
      <c r="F326" s="5"/>
      <c r="G326" s="5"/>
      <c r="H326" s="16"/>
      <c r="I326" s="16"/>
      <c r="J326" s="16"/>
      <c r="K326" s="16"/>
      <c r="L326" s="16"/>
      <c r="M326" s="16"/>
      <c r="N326" s="16"/>
      <c r="O326" s="16"/>
      <c r="P326" s="16"/>
      <c r="Q326" s="16"/>
      <c r="R326" s="16"/>
      <c r="S326" s="16"/>
      <c r="T326" s="16"/>
      <c r="U326" s="16"/>
      <c r="V326" s="16"/>
      <c r="X326" s="16"/>
      <c r="Y326" s="20"/>
      <c r="Z326" s="16"/>
      <c r="AA326" s="5"/>
      <c r="AB326" s="5"/>
      <c r="AC326" s="5"/>
      <c r="AD326" s="5"/>
      <c r="AE326" s="5"/>
      <c r="AF326" s="5"/>
      <c r="AG326" s="5"/>
      <c r="AH326" s="5"/>
      <c r="AI326" s="5"/>
      <c r="AJ326" s="5"/>
      <c r="AK326" s="5"/>
      <c r="AL326" s="5"/>
      <c r="AM326" s="5"/>
      <c r="AN326" s="5"/>
      <c r="AO326" s="5"/>
      <c r="AP326" s="5"/>
      <c r="AQ326" s="5"/>
      <c r="AR326" s="5"/>
      <c r="AS326" s="22"/>
    </row>
    <row r="327" spans="1:50" hidden="1" x14ac:dyDescent="0.2">
      <c r="B327" s="1036" t="s">
        <v>940</v>
      </c>
      <c r="C327" s="727"/>
      <c r="D327" s="1012"/>
      <c r="E327" s="5"/>
      <c r="F327" s="5"/>
      <c r="G327" s="5"/>
      <c r="H327" s="16"/>
      <c r="I327" s="16"/>
      <c r="J327" s="16"/>
      <c r="K327" s="16"/>
      <c r="L327" s="16"/>
      <c r="M327" s="16"/>
      <c r="N327" s="16"/>
      <c r="O327" s="16"/>
      <c r="P327" s="16"/>
      <c r="Q327" s="16"/>
      <c r="R327" s="16"/>
      <c r="S327" s="16"/>
      <c r="T327" s="16"/>
      <c r="U327" s="16"/>
      <c r="V327" s="16"/>
      <c r="X327" s="16"/>
      <c r="Y327" s="20"/>
      <c r="Z327" s="16"/>
      <c r="AA327" s="16"/>
      <c r="AB327" s="5"/>
      <c r="AC327" s="5"/>
      <c r="AD327" s="5"/>
      <c r="AE327" s="5"/>
      <c r="AF327" s="5"/>
      <c r="AG327" s="5"/>
      <c r="AH327" s="5"/>
      <c r="AI327" s="5"/>
      <c r="AJ327" s="5"/>
      <c r="AK327" s="5"/>
      <c r="AL327" s="5"/>
      <c r="AM327" s="5"/>
      <c r="AN327" s="5"/>
      <c r="AO327" s="5"/>
      <c r="AP327" s="5"/>
      <c r="AQ327" s="5"/>
      <c r="AR327" s="5"/>
      <c r="AS327" s="22"/>
    </row>
    <row r="328" spans="1:50" ht="24" hidden="1" x14ac:dyDescent="0.2">
      <c r="B328" s="1036" t="s">
        <v>940</v>
      </c>
      <c r="C328" s="727"/>
      <c r="D328" s="1012"/>
      <c r="E328" s="240" t="s">
        <v>941</v>
      </c>
      <c r="F328" s="240"/>
      <c r="G328" s="240"/>
      <c r="H328" s="240"/>
      <c r="I328" s="240"/>
      <c r="J328" s="240"/>
      <c r="K328" s="61"/>
      <c r="L328" s="61"/>
      <c r="M328" s="61"/>
      <c r="N328" s="61"/>
      <c r="O328" s="61"/>
      <c r="P328" s="61"/>
      <c r="Q328" s="61"/>
      <c r="R328" s="61"/>
      <c r="S328" s="61"/>
      <c r="T328" s="61"/>
      <c r="U328" s="61"/>
      <c r="V328" s="61"/>
      <c r="X328" s="61"/>
      <c r="Y328" s="20"/>
      <c r="Z328" s="5"/>
      <c r="AA328" s="5"/>
      <c r="AB328" s="5"/>
      <c r="AC328" s="5"/>
      <c r="AD328" s="5"/>
      <c r="AE328" s="5"/>
      <c r="AF328" s="5"/>
      <c r="AG328" s="5"/>
      <c r="AH328" s="5"/>
      <c r="AI328" s="5"/>
      <c r="AJ328" s="5"/>
      <c r="AK328" s="5"/>
      <c r="AL328" s="5"/>
      <c r="AM328" s="5"/>
      <c r="AN328" s="5"/>
      <c r="AO328" s="5"/>
      <c r="AP328" s="5"/>
      <c r="AQ328" s="5"/>
      <c r="AR328" s="5"/>
      <c r="AS328" s="437"/>
    </row>
    <row r="329" spans="1:50" hidden="1" x14ac:dyDescent="0.2">
      <c r="B329" s="1036" t="s">
        <v>940</v>
      </c>
      <c r="C329" s="727"/>
      <c r="D329" s="1013"/>
      <c r="E329" s="386" t="s">
        <v>491</v>
      </c>
      <c r="F329" s="386"/>
      <c r="G329" s="386" t="s">
        <v>423</v>
      </c>
      <c r="H329" s="387"/>
      <c r="I329" s="387">
        <f ca="1">OFFSET(I329,0,-1)+1</f>
        <v>1</v>
      </c>
      <c r="J329" s="387"/>
      <c r="K329" s="61"/>
      <c r="L329" s="61"/>
      <c r="M329" s="5"/>
      <c r="N329" s="5"/>
      <c r="O329" s="5"/>
      <c r="P329" s="5"/>
      <c r="Q329" s="5"/>
      <c r="R329" s="5"/>
      <c r="S329" s="5"/>
      <c r="T329" s="5"/>
      <c r="U329" s="5"/>
      <c r="V329" s="5"/>
      <c r="X329" s="5"/>
      <c r="Y329" s="20"/>
      <c r="Z329" s="5"/>
      <c r="AA329" s="5"/>
      <c r="AB329" s="5"/>
      <c r="AC329" s="5"/>
      <c r="AD329" s="5"/>
      <c r="AE329" s="5"/>
      <c r="AF329" s="5"/>
      <c r="AG329" s="5"/>
      <c r="AH329" s="5"/>
      <c r="AI329" s="5"/>
      <c r="AJ329" s="5"/>
      <c r="AK329" s="5"/>
      <c r="AL329" s="5"/>
      <c r="AM329" s="5"/>
      <c r="AN329" s="5"/>
      <c r="AO329" s="5"/>
      <c r="AP329" s="5"/>
      <c r="AQ329" s="5"/>
      <c r="AR329" s="5"/>
      <c r="AS329" s="22"/>
    </row>
    <row r="330" spans="1:50" s="2" customFormat="1" ht="18.75" hidden="1" x14ac:dyDescent="0.2">
      <c r="A330" s="309"/>
      <c r="B330" s="1036" t="s">
        <v>940</v>
      </c>
      <c r="C330" s="727"/>
      <c r="D330" s="1017"/>
      <c r="E330" s="382" t="s">
        <v>942</v>
      </c>
      <c r="F330" s="383"/>
      <c r="G330" s="382"/>
      <c r="H330" s="384"/>
      <c r="I330" s="385"/>
      <c r="J330" s="384"/>
      <c r="K330" s="9"/>
      <c r="L330" s="9"/>
      <c r="M330" s="9"/>
      <c r="N330" s="9"/>
      <c r="O330" s="9"/>
      <c r="P330" s="9"/>
      <c r="Q330" s="9"/>
      <c r="R330" s="9"/>
      <c r="S330" s="4"/>
      <c r="T330" s="4"/>
      <c r="AC330" s="4"/>
      <c r="AD330" s="8"/>
      <c r="AE330" s="4"/>
      <c r="AF330" s="4"/>
      <c r="AG330" s="4"/>
      <c r="AH330" s="4"/>
      <c r="AI330" s="4"/>
      <c r="AJ330" s="4"/>
      <c r="AK330" s="4"/>
      <c r="AL330" s="4"/>
      <c r="AM330" s="4"/>
      <c r="AN330" s="4"/>
      <c r="AO330" s="4"/>
      <c r="AP330" s="4"/>
      <c r="AQ330" s="4"/>
      <c r="AR330" s="4"/>
      <c r="AS330" s="4"/>
      <c r="AT330" s="4"/>
      <c r="AU330" s="4"/>
      <c r="AV330" s="4"/>
      <c r="AW330" s="4"/>
      <c r="AX330" s="22"/>
    </row>
    <row r="331" spans="1:50" hidden="1" x14ac:dyDescent="0.2">
      <c r="B331" s="1036" t="s">
        <v>940</v>
      </c>
      <c r="C331" s="727"/>
      <c r="D331" s="1012"/>
      <c r="E331" s="395" t="s">
        <v>943</v>
      </c>
      <c r="F331" s="396"/>
      <c r="G331" s="395" t="s">
        <v>169</v>
      </c>
      <c r="H331" s="408"/>
      <c r="I331" s="522">
        <v>1</v>
      </c>
      <c r="J331" s="408"/>
      <c r="K331" s="20"/>
      <c r="L331" s="16"/>
      <c r="M331" s="16"/>
      <c r="N331" s="16"/>
      <c r="O331" s="5"/>
      <c r="P331" s="5"/>
      <c r="Q331" s="5"/>
      <c r="R331" s="5"/>
      <c r="S331" s="5"/>
      <c r="T331" s="5"/>
      <c r="U331" s="5"/>
      <c r="V331" s="5"/>
      <c r="X331" s="5"/>
      <c r="Y331" s="20"/>
      <c r="Z331" s="5"/>
      <c r="AA331" s="5"/>
      <c r="AB331" s="5"/>
      <c r="AC331" s="5"/>
      <c r="AD331" s="5"/>
      <c r="AE331" s="5"/>
      <c r="AF331" s="5"/>
      <c r="AG331" s="5"/>
      <c r="AH331" s="5"/>
      <c r="AI331" s="5"/>
      <c r="AJ331" s="5"/>
      <c r="AK331" s="5"/>
      <c r="AL331" s="5"/>
      <c r="AM331" s="5"/>
      <c r="AN331" s="5"/>
      <c r="AO331" s="5"/>
      <c r="AP331" s="5"/>
      <c r="AQ331" s="5"/>
      <c r="AR331" s="5"/>
      <c r="AS331" s="22"/>
    </row>
    <row r="332" spans="1:50" hidden="1" x14ac:dyDescent="0.2">
      <c r="B332" s="1036" t="s">
        <v>940</v>
      </c>
      <c r="C332" s="727"/>
      <c r="D332" s="1012"/>
      <c r="E332" s="395" t="s">
        <v>944</v>
      </c>
      <c r="F332" s="396"/>
      <c r="G332" s="395" t="s">
        <v>169</v>
      </c>
      <c r="H332" s="408"/>
      <c r="I332" s="522">
        <v>1</v>
      </c>
      <c r="J332" s="408"/>
      <c r="K332" s="20"/>
      <c r="L332" s="16"/>
      <c r="M332" s="16"/>
      <c r="N332" s="16"/>
      <c r="O332" s="5"/>
      <c r="P332" s="5"/>
      <c r="Q332" s="5"/>
      <c r="R332" s="5"/>
      <c r="S332" s="5"/>
      <c r="T332" s="5"/>
      <c r="U332" s="5"/>
      <c r="V332" s="5"/>
      <c r="X332" s="5"/>
      <c r="Y332" s="20"/>
      <c r="Z332" s="5"/>
      <c r="AA332" s="5"/>
      <c r="AB332" s="5"/>
      <c r="AC332" s="5"/>
      <c r="AD332" s="5"/>
      <c r="AE332" s="5"/>
      <c r="AF332" s="5"/>
      <c r="AG332" s="5"/>
      <c r="AH332" s="5"/>
      <c r="AI332" s="5"/>
      <c r="AJ332" s="5"/>
      <c r="AK332" s="5"/>
      <c r="AL332" s="5"/>
      <c r="AM332" s="5"/>
      <c r="AN332" s="5"/>
      <c r="AO332" s="5"/>
      <c r="AP332" s="5"/>
      <c r="AQ332" s="5"/>
      <c r="AR332" s="5"/>
      <c r="AS332" s="22"/>
    </row>
    <row r="333" spans="1:50" hidden="1" x14ac:dyDescent="0.2">
      <c r="B333" s="1036" t="s">
        <v>940</v>
      </c>
      <c r="C333" s="727"/>
      <c r="D333" s="1012"/>
      <c r="E333" s="5"/>
      <c r="F333" s="5"/>
      <c r="G333" s="5"/>
      <c r="H333" s="16"/>
      <c r="I333" s="16"/>
      <c r="J333" s="16"/>
      <c r="K333" s="16"/>
      <c r="L333" s="16"/>
      <c r="M333" s="16"/>
      <c r="N333" s="16"/>
      <c r="O333" s="16"/>
      <c r="P333" s="16"/>
      <c r="Q333" s="16"/>
      <c r="R333" s="16"/>
      <c r="S333" s="16"/>
      <c r="T333" s="16"/>
      <c r="U333" s="16"/>
      <c r="V333" s="16"/>
      <c r="X333" s="16"/>
      <c r="Y333" s="20"/>
      <c r="Z333" s="16"/>
      <c r="AA333" s="5"/>
      <c r="AB333" s="5"/>
      <c r="AC333" s="5"/>
      <c r="AD333" s="5"/>
      <c r="AE333" s="5"/>
      <c r="AF333" s="5"/>
      <c r="AG333" s="5"/>
      <c r="AH333" s="5"/>
      <c r="AI333" s="5"/>
      <c r="AJ333" s="5"/>
      <c r="AK333" s="5"/>
      <c r="AL333" s="5"/>
      <c r="AM333" s="5"/>
      <c r="AN333" s="5"/>
      <c r="AO333" s="5"/>
      <c r="AP333" s="5"/>
      <c r="AQ333" s="5"/>
      <c r="AR333" s="5"/>
      <c r="AS333" s="22"/>
    </row>
    <row r="334" spans="1:50" hidden="1" x14ac:dyDescent="0.2">
      <c r="B334" s="1036" t="s">
        <v>945</v>
      </c>
      <c r="C334" s="727"/>
      <c r="D334" s="1012"/>
      <c r="E334" s="5"/>
      <c r="F334" s="5"/>
      <c r="G334" s="5"/>
      <c r="H334" s="16"/>
      <c r="I334" s="16"/>
      <c r="J334" s="16"/>
      <c r="K334" s="16"/>
      <c r="L334" s="16"/>
      <c r="M334" s="16"/>
      <c r="N334" s="16"/>
      <c r="O334" s="16"/>
      <c r="P334" s="16"/>
      <c r="Q334" s="16"/>
      <c r="R334" s="16"/>
      <c r="S334" s="16"/>
      <c r="T334" s="16"/>
      <c r="U334" s="16"/>
      <c r="V334" s="16"/>
      <c r="X334" s="16"/>
      <c r="Y334" s="20"/>
      <c r="Z334" s="16"/>
      <c r="AA334" s="16"/>
      <c r="AB334" s="5"/>
      <c r="AC334" s="5"/>
      <c r="AD334" s="5"/>
      <c r="AE334" s="5"/>
      <c r="AF334" s="5"/>
      <c r="AG334" s="5"/>
      <c r="AH334" s="5"/>
      <c r="AI334" s="5"/>
      <c r="AJ334" s="5"/>
      <c r="AK334" s="5"/>
      <c r="AL334" s="5"/>
      <c r="AM334" s="5"/>
      <c r="AN334" s="5"/>
      <c r="AO334" s="5"/>
      <c r="AP334" s="5"/>
      <c r="AQ334" s="5"/>
      <c r="AR334" s="5"/>
      <c r="AS334" s="22"/>
    </row>
    <row r="335" spans="1:50" ht="24" hidden="1" x14ac:dyDescent="0.2">
      <c r="B335" s="1036" t="s">
        <v>945</v>
      </c>
      <c r="C335" s="727"/>
      <c r="D335" s="1012"/>
      <c r="E335" s="240" t="s">
        <v>946</v>
      </c>
      <c r="F335" s="801"/>
      <c r="G335" s="801" t="s">
        <v>947</v>
      </c>
      <c r="H335" s="240"/>
      <c r="I335" s="240"/>
      <c r="J335" s="240"/>
      <c r="K335" s="240"/>
      <c r="L335" s="240"/>
      <c r="M335" s="240"/>
      <c r="N335" s="240"/>
      <c r="O335" s="240"/>
      <c r="P335" s="240"/>
      <c r="Q335" s="240"/>
      <c r="R335" s="240"/>
      <c r="S335" s="240"/>
      <c r="T335" s="240"/>
      <c r="U335" s="240"/>
      <c r="V335" s="61"/>
      <c r="X335" s="61"/>
      <c r="Y335" s="20"/>
      <c r="Z335" s="5"/>
      <c r="AA335" s="5"/>
      <c r="AB335" s="5"/>
      <c r="AC335" s="5"/>
      <c r="AD335" s="5"/>
      <c r="AE335" s="5"/>
      <c r="AF335" s="5"/>
      <c r="AG335" s="5"/>
      <c r="AH335" s="5"/>
      <c r="AI335" s="5"/>
      <c r="AJ335" s="5"/>
      <c r="AK335" s="5"/>
      <c r="AL335" s="5"/>
      <c r="AM335" s="5"/>
      <c r="AN335" s="5"/>
      <c r="AO335" s="5"/>
      <c r="AP335" s="5"/>
      <c r="AQ335" s="5"/>
      <c r="AR335" s="5"/>
      <c r="AS335" s="437"/>
    </row>
    <row r="336" spans="1:50" hidden="1" x14ac:dyDescent="0.2">
      <c r="B336" s="1036" t="s">
        <v>945</v>
      </c>
      <c r="C336" s="727"/>
      <c r="D336" s="1013"/>
      <c r="E336" s="386" t="s">
        <v>491</v>
      </c>
      <c r="F336" s="386"/>
      <c r="G336" s="386" t="s">
        <v>423</v>
      </c>
      <c r="H336" s="387"/>
      <c r="I336" s="387">
        <f t="shared" ref="I336:T336" ca="1" si="71">OFFSET(I336,0,-1)+1</f>
        <v>1</v>
      </c>
      <c r="J336" s="387">
        <f t="shared" ca="1" si="71"/>
        <v>2</v>
      </c>
      <c r="K336" s="387">
        <f t="shared" ca="1" si="71"/>
        <v>3</v>
      </c>
      <c r="L336" s="387">
        <f t="shared" ca="1" si="71"/>
        <v>4</v>
      </c>
      <c r="M336" s="387">
        <f t="shared" ca="1" si="71"/>
        <v>5</v>
      </c>
      <c r="N336" s="387">
        <f t="shared" ca="1" si="71"/>
        <v>6</v>
      </c>
      <c r="O336" s="387">
        <f t="shared" ca="1" si="71"/>
        <v>7</v>
      </c>
      <c r="P336" s="387">
        <f t="shared" ca="1" si="71"/>
        <v>8</v>
      </c>
      <c r="Q336" s="387">
        <f t="shared" ca="1" si="71"/>
        <v>9</v>
      </c>
      <c r="R336" s="387">
        <f t="shared" ca="1" si="71"/>
        <v>10</v>
      </c>
      <c r="S336" s="387">
        <f t="shared" ca="1" si="71"/>
        <v>11</v>
      </c>
      <c r="T336" s="387">
        <f t="shared" ca="1" si="71"/>
        <v>12</v>
      </c>
      <c r="U336" s="387"/>
      <c r="V336" s="61"/>
      <c r="W336" s="61"/>
      <c r="X336" s="5"/>
      <c r="Y336" s="20"/>
      <c r="Z336" s="5"/>
      <c r="AA336" s="5"/>
      <c r="AB336" s="5"/>
      <c r="AC336" s="5"/>
      <c r="AD336" s="5"/>
      <c r="AE336" s="5"/>
      <c r="AF336" s="5"/>
      <c r="AG336" s="5"/>
      <c r="AH336" s="5"/>
      <c r="AI336" s="5"/>
      <c r="AJ336" s="5"/>
      <c r="AK336" s="5"/>
      <c r="AL336" s="5"/>
      <c r="AM336" s="5"/>
      <c r="AN336" s="5"/>
      <c r="AO336" s="5"/>
      <c r="AP336" s="5"/>
      <c r="AQ336" s="5"/>
      <c r="AR336" s="5"/>
      <c r="AS336" s="22"/>
    </row>
    <row r="337" spans="1:45" ht="18.75" hidden="1" x14ac:dyDescent="0.2">
      <c r="B337" s="1036" t="s">
        <v>945</v>
      </c>
      <c r="C337" s="727"/>
      <c r="D337" s="1012"/>
      <c r="E337" s="403" t="s">
        <v>124</v>
      </c>
      <c r="F337" s="404"/>
      <c r="G337" s="405"/>
      <c r="H337" s="406"/>
      <c r="I337" s="406"/>
      <c r="J337" s="406"/>
      <c r="K337" s="406"/>
      <c r="L337" s="406"/>
      <c r="M337" s="406"/>
      <c r="N337" s="406"/>
      <c r="O337" s="406"/>
      <c r="P337" s="406"/>
      <c r="Q337" s="406"/>
      <c r="R337" s="406"/>
      <c r="S337" s="406"/>
      <c r="T337" s="406"/>
      <c r="U337" s="406"/>
      <c r="V337" s="20"/>
      <c r="W337" s="16"/>
      <c r="X337" s="16"/>
      <c r="Y337" s="16"/>
      <c r="Z337" s="16"/>
      <c r="AA337" s="16"/>
      <c r="AB337" s="16"/>
      <c r="AC337" s="16"/>
      <c r="AD337" s="16"/>
      <c r="AE337" s="16"/>
      <c r="AF337" s="16"/>
      <c r="AG337" s="16"/>
      <c r="AH337" s="16"/>
      <c r="AI337" s="5"/>
      <c r="AJ337" s="5"/>
      <c r="AK337" s="5"/>
      <c r="AL337" s="5"/>
      <c r="AM337" s="5"/>
      <c r="AN337" s="5"/>
      <c r="AO337" s="5"/>
      <c r="AP337" s="5"/>
      <c r="AQ337" s="5"/>
      <c r="AR337" s="5"/>
      <c r="AS337" s="22"/>
    </row>
    <row r="338" spans="1:45" ht="25.5" hidden="1" x14ac:dyDescent="0.2">
      <c r="B338" s="1036" t="s">
        <v>945</v>
      </c>
      <c r="C338" s="727"/>
      <c r="D338" s="1012"/>
      <c r="E338" s="395" t="s">
        <v>124</v>
      </c>
      <c r="F338" s="396"/>
      <c r="G338" s="395" t="s">
        <v>70</v>
      </c>
      <c r="H338" s="529"/>
      <c r="I338" s="545" t="str">
        <f>I$272</f>
        <v>kantoor</v>
      </c>
      <c r="J338" s="545" t="str">
        <f t="shared" ref="J338:T338" si="72">J$272</f>
        <v>bijeenkomst overig</v>
      </c>
      <c r="K338" s="545" t="str">
        <f t="shared" si="72"/>
        <v>bijeenkomst kinderopvang</v>
      </c>
      <c r="L338" s="545" t="str">
        <f t="shared" si="72"/>
        <v>onderwijs</v>
      </c>
      <c r="M338" s="545" t="str">
        <f t="shared" si="72"/>
        <v>gezondheid overig</v>
      </c>
      <c r="N338" s="545" t="str">
        <f t="shared" si="72"/>
        <v>gezondheid met bed</v>
      </c>
      <c r="O338" s="545" t="str">
        <f t="shared" si="72"/>
        <v>winkel</v>
      </c>
      <c r="P338" s="545" t="str">
        <f t="shared" si="72"/>
        <v>sport</v>
      </c>
      <c r="Q338" s="545" t="str">
        <f t="shared" si="72"/>
        <v>logies</v>
      </c>
      <c r="R338" s="545" t="str">
        <f t="shared" si="72"/>
        <v>cellengebouw</v>
      </c>
      <c r="S338" s="545" t="str">
        <f t="shared" si="72"/>
        <v>woning</v>
      </c>
      <c r="T338" s="545" t="str">
        <f t="shared" si="72"/>
        <v>woongebouw</v>
      </c>
      <c r="U338" s="529"/>
      <c r="V338" s="20"/>
      <c r="W338" s="595" t="str">
        <f>I338</f>
        <v>kantoor</v>
      </c>
      <c r="X338" s="595" t="str">
        <f t="shared" ref="X338:AH338" si="73">J338</f>
        <v>bijeenkomst overig</v>
      </c>
      <c r="Y338" s="595" t="str">
        <f t="shared" si="73"/>
        <v>bijeenkomst kinderopvang</v>
      </c>
      <c r="Z338" s="595" t="str">
        <f t="shared" si="73"/>
        <v>onderwijs</v>
      </c>
      <c r="AA338" s="595" t="str">
        <f t="shared" si="73"/>
        <v>gezondheid overig</v>
      </c>
      <c r="AB338" s="595" t="str">
        <f t="shared" si="73"/>
        <v>gezondheid met bed</v>
      </c>
      <c r="AC338" s="595" t="str">
        <f t="shared" si="73"/>
        <v>winkel</v>
      </c>
      <c r="AD338" s="595" t="str">
        <f t="shared" si="73"/>
        <v>sport</v>
      </c>
      <c r="AE338" s="595" t="str">
        <f t="shared" si="73"/>
        <v>logies</v>
      </c>
      <c r="AF338" s="595" t="str">
        <f t="shared" si="73"/>
        <v>cellengebouw</v>
      </c>
      <c r="AG338" s="595" t="str">
        <f t="shared" si="73"/>
        <v>woning</v>
      </c>
      <c r="AH338" s="595" t="str">
        <f t="shared" si="73"/>
        <v>woongebouw</v>
      </c>
      <c r="AI338" s="5"/>
      <c r="AJ338" s="5"/>
      <c r="AK338" s="5"/>
      <c r="AL338" s="5"/>
      <c r="AM338" s="5"/>
      <c r="AN338" s="5"/>
      <c r="AO338" s="5"/>
      <c r="AP338" s="5"/>
      <c r="AQ338" s="5"/>
      <c r="AR338" s="5"/>
      <c r="AS338" s="22"/>
    </row>
    <row r="339" spans="1:45" ht="18.75" hidden="1" x14ac:dyDescent="0.2">
      <c r="B339" s="1036" t="s">
        <v>945</v>
      </c>
      <c r="C339" s="727"/>
      <c r="D339" s="1012"/>
      <c r="E339" s="403" t="s">
        <v>948</v>
      </c>
      <c r="F339" s="404"/>
      <c r="G339" s="405"/>
      <c r="H339" s="406"/>
      <c r="I339" s="406"/>
      <c r="J339" s="406"/>
      <c r="K339" s="406"/>
      <c r="L339" s="406"/>
      <c r="M339" s="406"/>
      <c r="N339" s="406"/>
      <c r="O339" s="406"/>
      <c r="P339" s="406"/>
      <c r="Q339" s="406"/>
      <c r="R339" s="406"/>
      <c r="S339" s="406"/>
      <c r="T339" s="406"/>
      <c r="U339" s="406"/>
      <c r="V339" s="20"/>
      <c r="W339" s="16"/>
      <c r="X339" s="16"/>
      <c r="Y339" s="16"/>
      <c r="Z339" s="16"/>
      <c r="AA339" s="16"/>
      <c r="AB339" s="16"/>
      <c r="AC339" s="16"/>
      <c r="AD339" s="16"/>
      <c r="AE339" s="16"/>
      <c r="AF339" s="16"/>
      <c r="AG339" s="16"/>
      <c r="AH339" s="16"/>
      <c r="AI339" s="5"/>
      <c r="AJ339" s="5"/>
      <c r="AK339" s="5"/>
      <c r="AL339" s="5"/>
      <c r="AM339" s="5"/>
      <c r="AN339" s="5"/>
      <c r="AO339" s="5"/>
      <c r="AP339" s="5"/>
      <c r="AQ339" s="5"/>
      <c r="AR339" s="5"/>
      <c r="AS339" s="22"/>
    </row>
    <row r="340" spans="1:45" hidden="1" x14ac:dyDescent="0.2">
      <c r="B340" s="1036" t="s">
        <v>945</v>
      </c>
      <c r="C340" s="727"/>
      <c r="D340" s="1012">
        <f t="shared" ref="D340:D345" ca="1" si="74">OFFSET(D340,-1,0)+1</f>
        <v>1</v>
      </c>
      <c r="E340" s="250" t="str">
        <f t="shared" ref="E340:E345" ca="1" si="75">INDEX(ventilatiesystemen_namen,D340)</f>
        <v>natuurlijk (A)</v>
      </c>
      <c r="F340" s="396"/>
      <c r="G340" s="395" t="s">
        <v>70</v>
      </c>
      <c r="H340" s="408"/>
      <c r="I340" s="796">
        <v>20.02624802112777</v>
      </c>
      <c r="J340" s="796">
        <v>34.299319075568889</v>
      </c>
      <c r="K340" s="796">
        <v>99.238539082872478</v>
      </c>
      <c r="L340" s="796">
        <v>115.29174231627236</v>
      </c>
      <c r="M340" s="796">
        <v>28.334789816959571</v>
      </c>
      <c r="N340" s="796">
        <v>210.39900805470143</v>
      </c>
      <c r="O340" s="796">
        <v>-4.8408838135743082</v>
      </c>
      <c r="P340" s="796">
        <v>7.0849899417169198</v>
      </c>
      <c r="Q340" s="796">
        <v>28.457713739169733</v>
      </c>
      <c r="R340" s="796">
        <v>95.43382554926778</v>
      </c>
      <c r="S340" s="796">
        <v>38.618000678654255</v>
      </c>
      <c r="T340" s="796">
        <v>38.618000678654255</v>
      </c>
      <c r="U340" s="529"/>
      <c r="V340" s="20"/>
      <c r="W340" s="596">
        <f>IFERROR(I340/I$341,"")</f>
        <v>2.1023433532360376</v>
      </c>
      <c r="X340" s="596">
        <f t="shared" ref="X340:AH344" si="76">IFERROR(J340/J$341,"")</f>
        <v>1.4364507307798999</v>
      </c>
      <c r="Y340" s="596">
        <f t="shared" si="76"/>
        <v>1.371378380553621</v>
      </c>
      <c r="Z340" s="596">
        <f t="shared" si="76"/>
        <v>1.468118310575067</v>
      </c>
      <c r="AA340" s="596">
        <f t="shared" si="76"/>
        <v>1.473007098049099</v>
      </c>
      <c r="AB340" s="596">
        <f t="shared" si="76"/>
        <v>1.5295600529343367</v>
      </c>
      <c r="AC340" s="596">
        <f t="shared" si="76"/>
        <v>0.68153916809313209</v>
      </c>
      <c r="AD340" s="596">
        <f t="shared" si="76"/>
        <v>2.0497378161951154</v>
      </c>
      <c r="AE340" s="596">
        <f t="shared" si="76"/>
        <v>1.6662810858187931</v>
      </c>
      <c r="AF340" s="597">
        <f t="shared" si="76"/>
        <v>1.6281147616218596</v>
      </c>
      <c r="AG340" s="596">
        <f t="shared" si="76"/>
        <v>1.4201348211240188</v>
      </c>
      <c r="AH340" s="596">
        <f t="shared" si="76"/>
        <v>1.4201348211240188</v>
      </c>
      <c r="AI340" s="5"/>
      <c r="AJ340" s="5"/>
      <c r="AK340" s="5"/>
      <c r="AL340" s="5"/>
      <c r="AM340" s="5"/>
      <c r="AN340" s="5"/>
      <c r="AO340" s="5"/>
      <c r="AP340" s="5"/>
      <c r="AQ340" s="5"/>
      <c r="AR340" s="5"/>
      <c r="AS340" s="379"/>
    </row>
    <row r="341" spans="1:45" hidden="1" x14ac:dyDescent="0.2">
      <c r="A341" s="233" t="s">
        <v>541</v>
      </c>
      <c r="B341" s="1036" t="s">
        <v>945</v>
      </c>
      <c r="C341" s="727"/>
      <c r="D341" s="1012">
        <f t="shared" ca="1" si="74"/>
        <v>2</v>
      </c>
      <c r="E341" s="250" t="str">
        <f t="shared" ca="1" si="75"/>
        <v>mech (B1)</v>
      </c>
      <c r="F341" s="396"/>
      <c r="G341" s="395" t="s">
        <v>70</v>
      </c>
      <c r="H341" s="408"/>
      <c r="I341" s="796">
        <v>9.52567904300804</v>
      </c>
      <c r="J341" s="796">
        <v>23.87782493378424</v>
      </c>
      <c r="K341" s="796">
        <v>72.364083093398477</v>
      </c>
      <c r="L341" s="796">
        <v>78.530280213664923</v>
      </c>
      <c r="M341" s="796">
        <v>19.236017161415674</v>
      </c>
      <c r="N341" s="796">
        <v>137.55524515109298</v>
      </c>
      <c r="O341" s="796">
        <v>-7.1028695637824342</v>
      </c>
      <c r="P341" s="796">
        <v>3.45653472641132</v>
      </c>
      <c r="Q341" s="796">
        <v>17.078579347364979</v>
      </c>
      <c r="R341" s="796">
        <v>58.61615397074381</v>
      </c>
      <c r="S341" s="796">
        <v>27.193193282936754</v>
      </c>
      <c r="T341" s="796">
        <v>27.193193282936754</v>
      </c>
      <c r="U341" s="529"/>
      <c r="V341" s="20"/>
      <c r="W341" s="596">
        <f>IFERROR(I341/I$341,"")</f>
        <v>1</v>
      </c>
      <c r="X341" s="596">
        <f t="shared" si="76"/>
        <v>1</v>
      </c>
      <c r="Y341" s="596">
        <f t="shared" si="76"/>
        <v>1</v>
      </c>
      <c r="Z341" s="596">
        <f t="shared" si="76"/>
        <v>1</v>
      </c>
      <c r="AA341" s="596">
        <f t="shared" si="76"/>
        <v>1</v>
      </c>
      <c r="AB341" s="596">
        <f t="shared" si="76"/>
        <v>1</v>
      </c>
      <c r="AC341" s="596">
        <f t="shared" si="76"/>
        <v>1</v>
      </c>
      <c r="AD341" s="596">
        <f t="shared" si="76"/>
        <v>1</v>
      </c>
      <c r="AE341" s="596">
        <f t="shared" si="76"/>
        <v>1</v>
      </c>
      <c r="AF341" s="596">
        <f t="shared" si="76"/>
        <v>1</v>
      </c>
      <c r="AG341" s="596">
        <f t="shared" si="76"/>
        <v>1</v>
      </c>
      <c r="AH341" s="596">
        <f t="shared" si="76"/>
        <v>1</v>
      </c>
      <c r="AI341" s="5"/>
      <c r="AJ341" s="5"/>
      <c r="AK341" s="5"/>
      <c r="AL341" s="5"/>
      <c r="AM341" s="5"/>
      <c r="AN341" s="5"/>
      <c r="AO341" s="5"/>
      <c r="AP341" s="5"/>
      <c r="AQ341" s="5"/>
      <c r="AR341" s="5"/>
      <c r="AS341" s="379"/>
    </row>
    <row r="342" spans="1:45" hidden="1" x14ac:dyDescent="0.2">
      <c r="A342" s="233" t="s">
        <v>541</v>
      </c>
      <c r="B342" s="1036" t="s">
        <v>945</v>
      </c>
      <c r="C342" s="727"/>
      <c r="D342" s="1012">
        <f t="shared" ca="1" si="74"/>
        <v>3</v>
      </c>
      <c r="E342" s="250" t="str">
        <f t="shared" ca="1" si="75"/>
        <v>mech (C1)</v>
      </c>
      <c r="F342" s="396"/>
      <c r="G342" s="395" t="s">
        <v>70</v>
      </c>
      <c r="H342" s="408"/>
      <c r="I342" s="796">
        <v>21.031177181891309</v>
      </c>
      <c r="J342" s="796">
        <v>35.214150027511238</v>
      </c>
      <c r="K342" s="796">
        <v>105.43887641220431</v>
      </c>
      <c r="L342" s="796">
        <v>122.08817166164043</v>
      </c>
      <c r="M342" s="796">
        <v>29.999184977975034</v>
      </c>
      <c r="N342" s="796">
        <v>223.40062500648355</v>
      </c>
      <c r="O342" s="796">
        <v>-4.5272159456650769</v>
      </c>
      <c r="P342" s="796">
        <v>7.4321209412760112</v>
      </c>
      <c r="Q342" s="796">
        <v>30.104415901497418</v>
      </c>
      <c r="R342" s="796">
        <v>98.623504811545331</v>
      </c>
      <c r="S342" s="796">
        <v>31.078098740325309</v>
      </c>
      <c r="T342" s="796">
        <v>31.078098740325309</v>
      </c>
      <c r="U342" s="529"/>
      <c r="V342" s="20"/>
      <c r="W342" s="596">
        <f>IFERROR(I342/I$341,"")</f>
        <v>2.2078402061350619</v>
      </c>
      <c r="X342" s="596">
        <f t="shared" si="76"/>
        <v>1.4747637242991705</v>
      </c>
      <c r="Y342" s="596">
        <f t="shared" si="76"/>
        <v>1.4570609051470609</v>
      </c>
      <c r="Z342" s="596">
        <f t="shared" si="76"/>
        <v>1.5546636447681499</v>
      </c>
      <c r="AA342" s="596">
        <f t="shared" si="76"/>
        <v>1.5595320344249082</v>
      </c>
      <c r="AB342" s="596">
        <f t="shared" si="76"/>
        <v>1.6240792909139639</v>
      </c>
      <c r="AC342" s="596">
        <f t="shared" si="76"/>
        <v>0.63737844331949622</v>
      </c>
      <c r="AD342" s="596">
        <f t="shared" si="76"/>
        <v>2.1501652752067866</v>
      </c>
      <c r="AE342" s="596">
        <f t="shared" si="76"/>
        <v>1.7627002392410449</v>
      </c>
      <c r="AF342" s="596">
        <f t="shared" si="76"/>
        <v>1.6825311476554703</v>
      </c>
      <c r="AG342" s="596">
        <f t="shared" si="76"/>
        <v>1.1428631575912147</v>
      </c>
      <c r="AH342" s="596">
        <f t="shared" si="76"/>
        <v>1.1428631575912147</v>
      </c>
      <c r="AI342" s="5"/>
      <c r="AJ342" s="5"/>
      <c r="AK342" s="5"/>
      <c r="AL342" s="5"/>
      <c r="AM342" s="5"/>
      <c r="AN342" s="5"/>
      <c r="AO342" s="5"/>
      <c r="AP342" s="5"/>
      <c r="AQ342" s="5"/>
      <c r="AR342" s="5"/>
      <c r="AS342" s="22"/>
    </row>
    <row r="343" spans="1:45" hidden="1" x14ac:dyDescent="0.2">
      <c r="A343" s="233" t="s">
        <v>541</v>
      </c>
      <c r="B343" s="1036" t="s">
        <v>945</v>
      </c>
      <c r="C343" s="727"/>
      <c r="D343" s="1012">
        <f t="shared" ca="1" si="74"/>
        <v>4</v>
      </c>
      <c r="E343" s="250" t="str">
        <f t="shared" ca="1" si="75"/>
        <v>mech - CO2 (C4c)</v>
      </c>
      <c r="F343" s="396"/>
      <c r="G343" s="395" t="s">
        <v>70</v>
      </c>
      <c r="H343" s="408"/>
      <c r="I343" s="796">
        <v>3.7656737014058024</v>
      </c>
      <c r="J343" s="796">
        <v>19.034825981059939</v>
      </c>
      <c r="K343" s="796">
        <v>60.561957723059706</v>
      </c>
      <c r="L343" s="796">
        <v>62.927997035313709</v>
      </c>
      <c r="M343" s="796">
        <v>12.920536292784149</v>
      </c>
      <c r="N343" s="796">
        <v>107.06982036845993</v>
      </c>
      <c r="O343" s="796">
        <v>-9.562529305467848</v>
      </c>
      <c r="P343" s="796">
        <v>1.2868078741757643</v>
      </c>
      <c r="Q343" s="796">
        <v>10.9250587432809</v>
      </c>
      <c r="R343" s="796">
        <v>44.915493827763981</v>
      </c>
      <c r="S343" s="796">
        <v>17.129376136264504</v>
      </c>
      <c r="T343" s="796">
        <v>17.129376136264504</v>
      </c>
      <c r="U343" s="529"/>
      <c r="V343" s="20"/>
      <c r="W343" s="596">
        <f>IFERROR(I343/I$341,"")</f>
        <v>0.39531813788853731</v>
      </c>
      <c r="X343" s="596">
        <f t="shared" si="76"/>
        <v>0.7971758748481298</v>
      </c>
      <c r="Y343" s="596">
        <f t="shared" si="76"/>
        <v>0.83690630951398814</v>
      </c>
      <c r="Z343" s="596">
        <f t="shared" si="76"/>
        <v>0.80132143759196361</v>
      </c>
      <c r="AA343" s="596">
        <f t="shared" si="76"/>
        <v>0.67168458960936295</v>
      </c>
      <c r="AB343" s="596">
        <f t="shared" si="76"/>
        <v>0.77837686415267304</v>
      </c>
      <c r="AC343" s="596">
        <f t="shared" si="76"/>
        <v>1.3462909912111058</v>
      </c>
      <c r="AD343" s="596">
        <f t="shared" si="76"/>
        <v>0.37228264028227126</v>
      </c>
      <c r="AE343" s="596">
        <f t="shared" si="76"/>
        <v>0.63969364904853787</v>
      </c>
      <c r="AF343" s="596">
        <f t="shared" si="76"/>
        <v>0.76626477148572336</v>
      </c>
      <c r="AG343" s="596">
        <f t="shared" si="76"/>
        <v>0.62991410968320827</v>
      </c>
      <c r="AH343" s="596">
        <f t="shared" si="76"/>
        <v>0.62991410968320827</v>
      </c>
      <c r="AI343" s="5"/>
      <c r="AJ343" s="5"/>
      <c r="AK343" s="5"/>
      <c r="AL343" s="5"/>
      <c r="AM343" s="5"/>
      <c r="AN343" s="5"/>
      <c r="AO343" s="5"/>
      <c r="AP343" s="5"/>
      <c r="AQ343" s="5"/>
      <c r="AR343" s="5"/>
      <c r="AS343" s="22"/>
    </row>
    <row r="344" spans="1:45" hidden="1" x14ac:dyDescent="0.2">
      <c r="A344" s="233" t="s">
        <v>541</v>
      </c>
      <c r="B344" s="1036" t="s">
        <v>945</v>
      </c>
      <c r="C344" s="727"/>
      <c r="D344" s="1012">
        <f t="shared" ca="1" si="74"/>
        <v>5</v>
      </c>
      <c r="E344" s="250" t="str">
        <f t="shared" ca="1" si="75"/>
        <v>balans (D1)</v>
      </c>
      <c r="F344" s="396"/>
      <c r="G344" s="395" t="s">
        <v>70</v>
      </c>
      <c r="H344" s="408"/>
      <c r="I344" s="796">
        <v>-6.6368470821465309</v>
      </c>
      <c r="J344" s="796">
        <v>8.5597865010770846</v>
      </c>
      <c r="K344" s="796">
        <v>34.108153675656325</v>
      </c>
      <c r="L344" s="796">
        <v>31.001592247959735</v>
      </c>
      <c r="M344" s="796">
        <v>3.0285314796346654</v>
      </c>
      <c r="N344" s="796">
        <v>46.136876209029381</v>
      </c>
      <c r="O344" s="796">
        <v>-12.722521250442561</v>
      </c>
      <c r="P344" s="796">
        <v>-2.770835937063822</v>
      </c>
      <c r="Q344" s="796">
        <v>-0.67502154038665196</v>
      </c>
      <c r="R344" s="796">
        <v>13.559708494520848</v>
      </c>
      <c r="S344" s="796">
        <v>12.991997402090661</v>
      </c>
      <c r="T344" s="796">
        <v>12.991997402090661</v>
      </c>
      <c r="U344" s="529"/>
      <c r="V344" s="20"/>
      <c r="W344" s="596">
        <f>IFERROR(I344/I$341,"")</f>
        <v>-0.69673217543667443</v>
      </c>
      <c r="X344" s="596">
        <f t="shared" si="76"/>
        <v>0.35848267272309298</v>
      </c>
      <c r="Y344" s="596">
        <f t="shared" si="76"/>
        <v>0.47134092242464815</v>
      </c>
      <c r="Z344" s="596">
        <f t="shared" si="76"/>
        <v>0.3947724643743879</v>
      </c>
      <c r="AA344" s="596">
        <f t="shared" si="76"/>
        <v>0.15744067257901015</v>
      </c>
      <c r="AB344" s="596">
        <f t="shared" si="76"/>
        <v>0.33540615741952889</v>
      </c>
      <c r="AC344" s="596">
        <f t="shared" si="76"/>
        <v>1.7911804709627159</v>
      </c>
      <c r="AD344" s="596">
        <f t="shared" si="76"/>
        <v>-0.80162247926859065</v>
      </c>
      <c r="AE344" s="596">
        <f t="shared" si="76"/>
        <v>-3.9524454971180005E-2</v>
      </c>
      <c r="AF344" s="596">
        <f t="shared" si="76"/>
        <v>0.23133057316057787</v>
      </c>
      <c r="AG344" s="596">
        <f t="shared" si="76"/>
        <v>0.47776652292773975</v>
      </c>
      <c r="AH344" s="596">
        <f t="shared" si="76"/>
        <v>0.47776652292773975</v>
      </c>
      <c r="AI344" s="5"/>
      <c r="AJ344" s="5"/>
      <c r="AK344" s="5"/>
      <c r="AL344" s="5"/>
      <c r="AM344" s="5"/>
      <c r="AN344" s="5"/>
      <c r="AO344" s="5"/>
      <c r="AP344" s="5"/>
      <c r="AQ344" s="5"/>
      <c r="AR344" s="5"/>
      <c r="AS344" s="22"/>
    </row>
    <row r="345" spans="1:45" hidden="1" x14ac:dyDescent="0.2">
      <c r="B345" s="1036" t="s">
        <v>945</v>
      </c>
      <c r="C345" s="727"/>
      <c r="D345" s="1012">
        <f t="shared" ca="1" si="74"/>
        <v>6</v>
      </c>
      <c r="E345" s="250" t="str">
        <f t="shared" ca="1" si="75"/>
        <v>balans CO2 (D5a)</v>
      </c>
      <c r="F345" s="396"/>
      <c r="G345" s="395" t="s">
        <v>70</v>
      </c>
      <c r="H345" s="408"/>
      <c r="I345" s="796">
        <v>-13.362062493078682</v>
      </c>
      <c r="J345" s="796">
        <v>1.4927114817000984</v>
      </c>
      <c r="K345" s="796">
        <v>14.349149127815622</v>
      </c>
      <c r="L345" s="796">
        <v>4.1706230671210562</v>
      </c>
      <c r="M345" s="796">
        <v>-4.2705683574542945</v>
      </c>
      <c r="N345" s="796">
        <v>-2.3828016998972288</v>
      </c>
      <c r="O345" s="796">
        <v>-14.497795703970617</v>
      </c>
      <c r="P345" s="796">
        <v>-5.3881804566461255</v>
      </c>
      <c r="Q345" s="796">
        <v>-8.3804727328037671</v>
      </c>
      <c r="R345" s="796">
        <v>-8.3106421557668995</v>
      </c>
      <c r="S345" s="796">
        <v>-3.3046064480529935E-2</v>
      </c>
      <c r="T345" s="796">
        <v>-3.3046064480529935E-2</v>
      </c>
      <c r="U345" s="529"/>
      <c r="V345" s="20"/>
      <c r="W345" s="795"/>
      <c r="X345" s="795"/>
      <c r="Y345" s="795"/>
      <c r="Z345" s="795"/>
      <c r="AA345" s="795"/>
      <c r="AB345" s="795"/>
      <c r="AC345" s="795"/>
      <c r="AD345" s="795"/>
      <c r="AE345" s="795"/>
      <c r="AF345" s="795"/>
      <c r="AG345" s="795"/>
      <c r="AH345" s="795"/>
      <c r="AI345" s="5"/>
      <c r="AJ345" s="5"/>
      <c r="AK345" s="5"/>
      <c r="AL345" s="5"/>
      <c r="AM345" s="5"/>
      <c r="AN345" s="5"/>
      <c r="AO345" s="5"/>
      <c r="AP345" s="5"/>
      <c r="AQ345" s="5"/>
      <c r="AR345" s="5"/>
      <c r="AS345" s="22"/>
    </row>
    <row r="346" spans="1:45" ht="18.75" hidden="1" x14ac:dyDescent="0.2">
      <c r="B346" s="1036" t="s">
        <v>945</v>
      </c>
      <c r="C346" s="727"/>
      <c r="D346" s="1012"/>
      <c r="E346" s="403" t="s">
        <v>949</v>
      </c>
      <c r="F346" s="404"/>
      <c r="G346" s="405"/>
      <c r="H346" s="406"/>
      <c r="I346" s="800"/>
      <c r="J346" s="800"/>
      <c r="K346" s="800"/>
      <c r="L346" s="800"/>
      <c r="M346" s="800"/>
      <c r="N346" s="800"/>
      <c r="O346" s="800"/>
      <c r="P346" s="800"/>
      <c r="Q346" s="800"/>
      <c r="R346" s="800"/>
      <c r="S346" s="800"/>
      <c r="T346" s="800"/>
      <c r="U346" s="406"/>
      <c r="V346" s="20"/>
      <c r="W346" s="16"/>
      <c r="X346" s="16"/>
      <c r="Y346" s="16"/>
      <c r="Z346" s="16"/>
      <c r="AA346" s="16"/>
      <c r="AB346" s="16"/>
      <c r="AC346" s="16"/>
      <c r="AD346" s="16"/>
      <c r="AE346" s="16"/>
      <c r="AF346" s="16"/>
      <c r="AG346" s="16"/>
      <c r="AH346" s="16"/>
      <c r="AI346" s="5"/>
      <c r="AJ346" s="5"/>
      <c r="AK346" s="5"/>
      <c r="AL346" s="5"/>
      <c r="AM346" s="5"/>
      <c r="AN346" s="5"/>
      <c r="AO346" s="5"/>
      <c r="AP346" s="5"/>
      <c r="AQ346" s="5"/>
      <c r="AR346" s="5"/>
      <c r="AS346" s="22"/>
    </row>
    <row r="347" spans="1:45" hidden="1" x14ac:dyDescent="0.2">
      <c r="B347" s="1036" t="s">
        <v>945</v>
      </c>
      <c r="C347" s="727"/>
      <c r="D347" s="1012">
        <f t="shared" ref="D347:D352" ca="1" si="77">OFFSET(D347,-1,0)+1</f>
        <v>1</v>
      </c>
      <c r="E347" s="250" t="str">
        <f t="shared" ref="E347:E352" ca="1" si="78">INDEX(ventilatiesystemen_namen,D347)</f>
        <v>natuurlijk (A)</v>
      </c>
      <c r="F347" s="396"/>
      <c r="G347" s="395" t="s">
        <v>70</v>
      </c>
      <c r="H347" s="408"/>
      <c r="I347" s="796">
        <v>60.890304562418386</v>
      </c>
      <c r="J347" s="796">
        <v>56.364740551833776</v>
      </c>
      <c r="K347" s="796">
        <v>50.464380048703227</v>
      </c>
      <c r="L347" s="796">
        <v>56.677173131618574</v>
      </c>
      <c r="M347" s="796">
        <v>50.832439261165149</v>
      </c>
      <c r="N347" s="796">
        <v>79.486416894931693</v>
      </c>
      <c r="O347" s="796">
        <v>49.75579684605394</v>
      </c>
      <c r="P347" s="796">
        <v>41.074889733365602</v>
      </c>
      <c r="Q347" s="796">
        <v>56.946268597030389</v>
      </c>
      <c r="R347" s="796">
        <v>91.170001947107465</v>
      </c>
      <c r="S347" s="796">
        <v>47.965745868732967</v>
      </c>
      <c r="T347" s="796">
        <v>47.965745868732967</v>
      </c>
      <c r="U347" s="529"/>
      <c r="V347" s="20"/>
      <c r="W347" s="596">
        <f>IFERROR(I347/I$348,"")</f>
        <v>1.0162641313351637</v>
      </c>
      <c r="X347" s="596">
        <f t="shared" ref="X347:AH351" si="79">IFERROR(J347/J$348,"")</f>
        <v>0.98982424046732487</v>
      </c>
      <c r="Y347" s="596">
        <f t="shared" si="79"/>
        <v>0.97253594337299309</v>
      </c>
      <c r="Z347" s="596">
        <f t="shared" si="79"/>
        <v>0.97007701587771544</v>
      </c>
      <c r="AA347" s="596">
        <f t="shared" si="79"/>
        <v>1.01146397304937</v>
      </c>
      <c r="AB347" s="596">
        <f t="shared" si="79"/>
        <v>1.0150625460704974</v>
      </c>
      <c r="AC347" s="596">
        <f t="shared" si="79"/>
        <v>1.0003144896965579</v>
      </c>
      <c r="AD347" s="596">
        <f t="shared" si="79"/>
        <v>1.0543136394898895</v>
      </c>
      <c r="AE347" s="596">
        <f t="shared" si="79"/>
        <v>0.99039746056933164</v>
      </c>
      <c r="AF347" s="597">
        <f t="shared" si="79"/>
        <v>1.0815046243063919</v>
      </c>
      <c r="AG347" s="596">
        <f t="shared" si="79"/>
        <v>0.9939475778314717</v>
      </c>
      <c r="AH347" s="596">
        <f t="shared" si="79"/>
        <v>0.9939475778314717</v>
      </c>
      <c r="AI347" s="5"/>
      <c r="AJ347" s="5"/>
      <c r="AK347" s="5"/>
      <c r="AL347" s="5"/>
      <c r="AM347" s="5"/>
      <c r="AN347" s="5"/>
      <c r="AO347" s="5"/>
      <c r="AP347" s="5"/>
      <c r="AQ347" s="5"/>
      <c r="AR347" s="5"/>
      <c r="AS347" s="22"/>
    </row>
    <row r="348" spans="1:45" hidden="1" x14ac:dyDescent="0.2">
      <c r="A348" s="233" t="s">
        <v>541</v>
      </c>
      <c r="B348" s="1036" t="s">
        <v>945</v>
      </c>
      <c r="C348" s="727"/>
      <c r="D348" s="1012">
        <f t="shared" ca="1" si="77"/>
        <v>2</v>
      </c>
      <c r="E348" s="250" t="str">
        <f t="shared" ca="1" si="78"/>
        <v>mech (B1)</v>
      </c>
      <c r="F348" s="396"/>
      <c r="G348" s="395" t="s">
        <v>70</v>
      </c>
      <c r="H348" s="408"/>
      <c r="I348" s="796">
        <v>59.915825704111938</v>
      </c>
      <c r="J348" s="796">
        <v>56.94419094567975</v>
      </c>
      <c r="K348" s="796">
        <v>51.889475543372086</v>
      </c>
      <c r="L348" s="796">
        <v>58.425436541590116</v>
      </c>
      <c r="M348" s="796">
        <v>50.256302365288498</v>
      </c>
      <c r="N348" s="796">
        <v>78.306915374465262</v>
      </c>
      <c r="O348" s="796">
        <v>49.740154080090548</v>
      </c>
      <c r="P348" s="796">
        <v>38.958890594680099</v>
      </c>
      <c r="Q348" s="796">
        <v>57.498399242961234</v>
      </c>
      <c r="R348" s="796">
        <v>84.299225262747342</v>
      </c>
      <c r="S348" s="796">
        <v>48.257822583944943</v>
      </c>
      <c r="T348" s="796">
        <v>48.257822583944943</v>
      </c>
      <c r="U348" s="529"/>
      <c r="V348" s="20"/>
      <c r="W348" s="596">
        <f>IFERROR(I348/I$348,"")</f>
        <v>1</v>
      </c>
      <c r="X348" s="596">
        <f t="shared" si="79"/>
        <v>1</v>
      </c>
      <c r="Y348" s="596">
        <f t="shared" si="79"/>
        <v>1</v>
      </c>
      <c r="Z348" s="596">
        <f t="shared" si="79"/>
        <v>1</v>
      </c>
      <c r="AA348" s="596">
        <f t="shared" si="79"/>
        <v>1</v>
      </c>
      <c r="AB348" s="596">
        <f t="shared" si="79"/>
        <v>1</v>
      </c>
      <c r="AC348" s="596">
        <f t="shared" si="79"/>
        <v>1</v>
      </c>
      <c r="AD348" s="596">
        <f t="shared" si="79"/>
        <v>1</v>
      </c>
      <c r="AE348" s="596">
        <f t="shared" si="79"/>
        <v>1</v>
      </c>
      <c r="AF348" s="596">
        <f t="shared" si="79"/>
        <v>1</v>
      </c>
      <c r="AG348" s="596">
        <f t="shared" si="79"/>
        <v>1</v>
      </c>
      <c r="AH348" s="596">
        <f t="shared" si="79"/>
        <v>1</v>
      </c>
      <c r="AI348" s="5"/>
      <c r="AJ348" s="5"/>
      <c r="AK348" s="5"/>
      <c r="AL348" s="5"/>
      <c r="AM348" s="5"/>
      <c r="AN348" s="5"/>
      <c r="AO348" s="5"/>
      <c r="AP348" s="5"/>
      <c r="AQ348" s="5"/>
      <c r="AR348" s="5"/>
      <c r="AS348" s="22"/>
    </row>
    <row r="349" spans="1:45" hidden="1" x14ac:dyDescent="0.2">
      <c r="A349" s="233" t="s">
        <v>541</v>
      </c>
      <c r="B349" s="1036" t="s">
        <v>945</v>
      </c>
      <c r="C349" s="727"/>
      <c r="D349" s="1012">
        <f t="shared" ca="1" si="77"/>
        <v>3</v>
      </c>
      <c r="E349" s="250" t="str">
        <f t="shared" ca="1" si="78"/>
        <v>mech (C1)</v>
      </c>
      <c r="F349" s="396"/>
      <c r="G349" s="395" t="s">
        <v>70</v>
      </c>
      <c r="H349" s="408"/>
      <c r="I349" s="796">
        <v>61.986908894271721</v>
      </c>
      <c r="J349" s="796">
        <v>56.779231444989939</v>
      </c>
      <c r="K349" s="796">
        <v>52.429789388320209</v>
      </c>
      <c r="L349" s="796">
        <v>57.307902334110267</v>
      </c>
      <c r="M349" s="796">
        <v>52.165146234611761</v>
      </c>
      <c r="N349" s="796">
        <v>80.021376690459789</v>
      </c>
      <c r="O349" s="796">
        <v>50.788113245370702</v>
      </c>
      <c r="P349" s="796">
        <v>40.880166144206001</v>
      </c>
      <c r="Q349" s="796">
        <v>57.987805076177374</v>
      </c>
      <c r="R349" s="796">
        <v>91.59141642154934</v>
      </c>
      <c r="S349" s="796">
        <v>44.133463424115213</v>
      </c>
      <c r="T349" s="796">
        <v>44.133463424115213</v>
      </c>
      <c r="U349" s="529"/>
      <c r="V349" s="20"/>
      <c r="W349" s="596">
        <f>IFERROR(I349/I$348,"")</f>
        <v>1.0345665467482266</v>
      </c>
      <c r="X349" s="596">
        <f t="shared" si="79"/>
        <v>0.99710313733586686</v>
      </c>
      <c r="Y349" s="596">
        <f t="shared" si="79"/>
        <v>1.0104127829254412</v>
      </c>
      <c r="Z349" s="596">
        <f t="shared" si="79"/>
        <v>0.98087247141603584</v>
      </c>
      <c r="AA349" s="596">
        <f t="shared" si="79"/>
        <v>1.0379821789404404</v>
      </c>
      <c r="AB349" s="596">
        <f t="shared" si="79"/>
        <v>1.0218941240093029</v>
      </c>
      <c r="AC349" s="596">
        <f t="shared" si="79"/>
        <v>1.0210686754928977</v>
      </c>
      <c r="AD349" s="596">
        <f t="shared" si="79"/>
        <v>1.0493154584280759</v>
      </c>
      <c r="AE349" s="596">
        <f t="shared" si="79"/>
        <v>1.008511642752838</v>
      </c>
      <c r="AF349" s="596">
        <f t="shared" si="79"/>
        <v>1.0865036557106353</v>
      </c>
      <c r="AG349" s="596">
        <f t="shared" si="79"/>
        <v>0.91453490980337193</v>
      </c>
      <c r="AH349" s="596">
        <f t="shared" si="79"/>
        <v>0.91453490980337193</v>
      </c>
      <c r="AI349" s="5"/>
      <c r="AJ349" s="5"/>
      <c r="AK349" s="5"/>
      <c r="AL349" s="5"/>
      <c r="AM349" s="5"/>
      <c r="AN349" s="5"/>
      <c r="AO349" s="5"/>
      <c r="AP349" s="5"/>
      <c r="AQ349" s="5"/>
      <c r="AR349" s="5"/>
      <c r="AS349" s="22"/>
    </row>
    <row r="350" spans="1:45" hidden="1" x14ac:dyDescent="0.2">
      <c r="A350" s="233" t="s">
        <v>541</v>
      </c>
      <c r="B350" s="1036" t="s">
        <v>945</v>
      </c>
      <c r="C350" s="727"/>
      <c r="D350" s="1012">
        <f t="shared" ca="1" si="77"/>
        <v>4</v>
      </c>
      <c r="E350" s="250" t="str">
        <f t="shared" ca="1" si="78"/>
        <v>mech - CO2 (C4c)</v>
      </c>
      <c r="F350" s="396"/>
      <c r="G350" s="395" t="s">
        <v>70</v>
      </c>
      <c r="H350" s="408"/>
      <c r="I350" s="796">
        <v>60.018552280311589</v>
      </c>
      <c r="J350" s="796">
        <v>55.698019976783549</v>
      </c>
      <c r="K350" s="796">
        <v>51.679954416405891</v>
      </c>
      <c r="L350" s="796">
        <v>57.333562679452534</v>
      </c>
      <c r="M350" s="796">
        <v>51.568033144630029</v>
      </c>
      <c r="N350" s="796">
        <v>79.583059845107954</v>
      </c>
      <c r="O350" s="796">
        <v>49.652580414407957</v>
      </c>
      <c r="P350" s="796">
        <v>37.096042134290258</v>
      </c>
      <c r="Q350" s="796">
        <v>57.868905796347946</v>
      </c>
      <c r="R350" s="796">
        <v>83.747304189215512</v>
      </c>
      <c r="S350" s="796">
        <v>43.659344891707278</v>
      </c>
      <c r="T350" s="796">
        <v>43.659344891707278</v>
      </c>
      <c r="U350" s="529"/>
      <c r="V350" s="20"/>
      <c r="W350" s="596">
        <f>IFERROR(I350/I$348,"")</f>
        <v>1.0017145149047424</v>
      </c>
      <c r="X350" s="596">
        <f t="shared" si="79"/>
        <v>0.97811592458860375</v>
      </c>
      <c r="Y350" s="596">
        <f t="shared" si="79"/>
        <v>0.99596216526044734</v>
      </c>
      <c r="Z350" s="596">
        <f t="shared" si="79"/>
        <v>0.98131166959513716</v>
      </c>
      <c r="AA350" s="596">
        <f t="shared" si="79"/>
        <v>1.0261008215408924</v>
      </c>
      <c r="AB350" s="596">
        <f t="shared" si="79"/>
        <v>1.0162967020797606</v>
      </c>
      <c r="AC350" s="596">
        <f t="shared" si="79"/>
        <v>0.99823937687162001</v>
      </c>
      <c r="AD350" s="596">
        <f t="shared" si="79"/>
        <v>0.95218425288926944</v>
      </c>
      <c r="AE350" s="596">
        <f t="shared" si="79"/>
        <v>1.0064437716225998</v>
      </c>
      <c r="AF350" s="596">
        <f t="shared" si="79"/>
        <v>0.993452833382376</v>
      </c>
      <c r="AG350" s="596">
        <f t="shared" si="79"/>
        <v>0.90471021181615541</v>
      </c>
      <c r="AH350" s="596">
        <f t="shared" si="79"/>
        <v>0.90471021181615541</v>
      </c>
      <c r="AI350" s="5"/>
      <c r="AJ350" s="5"/>
      <c r="AK350" s="5"/>
      <c r="AL350" s="5"/>
      <c r="AM350" s="5"/>
      <c r="AN350" s="5"/>
      <c r="AO350" s="5"/>
      <c r="AP350" s="5"/>
      <c r="AQ350" s="5"/>
      <c r="AR350" s="5"/>
      <c r="AS350" s="22"/>
    </row>
    <row r="351" spans="1:45" hidden="1" x14ac:dyDescent="0.2">
      <c r="A351" s="233" t="s">
        <v>541</v>
      </c>
      <c r="B351" s="1036" t="s">
        <v>945</v>
      </c>
      <c r="C351" s="727"/>
      <c r="D351" s="1012">
        <f t="shared" ca="1" si="77"/>
        <v>5</v>
      </c>
      <c r="E351" s="250" t="str">
        <f t="shared" ca="1" si="78"/>
        <v>balans (D1)</v>
      </c>
      <c r="F351" s="396"/>
      <c r="G351" s="395" t="s">
        <v>70</v>
      </c>
      <c r="H351" s="408"/>
      <c r="I351" s="796">
        <v>57.539511163381086</v>
      </c>
      <c r="J351" s="796">
        <v>54.039779048480767</v>
      </c>
      <c r="K351" s="796">
        <v>51.020620542936136</v>
      </c>
      <c r="L351" s="796">
        <v>56.295605134855123</v>
      </c>
      <c r="M351" s="796">
        <v>50.80847518085411</v>
      </c>
      <c r="N351" s="796">
        <v>73.986489123682261</v>
      </c>
      <c r="O351" s="796">
        <v>49.292760674693064</v>
      </c>
      <c r="P351" s="796">
        <v>33.916232527432193</v>
      </c>
      <c r="Q351" s="796">
        <v>57.053006555355765</v>
      </c>
      <c r="R351" s="796">
        <v>74.189954146507105</v>
      </c>
      <c r="S351" s="796">
        <v>43.099152864230959</v>
      </c>
      <c r="T351" s="796">
        <v>43.099152864230959</v>
      </c>
      <c r="U351" s="529"/>
      <c r="V351" s="20"/>
      <c r="W351" s="596">
        <f>IFERROR(I351/I$348,"")</f>
        <v>0.96033911720642828</v>
      </c>
      <c r="X351" s="596">
        <f t="shared" si="79"/>
        <v>0.9489954664564545</v>
      </c>
      <c r="Y351" s="596">
        <f t="shared" si="79"/>
        <v>0.98325566039476131</v>
      </c>
      <c r="Z351" s="596">
        <f t="shared" si="79"/>
        <v>0.96354616186361097</v>
      </c>
      <c r="AA351" s="596">
        <f t="shared" si="79"/>
        <v>1.0109871357337858</v>
      </c>
      <c r="AB351" s="596">
        <f t="shared" si="79"/>
        <v>0.94482701521158596</v>
      </c>
      <c r="AC351" s="596">
        <f t="shared" si="79"/>
        <v>0.99100538762551682</v>
      </c>
      <c r="AD351" s="596">
        <f t="shared" si="79"/>
        <v>0.87056463902654124</v>
      </c>
      <c r="AE351" s="596">
        <f t="shared" si="79"/>
        <v>0.99225382456782063</v>
      </c>
      <c r="AF351" s="596">
        <f t="shared" si="79"/>
        <v>0.88007871857978248</v>
      </c>
      <c r="AG351" s="596">
        <f t="shared" si="79"/>
        <v>0.89310189636632631</v>
      </c>
      <c r="AH351" s="596">
        <f t="shared" si="79"/>
        <v>0.89310189636632631</v>
      </c>
      <c r="AI351" s="5"/>
      <c r="AJ351" s="5"/>
      <c r="AK351" s="5"/>
      <c r="AL351" s="5"/>
      <c r="AM351" s="5"/>
      <c r="AN351" s="5"/>
      <c r="AO351" s="5"/>
      <c r="AP351" s="5"/>
      <c r="AQ351" s="5"/>
      <c r="AR351" s="5"/>
      <c r="AS351" s="22"/>
    </row>
    <row r="352" spans="1:45" hidden="1" x14ac:dyDescent="0.2">
      <c r="B352" s="1036" t="s">
        <v>945</v>
      </c>
      <c r="C352" s="727"/>
      <c r="D352" s="1012">
        <f t="shared" ca="1" si="77"/>
        <v>6</v>
      </c>
      <c r="E352" s="250" t="str">
        <f t="shared" ca="1" si="78"/>
        <v>balans CO2 (D5a)</v>
      </c>
      <c r="F352" s="396"/>
      <c r="G352" s="395" t="s">
        <v>70</v>
      </c>
      <c r="H352" s="408"/>
      <c r="I352" s="796">
        <v>56.73803461519001</v>
      </c>
      <c r="J352" s="796">
        <v>53.668539374155515</v>
      </c>
      <c r="K352" s="796">
        <v>50.429650090418484</v>
      </c>
      <c r="L352" s="796">
        <v>56.375113101751076</v>
      </c>
      <c r="M352" s="796">
        <v>50.635052414036558</v>
      </c>
      <c r="N352" s="796">
        <v>72.003840447649011</v>
      </c>
      <c r="O352" s="796">
        <v>48.660005331934165</v>
      </c>
      <c r="P352" s="796">
        <v>32.72634939850245</v>
      </c>
      <c r="Q352" s="796">
        <v>56.295960698907777</v>
      </c>
      <c r="R352" s="796">
        <v>70.040062654962028</v>
      </c>
      <c r="S352" s="796">
        <v>48.298423583368368</v>
      </c>
      <c r="T352" s="796">
        <v>48.298423583368368</v>
      </c>
      <c r="U352" s="529"/>
      <c r="V352" s="20"/>
      <c r="W352" s="795"/>
      <c r="X352" s="795"/>
      <c r="Y352" s="795"/>
      <c r="Z352" s="795"/>
      <c r="AA352" s="795"/>
      <c r="AB352" s="795"/>
      <c r="AC352" s="795"/>
      <c r="AD352" s="795"/>
      <c r="AE352" s="795"/>
      <c r="AF352" s="795"/>
      <c r="AG352" s="795"/>
      <c r="AH352" s="795"/>
      <c r="AI352" s="5"/>
      <c r="AJ352" s="5"/>
      <c r="AK352" s="5"/>
      <c r="AL352" s="5"/>
      <c r="AM352" s="5"/>
      <c r="AN352" s="5"/>
      <c r="AO352" s="5"/>
      <c r="AP352" s="5"/>
      <c r="AQ352" s="5"/>
      <c r="AR352" s="5"/>
      <c r="AS352" s="22"/>
    </row>
    <row r="353" spans="1:45" ht="18.75" hidden="1" x14ac:dyDescent="0.2">
      <c r="B353" s="1036" t="s">
        <v>945</v>
      </c>
      <c r="C353" s="727"/>
      <c r="D353" s="1012"/>
      <c r="E353" s="403" t="s">
        <v>950</v>
      </c>
      <c r="F353" s="404"/>
      <c r="G353" s="405"/>
      <c r="H353" s="406"/>
      <c r="I353" s="800"/>
      <c r="J353" s="800"/>
      <c r="K353" s="800"/>
      <c r="L353" s="800"/>
      <c r="M353" s="800"/>
      <c r="N353" s="800"/>
      <c r="O353" s="800"/>
      <c r="P353" s="800"/>
      <c r="Q353" s="800"/>
      <c r="R353" s="800"/>
      <c r="S353" s="800"/>
      <c r="T353" s="800"/>
      <c r="U353" s="406"/>
      <c r="V353" s="20"/>
      <c r="W353" s="16"/>
      <c r="X353" s="16"/>
      <c r="Y353" s="16"/>
      <c r="Z353" s="16"/>
      <c r="AA353" s="16"/>
      <c r="AB353" s="16"/>
      <c r="AC353" s="16"/>
      <c r="AD353" s="16"/>
      <c r="AE353" s="16"/>
      <c r="AF353" s="16"/>
      <c r="AG353" s="16"/>
      <c r="AH353" s="16"/>
      <c r="AI353" s="5"/>
      <c r="AJ353" s="5"/>
      <c r="AK353" s="5"/>
      <c r="AL353" s="5"/>
      <c r="AM353" s="5"/>
      <c r="AN353" s="5"/>
      <c r="AO353" s="5"/>
      <c r="AP353" s="5"/>
      <c r="AQ353" s="5"/>
      <c r="AR353" s="5"/>
      <c r="AS353" s="22"/>
    </row>
    <row r="354" spans="1:45" hidden="1" x14ac:dyDescent="0.2">
      <c r="B354" s="1036" t="s">
        <v>945</v>
      </c>
      <c r="C354" s="727"/>
      <c r="D354" s="1012">
        <f t="shared" ref="D354:D359" ca="1" si="80">OFFSET(D354,-1,0)+1</f>
        <v>1</v>
      </c>
      <c r="E354" s="250" t="str">
        <f t="shared" ref="E354:E359" ca="1" si="81">INDEX(ventilatiesystemen_namen,D354)</f>
        <v>natuurlijk (A)</v>
      </c>
      <c r="F354" s="396"/>
      <c r="G354" s="395" t="s">
        <v>70</v>
      </c>
      <c r="H354" s="408"/>
      <c r="I354" s="796">
        <v>0.95</v>
      </c>
      <c r="J354" s="796">
        <v>1</v>
      </c>
      <c r="K354" s="796">
        <v>1.1100000000000001</v>
      </c>
      <c r="L354" s="796">
        <v>0.95</v>
      </c>
      <c r="M354" s="796">
        <v>1.1499999999999999</v>
      </c>
      <c r="N354" s="796">
        <v>0.9</v>
      </c>
      <c r="O354" s="796">
        <v>1.2</v>
      </c>
      <c r="P354" s="796">
        <v>0.79</v>
      </c>
      <c r="Q354" s="796">
        <v>1.1000000000000001</v>
      </c>
      <c r="R354" s="796">
        <v>0.14000000000000001</v>
      </c>
      <c r="S354" s="796">
        <v>0.82</v>
      </c>
      <c r="T354" s="796">
        <v>0.82</v>
      </c>
      <c r="U354" s="529"/>
      <c r="V354" s="20"/>
      <c r="W354" s="596">
        <f>IFERROR(I354/I$355,"")</f>
        <v>0.95959595959595956</v>
      </c>
      <c r="X354" s="596">
        <f t="shared" ref="X354:AH358" si="82">IFERROR(J354/J$355,"")</f>
        <v>0.99009900990099009</v>
      </c>
      <c r="Y354" s="596">
        <f t="shared" si="82"/>
        <v>1.009090909090909</v>
      </c>
      <c r="Z354" s="596">
        <f t="shared" si="82"/>
        <v>1.0106382978723405</v>
      </c>
      <c r="AA354" s="596">
        <f t="shared" si="82"/>
        <v>0.98290598290598286</v>
      </c>
      <c r="AB354" s="596">
        <f t="shared" si="82"/>
        <v>0.92783505154639179</v>
      </c>
      <c r="AC354" s="596">
        <f t="shared" si="82"/>
        <v>1</v>
      </c>
      <c r="AD354" s="596">
        <f t="shared" si="82"/>
        <v>0.91860465116279078</v>
      </c>
      <c r="AE354" s="596">
        <f t="shared" si="82"/>
        <v>1</v>
      </c>
      <c r="AF354" s="597">
        <f t="shared" si="82"/>
        <v>0.26415094339622641</v>
      </c>
      <c r="AG354" s="596">
        <f t="shared" si="82"/>
        <v>0.97619047619047616</v>
      </c>
      <c r="AH354" s="596">
        <f t="shared" si="82"/>
        <v>0.97619047619047616</v>
      </c>
      <c r="AI354" s="5"/>
      <c r="AJ354" s="5"/>
      <c r="AK354" s="5"/>
      <c r="AL354" s="5"/>
      <c r="AM354" s="5"/>
      <c r="AN354" s="5"/>
      <c r="AO354" s="5"/>
      <c r="AP354" s="5"/>
      <c r="AQ354" s="5"/>
      <c r="AR354" s="5"/>
      <c r="AS354" s="22"/>
    </row>
    <row r="355" spans="1:45" hidden="1" x14ac:dyDescent="0.2">
      <c r="A355" s="233" t="s">
        <v>541</v>
      </c>
      <c r="B355" s="1036" t="s">
        <v>945</v>
      </c>
      <c r="C355" s="727"/>
      <c r="D355" s="1012">
        <f t="shared" ca="1" si="80"/>
        <v>2</v>
      </c>
      <c r="E355" s="250" t="str">
        <f t="shared" ca="1" si="81"/>
        <v>mech (B1)</v>
      </c>
      <c r="F355" s="396"/>
      <c r="G355" s="395" t="s">
        <v>70</v>
      </c>
      <c r="H355" s="408"/>
      <c r="I355" s="796">
        <v>0.99</v>
      </c>
      <c r="J355" s="796">
        <v>1.01</v>
      </c>
      <c r="K355" s="796">
        <v>1.1000000000000001</v>
      </c>
      <c r="L355" s="796">
        <v>0.94</v>
      </c>
      <c r="M355" s="796">
        <v>1.17</v>
      </c>
      <c r="N355" s="796">
        <v>0.97</v>
      </c>
      <c r="O355" s="796">
        <v>1.2</v>
      </c>
      <c r="P355" s="796">
        <v>0.86</v>
      </c>
      <c r="Q355" s="796">
        <v>1.1000000000000001</v>
      </c>
      <c r="R355" s="796">
        <v>0.53</v>
      </c>
      <c r="S355" s="796">
        <v>0.84</v>
      </c>
      <c r="T355" s="796">
        <v>0.84</v>
      </c>
      <c r="U355" s="529"/>
      <c r="V355" s="20"/>
      <c r="W355" s="596">
        <f>IFERROR(I355/I$355,"")</f>
        <v>1</v>
      </c>
      <c r="X355" s="596">
        <f t="shared" si="82"/>
        <v>1</v>
      </c>
      <c r="Y355" s="596">
        <f t="shared" si="82"/>
        <v>1</v>
      </c>
      <c r="Z355" s="596">
        <f t="shared" si="82"/>
        <v>1</v>
      </c>
      <c r="AA355" s="596">
        <f t="shared" si="82"/>
        <v>1</v>
      </c>
      <c r="AB355" s="596">
        <f t="shared" si="82"/>
        <v>1</v>
      </c>
      <c r="AC355" s="596">
        <f t="shared" si="82"/>
        <v>1</v>
      </c>
      <c r="AD355" s="596">
        <f t="shared" si="82"/>
        <v>1</v>
      </c>
      <c r="AE355" s="596">
        <f t="shared" si="82"/>
        <v>1</v>
      </c>
      <c r="AF355" s="596">
        <f t="shared" si="82"/>
        <v>1</v>
      </c>
      <c r="AG355" s="596">
        <f t="shared" si="82"/>
        <v>1</v>
      </c>
      <c r="AH355" s="596">
        <f t="shared" si="82"/>
        <v>1</v>
      </c>
      <c r="AI355" s="5"/>
      <c r="AJ355" s="5"/>
      <c r="AK355" s="5"/>
      <c r="AL355" s="5"/>
      <c r="AM355" s="5"/>
      <c r="AN355" s="5"/>
      <c r="AO355" s="5"/>
      <c r="AP355" s="5"/>
      <c r="AQ355" s="5"/>
      <c r="AR355" s="5"/>
      <c r="AS355" s="22"/>
    </row>
    <row r="356" spans="1:45" hidden="1" x14ac:dyDescent="0.2">
      <c r="A356" s="233" t="s">
        <v>541</v>
      </c>
      <c r="B356" s="1036" t="s">
        <v>945</v>
      </c>
      <c r="C356" s="727"/>
      <c r="D356" s="1012">
        <f t="shared" ca="1" si="80"/>
        <v>3</v>
      </c>
      <c r="E356" s="250" t="str">
        <f t="shared" ca="1" si="81"/>
        <v>mech (C1)</v>
      </c>
      <c r="F356" s="396"/>
      <c r="G356" s="395" t="s">
        <v>70</v>
      </c>
      <c r="H356" s="408"/>
      <c r="I356" s="796">
        <v>0.94</v>
      </c>
      <c r="J356" s="796">
        <v>1</v>
      </c>
      <c r="K356" s="796">
        <v>1.08</v>
      </c>
      <c r="L356" s="796">
        <v>0.95</v>
      </c>
      <c r="M356" s="796">
        <v>1.1299999999999999</v>
      </c>
      <c r="N356" s="796">
        <v>0.92</v>
      </c>
      <c r="O356" s="796">
        <v>1.18</v>
      </c>
      <c r="P356" s="796">
        <v>0.8</v>
      </c>
      <c r="Q356" s="796">
        <v>1.0900000000000001</v>
      </c>
      <c r="R356" s="796">
        <v>0.21</v>
      </c>
      <c r="S356" s="796">
        <v>1.01</v>
      </c>
      <c r="T356" s="796">
        <v>1.01</v>
      </c>
      <c r="U356" s="529"/>
      <c r="V356" s="20"/>
      <c r="W356" s="596">
        <f>IFERROR(I356/I$355,"")</f>
        <v>0.9494949494949495</v>
      </c>
      <c r="X356" s="596">
        <f t="shared" si="82"/>
        <v>0.99009900990099009</v>
      </c>
      <c r="Y356" s="596">
        <f t="shared" si="82"/>
        <v>0.98181818181818181</v>
      </c>
      <c r="Z356" s="596">
        <f t="shared" si="82"/>
        <v>1.0106382978723405</v>
      </c>
      <c r="AA356" s="596">
        <f t="shared" si="82"/>
        <v>0.96581196581196582</v>
      </c>
      <c r="AB356" s="596">
        <f t="shared" si="82"/>
        <v>0.94845360824742275</v>
      </c>
      <c r="AC356" s="596">
        <f t="shared" si="82"/>
        <v>0.98333333333333328</v>
      </c>
      <c r="AD356" s="596">
        <f t="shared" si="82"/>
        <v>0.93023255813953498</v>
      </c>
      <c r="AE356" s="596">
        <f t="shared" si="82"/>
        <v>0.99090909090909085</v>
      </c>
      <c r="AF356" s="596">
        <f t="shared" si="82"/>
        <v>0.39622641509433959</v>
      </c>
      <c r="AG356" s="596">
        <f t="shared" si="82"/>
        <v>1.2023809523809523</v>
      </c>
      <c r="AH356" s="596">
        <f t="shared" si="82"/>
        <v>1.2023809523809523</v>
      </c>
      <c r="AI356" s="5"/>
      <c r="AJ356" s="5"/>
      <c r="AK356" s="5"/>
      <c r="AL356" s="5"/>
      <c r="AM356" s="5"/>
      <c r="AN356" s="5"/>
      <c r="AO356" s="5"/>
      <c r="AP356" s="5"/>
      <c r="AQ356" s="5"/>
      <c r="AR356" s="5"/>
      <c r="AS356" s="22"/>
    </row>
    <row r="357" spans="1:45" hidden="1" x14ac:dyDescent="0.2">
      <c r="A357" s="233" t="s">
        <v>541</v>
      </c>
      <c r="B357" s="1036" t="s">
        <v>945</v>
      </c>
      <c r="C357" s="727"/>
      <c r="D357" s="1012">
        <f t="shared" ca="1" si="80"/>
        <v>4</v>
      </c>
      <c r="E357" s="250" t="str">
        <f t="shared" ca="1" si="81"/>
        <v>mech - CO2 (C4c)</v>
      </c>
      <c r="F357" s="396"/>
      <c r="G357" s="395" t="s">
        <v>70</v>
      </c>
      <c r="H357" s="408"/>
      <c r="I357" s="796">
        <v>0.98</v>
      </c>
      <c r="J357" s="796">
        <v>1.03</v>
      </c>
      <c r="K357" s="796">
        <v>1.1000000000000001</v>
      </c>
      <c r="L357" s="796">
        <v>0.96</v>
      </c>
      <c r="M357" s="796">
        <v>1.1399999999999999</v>
      </c>
      <c r="N357" s="796">
        <v>0.95</v>
      </c>
      <c r="O357" s="796">
        <v>1.2</v>
      </c>
      <c r="P357" s="796">
        <v>0.91</v>
      </c>
      <c r="Q357" s="796">
        <v>1.0900000000000001</v>
      </c>
      <c r="R357" s="796">
        <v>0.53</v>
      </c>
      <c r="S357" s="796">
        <v>1.04</v>
      </c>
      <c r="T357" s="796">
        <v>1.04</v>
      </c>
      <c r="U357" s="529"/>
      <c r="V357" s="20"/>
      <c r="W357" s="596">
        <f>IFERROR(I357/I$355,"")</f>
        <v>0.98989898989898994</v>
      </c>
      <c r="X357" s="596">
        <f t="shared" si="82"/>
        <v>1.0198019801980198</v>
      </c>
      <c r="Y357" s="596">
        <f t="shared" si="82"/>
        <v>1</v>
      </c>
      <c r="Z357" s="596">
        <f t="shared" si="82"/>
        <v>1.0212765957446808</v>
      </c>
      <c r="AA357" s="596">
        <f t="shared" si="82"/>
        <v>0.97435897435897434</v>
      </c>
      <c r="AB357" s="596">
        <f t="shared" si="82"/>
        <v>0.97938144329896903</v>
      </c>
      <c r="AC357" s="596">
        <f t="shared" si="82"/>
        <v>1</v>
      </c>
      <c r="AD357" s="596">
        <f t="shared" si="82"/>
        <v>1.058139534883721</v>
      </c>
      <c r="AE357" s="596">
        <f t="shared" si="82"/>
        <v>0.99090909090909085</v>
      </c>
      <c r="AF357" s="596">
        <f t="shared" si="82"/>
        <v>1</v>
      </c>
      <c r="AG357" s="596">
        <f t="shared" si="82"/>
        <v>1.2380952380952381</v>
      </c>
      <c r="AH357" s="596">
        <f t="shared" si="82"/>
        <v>1.2380952380952381</v>
      </c>
      <c r="AI357" s="5"/>
      <c r="AJ357" s="5"/>
      <c r="AK357" s="5"/>
      <c r="AL357" s="5"/>
      <c r="AM357" s="5"/>
      <c r="AN357" s="5"/>
      <c r="AO357" s="5"/>
      <c r="AP357" s="5"/>
      <c r="AQ357" s="5"/>
      <c r="AR357" s="5"/>
      <c r="AS357" s="22"/>
    </row>
    <row r="358" spans="1:45" hidden="1" x14ac:dyDescent="0.2">
      <c r="A358" s="233" t="s">
        <v>541</v>
      </c>
      <c r="B358" s="1036" t="s">
        <v>945</v>
      </c>
      <c r="C358" s="727"/>
      <c r="D358" s="1012">
        <f t="shared" ca="1" si="80"/>
        <v>5</v>
      </c>
      <c r="E358" s="250" t="str">
        <f t="shared" ca="1" si="81"/>
        <v>balans (D1)</v>
      </c>
      <c r="F358" s="396"/>
      <c r="G358" s="395" t="s">
        <v>70</v>
      </c>
      <c r="H358" s="408"/>
      <c r="I358" s="796">
        <v>1.03</v>
      </c>
      <c r="J358" s="796">
        <v>1.07</v>
      </c>
      <c r="K358" s="796">
        <v>1.1100000000000001</v>
      </c>
      <c r="L358" s="796">
        <v>0.97</v>
      </c>
      <c r="M358" s="796">
        <v>1.1499999999999999</v>
      </c>
      <c r="N358" s="796">
        <v>1.04</v>
      </c>
      <c r="O358" s="796">
        <v>1.2</v>
      </c>
      <c r="P358" s="796">
        <v>1.01</v>
      </c>
      <c r="Q358" s="796">
        <v>1.1000000000000001</v>
      </c>
      <c r="R358" s="796">
        <v>0.82</v>
      </c>
      <c r="S358" s="796">
        <v>1.06</v>
      </c>
      <c r="T358" s="796">
        <v>1.06</v>
      </c>
      <c r="U358" s="529"/>
      <c r="V358" s="20"/>
      <c r="W358" s="596">
        <f>IFERROR(I358/I$355,"")</f>
        <v>1.0404040404040404</v>
      </c>
      <c r="X358" s="596">
        <f t="shared" si="82"/>
        <v>1.0594059405940595</v>
      </c>
      <c r="Y358" s="596">
        <f t="shared" si="82"/>
        <v>1.009090909090909</v>
      </c>
      <c r="Z358" s="596">
        <f t="shared" si="82"/>
        <v>1.0319148936170213</v>
      </c>
      <c r="AA358" s="596">
        <f t="shared" si="82"/>
        <v>0.98290598290598286</v>
      </c>
      <c r="AB358" s="596">
        <f t="shared" si="82"/>
        <v>1.0721649484536082</v>
      </c>
      <c r="AC358" s="596">
        <f t="shared" si="82"/>
        <v>1</v>
      </c>
      <c r="AD358" s="596">
        <f t="shared" si="82"/>
        <v>1.1744186046511629</v>
      </c>
      <c r="AE358" s="596">
        <f t="shared" si="82"/>
        <v>1</v>
      </c>
      <c r="AF358" s="596">
        <f t="shared" si="82"/>
        <v>1.5471698113207546</v>
      </c>
      <c r="AG358" s="596">
        <f t="shared" si="82"/>
        <v>1.2619047619047621</v>
      </c>
      <c r="AH358" s="596">
        <f t="shared" si="82"/>
        <v>1.2619047619047621</v>
      </c>
      <c r="AI358" s="5"/>
      <c r="AJ358" s="5"/>
      <c r="AK358" s="5"/>
      <c r="AL358" s="5"/>
      <c r="AM358" s="5"/>
      <c r="AN358" s="5"/>
      <c r="AO358" s="5"/>
      <c r="AP358" s="5"/>
      <c r="AQ358" s="5"/>
      <c r="AR358" s="5"/>
      <c r="AS358" s="22"/>
    </row>
    <row r="359" spans="1:45" hidden="1" x14ac:dyDescent="0.2">
      <c r="B359" s="1036" t="s">
        <v>945</v>
      </c>
      <c r="C359" s="727"/>
      <c r="D359" s="1012">
        <f t="shared" ca="1" si="80"/>
        <v>6</v>
      </c>
      <c r="E359" s="250" t="str">
        <f t="shared" ca="1" si="81"/>
        <v>balans CO2 (D5a)</v>
      </c>
      <c r="F359" s="396"/>
      <c r="G359" s="395"/>
      <c r="H359" s="408"/>
      <c r="I359" s="796">
        <v>1.04</v>
      </c>
      <c r="J359" s="796">
        <v>1.08</v>
      </c>
      <c r="K359" s="796">
        <v>1.1200000000000001</v>
      </c>
      <c r="L359" s="796">
        <v>0.97</v>
      </c>
      <c r="M359" s="796">
        <v>1.1499999999999999</v>
      </c>
      <c r="N359" s="796">
        <v>1.06</v>
      </c>
      <c r="O359" s="796">
        <v>1.21</v>
      </c>
      <c r="P359" s="796">
        <v>1.05</v>
      </c>
      <c r="Q359" s="796">
        <v>1.1100000000000001</v>
      </c>
      <c r="R359" s="796">
        <v>0.94</v>
      </c>
      <c r="S359" s="796">
        <v>0.86</v>
      </c>
      <c r="T359" s="796">
        <v>0.86</v>
      </c>
      <c r="U359" s="529"/>
      <c r="V359" s="20"/>
      <c r="W359" s="795"/>
      <c r="X359" s="795"/>
      <c r="Y359" s="795"/>
      <c r="Z359" s="795"/>
      <c r="AA359" s="795"/>
      <c r="AB359" s="795"/>
      <c r="AC359" s="795"/>
      <c r="AD359" s="795"/>
      <c r="AE359" s="795"/>
      <c r="AF359" s="795"/>
      <c r="AG359" s="795"/>
      <c r="AH359" s="795"/>
      <c r="AI359" s="5"/>
      <c r="AJ359" s="5"/>
      <c r="AK359" s="5"/>
      <c r="AL359" s="5"/>
      <c r="AM359" s="5"/>
      <c r="AN359" s="5"/>
      <c r="AO359" s="5"/>
      <c r="AP359" s="5"/>
      <c r="AQ359" s="5"/>
      <c r="AR359" s="5"/>
      <c r="AS359" s="22"/>
    </row>
    <row r="360" spans="1:45" hidden="1" x14ac:dyDescent="0.2">
      <c r="B360" s="1036" t="s">
        <v>945</v>
      </c>
      <c r="C360" s="727"/>
      <c r="D360" s="1012"/>
      <c r="E360" s="391" t="s">
        <v>951</v>
      </c>
      <c r="F360" s="391"/>
      <c r="G360" s="391"/>
      <c r="H360" s="544"/>
      <c r="I360" s="544"/>
      <c r="J360" s="544"/>
      <c r="K360" s="544"/>
      <c r="L360" s="544"/>
      <c r="M360" s="544"/>
      <c r="N360" s="544"/>
      <c r="O360" s="544"/>
      <c r="P360" s="544"/>
      <c r="Q360" s="544"/>
      <c r="R360" s="544"/>
      <c r="S360" s="544"/>
      <c r="T360" s="525"/>
      <c r="U360" s="544"/>
      <c r="V360" s="16"/>
      <c r="W360" s="16"/>
      <c r="X360" s="16"/>
      <c r="Y360" s="20"/>
      <c r="Z360" s="5"/>
      <c r="AA360" s="5"/>
      <c r="AB360" s="5"/>
      <c r="AC360" s="5"/>
      <c r="AD360" s="5"/>
      <c r="AE360" s="5"/>
      <c r="AF360" s="5"/>
      <c r="AG360" s="5"/>
      <c r="AH360" s="5"/>
      <c r="AI360" s="5"/>
      <c r="AJ360" s="5"/>
      <c r="AK360" s="5"/>
      <c r="AL360" s="5"/>
      <c r="AM360" s="5"/>
      <c r="AN360" s="5"/>
      <c r="AO360" s="5"/>
      <c r="AP360" s="5"/>
      <c r="AQ360" s="5"/>
      <c r="AR360" s="5"/>
      <c r="AS360" s="22"/>
    </row>
    <row r="361" spans="1:45" hidden="1" x14ac:dyDescent="0.2">
      <c r="B361" s="1036" t="s">
        <v>945</v>
      </c>
      <c r="C361" s="727"/>
      <c r="D361" s="1012"/>
      <c r="E361" s="802" t="s">
        <v>952</v>
      </c>
      <c r="F361" s="391"/>
      <c r="G361" s="391"/>
      <c r="H361" s="544"/>
      <c r="I361" s="544"/>
      <c r="J361" s="544"/>
      <c r="K361" s="544"/>
      <c r="L361" s="544"/>
      <c r="M361" s="544"/>
      <c r="N361" s="544"/>
      <c r="O361" s="544"/>
      <c r="P361" s="544"/>
      <c r="Q361" s="544"/>
      <c r="R361" s="544"/>
      <c r="S361" s="544"/>
      <c r="T361" s="525"/>
      <c r="U361" s="544"/>
      <c r="V361" s="16"/>
      <c r="W361" s="16"/>
      <c r="X361" s="16"/>
      <c r="Y361" s="20"/>
      <c r="Z361" s="5"/>
      <c r="AA361" s="5"/>
      <c r="AB361" s="5"/>
      <c r="AC361" s="5"/>
      <c r="AD361" s="5"/>
      <c r="AE361" s="5"/>
      <c r="AF361" s="5"/>
      <c r="AG361" s="5"/>
      <c r="AH361" s="5"/>
      <c r="AI361" s="5"/>
      <c r="AJ361" s="5"/>
      <c r="AK361" s="5"/>
      <c r="AL361" s="5"/>
      <c r="AM361" s="5"/>
      <c r="AN361" s="5"/>
      <c r="AO361" s="5"/>
      <c r="AP361" s="5"/>
      <c r="AQ361" s="5"/>
      <c r="AR361" s="5"/>
      <c r="AS361" s="22"/>
    </row>
    <row r="362" spans="1:45" hidden="1" x14ac:dyDescent="0.2">
      <c r="B362" s="1036" t="s">
        <v>945</v>
      </c>
      <c r="C362" s="727"/>
      <c r="D362" s="1012"/>
      <c r="E362" s="5"/>
      <c r="F362" s="5"/>
      <c r="G362" s="5"/>
      <c r="H362" s="16"/>
      <c r="I362" s="16"/>
      <c r="J362" s="16"/>
      <c r="K362" s="16"/>
      <c r="L362" s="16"/>
      <c r="M362" s="16"/>
      <c r="N362" s="16"/>
      <c r="O362" s="16"/>
      <c r="P362" s="16"/>
      <c r="Q362" s="16"/>
      <c r="R362" s="16"/>
      <c r="S362" s="16"/>
      <c r="T362" s="16"/>
      <c r="U362" s="16"/>
      <c r="V362" s="16"/>
      <c r="X362" s="16"/>
      <c r="Y362" s="20"/>
      <c r="Z362" s="16"/>
      <c r="AA362" s="5"/>
      <c r="AB362" s="5"/>
      <c r="AC362" s="5"/>
      <c r="AD362" s="5"/>
      <c r="AE362" s="5"/>
      <c r="AF362" s="5"/>
      <c r="AG362" s="5"/>
      <c r="AH362" s="5"/>
      <c r="AI362" s="5"/>
      <c r="AJ362" s="5"/>
      <c r="AK362" s="5"/>
      <c r="AL362" s="5"/>
      <c r="AM362" s="5"/>
      <c r="AN362" s="5"/>
      <c r="AO362" s="5"/>
      <c r="AP362" s="5"/>
      <c r="AQ362" s="5"/>
      <c r="AR362" s="5"/>
      <c r="AS362" s="22"/>
    </row>
    <row r="363" spans="1:45" hidden="1" x14ac:dyDescent="0.2">
      <c r="B363" s="1036" t="s">
        <v>953</v>
      </c>
      <c r="C363" s="727"/>
      <c r="D363" s="1012"/>
      <c r="E363" s="5"/>
      <c r="F363" s="5"/>
      <c r="G363" s="5"/>
      <c r="H363" s="16"/>
      <c r="I363" s="16"/>
      <c r="J363" s="16"/>
      <c r="K363" s="16"/>
      <c r="L363" s="16"/>
      <c r="M363" s="16"/>
      <c r="N363" s="16"/>
      <c r="O363" s="16"/>
      <c r="P363" s="16"/>
      <c r="Q363" s="16"/>
      <c r="R363" s="16"/>
      <c r="S363" s="16"/>
      <c r="T363" s="16"/>
      <c r="U363" s="16"/>
      <c r="V363" s="16"/>
      <c r="X363" s="16"/>
      <c r="Y363" s="20"/>
      <c r="Z363" s="16"/>
      <c r="AA363" s="16"/>
      <c r="AB363" s="5"/>
      <c r="AC363" s="5"/>
      <c r="AD363" s="5"/>
      <c r="AE363" s="5"/>
      <c r="AF363" s="5"/>
      <c r="AG363" s="5"/>
      <c r="AH363" s="5"/>
      <c r="AI363" s="5"/>
      <c r="AJ363" s="5"/>
      <c r="AK363" s="5"/>
      <c r="AL363" s="5"/>
      <c r="AM363" s="5"/>
      <c r="AN363" s="5"/>
      <c r="AO363" s="5"/>
      <c r="AP363" s="5"/>
      <c r="AQ363" s="5"/>
      <c r="AR363" s="5"/>
      <c r="AS363" s="22"/>
    </row>
    <row r="364" spans="1:45" ht="24" hidden="1" x14ac:dyDescent="0.2">
      <c r="B364" s="1036" t="s">
        <v>953</v>
      </c>
      <c r="C364" s="727"/>
      <c r="D364" s="1012"/>
      <c r="E364" s="240" t="s">
        <v>954</v>
      </c>
      <c r="F364" s="801"/>
      <c r="G364" s="801" t="s">
        <v>947</v>
      </c>
      <c r="H364" s="240"/>
      <c r="I364" s="240"/>
      <c r="J364" s="240"/>
      <c r="K364" s="240"/>
      <c r="L364" s="240"/>
      <c r="M364" s="240"/>
      <c r="N364" s="240"/>
      <c r="O364" s="240"/>
      <c r="P364" s="240"/>
      <c r="Q364" s="240"/>
      <c r="R364" s="240"/>
      <c r="S364" s="240"/>
      <c r="T364" s="240"/>
      <c r="U364" s="240"/>
      <c r="V364" s="61"/>
      <c r="X364" s="61"/>
      <c r="Y364" s="20"/>
      <c r="Z364" s="5"/>
      <c r="AA364" s="5"/>
      <c r="AB364" s="5"/>
      <c r="AC364" s="5"/>
      <c r="AD364" s="5"/>
      <c r="AE364" s="5"/>
      <c r="AF364" s="5"/>
      <c r="AG364" s="5"/>
      <c r="AH364" s="5"/>
      <c r="AI364" s="5"/>
      <c r="AJ364" s="5"/>
      <c r="AK364" s="5"/>
      <c r="AL364" s="5"/>
      <c r="AM364" s="5"/>
      <c r="AN364" s="5"/>
      <c r="AO364" s="5"/>
      <c r="AP364" s="5"/>
      <c r="AQ364" s="5"/>
      <c r="AR364" s="5"/>
      <c r="AS364" s="437"/>
    </row>
    <row r="365" spans="1:45" hidden="1" x14ac:dyDescent="0.2">
      <c r="B365" s="1036" t="s">
        <v>953</v>
      </c>
      <c r="C365" s="727"/>
      <c r="D365" s="1013"/>
      <c r="E365" s="386" t="s">
        <v>491</v>
      </c>
      <c r="F365" s="386"/>
      <c r="G365" s="386" t="s">
        <v>423</v>
      </c>
      <c r="H365" s="387"/>
      <c r="I365" s="387">
        <f t="shared" ref="I365:T365" ca="1" si="83">OFFSET(I365,0,-1)+1</f>
        <v>1</v>
      </c>
      <c r="J365" s="387">
        <f t="shared" ca="1" si="83"/>
        <v>2</v>
      </c>
      <c r="K365" s="387">
        <f t="shared" ca="1" si="83"/>
        <v>3</v>
      </c>
      <c r="L365" s="387">
        <f t="shared" ca="1" si="83"/>
        <v>4</v>
      </c>
      <c r="M365" s="387">
        <f t="shared" ca="1" si="83"/>
        <v>5</v>
      </c>
      <c r="N365" s="387">
        <f t="shared" ca="1" si="83"/>
        <v>6</v>
      </c>
      <c r="O365" s="387">
        <f t="shared" ca="1" si="83"/>
        <v>7</v>
      </c>
      <c r="P365" s="387">
        <f t="shared" ca="1" si="83"/>
        <v>8</v>
      </c>
      <c r="Q365" s="387">
        <f t="shared" ca="1" si="83"/>
        <v>9</v>
      </c>
      <c r="R365" s="387">
        <f t="shared" ca="1" si="83"/>
        <v>10</v>
      </c>
      <c r="S365" s="387">
        <f t="shared" ca="1" si="83"/>
        <v>11</v>
      </c>
      <c r="T365" s="387">
        <f t="shared" ca="1" si="83"/>
        <v>12</v>
      </c>
      <c r="U365" s="387"/>
      <c r="V365" s="61"/>
      <c r="W365" s="61"/>
      <c r="X365" s="5"/>
      <c r="Y365" s="20"/>
      <c r="Z365" s="5"/>
      <c r="AA365" s="5"/>
      <c r="AB365" s="5"/>
      <c r="AC365" s="5"/>
      <c r="AD365" s="5"/>
      <c r="AE365" s="5"/>
      <c r="AF365" s="5"/>
      <c r="AG365" s="5"/>
      <c r="AH365" s="5"/>
      <c r="AI365" s="5"/>
      <c r="AJ365" s="5"/>
      <c r="AK365" s="5"/>
      <c r="AL365" s="5"/>
      <c r="AM365" s="5"/>
      <c r="AN365" s="5"/>
      <c r="AO365" s="5"/>
      <c r="AP365" s="5"/>
      <c r="AQ365" s="5"/>
      <c r="AR365" s="5"/>
      <c r="AS365" s="22"/>
    </row>
    <row r="366" spans="1:45" ht="18.75" hidden="1" x14ac:dyDescent="0.2">
      <c r="B366" s="1036" t="s">
        <v>953</v>
      </c>
      <c r="C366" s="727"/>
      <c r="D366" s="1012"/>
      <c r="E366" s="403" t="s">
        <v>124</v>
      </c>
      <c r="F366" s="404"/>
      <c r="G366" s="405"/>
      <c r="H366" s="406"/>
      <c r="I366" s="406"/>
      <c r="J366" s="406"/>
      <c r="K366" s="406"/>
      <c r="L366" s="406"/>
      <c r="M366" s="406"/>
      <c r="N366" s="406"/>
      <c r="O366" s="406"/>
      <c r="P366" s="406"/>
      <c r="Q366" s="406"/>
      <c r="R366" s="406"/>
      <c r="S366" s="406"/>
      <c r="T366" s="406"/>
      <c r="U366" s="406"/>
      <c r="V366" s="20"/>
      <c r="W366" s="16"/>
      <c r="X366" s="16"/>
      <c r="Y366" s="16"/>
      <c r="Z366" s="16"/>
      <c r="AA366" s="16"/>
      <c r="AB366" s="16"/>
      <c r="AC366" s="16"/>
      <c r="AD366" s="16"/>
      <c r="AE366" s="16"/>
      <c r="AF366" s="16"/>
      <c r="AG366" s="16"/>
      <c r="AH366" s="16"/>
      <c r="AI366" s="5"/>
      <c r="AJ366" s="5"/>
      <c r="AK366" s="5"/>
      <c r="AL366" s="5"/>
      <c r="AM366" s="5"/>
      <c r="AN366" s="5"/>
      <c r="AO366" s="5"/>
      <c r="AP366" s="5"/>
      <c r="AQ366" s="5"/>
      <c r="AR366" s="5"/>
      <c r="AS366" s="22"/>
    </row>
    <row r="367" spans="1:45" ht="25.5" hidden="1" x14ac:dyDescent="0.2">
      <c r="B367" s="1036" t="s">
        <v>953</v>
      </c>
      <c r="C367" s="727"/>
      <c r="D367" s="1012"/>
      <c r="E367" s="395" t="s">
        <v>124</v>
      </c>
      <c r="F367" s="396"/>
      <c r="G367" s="395" t="s">
        <v>70</v>
      </c>
      <c r="H367" s="529"/>
      <c r="I367" s="545" t="str">
        <f>I$272</f>
        <v>kantoor</v>
      </c>
      <c r="J367" s="545" t="str">
        <f t="shared" ref="J367:T367" si="84">J$272</f>
        <v>bijeenkomst overig</v>
      </c>
      <c r="K367" s="545" t="str">
        <f t="shared" si="84"/>
        <v>bijeenkomst kinderopvang</v>
      </c>
      <c r="L367" s="545" t="str">
        <f t="shared" si="84"/>
        <v>onderwijs</v>
      </c>
      <c r="M367" s="545" t="str">
        <f t="shared" si="84"/>
        <v>gezondheid overig</v>
      </c>
      <c r="N367" s="545" t="str">
        <f t="shared" si="84"/>
        <v>gezondheid met bed</v>
      </c>
      <c r="O367" s="545" t="str">
        <f t="shared" si="84"/>
        <v>winkel</v>
      </c>
      <c r="P367" s="545" t="str">
        <f t="shared" si="84"/>
        <v>sport</v>
      </c>
      <c r="Q367" s="545" t="str">
        <f t="shared" si="84"/>
        <v>logies</v>
      </c>
      <c r="R367" s="545" t="str">
        <f t="shared" si="84"/>
        <v>cellengebouw</v>
      </c>
      <c r="S367" s="545" t="str">
        <f t="shared" si="84"/>
        <v>woning</v>
      </c>
      <c r="T367" s="545" t="str">
        <f t="shared" si="84"/>
        <v>woongebouw</v>
      </c>
      <c r="U367" s="529"/>
      <c r="V367" s="20"/>
      <c r="W367" s="595" t="str">
        <f t="shared" ref="W367:AH367" si="85">I367</f>
        <v>kantoor</v>
      </c>
      <c r="X367" s="595" t="str">
        <f t="shared" si="85"/>
        <v>bijeenkomst overig</v>
      </c>
      <c r="Y367" s="595" t="str">
        <f t="shared" si="85"/>
        <v>bijeenkomst kinderopvang</v>
      </c>
      <c r="Z367" s="595" t="str">
        <f t="shared" si="85"/>
        <v>onderwijs</v>
      </c>
      <c r="AA367" s="595" t="str">
        <f t="shared" si="85"/>
        <v>gezondheid overig</v>
      </c>
      <c r="AB367" s="595" t="str">
        <f t="shared" si="85"/>
        <v>gezondheid met bed</v>
      </c>
      <c r="AC367" s="595" t="str">
        <f t="shared" si="85"/>
        <v>winkel</v>
      </c>
      <c r="AD367" s="595" t="str">
        <f t="shared" si="85"/>
        <v>sport</v>
      </c>
      <c r="AE367" s="595" t="str">
        <f t="shared" si="85"/>
        <v>logies</v>
      </c>
      <c r="AF367" s="595" t="str">
        <f t="shared" si="85"/>
        <v>cellengebouw</v>
      </c>
      <c r="AG367" s="595" t="str">
        <f t="shared" si="85"/>
        <v>woning</v>
      </c>
      <c r="AH367" s="595" t="str">
        <f t="shared" si="85"/>
        <v>woongebouw</v>
      </c>
      <c r="AI367" s="5"/>
      <c r="AJ367" s="5"/>
      <c r="AK367" s="5"/>
      <c r="AL367" s="5"/>
      <c r="AM367" s="5"/>
      <c r="AN367" s="5"/>
      <c r="AO367" s="5"/>
      <c r="AP367" s="5"/>
      <c r="AQ367" s="5"/>
      <c r="AR367" s="5"/>
      <c r="AS367" s="22"/>
    </row>
    <row r="368" spans="1:45" ht="18.75" hidden="1" x14ac:dyDescent="0.2">
      <c r="B368" s="1036" t="s">
        <v>953</v>
      </c>
      <c r="C368" s="727"/>
      <c r="D368" s="1012"/>
      <c r="E368" s="403" t="s">
        <v>948</v>
      </c>
      <c r="F368" s="404"/>
      <c r="G368" s="405"/>
      <c r="H368" s="406"/>
      <c r="I368" s="406"/>
      <c r="J368" s="406"/>
      <c r="K368" s="406"/>
      <c r="L368" s="406"/>
      <c r="M368" s="406"/>
      <c r="N368" s="406"/>
      <c r="O368" s="406"/>
      <c r="P368" s="406"/>
      <c r="Q368" s="406"/>
      <c r="R368" s="406"/>
      <c r="S368" s="406"/>
      <c r="T368" s="406"/>
      <c r="U368" s="406"/>
      <c r="V368" s="20"/>
      <c r="W368" s="16"/>
      <c r="X368" s="16"/>
      <c r="Y368" s="16"/>
      <c r="Z368" s="16"/>
      <c r="AA368" s="16"/>
      <c r="AB368" s="16"/>
      <c r="AC368" s="16"/>
      <c r="AD368" s="16"/>
      <c r="AE368" s="16"/>
      <c r="AF368" s="16"/>
      <c r="AG368" s="16"/>
      <c r="AH368" s="16"/>
      <c r="AI368" s="5"/>
      <c r="AJ368" s="5"/>
      <c r="AK368" s="5"/>
      <c r="AL368" s="5"/>
      <c r="AM368" s="5"/>
      <c r="AN368" s="5"/>
      <c r="AO368" s="5"/>
      <c r="AP368" s="5"/>
      <c r="AQ368" s="5"/>
      <c r="AR368" s="5"/>
      <c r="AS368" s="22"/>
    </row>
    <row r="369" spans="1:45" hidden="1" x14ac:dyDescent="0.2">
      <c r="B369" s="1036" t="s">
        <v>953</v>
      </c>
      <c r="C369" s="727"/>
      <c r="D369" s="1012">
        <f t="shared" ref="D369:D374" ca="1" si="86">OFFSET(D369,-1,0)+1</f>
        <v>1</v>
      </c>
      <c r="E369" s="250" t="str">
        <f t="shared" ref="E369:E374" ca="1" si="87">INDEX(ventilatiesystemen_namen,D369)</f>
        <v>natuurlijk (A)</v>
      </c>
      <c r="F369" s="396"/>
      <c r="G369" s="395" t="s">
        <v>70</v>
      </c>
      <c r="H369" s="408"/>
      <c r="I369" s="796">
        <v>18.319774857455897</v>
      </c>
      <c r="J369" s="796">
        <v>3.0749216257882126</v>
      </c>
      <c r="K369" s="796">
        <v>-1.5903919785816769</v>
      </c>
      <c r="L369" s="796">
        <v>11.12058055594961</v>
      </c>
      <c r="M369" s="796">
        <v>0.90733018840969493</v>
      </c>
      <c r="N369" s="796">
        <v>-150.31633008361669</v>
      </c>
      <c r="O369" s="796">
        <v>-3.75387488955778</v>
      </c>
      <c r="P369" s="796">
        <v>-10.64622830954076</v>
      </c>
      <c r="Q369" s="796">
        <v>1.4946876153652167</v>
      </c>
      <c r="R369" s="798">
        <v>3.4089110591960319</v>
      </c>
      <c r="S369" s="796">
        <v>-4.7243717931199924</v>
      </c>
      <c r="T369" s="797">
        <v>-4.7243717931199924</v>
      </c>
      <c r="U369" s="529"/>
      <c r="V369" s="20"/>
      <c r="W369" s="596">
        <f t="shared" ref="W369:AH373" si="88">IFERROR(I369/I$341,"")</f>
        <v>1.9231988370322877</v>
      </c>
      <c r="X369" s="596">
        <f t="shared" si="88"/>
        <v>0.12877729166351201</v>
      </c>
      <c r="Y369" s="596">
        <f t="shared" si="88"/>
        <v>-2.1977642921682548E-2</v>
      </c>
      <c r="Z369" s="596">
        <f t="shared" si="88"/>
        <v>0.14160882306408143</v>
      </c>
      <c r="AA369" s="596">
        <f t="shared" si="88"/>
        <v>4.7168297927579934E-2</v>
      </c>
      <c r="AB369" s="596">
        <f t="shared" si="88"/>
        <v>-1.0927706167693332</v>
      </c>
      <c r="AC369" s="596">
        <f t="shared" si="88"/>
        <v>0.52850117207541103</v>
      </c>
      <c r="AD369" s="596">
        <f t="shared" si="88"/>
        <v>-3.0800293219081873</v>
      </c>
      <c r="AE369" s="596">
        <f t="shared" si="88"/>
        <v>8.7518263958871328E-2</v>
      </c>
      <c r="AF369" s="597">
        <f t="shared" si="88"/>
        <v>5.8156511955688356E-2</v>
      </c>
      <c r="AG369" s="596">
        <f t="shared" si="88"/>
        <v>-0.17373361576054594</v>
      </c>
      <c r="AH369" s="596">
        <f t="shared" si="88"/>
        <v>-0.17373361576054594</v>
      </c>
      <c r="AI369" s="5"/>
      <c r="AJ369" s="5"/>
      <c r="AK369" s="5"/>
      <c r="AL369" s="5"/>
      <c r="AM369" s="5"/>
      <c r="AN369" s="5"/>
      <c r="AO369" s="5"/>
      <c r="AP369" s="5"/>
      <c r="AQ369" s="5"/>
      <c r="AR369" s="5"/>
      <c r="AS369" s="379"/>
    </row>
    <row r="370" spans="1:45" hidden="1" x14ac:dyDescent="0.2">
      <c r="A370" s="233" t="s">
        <v>541</v>
      </c>
      <c r="B370" s="1036" t="s">
        <v>953</v>
      </c>
      <c r="C370" s="727"/>
      <c r="D370" s="1012">
        <f t="shared" ca="1" si="86"/>
        <v>2</v>
      </c>
      <c r="E370" s="250" t="str">
        <f t="shared" ca="1" si="87"/>
        <v>mech (B1)</v>
      </c>
      <c r="F370" s="396"/>
      <c r="G370" s="395" t="s">
        <v>70</v>
      </c>
      <c r="H370" s="408"/>
      <c r="I370" s="796">
        <v>26.747953283151158</v>
      </c>
      <c r="J370" s="796">
        <v>2.2485496876942932</v>
      </c>
      <c r="K370" s="796">
        <v>1.3860159839577619</v>
      </c>
      <c r="L370" s="796">
        <v>8.753100874692338</v>
      </c>
      <c r="M370" s="796">
        <v>15.397749152968986</v>
      </c>
      <c r="N370" s="796">
        <v>119.9977787822656</v>
      </c>
      <c r="O370" s="796">
        <v>-2.054147622725683</v>
      </c>
      <c r="P370" s="796">
        <v>-7.9800280684966349</v>
      </c>
      <c r="Q370" s="796">
        <v>1.6525168946894606</v>
      </c>
      <c r="R370" s="796">
        <v>14.085589185932729</v>
      </c>
      <c r="S370" s="796">
        <v>-4.1337838731656138</v>
      </c>
      <c r="T370" s="797">
        <v>-4.1337838731656138</v>
      </c>
      <c r="U370" s="529"/>
      <c r="V370" s="20"/>
      <c r="W370" s="596">
        <f t="shared" si="88"/>
        <v>2.8079838888529913</v>
      </c>
      <c r="X370" s="596">
        <f t="shared" si="88"/>
        <v>9.4168949388387005E-2</v>
      </c>
      <c r="Y370" s="596">
        <f t="shared" si="88"/>
        <v>1.9153368974065027E-2</v>
      </c>
      <c r="Z370" s="596">
        <f t="shared" si="88"/>
        <v>0.11146147512624341</v>
      </c>
      <c r="AA370" s="596">
        <f t="shared" si="88"/>
        <v>0.80046451527680951</v>
      </c>
      <c r="AB370" s="596">
        <f t="shared" si="88"/>
        <v>0.87236061882233595</v>
      </c>
      <c r="AC370" s="596">
        <f t="shared" si="88"/>
        <v>0.28919968250575678</v>
      </c>
      <c r="AD370" s="596">
        <f t="shared" si="88"/>
        <v>-2.3086786912688546</v>
      </c>
      <c r="AE370" s="596">
        <f t="shared" si="88"/>
        <v>9.6759622746046742E-2</v>
      </c>
      <c r="AF370" s="596">
        <f t="shared" si="88"/>
        <v>0.24030217323646064</v>
      </c>
      <c r="AG370" s="596">
        <f t="shared" si="88"/>
        <v>-0.15201538966589442</v>
      </c>
      <c r="AH370" s="596">
        <f t="shared" si="88"/>
        <v>-0.15201538966589442</v>
      </c>
      <c r="AI370" s="5"/>
      <c r="AJ370" s="5"/>
      <c r="AK370" s="5"/>
      <c r="AL370" s="5"/>
      <c r="AM370" s="5"/>
      <c r="AN370" s="5"/>
      <c r="AO370" s="5"/>
      <c r="AP370" s="5"/>
      <c r="AQ370" s="5"/>
      <c r="AR370" s="5"/>
      <c r="AS370" s="379"/>
    </row>
    <row r="371" spans="1:45" hidden="1" x14ac:dyDescent="0.2">
      <c r="A371" s="233" t="s">
        <v>541</v>
      </c>
      <c r="B371" s="1036" t="s">
        <v>953</v>
      </c>
      <c r="C371" s="727"/>
      <c r="D371" s="1012">
        <f t="shared" ca="1" si="86"/>
        <v>3</v>
      </c>
      <c r="E371" s="250" t="str">
        <f t="shared" ca="1" si="87"/>
        <v>mech (C1)</v>
      </c>
      <c r="F371" s="396"/>
      <c r="G371" s="395" t="s">
        <v>70</v>
      </c>
      <c r="H371" s="408"/>
      <c r="I371" s="798">
        <v>-19.199694690381449</v>
      </c>
      <c r="J371" s="798">
        <v>-52.894573595272448</v>
      </c>
      <c r="K371" s="798">
        <v>0.24716480614372038</v>
      </c>
      <c r="L371" s="798">
        <v>-21.207330746852339</v>
      </c>
      <c r="M371" s="798">
        <v>-1.732414715710453</v>
      </c>
      <c r="N371" s="798">
        <v>-5.29581766753574</v>
      </c>
      <c r="O371" s="798">
        <v>-4.3148308386685219</v>
      </c>
      <c r="P371" s="798">
        <v>-27.66259662121432</v>
      </c>
      <c r="Q371" s="798">
        <v>1.1065250620956433</v>
      </c>
      <c r="R371" s="798">
        <v>109.29731060490685</v>
      </c>
      <c r="S371" s="796">
        <v>-3.4826208736148931</v>
      </c>
      <c r="T371" s="797">
        <v>-3.4826208736148931</v>
      </c>
      <c r="U371" s="529"/>
      <c r="V371" s="20"/>
      <c r="W371" s="596">
        <f t="shared" si="88"/>
        <v>-2.0155722866260386</v>
      </c>
      <c r="X371" s="596">
        <f t="shared" si="88"/>
        <v>-2.2152174137282081</v>
      </c>
      <c r="Y371" s="596">
        <f t="shared" si="88"/>
        <v>3.4155729690475188E-3</v>
      </c>
      <c r="Z371" s="596">
        <f t="shared" si="88"/>
        <v>-0.27005291066263237</v>
      </c>
      <c r="AA371" s="596">
        <f t="shared" si="88"/>
        <v>-9.0060988258286415E-2</v>
      </c>
      <c r="AB371" s="596">
        <f t="shared" si="88"/>
        <v>-3.8499569112895156E-2</v>
      </c>
      <c r="AC371" s="596">
        <f t="shared" si="88"/>
        <v>0.60747713299845252</v>
      </c>
      <c r="AD371" s="596">
        <f t="shared" si="88"/>
        <v>-8.0029853048618076</v>
      </c>
      <c r="AE371" s="596">
        <f t="shared" si="88"/>
        <v>6.4790228718079351E-2</v>
      </c>
      <c r="AF371" s="596">
        <f t="shared" si="88"/>
        <v>1.864627806516592</v>
      </c>
      <c r="AG371" s="596">
        <f t="shared" si="88"/>
        <v>-0.1280695811403722</v>
      </c>
      <c r="AH371" s="596">
        <f t="shared" si="88"/>
        <v>-0.1280695811403722</v>
      </c>
      <c r="AI371" s="5"/>
      <c r="AJ371" s="5"/>
      <c r="AK371" s="5"/>
      <c r="AL371" s="5"/>
      <c r="AM371" s="5"/>
      <c r="AN371" s="5"/>
      <c r="AO371" s="5"/>
      <c r="AP371" s="5"/>
      <c r="AQ371" s="5"/>
      <c r="AR371" s="5"/>
      <c r="AS371" s="22"/>
    </row>
    <row r="372" spans="1:45" hidden="1" x14ac:dyDescent="0.2">
      <c r="A372" s="233" t="s">
        <v>541</v>
      </c>
      <c r="B372" s="1036" t="s">
        <v>953</v>
      </c>
      <c r="C372" s="727"/>
      <c r="D372" s="1012">
        <f t="shared" ca="1" si="86"/>
        <v>4</v>
      </c>
      <c r="E372" s="250" t="str">
        <f t="shared" ca="1" si="87"/>
        <v>mech - CO2 (C4c)</v>
      </c>
      <c r="F372" s="396"/>
      <c r="G372" s="395" t="s">
        <v>70</v>
      </c>
      <c r="H372" s="408"/>
      <c r="I372" s="796">
        <v>82.161180469601803</v>
      </c>
      <c r="J372" s="796">
        <v>0.34427200419514437</v>
      </c>
      <c r="K372" s="798">
        <v>-2.4189689787422868</v>
      </c>
      <c r="L372" s="796">
        <v>7.2027522713055721</v>
      </c>
      <c r="M372" s="796">
        <v>24.572893553104624</v>
      </c>
      <c r="N372" s="798">
        <v>-121.2514245240061</v>
      </c>
      <c r="O372" s="796">
        <v>-2.9385454319619004</v>
      </c>
      <c r="P372" s="796">
        <v>6.4097074515305117</v>
      </c>
      <c r="Q372" s="796">
        <v>-2.2725640864719292</v>
      </c>
      <c r="R372" s="796">
        <v>45.348381122880483</v>
      </c>
      <c r="S372" s="798">
        <v>-4.9458582652064038</v>
      </c>
      <c r="T372" s="799">
        <v>-4.9458582652064038</v>
      </c>
      <c r="U372" s="529"/>
      <c r="V372" s="20"/>
      <c r="W372" s="596">
        <f t="shared" si="88"/>
        <v>8.6252308206740462</v>
      </c>
      <c r="X372" s="596">
        <f t="shared" si="88"/>
        <v>1.4418063837466244E-2</v>
      </c>
      <c r="Y372" s="596">
        <f t="shared" si="88"/>
        <v>-3.3427756911121022E-2</v>
      </c>
      <c r="Z372" s="596">
        <f t="shared" si="88"/>
        <v>9.1719426591989076E-2</v>
      </c>
      <c r="AA372" s="596">
        <f t="shared" si="88"/>
        <v>1.2774418605943987</v>
      </c>
      <c r="AB372" s="596">
        <f t="shared" si="88"/>
        <v>-0.88147438064482031</v>
      </c>
      <c r="AC372" s="596">
        <f t="shared" si="88"/>
        <v>0.41371243066964902</v>
      </c>
      <c r="AD372" s="596">
        <f t="shared" si="88"/>
        <v>1.8543738046529814</v>
      </c>
      <c r="AE372" s="596">
        <f t="shared" si="88"/>
        <v>-0.13306517130317158</v>
      </c>
      <c r="AF372" s="596">
        <f t="shared" si="88"/>
        <v>0.7736498908733338</v>
      </c>
      <c r="AG372" s="596">
        <f t="shared" si="88"/>
        <v>-0.18187853900592993</v>
      </c>
      <c r="AH372" s="596">
        <f t="shared" si="88"/>
        <v>-0.18187853900592993</v>
      </c>
      <c r="AI372" s="5"/>
      <c r="AJ372" s="5"/>
      <c r="AK372" s="5"/>
      <c r="AL372" s="5"/>
      <c r="AM372" s="5"/>
      <c r="AN372" s="5"/>
      <c r="AO372" s="5"/>
      <c r="AP372" s="5"/>
      <c r="AQ372" s="5"/>
      <c r="AR372" s="5"/>
      <c r="AS372" s="22"/>
    </row>
    <row r="373" spans="1:45" hidden="1" x14ac:dyDescent="0.2">
      <c r="A373" s="233" t="s">
        <v>541</v>
      </c>
      <c r="B373" s="1036" t="s">
        <v>953</v>
      </c>
      <c r="C373" s="727"/>
      <c r="D373" s="1012">
        <f t="shared" ca="1" si="86"/>
        <v>5</v>
      </c>
      <c r="E373" s="250" t="str">
        <f t="shared" ca="1" si="87"/>
        <v>balans (D1)</v>
      </c>
      <c r="F373" s="396"/>
      <c r="G373" s="395" t="s">
        <v>70</v>
      </c>
      <c r="H373" s="408"/>
      <c r="I373" s="796">
        <v>73.742064730761456</v>
      </c>
      <c r="J373" s="796">
        <v>0.69467669389043341</v>
      </c>
      <c r="K373" s="796">
        <v>-32.092319688427956</v>
      </c>
      <c r="L373" s="796">
        <v>-6.3905627698378886</v>
      </c>
      <c r="M373" s="796">
        <v>-32.9632013419995</v>
      </c>
      <c r="N373" s="796">
        <v>446.04552484680482</v>
      </c>
      <c r="O373" s="796">
        <v>1.1214672497220111</v>
      </c>
      <c r="P373" s="796">
        <v>4.0935123878262587</v>
      </c>
      <c r="Q373" s="796">
        <v>2.0170200393548208</v>
      </c>
      <c r="R373" s="796">
        <v>17.733979512941094</v>
      </c>
      <c r="S373" s="796">
        <v>-14.172321175718285</v>
      </c>
      <c r="T373" s="797">
        <v>-14.172321175718285</v>
      </c>
      <c r="U373" s="529"/>
      <c r="V373" s="20"/>
      <c r="W373" s="596">
        <f t="shared" si="88"/>
        <v>7.7413971642146597</v>
      </c>
      <c r="X373" s="596">
        <f t="shared" si="88"/>
        <v>2.9092963694006723E-2</v>
      </c>
      <c r="Y373" s="596">
        <f t="shared" si="88"/>
        <v>-0.44348409205996869</v>
      </c>
      <c r="Z373" s="596">
        <f t="shared" si="88"/>
        <v>-8.137705293360048E-2</v>
      </c>
      <c r="AA373" s="596">
        <f t="shared" si="88"/>
        <v>-1.7136188362380091</v>
      </c>
      <c r="AB373" s="596">
        <f t="shared" si="88"/>
        <v>3.2426646061868523</v>
      </c>
      <c r="AC373" s="596">
        <f t="shared" si="88"/>
        <v>-0.15788932059802674</v>
      </c>
      <c r="AD373" s="596">
        <f t="shared" si="88"/>
        <v>1.1842821530325744</v>
      </c>
      <c r="AE373" s="596">
        <f t="shared" si="88"/>
        <v>0.11810233148379656</v>
      </c>
      <c r="AF373" s="596">
        <f t="shared" si="88"/>
        <v>0.3025442358738239</v>
      </c>
      <c r="AG373" s="596">
        <f t="shared" si="88"/>
        <v>-0.52117164130963478</v>
      </c>
      <c r="AH373" s="596">
        <f t="shared" si="88"/>
        <v>-0.52117164130963478</v>
      </c>
      <c r="AI373" s="5"/>
      <c r="AJ373" s="5"/>
      <c r="AK373" s="5"/>
      <c r="AL373" s="5"/>
      <c r="AM373" s="5"/>
      <c r="AN373" s="5"/>
      <c r="AO373" s="5"/>
      <c r="AP373" s="5"/>
      <c r="AQ373" s="5"/>
      <c r="AR373" s="5"/>
      <c r="AS373" s="22"/>
    </row>
    <row r="374" spans="1:45" hidden="1" x14ac:dyDescent="0.2">
      <c r="B374" s="1036" t="s">
        <v>953</v>
      </c>
      <c r="C374" s="727"/>
      <c r="D374" s="1012">
        <f t="shared" ca="1" si="86"/>
        <v>6</v>
      </c>
      <c r="E374" s="250" t="str">
        <f t="shared" ca="1" si="87"/>
        <v>balans CO2 (D5a)</v>
      </c>
      <c r="F374" s="396"/>
      <c r="G374" s="395" t="s">
        <v>70</v>
      </c>
      <c r="H374" s="408"/>
      <c r="I374" s="796">
        <v>73.31409402987849</v>
      </c>
      <c r="J374" s="796">
        <v>-0.30691279094867596</v>
      </c>
      <c r="K374" s="796">
        <v>-232.78419604060798</v>
      </c>
      <c r="L374" s="796">
        <v>-1.6401836153893132</v>
      </c>
      <c r="M374" s="796">
        <v>-47.627724736980618</v>
      </c>
      <c r="N374" s="796">
        <v>85.678428233043945</v>
      </c>
      <c r="O374" s="796">
        <v>-1.1611860117024246</v>
      </c>
      <c r="P374" s="796">
        <v>5.8046331618728484</v>
      </c>
      <c r="Q374" s="796">
        <v>-4.2303239820752836</v>
      </c>
      <c r="R374" s="796">
        <v>40.364699841309324</v>
      </c>
      <c r="S374" s="796">
        <v>-2.7678062526360172</v>
      </c>
      <c r="T374" s="797">
        <v>-2.7678062526360172</v>
      </c>
      <c r="U374" s="529"/>
      <c r="V374" s="20"/>
      <c r="W374" s="795"/>
      <c r="X374" s="795"/>
      <c r="Y374" s="795"/>
      <c r="Z374" s="795"/>
      <c r="AA374" s="795"/>
      <c r="AB374" s="795"/>
      <c r="AC374" s="795"/>
      <c r="AD374" s="795"/>
      <c r="AE374" s="795"/>
      <c r="AF374" s="795"/>
      <c r="AG374" s="795"/>
      <c r="AH374" s="795"/>
      <c r="AI374" s="5"/>
      <c r="AJ374" s="5"/>
      <c r="AK374" s="5"/>
      <c r="AL374" s="5"/>
      <c r="AM374" s="5"/>
      <c r="AN374" s="5"/>
      <c r="AO374" s="5"/>
      <c r="AP374" s="5"/>
      <c r="AQ374" s="5"/>
      <c r="AR374" s="5"/>
      <c r="AS374" s="22"/>
    </row>
    <row r="375" spans="1:45" ht="18.75" hidden="1" x14ac:dyDescent="0.2">
      <c r="B375" s="1036" t="s">
        <v>953</v>
      </c>
      <c r="C375" s="727"/>
      <c r="D375" s="1012"/>
      <c r="E375" s="403" t="s">
        <v>955</v>
      </c>
      <c r="F375" s="404"/>
      <c r="G375" s="405"/>
      <c r="H375" s="406"/>
      <c r="I375" s="800"/>
      <c r="J375" s="800"/>
      <c r="K375" s="800"/>
      <c r="L375" s="800"/>
      <c r="M375" s="800"/>
      <c r="N375" s="800"/>
      <c r="O375" s="800"/>
      <c r="P375" s="800"/>
      <c r="Q375" s="800"/>
      <c r="R375" s="800"/>
      <c r="S375" s="800"/>
      <c r="T375" s="800"/>
      <c r="U375" s="406"/>
      <c r="V375" s="20"/>
      <c r="W375" s="16"/>
      <c r="X375" s="16"/>
      <c r="Y375" s="16"/>
      <c r="Z375" s="16"/>
      <c r="AA375" s="16"/>
      <c r="AB375" s="16"/>
      <c r="AC375" s="16"/>
      <c r="AD375" s="16"/>
      <c r="AE375" s="16"/>
      <c r="AF375" s="16"/>
      <c r="AG375" s="16"/>
      <c r="AH375" s="16"/>
      <c r="AI375" s="5"/>
      <c r="AJ375" s="5"/>
      <c r="AK375" s="5"/>
      <c r="AL375" s="5"/>
      <c r="AM375" s="5"/>
      <c r="AN375" s="5"/>
      <c r="AO375" s="5"/>
      <c r="AP375" s="5"/>
      <c r="AQ375" s="5"/>
      <c r="AR375" s="5"/>
      <c r="AS375" s="22"/>
    </row>
    <row r="376" spans="1:45" hidden="1" x14ac:dyDescent="0.2">
      <c r="B376" s="1036" t="s">
        <v>953</v>
      </c>
      <c r="C376" s="727"/>
      <c r="D376" s="1012">
        <f t="shared" ref="D376:D381" ca="1" si="89">OFFSET(D376,-1,0)+1</f>
        <v>1</v>
      </c>
      <c r="E376" s="250" t="str">
        <f t="shared" ref="E376:E381" ca="1" si="90">INDEX(ventilatiesystemen_namen,D376)</f>
        <v>natuurlijk (A)</v>
      </c>
      <c r="F376" s="396"/>
      <c r="G376" s="395" t="s">
        <v>70</v>
      </c>
      <c r="H376" s="408"/>
      <c r="I376" s="796">
        <v>13.760796944763944</v>
      </c>
      <c r="J376" s="796">
        <v>-2.5263033741070609</v>
      </c>
      <c r="K376" s="796">
        <v>-17.384508461920387</v>
      </c>
      <c r="L376" s="796">
        <v>0.11772106277532085</v>
      </c>
      <c r="M376" s="796">
        <v>-25.876711876554442</v>
      </c>
      <c r="N376" s="796">
        <v>-1.7177314984684336E-13</v>
      </c>
      <c r="O376" s="796">
        <v>-105.99324855520454</v>
      </c>
      <c r="P376" s="796">
        <v>68.228683024540558</v>
      </c>
      <c r="Q376" s="796">
        <v>-1.7240965742019022E-11</v>
      </c>
      <c r="R376" s="798">
        <v>-2.6285894877301176E-13</v>
      </c>
      <c r="S376" s="796">
        <v>-4.4658067256647402E-3</v>
      </c>
      <c r="T376" s="797">
        <v>-4.4658067256647402E-3</v>
      </c>
      <c r="U376" s="529"/>
      <c r="V376" s="20"/>
      <c r="W376" s="596">
        <f t="shared" ref="W376:AH380" si="91">IFERROR(I376/I$348,"")</f>
        <v>0.22966881926521729</v>
      </c>
      <c r="X376" s="596">
        <f t="shared" si="91"/>
        <v>-4.4364549432565549E-2</v>
      </c>
      <c r="Y376" s="596">
        <f t="shared" si="91"/>
        <v>-0.33502956581994081</v>
      </c>
      <c r="Z376" s="596">
        <f t="shared" si="91"/>
        <v>2.0148940212285993E-3</v>
      </c>
      <c r="AA376" s="596">
        <f t="shared" si="91"/>
        <v>-0.51489486211041291</v>
      </c>
      <c r="AB376" s="596">
        <f t="shared" si="91"/>
        <v>-2.1935885103559586E-15</v>
      </c>
      <c r="AC376" s="596">
        <f t="shared" si="91"/>
        <v>-2.1309392886989542</v>
      </c>
      <c r="AD376" s="596">
        <f t="shared" si="91"/>
        <v>1.7512994334047411</v>
      </c>
      <c r="AE376" s="596">
        <f t="shared" si="91"/>
        <v>-2.998512301041077E-13</v>
      </c>
      <c r="AF376" s="597">
        <f t="shared" si="91"/>
        <v>-3.1181656528126093E-15</v>
      </c>
      <c r="AG376" s="596">
        <f t="shared" si="91"/>
        <v>-9.2540576564481886E-5</v>
      </c>
      <c r="AH376" s="596">
        <f t="shared" si="91"/>
        <v>-9.2540576564481886E-5</v>
      </c>
      <c r="AI376" s="5"/>
      <c r="AJ376" s="5"/>
      <c r="AK376" s="5"/>
      <c r="AL376" s="5"/>
      <c r="AM376" s="5"/>
      <c r="AN376" s="5"/>
      <c r="AO376" s="5"/>
      <c r="AP376" s="5"/>
      <c r="AQ376" s="5"/>
      <c r="AR376" s="5"/>
      <c r="AS376" s="22"/>
    </row>
    <row r="377" spans="1:45" hidden="1" x14ac:dyDescent="0.2">
      <c r="A377" s="233" t="s">
        <v>541</v>
      </c>
      <c r="B377" s="1036" t="s">
        <v>953</v>
      </c>
      <c r="C377" s="727"/>
      <c r="D377" s="1012">
        <f t="shared" ca="1" si="89"/>
        <v>2</v>
      </c>
      <c r="E377" s="250" t="str">
        <f t="shared" ca="1" si="90"/>
        <v>mech (B1)</v>
      </c>
      <c r="F377" s="396"/>
      <c r="G377" s="395" t="s">
        <v>70</v>
      </c>
      <c r="H377" s="408"/>
      <c r="I377" s="796">
        <v>-30.443303189141481</v>
      </c>
      <c r="J377" s="796">
        <v>-2.9285001926698206</v>
      </c>
      <c r="K377" s="796">
        <v>-21.555885591855674</v>
      </c>
      <c r="L377" s="796">
        <v>0.86860742353855902</v>
      </c>
      <c r="M377" s="796">
        <v>-37.504572750184835</v>
      </c>
      <c r="N377" s="796">
        <v>-1.7809869951753133E-13</v>
      </c>
      <c r="O377" s="796">
        <v>-98.821885853299307</v>
      </c>
      <c r="P377" s="796">
        <v>52.561347408094917</v>
      </c>
      <c r="Q377" s="796">
        <v>9.6580985168202571E-3</v>
      </c>
      <c r="R377" s="796">
        <v>-3.2727495833962005E-13</v>
      </c>
      <c r="S377" s="796">
        <v>-5.7236656607872385E-3</v>
      </c>
      <c r="T377" s="797">
        <v>-5.7236656607872385E-3</v>
      </c>
      <c r="U377" s="529"/>
      <c r="V377" s="20"/>
      <c r="W377" s="596">
        <f t="shared" si="91"/>
        <v>-0.50810120417070714</v>
      </c>
      <c r="X377" s="596">
        <f t="shared" si="91"/>
        <v>-5.1427549395923068E-2</v>
      </c>
      <c r="Y377" s="596">
        <f t="shared" si="91"/>
        <v>-0.41541922260975783</v>
      </c>
      <c r="Z377" s="596">
        <f t="shared" si="91"/>
        <v>1.4866939383845961E-2</v>
      </c>
      <c r="AA377" s="596">
        <f t="shared" si="91"/>
        <v>-0.74626605987807115</v>
      </c>
      <c r="AB377" s="596">
        <f t="shared" si="91"/>
        <v>-2.2743674510208929E-15</v>
      </c>
      <c r="AC377" s="596">
        <f t="shared" si="91"/>
        <v>-1.9867627610115237</v>
      </c>
      <c r="AD377" s="596">
        <f t="shared" si="91"/>
        <v>1.3491489774421928</v>
      </c>
      <c r="AE377" s="596">
        <f t="shared" si="91"/>
        <v>1.6797160693134548E-4</v>
      </c>
      <c r="AF377" s="596">
        <f t="shared" si="91"/>
        <v>-3.8823009027610375E-15</v>
      </c>
      <c r="AG377" s="596">
        <f t="shared" si="91"/>
        <v>-1.1860596592046538E-4</v>
      </c>
      <c r="AH377" s="596">
        <f t="shared" si="91"/>
        <v>-1.1860596592046538E-4</v>
      </c>
      <c r="AI377" s="5"/>
      <c r="AJ377" s="5"/>
      <c r="AK377" s="5"/>
      <c r="AL377" s="5"/>
      <c r="AM377" s="5"/>
      <c r="AN377" s="5"/>
      <c r="AO377" s="5"/>
      <c r="AP377" s="5"/>
      <c r="AQ377" s="5"/>
      <c r="AR377" s="5"/>
      <c r="AS377" s="22"/>
    </row>
    <row r="378" spans="1:45" hidden="1" x14ac:dyDescent="0.2">
      <c r="A378" s="233" t="s">
        <v>541</v>
      </c>
      <c r="B378" s="1036" t="s">
        <v>953</v>
      </c>
      <c r="C378" s="727"/>
      <c r="D378" s="1012">
        <f t="shared" ca="1" si="89"/>
        <v>3</v>
      </c>
      <c r="E378" s="250" t="str">
        <f t="shared" ca="1" si="90"/>
        <v>mech (C1)</v>
      </c>
      <c r="F378" s="396"/>
      <c r="G378" s="395" t="s">
        <v>70</v>
      </c>
      <c r="H378" s="408"/>
      <c r="I378" s="798">
        <v>-190.23309029356389</v>
      </c>
      <c r="J378" s="798">
        <v>54.099438853551611</v>
      </c>
      <c r="K378" s="798">
        <v>-6.3911908744631205</v>
      </c>
      <c r="L378" s="798">
        <v>8.3759045806826041E-2</v>
      </c>
      <c r="M378" s="798">
        <v>-22.78549955229871</v>
      </c>
      <c r="N378" s="798">
        <v>-1.4699066836972845E-13</v>
      </c>
      <c r="O378" s="798">
        <v>-92.731466804036359</v>
      </c>
      <c r="P378" s="798">
        <v>70.273844482362918</v>
      </c>
      <c r="Q378" s="798">
        <v>-1.3816600818753604E-11</v>
      </c>
      <c r="R378" s="798">
        <v>-2.5405693235594076E-13</v>
      </c>
      <c r="S378" s="796">
        <v>-4.0768989825160987E-3</v>
      </c>
      <c r="T378" s="797">
        <v>-4.0768989825160987E-3</v>
      </c>
      <c r="U378" s="529"/>
      <c r="V378" s="20"/>
      <c r="W378" s="596">
        <f t="shared" si="91"/>
        <v>-3.1750057360973405</v>
      </c>
      <c r="X378" s="596">
        <f t="shared" si="91"/>
        <v>0.95004315550216867</v>
      </c>
      <c r="Y378" s="596">
        <f t="shared" si="91"/>
        <v>-0.12316930952830715</v>
      </c>
      <c r="Z378" s="596">
        <f t="shared" si="91"/>
        <v>1.4336058190545517E-3</v>
      </c>
      <c r="AA378" s="596">
        <f t="shared" si="91"/>
        <v>-0.45338591340608486</v>
      </c>
      <c r="AB378" s="596">
        <f t="shared" si="91"/>
        <v>-1.8771096737346386E-15</v>
      </c>
      <c r="AC378" s="596">
        <f t="shared" si="91"/>
        <v>-1.8643180448279695</v>
      </c>
      <c r="AD378" s="596">
        <f t="shared" si="91"/>
        <v>1.8037948054906607</v>
      </c>
      <c r="AE378" s="596">
        <f t="shared" si="91"/>
        <v>-2.4029539953575292E-13</v>
      </c>
      <c r="AF378" s="596">
        <f t="shared" si="91"/>
        <v>-3.0137516870894782E-15</v>
      </c>
      <c r="AG378" s="596">
        <f t="shared" si="91"/>
        <v>-8.448161902506674E-5</v>
      </c>
      <c r="AH378" s="596">
        <f t="shared" si="91"/>
        <v>-8.448161902506674E-5</v>
      </c>
      <c r="AI378" s="5"/>
      <c r="AJ378" s="5"/>
      <c r="AK378" s="5"/>
      <c r="AL378" s="5"/>
      <c r="AM378" s="5"/>
      <c r="AN378" s="5"/>
      <c r="AO378" s="5"/>
      <c r="AP378" s="5"/>
      <c r="AQ378" s="5"/>
      <c r="AR378" s="5"/>
      <c r="AS378" s="22"/>
    </row>
    <row r="379" spans="1:45" hidden="1" x14ac:dyDescent="0.2">
      <c r="A379" s="233" t="s">
        <v>541</v>
      </c>
      <c r="B379" s="1036" t="s">
        <v>953</v>
      </c>
      <c r="C379" s="727"/>
      <c r="D379" s="1012">
        <f t="shared" ca="1" si="89"/>
        <v>4</v>
      </c>
      <c r="E379" s="250" t="str">
        <f t="shared" ca="1" si="90"/>
        <v>mech - CO2 (C4c)</v>
      </c>
      <c r="F379" s="396"/>
      <c r="G379" s="395" t="s">
        <v>70</v>
      </c>
      <c r="H379" s="408"/>
      <c r="I379" s="796">
        <v>-39.918134928238047</v>
      </c>
      <c r="J379" s="796">
        <v>-1.7032911136537905</v>
      </c>
      <c r="K379" s="798">
        <v>-9.3229843982704494</v>
      </c>
      <c r="L379" s="796">
        <v>0.2638760186746606</v>
      </c>
      <c r="M379" s="796">
        <v>-48.027078544917252</v>
      </c>
      <c r="N379" s="798">
        <v>-1.8344168769068834E-13</v>
      </c>
      <c r="O379" s="796">
        <v>-90.830796748068863</v>
      </c>
      <c r="P379" s="796">
        <v>-4.0472474899811166</v>
      </c>
      <c r="Q379" s="796">
        <v>-1.1694805758807479E-11</v>
      </c>
      <c r="R379" s="796">
        <v>-3.3635962174168975E-13</v>
      </c>
      <c r="S379" s="798">
        <v>-7.9446169951281516E-3</v>
      </c>
      <c r="T379" s="799">
        <v>-7.9446169951281516E-3</v>
      </c>
      <c r="U379" s="529"/>
      <c r="V379" s="20"/>
      <c r="W379" s="596">
        <f t="shared" si="91"/>
        <v>-0.66623691585875155</v>
      </c>
      <c r="X379" s="596">
        <f t="shared" si="91"/>
        <v>-2.9911586860169728E-2</v>
      </c>
      <c r="Y379" s="596">
        <f t="shared" si="91"/>
        <v>-0.17967004485288707</v>
      </c>
      <c r="Z379" s="596">
        <f t="shared" si="91"/>
        <v>4.5164578015060375E-3</v>
      </c>
      <c r="AA379" s="596">
        <f t="shared" si="91"/>
        <v>-0.95564290018457576</v>
      </c>
      <c r="AB379" s="596">
        <f t="shared" si="91"/>
        <v>-2.3425988217447521E-15</v>
      </c>
      <c r="AC379" s="596">
        <f t="shared" si="91"/>
        <v>-1.8261060591371516</v>
      </c>
      <c r="AD379" s="596">
        <f t="shared" si="91"/>
        <v>-0.10388508061196627</v>
      </c>
      <c r="AE379" s="596">
        <f t="shared" si="91"/>
        <v>-2.0339358856566983E-13</v>
      </c>
      <c r="AF379" s="596">
        <f t="shared" si="91"/>
        <v>-3.9900677698200673E-15</v>
      </c>
      <c r="AG379" s="596">
        <f t="shared" si="91"/>
        <v>-1.6462858392146505E-4</v>
      </c>
      <c r="AH379" s="596">
        <f t="shared" si="91"/>
        <v>-1.6462858392146505E-4</v>
      </c>
      <c r="AI379" s="5"/>
      <c r="AJ379" s="5"/>
      <c r="AK379" s="5"/>
      <c r="AL379" s="5"/>
      <c r="AM379" s="5"/>
      <c r="AN379" s="5"/>
      <c r="AO379" s="5"/>
      <c r="AP379" s="5"/>
      <c r="AQ379" s="5"/>
      <c r="AR379" s="5"/>
      <c r="AS379" s="22"/>
    </row>
    <row r="380" spans="1:45" hidden="1" x14ac:dyDescent="0.2">
      <c r="A380" s="233" t="s">
        <v>541</v>
      </c>
      <c r="B380" s="1036" t="s">
        <v>953</v>
      </c>
      <c r="C380" s="727"/>
      <c r="D380" s="1012">
        <f t="shared" ca="1" si="89"/>
        <v>5</v>
      </c>
      <c r="E380" s="250" t="str">
        <f t="shared" ca="1" si="90"/>
        <v>balans (D1)</v>
      </c>
      <c r="F380" s="396"/>
      <c r="G380" s="395" t="s">
        <v>70</v>
      </c>
      <c r="H380" s="408"/>
      <c r="I380" s="796">
        <v>-73.118168863361504</v>
      </c>
      <c r="J380" s="796">
        <v>-2.8795114639334005</v>
      </c>
      <c r="K380" s="796">
        <v>-11.077688559414703</v>
      </c>
      <c r="L380" s="796">
        <v>0.13598961336175547</v>
      </c>
      <c r="M380" s="796">
        <v>-66.785657896264453</v>
      </c>
      <c r="N380" s="796">
        <v>-2.5396020153125023E-13</v>
      </c>
      <c r="O380" s="796">
        <v>-73.098343645425146</v>
      </c>
      <c r="P380" s="796">
        <v>-3.4228812144216243</v>
      </c>
      <c r="Q380" s="796">
        <v>1.4984839280687145E-2</v>
      </c>
      <c r="R380" s="796">
        <v>-141.46011852876882</v>
      </c>
      <c r="S380" s="796">
        <v>-1.1773620050648708E-2</v>
      </c>
      <c r="T380" s="797">
        <v>-1.1773620050648708E-2</v>
      </c>
      <c r="U380" s="529"/>
      <c r="V380" s="20"/>
      <c r="W380" s="596">
        <f t="shared" si="91"/>
        <v>-1.2203481802028058</v>
      </c>
      <c r="X380" s="596">
        <f t="shared" si="91"/>
        <v>-5.056725569567274E-2</v>
      </c>
      <c r="Y380" s="596">
        <f t="shared" si="91"/>
        <v>-0.21348623094398708</v>
      </c>
      <c r="Z380" s="596">
        <f t="shared" si="91"/>
        <v>2.3275754775910202E-3</v>
      </c>
      <c r="AA380" s="596">
        <f t="shared" si="91"/>
        <v>-1.3289011477770918</v>
      </c>
      <c r="AB380" s="596">
        <f t="shared" si="91"/>
        <v>-3.2431388762640872E-15</v>
      </c>
      <c r="AC380" s="596">
        <f t="shared" si="91"/>
        <v>-1.4696042864628793</v>
      </c>
      <c r="AD380" s="596">
        <f t="shared" si="91"/>
        <v>-8.7858795827441355E-2</v>
      </c>
      <c r="AE380" s="596">
        <f t="shared" si="91"/>
        <v>2.6061315580922959E-4</v>
      </c>
      <c r="AF380" s="596">
        <f t="shared" si="91"/>
        <v>-1.6780713949370236</v>
      </c>
      <c r="AG380" s="596">
        <f t="shared" si="91"/>
        <v>-2.4397329635352657E-4</v>
      </c>
      <c r="AH380" s="596">
        <f t="shared" si="91"/>
        <v>-2.4397329635352657E-4</v>
      </c>
      <c r="AI380" s="5"/>
      <c r="AJ380" s="5"/>
      <c r="AK380" s="5"/>
      <c r="AL380" s="5"/>
      <c r="AM380" s="5"/>
      <c r="AN380" s="5"/>
      <c r="AO380" s="5"/>
      <c r="AP380" s="5"/>
      <c r="AQ380" s="5"/>
      <c r="AR380" s="5"/>
      <c r="AS380" s="22"/>
    </row>
    <row r="381" spans="1:45" hidden="1" x14ac:dyDescent="0.2">
      <c r="B381" s="1036" t="s">
        <v>953</v>
      </c>
      <c r="C381" s="727"/>
      <c r="D381" s="1012">
        <f t="shared" ca="1" si="89"/>
        <v>6</v>
      </c>
      <c r="E381" s="250" t="str">
        <f t="shared" ca="1" si="90"/>
        <v>balans CO2 (D5a)</v>
      </c>
      <c r="F381" s="396"/>
      <c r="G381" s="395" t="s">
        <v>70</v>
      </c>
      <c r="H381" s="408"/>
      <c r="I381" s="796">
        <v>-73.852262001800256</v>
      </c>
      <c r="J381" s="796">
        <v>-2.1742520078617451</v>
      </c>
      <c r="K381" s="796">
        <v>-11.535606065288905</v>
      </c>
      <c r="L381" s="796">
        <v>0.14582103539334607</v>
      </c>
      <c r="M381" s="796">
        <v>-58.561199571922806</v>
      </c>
      <c r="N381" s="796">
        <v>-2.4271490424932928E-13</v>
      </c>
      <c r="O381" s="796">
        <v>-91.122228979994333</v>
      </c>
      <c r="P381" s="796">
        <v>-4.5169460045005421</v>
      </c>
      <c r="Q381" s="796">
        <v>7.1423817669214948E-2</v>
      </c>
      <c r="R381" s="796">
        <v>-151.50802665421523</v>
      </c>
      <c r="S381" s="796">
        <v>-1.3282607646745152E-2</v>
      </c>
      <c r="T381" s="797">
        <v>-1.3282607646745152E-2</v>
      </c>
      <c r="U381" s="529"/>
      <c r="V381" s="20"/>
      <c r="W381" s="795"/>
      <c r="X381" s="795"/>
      <c r="Y381" s="795"/>
      <c r="Z381" s="795"/>
      <c r="AA381" s="795"/>
      <c r="AB381" s="795"/>
      <c r="AC381" s="795"/>
      <c r="AD381" s="795"/>
      <c r="AE381" s="795"/>
      <c r="AF381" s="795"/>
      <c r="AG381" s="795"/>
      <c r="AH381" s="795"/>
      <c r="AI381" s="5"/>
      <c r="AJ381" s="5"/>
      <c r="AK381" s="5"/>
      <c r="AL381" s="5"/>
      <c r="AM381" s="5"/>
      <c r="AN381" s="5"/>
      <c r="AO381" s="5"/>
      <c r="AP381" s="5"/>
      <c r="AQ381" s="5"/>
      <c r="AR381" s="5"/>
      <c r="AS381" s="22"/>
    </row>
    <row r="382" spans="1:45" ht="18.75" hidden="1" x14ac:dyDescent="0.2">
      <c r="B382" s="1036" t="s">
        <v>953</v>
      </c>
      <c r="C382" s="727"/>
      <c r="D382" s="1012"/>
      <c r="E382" s="403" t="s">
        <v>956</v>
      </c>
      <c r="F382" s="404"/>
      <c r="G382" s="405"/>
      <c r="H382" s="406"/>
      <c r="I382" s="800"/>
      <c r="J382" s="800"/>
      <c r="K382" s="800"/>
      <c r="L382" s="800"/>
      <c r="M382" s="800"/>
      <c r="N382" s="800"/>
      <c r="O382" s="800"/>
      <c r="P382" s="800"/>
      <c r="Q382" s="800"/>
      <c r="R382" s="800"/>
      <c r="S382" s="800"/>
      <c r="T382" s="800"/>
      <c r="U382" s="406"/>
      <c r="V382" s="20"/>
      <c r="W382" s="16"/>
      <c r="X382" s="16"/>
      <c r="Y382" s="16"/>
      <c r="Z382" s="16"/>
      <c r="AA382" s="16"/>
      <c r="AB382" s="16"/>
      <c r="AC382" s="16"/>
      <c r="AD382" s="16"/>
      <c r="AE382" s="16"/>
      <c r="AF382" s="16"/>
      <c r="AG382" s="16"/>
      <c r="AH382" s="16"/>
      <c r="AI382" s="5"/>
      <c r="AJ382" s="5"/>
      <c r="AK382" s="5"/>
      <c r="AL382" s="5"/>
      <c r="AM382" s="5"/>
      <c r="AN382" s="5"/>
      <c r="AO382" s="5"/>
      <c r="AP382" s="5"/>
      <c r="AQ382" s="5"/>
      <c r="AR382" s="5"/>
      <c r="AS382" s="22"/>
    </row>
    <row r="383" spans="1:45" hidden="1" x14ac:dyDescent="0.2">
      <c r="B383" s="1036" t="s">
        <v>953</v>
      </c>
      <c r="C383" s="727"/>
      <c r="D383" s="1012">
        <f t="shared" ref="D383:D388" ca="1" si="92">OFFSET(D383,-1,0)+1</f>
        <v>1</v>
      </c>
      <c r="E383" s="250" t="str">
        <f t="shared" ref="E383:E388" ca="1" si="93">INDEX(ventilatiesystemen_namen,D383)</f>
        <v>natuurlijk (A)</v>
      </c>
      <c r="F383" s="396"/>
      <c r="G383" s="395" t="s">
        <v>70</v>
      </c>
      <c r="H383" s="408"/>
      <c r="I383" s="796">
        <v>-5.6262925165908442</v>
      </c>
      <c r="J383" s="796">
        <v>1.0880673230794466</v>
      </c>
      <c r="K383" s="796">
        <v>1.6854177328198914E-3</v>
      </c>
      <c r="L383" s="796">
        <v>-14.387618306582207</v>
      </c>
      <c r="M383" s="796">
        <v>-5.123326057208935</v>
      </c>
      <c r="N383" s="796">
        <v>-2.0872816872856284</v>
      </c>
      <c r="O383" s="796">
        <v>-4.3730065702250354</v>
      </c>
      <c r="P383" s="796">
        <v>-1.3393926590859526</v>
      </c>
      <c r="Q383" s="796">
        <v>-0.12008385890585961</v>
      </c>
      <c r="R383" s="798">
        <v>-5.0501734920305443</v>
      </c>
      <c r="S383" s="796">
        <v>-2.6588509432129608</v>
      </c>
      <c r="T383" s="797">
        <v>-2.6588509432129608</v>
      </c>
      <c r="U383" s="529"/>
      <c r="V383" s="20"/>
      <c r="W383" s="596">
        <f t="shared" ref="W383:AH387" si="94">IFERROR(I383/I$348,"")</f>
        <v>-9.3903279316815289E-2</v>
      </c>
      <c r="X383" s="596">
        <f t="shared" si="94"/>
        <v>1.9107608783438097E-2</v>
      </c>
      <c r="Y383" s="596">
        <f t="shared" si="94"/>
        <v>3.2480916701713942E-5</v>
      </c>
      <c r="Z383" s="596">
        <f t="shared" si="94"/>
        <v>-0.24625606855911789</v>
      </c>
      <c r="AA383" s="596">
        <f t="shared" si="94"/>
        <v>-0.10194395162560871</v>
      </c>
      <c r="AB383" s="596">
        <f t="shared" si="94"/>
        <v>-2.6655138659264062E-2</v>
      </c>
      <c r="AC383" s="596">
        <f t="shared" si="94"/>
        <v>-8.7917029030181781E-2</v>
      </c>
      <c r="AD383" s="596">
        <f t="shared" si="94"/>
        <v>-3.4379640658167225E-2</v>
      </c>
      <c r="AE383" s="596">
        <f t="shared" si="94"/>
        <v>-2.0884730790233239E-3</v>
      </c>
      <c r="AF383" s="597">
        <f t="shared" si="94"/>
        <v>-5.9907709427814468E-2</v>
      </c>
      <c r="AG383" s="596">
        <f t="shared" si="94"/>
        <v>-5.5096786403652259E-2</v>
      </c>
      <c r="AH383" s="596">
        <f t="shared" si="94"/>
        <v>-5.5096786403652259E-2</v>
      </c>
      <c r="AI383" s="5"/>
      <c r="AJ383" s="5"/>
      <c r="AK383" s="5"/>
      <c r="AL383" s="5"/>
      <c r="AM383" s="5"/>
      <c r="AN383" s="5"/>
      <c r="AO383" s="5"/>
      <c r="AP383" s="5"/>
      <c r="AQ383" s="5"/>
      <c r="AR383" s="5"/>
      <c r="AS383" s="22"/>
    </row>
    <row r="384" spans="1:45" hidden="1" x14ac:dyDescent="0.2">
      <c r="A384" s="233" t="s">
        <v>541</v>
      </c>
      <c r="B384" s="1036" t="s">
        <v>953</v>
      </c>
      <c r="C384" s="727"/>
      <c r="D384" s="1012">
        <f t="shared" ca="1" si="92"/>
        <v>2</v>
      </c>
      <c r="E384" s="250" t="str">
        <f t="shared" ca="1" si="93"/>
        <v>mech (B1)</v>
      </c>
      <c r="F384" s="396"/>
      <c r="G384" s="395" t="s">
        <v>70</v>
      </c>
      <c r="H384" s="408"/>
      <c r="I384" s="796">
        <v>-7.8070659787909488E-2</v>
      </c>
      <c r="J384" s="796">
        <v>1.6581567915541455</v>
      </c>
      <c r="K384" s="796">
        <v>-0.27885011514329067</v>
      </c>
      <c r="L384" s="796">
        <v>-15.758913485571036</v>
      </c>
      <c r="M384" s="796">
        <v>-20.733884523599439</v>
      </c>
      <c r="N384" s="796">
        <v>-2.551805669649609</v>
      </c>
      <c r="O384" s="796">
        <v>-4.7676568921492333</v>
      </c>
      <c r="P384" s="796">
        <v>-1.5327256329603758</v>
      </c>
      <c r="Q384" s="796">
        <v>-0.16894449517177823</v>
      </c>
      <c r="R384" s="796">
        <v>-5.5366848924303751</v>
      </c>
      <c r="S384" s="796">
        <v>-3.4806866384150434</v>
      </c>
      <c r="T384" s="797">
        <v>-3.4806866384150434</v>
      </c>
      <c r="U384" s="529"/>
      <c r="V384" s="20"/>
      <c r="W384" s="596">
        <f t="shared" si="94"/>
        <v>-1.3030056561926277E-3</v>
      </c>
      <c r="X384" s="596">
        <f t="shared" si="94"/>
        <v>2.9118980602181103E-2</v>
      </c>
      <c r="Y384" s="596">
        <f t="shared" si="94"/>
        <v>-5.3739243309601841E-3</v>
      </c>
      <c r="Z384" s="596">
        <f t="shared" si="94"/>
        <v>-0.26972692748907512</v>
      </c>
      <c r="AA384" s="596">
        <f t="shared" si="94"/>
        <v>-0.41256287366497774</v>
      </c>
      <c r="AB384" s="596">
        <f t="shared" si="94"/>
        <v>-3.2587232653039928E-2</v>
      </c>
      <c r="AC384" s="596">
        <f t="shared" si="94"/>
        <v>-9.5851269066687103E-2</v>
      </c>
      <c r="AD384" s="596">
        <f t="shared" si="94"/>
        <v>-3.9342127292753867E-2</v>
      </c>
      <c r="AE384" s="596">
        <f t="shared" si="94"/>
        <v>-2.9382469320215006E-3</v>
      </c>
      <c r="AF384" s="596">
        <f t="shared" si="94"/>
        <v>-6.5678953456255434E-2</v>
      </c>
      <c r="AG384" s="596">
        <f t="shared" si="94"/>
        <v>-7.2126889528850074E-2</v>
      </c>
      <c r="AH384" s="596">
        <f t="shared" si="94"/>
        <v>-7.2126889528850074E-2</v>
      </c>
      <c r="AI384" s="5"/>
      <c r="AJ384" s="5"/>
      <c r="AK384" s="5"/>
      <c r="AL384" s="5"/>
      <c r="AM384" s="5"/>
      <c r="AN384" s="5"/>
      <c r="AO384" s="5"/>
      <c r="AP384" s="5"/>
      <c r="AQ384" s="5"/>
      <c r="AR384" s="5"/>
      <c r="AS384" s="22"/>
    </row>
    <row r="385" spans="1:45" hidden="1" x14ac:dyDescent="0.2">
      <c r="A385" s="233" t="s">
        <v>541</v>
      </c>
      <c r="B385" s="1036" t="s">
        <v>953</v>
      </c>
      <c r="C385" s="727"/>
      <c r="D385" s="1012">
        <f t="shared" ca="1" si="92"/>
        <v>3</v>
      </c>
      <c r="E385" s="250" t="str">
        <f t="shared" ca="1" si="93"/>
        <v>mech (C1)</v>
      </c>
      <c r="F385" s="396"/>
      <c r="G385" s="395" t="s">
        <v>70</v>
      </c>
      <c r="H385" s="408"/>
      <c r="I385" s="798">
        <v>-5.3645889091371401</v>
      </c>
      <c r="J385" s="798">
        <v>5.9155284274749241E-3</v>
      </c>
      <c r="K385" s="798">
        <v>1.052244570735658</v>
      </c>
      <c r="L385" s="798">
        <v>20.382444742189222</v>
      </c>
      <c r="M385" s="798">
        <v>-1.4182921169783607</v>
      </c>
      <c r="N385" s="798">
        <v>-0.89299641419903275</v>
      </c>
      <c r="O385" s="798">
        <v>-3.734762598833905</v>
      </c>
      <c r="P385" s="798">
        <v>-0.84709758141380143</v>
      </c>
      <c r="Q385" s="798">
        <v>-0.10874283810057435</v>
      </c>
      <c r="R385" s="798">
        <v>-0.13771424790164591</v>
      </c>
      <c r="S385" s="796">
        <v>-2.8408916046869348</v>
      </c>
      <c r="T385" s="797">
        <v>-2.8408916046869348</v>
      </c>
      <c r="U385" s="529"/>
      <c r="V385" s="20"/>
      <c r="W385" s="596">
        <f t="shared" si="94"/>
        <v>-8.9535424841336642E-2</v>
      </c>
      <c r="X385" s="596">
        <f t="shared" si="94"/>
        <v>1.0388291288777585E-4</v>
      </c>
      <c r="Y385" s="596">
        <f t="shared" si="94"/>
        <v>2.0278574021356875E-2</v>
      </c>
      <c r="Z385" s="596">
        <f t="shared" si="94"/>
        <v>0.34886251517658734</v>
      </c>
      <c r="AA385" s="596">
        <f t="shared" si="94"/>
        <v>-2.8221179239759593E-2</v>
      </c>
      <c r="AB385" s="596">
        <f t="shared" si="94"/>
        <v>-1.1403800161565626E-2</v>
      </c>
      <c r="AC385" s="596">
        <f t="shared" si="94"/>
        <v>-7.5085465011231547E-2</v>
      </c>
      <c r="AD385" s="596">
        <f t="shared" si="94"/>
        <v>-2.1743370216231826E-2</v>
      </c>
      <c r="AE385" s="596">
        <f t="shared" si="94"/>
        <v>-1.8912324435516575E-3</v>
      </c>
      <c r="AF385" s="596">
        <f t="shared" si="94"/>
        <v>-1.6336359850569492E-3</v>
      </c>
      <c r="AG385" s="596">
        <f t="shared" si="94"/>
        <v>-5.8869038273435911E-2</v>
      </c>
      <c r="AH385" s="596">
        <f t="shared" si="94"/>
        <v>-5.8869038273435911E-2</v>
      </c>
      <c r="AI385" s="5"/>
      <c r="AJ385" s="5"/>
      <c r="AK385" s="5"/>
      <c r="AL385" s="5"/>
      <c r="AM385" s="5"/>
      <c r="AN385" s="5"/>
      <c r="AO385" s="5"/>
      <c r="AP385" s="5"/>
      <c r="AQ385" s="5"/>
      <c r="AR385" s="5"/>
      <c r="AS385" s="22"/>
    </row>
    <row r="386" spans="1:45" hidden="1" x14ac:dyDescent="0.2">
      <c r="A386" s="233" t="s">
        <v>541</v>
      </c>
      <c r="B386" s="1036" t="s">
        <v>953</v>
      </c>
      <c r="C386" s="727"/>
      <c r="D386" s="1012">
        <f t="shared" ca="1" si="92"/>
        <v>4</v>
      </c>
      <c r="E386" s="250" t="str">
        <f t="shared" ca="1" si="93"/>
        <v>mech - CO2 (C4c)</v>
      </c>
      <c r="F386" s="396"/>
      <c r="G386" s="395" t="s">
        <v>70</v>
      </c>
      <c r="H386" s="408"/>
      <c r="I386" s="796">
        <v>-4.6821349102931107</v>
      </c>
      <c r="J386" s="796">
        <v>1.6148951725787475</v>
      </c>
      <c r="K386" s="798">
        <v>-0.51351479605542538</v>
      </c>
      <c r="L386" s="796">
        <v>-12.458485169457804</v>
      </c>
      <c r="M386" s="796">
        <v>-28.450774985991185</v>
      </c>
      <c r="N386" s="798">
        <v>-1.9359507980327122</v>
      </c>
      <c r="O386" s="796">
        <v>-4.9223108979769084</v>
      </c>
      <c r="P386" s="796">
        <v>37.397019753964436</v>
      </c>
      <c r="Q386" s="796">
        <v>-0.18216035529720717</v>
      </c>
      <c r="R386" s="796">
        <v>-6.2207446152106396</v>
      </c>
      <c r="S386" s="798">
        <v>-4.7182050112594967</v>
      </c>
      <c r="T386" s="799">
        <v>-4.7182050112594967</v>
      </c>
      <c r="U386" s="529"/>
      <c r="V386" s="20"/>
      <c r="W386" s="596">
        <f t="shared" si="94"/>
        <v>-7.8145212141702697E-2</v>
      </c>
      <c r="X386" s="596">
        <f t="shared" si="94"/>
        <v>2.8359260984482677E-2</v>
      </c>
      <c r="Y386" s="596">
        <f t="shared" si="94"/>
        <v>-9.8963188715638761E-3</v>
      </c>
      <c r="Z386" s="596">
        <f t="shared" si="94"/>
        <v>-0.21323734843794001</v>
      </c>
      <c r="AA386" s="596">
        <f t="shared" si="94"/>
        <v>-0.56611357475519009</v>
      </c>
      <c r="AB386" s="596">
        <f t="shared" si="94"/>
        <v>-2.4722603218054959E-2</v>
      </c>
      <c r="AC386" s="596">
        <f t="shared" si="94"/>
        <v>-9.8960507642399081E-2</v>
      </c>
      <c r="AD386" s="596">
        <f t="shared" si="94"/>
        <v>0.95990977112348941</v>
      </c>
      <c r="AE386" s="596">
        <f t="shared" si="94"/>
        <v>-3.168094376462257E-3</v>
      </c>
      <c r="AF386" s="596">
        <f t="shared" si="94"/>
        <v>-7.3793615490789666E-2</v>
      </c>
      <c r="AG386" s="596">
        <f t="shared" si="94"/>
        <v>-9.7770781163035989E-2</v>
      </c>
      <c r="AH386" s="596">
        <f t="shared" si="94"/>
        <v>-9.7770781163035989E-2</v>
      </c>
      <c r="AI386" s="5"/>
      <c r="AJ386" s="5"/>
      <c r="AK386" s="5"/>
      <c r="AL386" s="5"/>
      <c r="AM386" s="5"/>
      <c r="AN386" s="5"/>
      <c r="AO386" s="5"/>
      <c r="AP386" s="5"/>
      <c r="AQ386" s="5"/>
      <c r="AR386" s="5"/>
      <c r="AS386" s="22"/>
    </row>
    <row r="387" spans="1:45" hidden="1" x14ac:dyDescent="0.2">
      <c r="A387" s="233" t="s">
        <v>541</v>
      </c>
      <c r="B387" s="1036" t="s">
        <v>953</v>
      </c>
      <c r="C387" s="727"/>
      <c r="D387" s="1012">
        <f t="shared" ca="1" si="92"/>
        <v>5</v>
      </c>
      <c r="E387" s="250" t="str">
        <f t="shared" ca="1" si="93"/>
        <v>balans (D1)</v>
      </c>
      <c r="F387" s="396"/>
      <c r="G387" s="395" t="s">
        <v>70</v>
      </c>
      <c r="H387" s="408"/>
      <c r="I387" s="796">
        <v>-1.7542369692273254</v>
      </c>
      <c r="J387" s="796">
        <v>2.293101249263974</v>
      </c>
      <c r="K387" s="796">
        <v>-1.8731089539722872</v>
      </c>
      <c r="L387" s="796">
        <v>-5.7247751735648578</v>
      </c>
      <c r="M387" s="796">
        <v>27.915298032359555</v>
      </c>
      <c r="N387" s="796">
        <v>-6.5879947835647501</v>
      </c>
      <c r="O387" s="796">
        <v>-5.4637868373603595</v>
      </c>
      <c r="P387" s="796">
        <v>33.9629915770346</v>
      </c>
      <c r="Q387" s="796">
        <v>-0.23507522332080832</v>
      </c>
      <c r="R387" s="796">
        <v>-7.5308605215491022</v>
      </c>
      <c r="S387" s="796">
        <v>-8.8947111811217301</v>
      </c>
      <c r="T387" s="797">
        <v>-8.8947111811217301</v>
      </c>
      <c r="U387" s="529"/>
      <c r="V387" s="20"/>
      <c r="W387" s="596">
        <f t="shared" si="94"/>
        <v>-2.9278357572679409E-2</v>
      </c>
      <c r="X387" s="596">
        <f t="shared" si="94"/>
        <v>4.0269274375175704E-2</v>
      </c>
      <c r="Y387" s="596">
        <f t="shared" si="94"/>
        <v>-3.6098051374727026E-2</v>
      </c>
      <c r="Z387" s="596">
        <f t="shared" si="94"/>
        <v>-9.7984294383315046E-2</v>
      </c>
      <c r="AA387" s="596">
        <f t="shared" si="94"/>
        <v>0.55545865331390476</v>
      </c>
      <c r="AB387" s="596">
        <f t="shared" si="94"/>
        <v>-8.4130434101009149E-2</v>
      </c>
      <c r="AC387" s="596">
        <f t="shared" si="94"/>
        <v>-0.10984660056667064</v>
      </c>
      <c r="AD387" s="596">
        <f t="shared" si="94"/>
        <v>0.8717648541478823</v>
      </c>
      <c r="AE387" s="596">
        <f t="shared" si="94"/>
        <v>-4.0883785708101337E-3</v>
      </c>
      <c r="AF387" s="596">
        <f t="shared" si="94"/>
        <v>-8.9334872272866114E-2</v>
      </c>
      <c r="AG387" s="596">
        <f t="shared" si="94"/>
        <v>-0.18431646321483516</v>
      </c>
      <c r="AH387" s="596">
        <f t="shared" si="94"/>
        <v>-0.18431646321483516</v>
      </c>
      <c r="AI387" s="5"/>
      <c r="AJ387" s="5"/>
      <c r="AK387" s="5"/>
      <c r="AL387" s="5"/>
      <c r="AM387" s="5"/>
      <c r="AN387" s="5"/>
      <c r="AO387" s="5"/>
      <c r="AP387" s="5"/>
      <c r="AQ387" s="5"/>
      <c r="AR387" s="5"/>
      <c r="AS387" s="22"/>
    </row>
    <row r="388" spans="1:45" hidden="1" x14ac:dyDescent="0.2">
      <c r="B388" s="1036" t="s">
        <v>953</v>
      </c>
      <c r="C388" s="727"/>
      <c r="D388" s="1012">
        <f t="shared" ca="1" si="92"/>
        <v>6</v>
      </c>
      <c r="E388" s="250" t="str">
        <f t="shared" ca="1" si="93"/>
        <v>balans CO2 (D5a)</v>
      </c>
      <c r="F388" s="396"/>
      <c r="G388" s="395" t="s">
        <v>70</v>
      </c>
      <c r="H388" s="408"/>
      <c r="I388" s="796">
        <v>-2.874238302295991</v>
      </c>
      <c r="J388" s="796">
        <v>2.0582405095419478</v>
      </c>
      <c r="K388" s="796">
        <v>-1.4439919404679724</v>
      </c>
      <c r="L388" s="796">
        <v>-5.9614822078481469</v>
      </c>
      <c r="M388" s="796">
        <v>41.077056449966356</v>
      </c>
      <c r="N388" s="796">
        <v>-7.8552649709021045</v>
      </c>
      <c r="O388" s="796">
        <v>-5.0753207717783004</v>
      </c>
      <c r="P388" s="796">
        <v>34.248024174781591</v>
      </c>
      <c r="Q388" s="796">
        <v>-0.21746969870519015</v>
      </c>
      <c r="R388" s="796">
        <v>-7.2175891841988342</v>
      </c>
      <c r="S388" s="796">
        <v>-8.8825509143584682</v>
      </c>
      <c r="T388" s="797">
        <v>-8.8825509143584682</v>
      </c>
      <c r="U388" s="529"/>
      <c r="V388" s="20"/>
      <c r="W388" s="795"/>
      <c r="X388" s="795"/>
      <c r="Y388" s="795"/>
      <c r="Z388" s="795"/>
      <c r="AA388" s="795"/>
      <c r="AB388" s="795"/>
      <c r="AC388" s="795"/>
      <c r="AD388" s="795"/>
      <c r="AE388" s="795"/>
      <c r="AF388" s="795"/>
      <c r="AG388" s="795"/>
      <c r="AH388" s="795"/>
      <c r="AI388" s="5"/>
      <c r="AJ388" s="5"/>
      <c r="AK388" s="5"/>
      <c r="AL388" s="5"/>
      <c r="AM388" s="5"/>
      <c r="AN388" s="5"/>
      <c r="AO388" s="5"/>
      <c r="AP388" s="5"/>
      <c r="AQ388" s="5"/>
      <c r="AR388" s="5"/>
      <c r="AS388" s="22"/>
    </row>
    <row r="389" spans="1:45" ht="18.75" hidden="1" x14ac:dyDescent="0.2">
      <c r="B389" s="1036" t="s">
        <v>953</v>
      </c>
      <c r="C389" s="727"/>
      <c r="D389" s="1012"/>
      <c r="E389" s="403" t="s">
        <v>957</v>
      </c>
      <c r="F389" s="404"/>
      <c r="G389" s="405"/>
      <c r="H389" s="406"/>
      <c r="I389" s="800"/>
      <c r="J389" s="800"/>
      <c r="K389" s="800"/>
      <c r="L389" s="800"/>
      <c r="M389" s="800"/>
      <c r="N389" s="800"/>
      <c r="O389" s="800"/>
      <c r="P389" s="800"/>
      <c r="Q389" s="800"/>
      <c r="R389" s="800"/>
      <c r="S389" s="800"/>
      <c r="T389" s="800"/>
      <c r="U389" s="406"/>
      <c r="V389" s="20"/>
      <c r="W389" s="16"/>
      <c r="X389" s="16"/>
      <c r="Y389" s="16"/>
      <c r="Z389" s="16"/>
      <c r="AA389" s="16"/>
      <c r="AB389" s="16"/>
      <c r="AC389" s="16"/>
      <c r="AD389" s="16"/>
      <c r="AE389" s="16"/>
      <c r="AF389" s="16"/>
      <c r="AG389" s="16"/>
      <c r="AH389" s="16"/>
      <c r="AI389" s="5"/>
      <c r="AJ389" s="5"/>
      <c r="AK389" s="5"/>
      <c r="AL389" s="5"/>
      <c r="AM389" s="5"/>
      <c r="AN389" s="5"/>
      <c r="AO389" s="5"/>
      <c r="AP389" s="5"/>
      <c r="AQ389" s="5"/>
      <c r="AR389" s="5"/>
      <c r="AS389" s="22"/>
    </row>
    <row r="390" spans="1:45" hidden="1" x14ac:dyDescent="0.2">
      <c r="B390" s="1036" t="s">
        <v>953</v>
      </c>
      <c r="C390" s="727"/>
      <c r="D390" s="1012">
        <f t="shared" ref="D390:D395" ca="1" si="95">OFFSET(D390,-1,0)+1</f>
        <v>1</v>
      </c>
      <c r="E390" s="250" t="str">
        <f t="shared" ref="E390:E395" ca="1" si="96">INDEX(ventilatiesystemen_namen,D390)</f>
        <v>natuurlijk (A)</v>
      </c>
      <c r="F390" s="396"/>
      <c r="G390" s="395" t="s">
        <v>70</v>
      </c>
      <c r="H390" s="408"/>
      <c r="I390" s="796">
        <v>7.8006938476436467</v>
      </c>
      <c r="J390" s="796">
        <v>2.5045401312600353</v>
      </c>
      <c r="K390" s="796">
        <v>2.8137766246308056</v>
      </c>
      <c r="L390" s="796">
        <v>0.45482868682391886</v>
      </c>
      <c r="M390" s="796">
        <v>3.8205965247038178</v>
      </c>
      <c r="N390" s="796">
        <v>-1.9264644697993549E-2</v>
      </c>
      <c r="O390" s="796">
        <v>12.975328657521759</v>
      </c>
      <c r="P390" s="796">
        <v>7.7239863880441204</v>
      </c>
      <c r="Q390" s="796">
        <v>8.9258756262526031</v>
      </c>
      <c r="R390" s="798">
        <v>13.442987031600772</v>
      </c>
      <c r="S390" s="796">
        <v>-3.6627550609734681E-2</v>
      </c>
      <c r="T390" s="797">
        <v>-3.6627550609734681E-2</v>
      </c>
      <c r="U390" s="529"/>
      <c r="V390" s="20"/>
      <c r="W390" s="596">
        <f t="shared" ref="W390:AH394" si="97">IFERROR(I390/I$348,"")</f>
        <v>0.13019421423258956</v>
      </c>
      <c r="X390" s="596">
        <f t="shared" si="97"/>
        <v>4.3982363954370135E-2</v>
      </c>
      <c r="Y390" s="596">
        <f t="shared" si="97"/>
        <v>5.4226345422953751E-2</v>
      </c>
      <c r="Z390" s="596">
        <f t="shared" si="97"/>
        <v>7.7847717320888021E-3</v>
      </c>
      <c r="AA390" s="596">
        <f t="shared" si="97"/>
        <v>7.6022236911378174E-2</v>
      </c>
      <c r="AB390" s="596">
        <f t="shared" si="97"/>
        <v>-2.4601460299987076E-4</v>
      </c>
      <c r="AC390" s="596">
        <f t="shared" si="97"/>
        <v>0.26086225299240445</v>
      </c>
      <c r="AD390" s="596">
        <f t="shared" si="97"/>
        <v>0.19825991628978376</v>
      </c>
      <c r="AE390" s="596">
        <f t="shared" si="97"/>
        <v>0.1552369412674611</v>
      </c>
      <c r="AF390" s="597">
        <f t="shared" si="97"/>
        <v>0.15946750387920067</v>
      </c>
      <c r="AG390" s="596">
        <f t="shared" si="97"/>
        <v>-7.5899716664631326E-4</v>
      </c>
      <c r="AH390" s="596">
        <f t="shared" si="97"/>
        <v>-7.5899716664631326E-4</v>
      </c>
      <c r="AI390" s="5"/>
      <c r="AJ390" s="5"/>
      <c r="AK390" s="5"/>
      <c r="AL390" s="5"/>
      <c r="AM390" s="5"/>
      <c r="AN390" s="5"/>
      <c r="AO390" s="5"/>
      <c r="AP390" s="5"/>
      <c r="AQ390" s="5"/>
      <c r="AR390" s="5"/>
      <c r="AS390" s="22"/>
    </row>
    <row r="391" spans="1:45" hidden="1" x14ac:dyDescent="0.2">
      <c r="A391" s="233" t="s">
        <v>541</v>
      </c>
      <c r="B391" s="1036" t="s">
        <v>953</v>
      </c>
      <c r="C391" s="727"/>
      <c r="D391" s="1012">
        <f t="shared" ca="1" si="95"/>
        <v>2</v>
      </c>
      <c r="E391" s="250" t="str">
        <f t="shared" ca="1" si="96"/>
        <v>mech (B1)</v>
      </c>
      <c r="F391" s="396"/>
      <c r="G391" s="395" t="s">
        <v>70</v>
      </c>
      <c r="H391" s="408"/>
      <c r="I391" s="796">
        <v>13.740336295423036</v>
      </c>
      <c r="J391" s="796">
        <v>2.8561239720182252</v>
      </c>
      <c r="K391" s="796">
        <v>0.46459401633933611</v>
      </c>
      <c r="L391" s="796">
        <v>-3.9210276481047496E-2</v>
      </c>
      <c r="M391" s="796">
        <v>5.2473133430252297</v>
      </c>
      <c r="N391" s="796">
        <v>-0.57174077598212325</v>
      </c>
      <c r="O391" s="796">
        <v>12.73291344646371</v>
      </c>
      <c r="P391" s="796">
        <v>2.4886764072609542</v>
      </c>
      <c r="Q391" s="796">
        <v>10.294872563813005</v>
      </c>
      <c r="R391" s="796">
        <v>7.0791093419510842</v>
      </c>
      <c r="S391" s="796">
        <v>-1.1874779298046654</v>
      </c>
      <c r="T391" s="797">
        <v>-1.1874779298046654</v>
      </c>
      <c r="U391" s="529"/>
      <c r="V391" s="20"/>
      <c r="W391" s="596">
        <f t="shared" si="97"/>
        <v>0.22932732936500375</v>
      </c>
      <c r="X391" s="596">
        <f t="shared" si="97"/>
        <v>5.0156546692229617E-2</v>
      </c>
      <c r="Y391" s="596">
        <f t="shared" si="97"/>
        <v>8.953530778144073E-3</v>
      </c>
      <c r="Z391" s="596">
        <f t="shared" si="97"/>
        <v>-6.7111653420228498E-4</v>
      </c>
      <c r="AA391" s="596">
        <f t="shared" si="97"/>
        <v>0.10441105087447687</v>
      </c>
      <c r="AB391" s="596">
        <f t="shared" si="97"/>
        <v>-7.3012807776688332E-3</v>
      </c>
      <c r="AC391" s="596">
        <f t="shared" si="97"/>
        <v>0.25598862090297192</v>
      </c>
      <c r="AD391" s="596">
        <f t="shared" si="97"/>
        <v>6.3879550194398685E-2</v>
      </c>
      <c r="AE391" s="596">
        <f t="shared" si="97"/>
        <v>0.17904624649308423</v>
      </c>
      <c r="AF391" s="596">
        <f t="shared" si="97"/>
        <v>8.3975971545249925E-2</v>
      </c>
      <c r="AG391" s="596">
        <f t="shared" si="97"/>
        <v>-2.460695212136926E-2</v>
      </c>
      <c r="AH391" s="596">
        <f t="shared" si="97"/>
        <v>-2.460695212136926E-2</v>
      </c>
      <c r="AI391" s="5"/>
      <c r="AJ391" s="5"/>
      <c r="AK391" s="5"/>
      <c r="AL391" s="5"/>
      <c r="AM391" s="5"/>
      <c r="AN391" s="5"/>
      <c r="AO391" s="5"/>
      <c r="AP391" s="5"/>
      <c r="AQ391" s="5"/>
      <c r="AR391" s="5"/>
      <c r="AS391" s="22"/>
    </row>
    <row r="392" spans="1:45" hidden="1" x14ac:dyDescent="0.2">
      <c r="A392" s="233" t="s">
        <v>541</v>
      </c>
      <c r="B392" s="1036" t="s">
        <v>953</v>
      </c>
      <c r="C392" s="727"/>
      <c r="D392" s="1012">
        <f t="shared" ca="1" si="95"/>
        <v>3</v>
      </c>
      <c r="E392" s="250" t="str">
        <f t="shared" ca="1" si="96"/>
        <v>mech (C1)</v>
      </c>
      <c r="F392" s="396"/>
      <c r="G392" s="395" t="s">
        <v>70</v>
      </c>
      <c r="H392" s="408"/>
      <c r="I392" s="798">
        <v>8.1011462803369323</v>
      </c>
      <c r="J392" s="798">
        <v>2.8192770039362332</v>
      </c>
      <c r="K392" s="798">
        <v>-3.179706733335045E-2</v>
      </c>
      <c r="L392" s="798">
        <v>-2.6165037823728197</v>
      </c>
      <c r="M392" s="798">
        <v>3.4421296570163133</v>
      </c>
      <c r="N392" s="798">
        <v>-2.6290400034847849E-2</v>
      </c>
      <c r="O392" s="798">
        <v>12.748632461427144</v>
      </c>
      <c r="P392" s="798">
        <v>24.780483607610716</v>
      </c>
      <c r="Q392" s="798">
        <v>8.8084732754575885</v>
      </c>
      <c r="R392" s="798">
        <v>-77.534428043435838</v>
      </c>
      <c r="S392" s="796">
        <v>-4.2389899874930567E-2</v>
      </c>
      <c r="T392" s="797">
        <v>-4.2389899874930567E-2</v>
      </c>
      <c r="U392" s="529"/>
      <c r="V392" s="20"/>
      <c r="W392" s="596">
        <f t="shared" si="97"/>
        <v>0.13520878975020054</v>
      </c>
      <c r="X392" s="596">
        <f t="shared" si="97"/>
        <v>4.9509475103889006E-2</v>
      </c>
      <c r="Y392" s="596">
        <f t="shared" si="97"/>
        <v>-6.1278451941131507E-4</v>
      </c>
      <c r="Z392" s="596">
        <f t="shared" si="97"/>
        <v>-4.4783641120255263E-2</v>
      </c>
      <c r="AA392" s="596">
        <f t="shared" si="97"/>
        <v>6.8491502458679812E-2</v>
      </c>
      <c r="AB392" s="596">
        <f t="shared" si="97"/>
        <v>-3.357353550338003E-4</v>
      </c>
      <c r="AC392" s="596">
        <f t="shared" si="97"/>
        <v>0.25630464354612903</v>
      </c>
      <c r="AD392" s="596">
        <f t="shared" si="97"/>
        <v>0.63606748624907028</v>
      </c>
      <c r="AE392" s="596">
        <f t="shared" si="97"/>
        <v>0.15319510441042222</v>
      </c>
      <c r="AF392" s="596">
        <f t="shared" si="97"/>
        <v>-0.91975255765131059</v>
      </c>
      <c r="AG392" s="596">
        <f t="shared" si="97"/>
        <v>-8.7840473533991163E-4</v>
      </c>
      <c r="AH392" s="596">
        <f t="shared" si="97"/>
        <v>-8.7840473533991163E-4</v>
      </c>
      <c r="AI392" s="5"/>
      <c r="AJ392" s="5"/>
      <c r="AK392" s="5"/>
      <c r="AL392" s="5"/>
      <c r="AM392" s="5"/>
      <c r="AN392" s="5"/>
      <c r="AO392" s="5"/>
      <c r="AP392" s="5"/>
      <c r="AQ392" s="5"/>
      <c r="AR392" s="5"/>
      <c r="AS392" s="22"/>
    </row>
    <row r="393" spans="1:45" hidden="1" x14ac:dyDescent="0.2">
      <c r="A393" s="233" t="s">
        <v>541</v>
      </c>
      <c r="B393" s="1036" t="s">
        <v>953</v>
      </c>
      <c r="C393" s="727"/>
      <c r="D393" s="1012">
        <f t="shared" ca="1" si="95"/>
        <v>4</v>
      </c>
      <c r="E393" s="250" t="str">
        <f t="shared" ca="1" si="96"/>
        <v>mech - CO2 (C4c)</v>
      </c>
      <c r="F393" s="396"/>
      <c r="G393" s="395" t="s">
        <v>70</v>
      </c>
      <c r="H393" s="408"/>
      <c r="I393" s="796">
        <v>16.692787794916068</v>
      </c>
      <c r="J393" s="796">
        <v>3.6977437780385607</v>
      </c>
      <c r="K393" s="798">
        <v>0.82882668095684253</v>
      </c>
      <c r="L393" s="796">
        <v>-4.1024677221530303E-3</v>
      </c>
      <c r="M393" s="796">
        <v>6.4837898421550966</v>
      </c>
      <c r="N393" s="798">
        <v>-5.314356151969702E-2</v>
      </c>
      <c r="O393" s="796">
        <v>14.157912525358485</v>
      </c>
      <c r="P393" s="796">
        <v>3.0020287835802897</v>
      </c>
      <c r="Q393" s="796">
        <v>14.728682038405687</v>
      </c>
      <c r="R393" s="796">
        <v>-23.223301988355193</v>
      </c>
      <c r="S393" s="798">
        <v>-4.75122240799222E-2</v>
      </c>
      <c r="T393" s="799">
        <v>-4.75122240799222E-2</v>
      </c>
      <c r="U393" s="529"/>
      <c r="V393" s="20"/>
      <c r="W393" s="596">
        <f t="shared" si="97"/>
        <v>0.27860398481949761</v>
      </c>
      <c r="X393" s="596">
        <f t="shared" si="97"/>
        <v>6.493627737315498E-2</v>
      </c>
      <c r="Y393" s="596">
        <f t="shared" si="97"/>
        <v>1.5972924610965927E-2</v>
      </c>
      <c r="Z393" s="596">
        <f t="shared" si="97"/>
        <v>-7.0217151381191499E-5</v>
      </c>
      <c r="AA393" s="596">
        <f t="shared" si="97"/>
        <v>0.12901446260466196</v>
      </c>
      <c r="AB393" s="596">
        <f t="shared" si="97"/>
        <v>-6.7865732247992952E-4</v>
      </c>
      <c r="AC393" s="596">
        <f t="shared" si="97"/>
        <v>0.2846374883069665</v>
      </c>
      <c r="AD393" s="596">
        <f t="shared" si="97"/>
        <v>7.7056321105566122E-2</v>
      </c>
      <c r="AE393" s="596">
        <f t="shared" si="97"/>
        <v>0.25615812322303433</v>
      </c>
      <c r="AF393" s="596">
        <f t="shared" si="97"/>
        <v>-0.27548654113927901</v>
      </c>
      <c r="AG393" s="596">
        <f t="shared" si="97"/>
        <v>-9.845496861627819E-4</v>
      </c>
      <c r="AH393" s="596">
        <f t="shared" si="97"/>
        <v>-9.845496861627819E-4</v>
      </c>
      <c r="AI393" s="5"/>
      <c r="AJ393" s="5"/>
      <c r="AK393" s="5"/>
      <c r="AL393" s="5"/>
      <c r="AM393" s="5"/>
      <c r="AN393" s="5"/>
      <c r="AO393" s="5"/>
      <c r="AP393" s="5"/>
      <c r="AQ393" s="5"/>
      <c r="AR393" s="5"/>
      <c r="AS393" s="22"/>
    </row>
    <row r="394" spans="1:45" hidden="1" x14ac:dyDescent="0.2">
      <c r="A394" s="233" t="s">
        <v>541</v>
      </c>
      <c r="B394" s="1036" t="s">
        <v>953</v>
      </c>
      <c r="C394" s="727"/>
      <c r="D394" s="1012">
        <f t="shared" ca="1" si="95"/>
        <v>5</v>
      </c>
      <c r="E394" s="250" t="str">
        <f t="shared" ca="1" si="96"/>
        <v>balans (D1)</v>
      </c>
      <c r="F394" s="396"/>
      <c r="G394" s="395" t="s">
        <v>70</v>
      </c>
      <c r="H394" s="408"/>
      <c r="I394" s="796">
        <v>17.484283173081437</v>
      </c>
      <c r="J394" s="796">
        <v>3.3145493649377666</v>
      </c>
      <c r="K394" s="796">
        <v>1.0145113729906474</v>
      </c>
      <c r="L394" s="796">
        <v>2.8981997214989801</v>
      </c>
      <c r="M394" s="796">
        <v>6.387153501108342</v>
      </c>
      <c r="N394" s="796">
        <v>12.910126899424556</v>
      </c>
      <c r="O394" s="796">
        <v>12.433981724675746</v>
      </c>
      <c r="P394" s="796">
        <v>2.5015362821768514</v>
      </c>
      <c r="Q394" s="796">
        <v>11.756531610275081</v>
      </c>
      <c r="R394" s="796">
        <v>11.133841173875545</v>
      </c>
      <c r="S394" s="796">
        <v>4.955450639272942</v>
      </c>
      <c r="T394" s="797">
        <v>4.955450639272942</v>
      </c>
      <c r="U394" s="529"/>
      <c r="V394" s="20"/>
      <c r="W394" s="596">
        <f t="shared" si="97"/>
        <v>0.29181410700114102</v>
      </c>
      <c r="X394" s="596">
        <f t="shared" si="97"/>
        <v>5.8206979674179309E-2</v>
      </c>
      <c r="Y394" s="596">
        <f t="shared" si="97"/>
        <v>1.9551389995118816E-2</v>
      </c>
      <c r="Z394" s="596">
        <f t="shared" si="97"/>
        <v>4.960510169976904E-2</v>
      </c>
      <c r="AA394" s="596">
        <f t="shared" si="97"/>
        <v>0.12709159250681129</v>
      </c>
      <c r="AB394" s="596">
        <f t="shared" si="97"/>
        <v>0.16486573168778346</v>
      </c>
      <c r="AC394" s="596">
        <f t="shared" si="97"/>
        <v>0.2499787536776587</v>
      </c>
      <c r="AD394" s="596">
        <f t="shared" si="97"/>
        <v>6.420963851877344E-2</v>
      </c>
      <c r="AE394" s="596">
        <f t="shared" si="97"/>
        <v>0.20446711152074859</v>
      </c>
      <c r="AF394" s="596">
        <f t="shared" si="97"/>
        <v>0.13207524908055945</v>
      </c>
      <c r="AG394" s="596">
        <f t="shared" si="97"/>
        <v>0.10268699195146835</v>
      </c>
      <c r="AH394" s="596">
        <f t="shared" si="97"/>
        <v>0.10268699195146835</v>
      </c>
      <c r="AI394" s="5"/>
      <c r="AJ394" s="5"/>
      <c r="AK394" s="5"/>
      <c r="AL394" s="5"/>
      <c r="AM394" s="5"/>
      <c r="AN394" s="5"/>
      <c r="AO394" s="5"/>
      <c r="AP394" s="5"/>
      <c r="AQ394" s="5"/>
      <c r="AR394" s="5"/>
      <c r="AS394" s="22"/>
    </row>
    <row r="395" spans="1:45" hidden="1" x14ac:dyDescent="0.2">
      <c r="B395" s="1036" t="s">
        <v>953</v>
      </c>
      <c r="C395" s="727"/>
      <c r="D395" s="1012">
        <f t="shared" ca="1" si="95"/>
        <v>6</v>
      </c>
      <c r="E395" s="250" t="str">
        <f t="shared" ca="1" si="96"/>
        <v>balans CO2 (D5a)</v>
      </c>
      <c r="F395" s="396"/>
      <c r="G395" s="395" t="s">
        <v>70</v>
      </c>
      <c r="H395" s="408"/>
      <c r="I395" s="796">
        <v>28.100022418447054</v>
      </c>
      <c r="J395" s="796">
        <v>4.3975651068556916</v>
      </c>
      <c r="K395" s="796">
        <v>5.3253613160891424</v>
      </c>
      <c r="L395" s="796">
        <v>-7.6656196855325626E-2</v>
      </c>
      <c r="M395" s="796">
        <v>7.9537290823684605</v>
      </c>
      <c r="N395" s="796">
        <v>-0.68608227531057708</v>
      </c>
      <c r="O395" s="796">
        <v>13.963653197900618</v>
      </c>
      <c r="P395" s="796">
        <v>3.1654053789869203</v>
      </c>
      <c r="Q395" s="796">
        <v>17.698593636047981</v>
      </c>
      <c r="R395" s="796">
        <v>-12.756856674174919</v>
      </c>
      <c r="S395" s="796">
        <v>-0.38008022213575465</v>
      </c>
      <c r="T395" s="797">
        <v>-0.38008022213575465</v>
      </c>
      <c r="U395" s="529"/>
      <c r="V395" s="20"/>
      <c r="W395" s="795"/>
      <c r="X395" s="795"/>
      <c r="Y395" s="795"/>
      <c r="Z395" s="795"/>
      <c r="AA395" s="795"/>
      <c r="AB395" s="795"/>
      <c r="AC395" s="795"/>
      <c r="AD395" s="795"/>
      <c r="AE395" s="795"/>
      <c r="AF395" s="795"/>
      <c r="AG395" s="795"/>
      <c r="AH395" s="795"/>
      <c r="AI395" s="5"/>
      <c r="AJ395" s="5"/>
      <c r="AK395" s="5"/>
      <c r="AL395" s="5"/>
      <c r="AM395" s="5"/>
      <c r="AN395" s="5"/>
      <c r="AO395" s="5"/>
      <c r="AP395" s="5"/>
      <c r="AQ395" s="5"/>
      <c r="AR395" s="5"/>
      <c r="AS395" s="22"/>
    </row>
    <row r="396" spans="1:45" ht="18.75" hidden="1" x14ac:dyDescent="0.2">
      <c r="B396" s="1036" t="s">
        <v>953</v>
      </c>
      <c r="C396" s="727"/>
      <c r="D396" s="1012"/>
      <c r="E396" s="403" t="s">
        <v>958</v>
      </c>
      <c r="F396" s="404"/>
      <c r="G396" s="405"/>
      <c r="H396" s="406"/>
      <c r="I396" s="800"/>
      <c r="J396" s="800"/>
      <c r="K396" s="800"/>
      <c r="L396" s="800"/>
      <c r="M396" s="800"/>
      <c r="N396" s="800"/>
      <c r="O396" s="800"/>
      <c r="P396" s="800"/>
      <c r="Q396" s="800"/>
      <c r="R396" s="800"/>
      <c r="S396" s="800"/>
      <c r="T396" s="800"/>
      <c r="U396" s="406"/>
      <c r="V396" s="20"/>
      <c r="W396" s="16"/>
      <c r="X396" s="16"/>
      <c r="Y396" s="16"/>
      <c r="Z396" s="16"/>
      <c r="AA396" s="16"/>
      <c r="AB396" s="16"/>
      <c r="AC396" s="16"/>
      <c r="AD396" s="16"/>
      <c r="AE396" s="16"/>
      <c r="AF396" s="16"/>
      <c r="AG396" s="16"/>
      <c r="AH396" s="16"/>
      <c r="AI396" s="5"/>
      <c r="AJ396" s="5"/>
      <c r="AK396" s="5"/>
      <c r="AL396" s="5"/>
      <c r="AM396" s="5"/>
      <c r="AN396" s="5"/>
      <c r="AO396" s="5"/>
      <c r="AP396" s="5"/>
      <c r="AQ396" s="5"/>
      <c r="AR396" s="5"/>
      <c r="AS396" s="22"/>
    </row>
    <row r="397" spans="1:45" hidden="1" x14ac:dyDescent="0.2">
      <c r="B397" s="1036" t="s">
        <v>953</v>
      </c>
      <c r="C397" s="727"/>
      <c r="D397" s="1012">
        <f t="shared" ref="D397:D402" ca="1" si="98">OFFSET(D397,-1,0)+1</f>
        <v>1</v>
      </c>
      <c r="E397" s="250" t="str">
        <f t="shared" ref="E397:E402" ca="1" si="99">INDEX(ventilatiesystemen_namen,D397)</f>
        <v>natuurlijk (A)</v>
      </c>
      <c r="F397" s="396"/>
      <c r="G397" s="395" t="s">
        <v>70</v>
      </c>
      <c r="H397" s="408"/>
      <c r="I397" s="796">
        <v>-28.686392301895001</v>
      </c>
      <c r="J397" s="796">
        <v>50.918274723671892</v>
      </c>
      <c r="K397" s="796">
        <v>62.842229816881385</v>
      </c>
      <c r="L397" s="796">
        <v>217.203310210947</v>
      </c>
      <c r="M397" s="796">
        <v>73.113731872962759</v>
      </c>
      <c r="N397" s="796">
        <v>175.99542532830594</v>
      </c>
      <c r="O397" s="796">
        <v>143.52864789388235</v>
      </c>
      <c r="P397" s="796">
        <v>2.0634825593239077</v>
      </c>
      <c r="Q397" s="796">
        <v>-9.3336399733109504E-3</v>
      </c>
      <c r="R397" s="798">
        <v>-7.4861081287789129E-3</v>
      </c>
      <c r="S397" s="796">
        <v>43.222487146903546</v>
      </c>
      <c r="T397" s="797">
        <v>43.222487146903546</v>
      </c>
      <c r="U397" s="529"/>
      <c r="V397" s="20"/>
      <c r="W397" s="596">
        <f t="shared" ref="W397:AH401" si="100">IFERROR(I397/I$348,"")</f>
        <v>-0.47877821868899478</v>
      </c>
      <c r="X397" s="596">
        <f t="shared" si="100"/>
        <v>0.89417856111510818</v>
      </c>
      <c r="Y397" s="596">
        <f t="shared" si="100"/>
        <v>1.211078531028019</v>
      </c>
      <c r="Z397" s="596">
        <f t="shared" si="100"/>
        <v>3.71761552960466</v>
      </c>
      <c r="AA397" s="596">
        <f t="shared" si="100"/>
        <v>1.454817175794884</v>
      </c>
      <c r="AB397" s="596">
        <f t="shared" si="100"/>
        <v>2.2475080838862347</v>
      </c>
      <c r="AC397" s="596">
        <f t="shared" si="100"/>
        <v>2.8855690246309962</v>
      </c>
      <c r="AD397" s="596">
        <f t="shared" si="100"/>
        <v>5.2965639622337697E-2</v>
      </c>
      <c r="AE397" s="596">
        <f t="shared" si="100"/>
        <v>-1.6232869255840274E-4</v>
      </c>
      <c r="AF397" s="597">
        <f t="shared" si="100"/>
        <v>-8.8803996779874295E-5</v>
      </c>
      <c r="AG397" s="596">
        <f t="shared" si="100"/>
        <v>0.89565763295096079</v>
      </c>
      <c r="AH397" s="596">
        <f t="shared" si="100"/>
        <v>0.89565763295096079</v>
      </c>
      <c r="AI397" s="5"/>
      <c r="AJ397" s="5"/>
      <c r="AK397" s="5"/>
      <c r="AL397" s="5"/>
      <c r="AM397" s="5"/>
      <c r="AN397" s="5"/>
      <c r="AO397" s="5"/>
      <c r="AP397" s="5"/>
      <c r="AQ397" s="5"/>
      <c r="AR397" s="5"/>
      <c r="AS397" s="22"/>
    </row>
    <row r="398" spans="1:45" hidden="1" x14ac:dyDescent="0.2">
      <c r="A398" s="233" t="s">
        <v>541</v>
      </c>
      <c r="B398" s="1036" t="s">
        <v>953</v>
      </c>
      <c r="C398" s="727"/>
      <c r="D398" s="1012">
        <f t="shared" ca="1" si="98"/>
        <v>2</v>
      </c>
      <c r="E398" s="250" t="str">
        <f t="shared" ca="1" si="99"/>
        <v>mech (B1)</v>
      </c>
      <c r="F398" s="396"/>
      <c r="G398" s="395" t="s">
        <v>70</v>
      </c>
      <c r="H398" s="408"/>
      <c r="I398" s="796">
        <v>-15.127706335057027</v>
      </c>
      <c r="J398" s="796">
        <v>37.576668809507794</v>
      </c>
      <c r="K398" s="796">
        <v>106.0570385007388</v>
      </c>
      <c r="L398" s="796">
        <v>308.43906229968752</v>
      </c>
      <c r="M398" s="796">
        <v>89.200461070086277</v>
      </c>
      <c r="N398" s="796">
        <v>-89.073079084366299</v>
      </c>
      <c r="O398" s="796">
        <v>152.62137199910865</v>
      </c>
      <c r="P398" s="796">
        <v>10.183729603761355</v>
      </c>
      <c r="Q398" s="796">
        <v>-1.0830749726124992E-2</v>
      </c>
      <c r="R398" s="796">
        <v>-9.4679427991424345E-3</v>
      </c>
      <c r="S398" s="796">
        <v>47.80715598980013</v>
      </c>
      <c r="T398" s="797">
        <v>47.80715598980013</v>
      </c>
      <c r="U398" s="529"/>
      <c r="V398" s="20"/>
      <c r="W398" s="596">
        <f t="shared" si="100"/>
        <v>-0.25248264806970411</v>
      </c>
      <c r="X398" s="596">
        <f t="shared" si="100"/>
        <v>0.6598859020642327</v>
      </c>
      <c r="Y398" s="596">
        <f t="shared" si="100"/>
        <v>2.0439026872046622</v>
      </c>
      <c r="Z398" s="596">
        <f t="shared" si="100"/>
        <v>5.2791914028768163</v>
      </c>
      <c r="AA398" s="596">
        <f t="shared" si="100"/>
        <v>1.7749109439395625</v>
      </c>
      <c r="AB398" s="596">
        <f t="shared" si="100"/>
        <v>-1.1374867552682546</v>
      </c>
      <c r="AC398" s="596">
        <f t="shared" si="100"/>
        <v>3.0683735268162002</v>
      </c>
      <c r="AD398" s="596">
        <f t="shared" si="100"/>
        <v>0.26139680694993817</v>
      </c>
      <c r="AE398" s="596">
        <f t="shared" si="100"/>
        <v>-1.8836610877390395E-4</v>
      </c>
      <c r="AF398" s="596">
        <f t="shared" si="100"/>
        <v>-1.1231352090879075E-4</v>
      </c>
      <c r="AG398" s="596">
        <f t="shared" si="100"/>
        <v>0.99066127375803426</v>
      </c>
      <c r="AH398" s="596">
        <f t="shared" si="100"/>
        <v>0.99066127375803426</v>
      </c>
      <c r="AI398" s="5"/>
      <c r="AJ398" s="5"/>
      <c r="AK398" s="5"/>
      <c r="AL398" s="5"/>
      <c r="AM398" s="5"/>
      <c r="AN398" s="5"/>
      <c r="AO398" s="5"/>
      <c r="AP398" s="5"/>
      <c r="AQ398" s="5"/>
      <c r="AR398" s="5"/>
      <c r="AS398" s="22"/>
    </row>
    <row r="399" spans="1:45" hidden="1" x14ac:dyDescent="0.2">
      <c r="A399" s="233" t="s">
        <v>541</v>
      </c>
      <c r="B399" s="1036" t="s">
        <v>953</v>
      </c>
      <c r="C399" s="727"/>
      <c r="D399" s="1012">
        <f t="shared" ca="1" si="98"/>
        <v>3</v>
      </c>
      <c r="E399" s="250" t="str">
        <f t="shared" ca="1" si="99"/>
        <v>mech (C1)</v>
      </c>
      <c r="F399" s="396"/>
      <c r="G399" s="395" t="s">
        <v>70</v>
      </c>
      <c r="H399" s="408"/>
      <c r="I399" s="798">
        <v>211.79036727390235</v>
      </c>
      <c r="J399" s="798">
        <v>49.178122350822456</v>
      </c>
      <c r="K399" s="798">
        <v>45.868055682067393</v>
      </c>
      <c r="L399" s="798">
        <v>65.502608046730245</v>
      </c>
      <c r="M399" s="798">
        <v>74.022614399773772</v>
      </c>
      <c r="N399" s="798">
        <v>39.7300259267572</v>
      </c>
      <c r="O399" s="798">
        <v>141.42152577557658</v>
      </c>
      <c r="P399" s="798">
        <v>2.7413333682203342</v>
      </c>
      <c r="Q399" s="798">
        <v>-8.901063189757424E-3</v>
      </c>
      <c r="R399" s="798">
        <v>-11.5042767151209</v>
      </c>
      <c r="S399" s="796">
        <v>46.930662800922057</v>
      </c>
      <c r="T399" s="797">
        <v>46.930662800922057</v>
      </c>
      <c r="U399" s="529"/>
      <c r="V399" s="20"/>
      <c r="W399" s="596">
        <f t="shared" si="100"/>
        <v>3.5347984407292827</v>
      </c>
      <c r="X399" s="596">
        <f t="shared" si="100"/>
        <v>0.86361965169958232</v>
      </c>
      <c r="Y399" s="596">
        <f t="shared" si="100"/>
        <v>0.88395681786624225</v>
      </c>
      <c r="Z399" s="596">
        <f t="shared" si="100"/>
        <v>1.1211316838018359</v>
      </c>
      <c r="AA399" s="596">
        <f t="shared" si="100"/>
        <v>1.4729021220411236</v>
      </c>
      <c r="AB399" s="596">
        <f t="shared" si="100"/>
        <v>0.50736292876264388</v>
      </c>
      <c r="AC399" s="596">
        <f t="shared" si="100"/>
        <v>2.8432064273034343</v>
      </c>
      <c r="AD399" s="596">
        <f t="shared" si="100"/>
        <v>7.0364769796465096E-2</v>
      </c>
      <c r="AE399" s="596">
        <f t="shared" si="100"/>
        <v>-1.5480540861921582E-4</v>
      </c>
      <c r="AF399" s="596">
        <f t="shared" si="100"/>
        <v>-0.13646954262348071</v>
      </c>
      <c r="AG399" s="596">
        <f t="shared" si="100"/>
        <v>0.97249855646275218</v>
      </c>
      <c r="AH399" s="596">
        <f t="shared" si="100"/>
        <v>0.97249855646275218</v>
      </c>
      <c r="AI399" s="5"/>
      <c r="AJ399" s="5"/>
      <c r="AK399" s="5"/>
      <c r="AL399" s="5"/>
      <c r="AM399" s="5"/>
      <c r="AN399" s="5"/>
      <c r="AO399" s="5"/>
      <c r="AP399" s="5"/>
      <c r="AQ399" s="5"/>
      <c r="AR399" s="5"/>
      <c r="AS399" s="22"/>
    </row>
    <row r="400" spans="1:45" hidden="1" x14ac:dyDescent="0.2">
      <c r="A400" s="233" t="s">
        <v>541</v>
      </c>
      <c r="B400" s="1036" t="s">
        <v>953</v>
      </c>
      <c r="C400" s="727"/>
      <c r="D400" s="1012">
        <f t="shared" ca="1" si="98"/>
        <v>4</v>
      </c>
      <c r="E400" s="250" t="str">
        <f t="shared" ca="1" si="99"/>
        <v>mech - CO2 (C4c)</v>
      </c>
      <c r="F400" s="396"/>
      <c r="G400" s="395" t="s">
        <v>70</v>
      </c>
      <c r="H400" s="408"/>
      <c r="I400" s="796">
        <v>-54.421435075963004</v>
      </c>
      <c r="J400" s="796">
        <v>41.137600452136205</v>
      </c>
      <c r="K400" s="798">
        <v>44.272798426662256</v>
      </c>
      <c r="L400" s="796">
        <v>168.83464158637395</v>
      </c>
      <c r="M400" s="796">
        <v>124.39897505777087</v>
      </c>
      <c r="N400" s="798">
        <v>153.11293788709446</v>
      </c>
      <c r="O400" s="796">
        <v>151.93195650531482</v>
      </c>
      <c r="P400" s="796">
        <v>53.191099077070902</v>
      </c>
      <c r="Q400" s="796">
        <v>-1.0480251234567946E-2</v>
      </c>
      <c r="R400" s="796">
        <v>-9.5621593862563557E-3</v>
      </c>
      <c r="S400" s="798">
        <v>51.058877912739305</v>
      </c>
      <c r="T400" s="799">
        <v>51.058877912739305</v>
      </c>
      <c r="U400" s="529"/>
      <c r="V400" s="20"/>
      <c r="W400" s="596">
        <f t="shared" si="100"/>
        <v>-0.90829817392015244</v>
      </c>
      <c r="X400" s="596">
        <f t="shared" si="100"/>
        <v>0.72241961416886613</v>
      </c>
      <c r="Y400" s="596">
        <f t="shared" si="100"/>
        <v>0.85321344960707124</v>
      </c>
      <c r="Z400" s="596">
        <f t="shared" si="100"/>
        <v>2.8897454872449106</v>
      </c>
      <c r="AA400" s="596">
        <f t="shared" si="100"/>
        <v>2.4752910421776662</v>
      </c>
      <c r="AB400" s="596">
        <f t="shared" si="100"/>
        <v>1.9552926731298925</v>
      </c>
      <c r="AC400" s="596">
        <f t="shared" si="100"/>
        <v>3.0545131858795047</v>
      </c>
      <c r="AD400" s="596">
        <f t="shared" si="100"/>
        <v>1.3653134949467538</v>
      </c>
      <c r="AE400" s="596">
        <f t="shared" si="100"/>
        <v>-1.8227031313138522E-4</v>
      </c>
      <c r="AF400" s="596">
        <f t="shared" si="100"/>
        <v>-1.1343116566555172E-4</v>
      </c>
      <c r="AG400" s="596">
        <f t="shared" si="100"/>
        <v>1.0580435498083631</v>
      </c>
      <c r="AH400" s="596">
        <f t="shared" si="100"/>
        <v>1.0580435498083631</v>
      </c>
      <c r="AI400" s="5"/>
      <c r="AJ400" s="5"/>
      <c r="AK400" s="5"/>
      <c r="AL400" s="5"/>
      <c r="AM400" s="5"/>
      <c r="AN400" s="5"/>
      <c r="AO400" s="5"/>
      <c r="AP400" s="5"/>
      <c r="AQ400" s="5"/>
      <c r="AR400" s="5"/>
      <c r="AS400" s="22"/>
    </row>
    <row r="401" spans="1:45" hidden="1" x14ac:dyDescent="0.2">
      <c r="A401" s="233" t="s">
        <v>541</v>
      </c>
      <c r="B401" s="1036" t="s">
        <v>953</v>
      </c>
      <c r="C401" s="727"/>
      <c r="D401" s="1012">
        <f t="shared" ca="1" si="98"/>
        <v>5</v>
      </c>
      <c r="E401" s="250" t="str">
        <f t="shared" ca="1" si="99"/>
        <v>balans (D1)</v>
      </c>
      <c r="F401" s="396"/>
      <c r="G401" s="395" t="s">
        <v>70</v>
      </c>
      <c r="H401" s="408"/>
      <c r="I401" s="796">
        <v>-11.811245660988368</v>
      </c>
      <c r="J401" s="796">
        <v>33.584899394099011</v>
      </c>
      <c r="K401" s="796">
        <v>71.068412326221221</v>
      </c>
      <c r="L401" s="796">
        <v>99.425393669791347</v>
      </c>
      <c r="M401" s="796">
        <v>117.30982595943512</v>
      </c>
      <c r="N401" s="796">
        <v>-413.18942709448066</v>
      </c>
      <c r="O401" s="796">
        <v>158.76458605935639</v>
      </c>
      <c r="P401" s="796">
        <v>36.525195958958697</v>
      </c>
      <c r="Q401" s="796">
        <v>-1.2437475800593244E-2</v>
      </c>
      <c r="R401" s="796">
        <v>-4.0875916209520621E-3</v>
      </c>
      <c r="S401" s="796">
        <v>59.442498775350089</v>
      </c>
      <c r="T401" s="797">
        <v>59.442498775350089</v>
      </c>
      <c r="U401" s="529"/>
      <c r="V401" s="20"/>
      <c r="W401" s="596">
        <f t="shared" si="100"/>
        <v>-0.1971306499107093</v>
      </c>
      <c r="X401" s="596">
        <f t="shared" si="100"/>
        <v>0.58978622465874253</v>
      </c>
      <c r="Y401" s="596">
        <f t="shared" si="100"/>
        <v>1.3696113052215824</v>
      </c>
      <c r="Z401" s="596">
        <f t="shared" si="100"/>
        <v>1.7017484088290111</v>
      </c>
      <c r="AA401" s="596">
        <f t="shared" si="100"/>
        <v>2.3342311399427542</v>
      </c>
      <c r="AB401" s="596">
        <f t="shared" si="100"/>
        <v>-5.2765381590961722</v>
      </c>
      <c r="AC401" s="596">
        <f t="shared" si="100"/>
        <v>3.1918796593134191</v>
      </c>
      <c r="AD401" s="596">
        <f t="shared" si="100"/>
        <v>0.93753172642822313</v>
      </c>
      <c r="AE401" s="596">
        <f t="shared" si="100"/>
        <v>-2.163099488741993E-4</v>
      </c>
      <c r="AF401" s="596">
        <f t="shared" si="100"/>
        <v>-4.8489076954286188E-5</v>
      </c>
      <c r="AG401" s="596">
        <f t="shared" si="100"/>
        <v>1.2317691846114542</v>
      </c>
      <c r="AH401" s="596">
        <f t="shared" si="100"/>
        <v>1.2317691846114542</v>
      </c>
      <c r="AI401" s="5"/>
      <c r="AJ401" s="5"/>
      <c r="AK401" s="5"/>
      <c r="AL401" s="5"/>
      <c r="AM401" s="5"/>
      <c r="AN401" s="5"/>
      <c r="AO401" s="5"/>
      <c r="AP401" s="5"/>
      <c r="AQ401" s="5"/>
      <c r="AR401" s="5"/>
      <c r="AS401" s="22"/>
    </row>
    <row r="402" spans="1:45" hidden="1" x14ac:dyDescent="0.2">
      <c r="B402" s="1036" t="s">
        <v>953</v>
      </c>
      <c r="C402" s="727"/>
      <c r="D402" s="1012">
        <f t="shared" ca="1" si="98"/>
        <v>6</v>
      </c>
      <c r="E402" s="250" t="str">
        <f t="shared" ca="1" si="99"/>
        <v>balans CO2 (D5a)</v>
      </c>
      <c r="F402" s="396"/>
      <c r="G402" s="395" t="s">
        <v>70</v>
      </c>
      <c r="H402" s="408"/>
      <c r="I402" s="796">
        <v>-20.121046207296423</v>
      </c>
      <c r="J402" s="796">
        <v>37.002125905574239</v>
      </c>
      <c r="K402" s="796">
        <v>260.4789687104344</v>
      </c>
      <c r="L402" s="796">
        <v>103.79530862246706</v>
      </c>
      <c r="M402" s="796">
        <v>106.90998058244244</v>
      </c>
      <c r="N402" s="796">
        <v>-41.809576380447069</v>
      </c>
      <c r="O402" s="796">
        <v>165.1621154690246</v>
      </c>
      <c r="P402" s="796">
        <v>39.008929521797313</v>
      </c>
      <c r="Q402" s="796">
        <v>-1.153190204821331E-2</v>
      </c>
      <c r="R402" s="796">
        <v>-3.8101415068101732E-3</v>
      </c>
      <c r="S402" s="796">
        <v>54.850538047830931</v>
      </c>
      <c r="T402" s="797">
        <v>54.850538047830931</v>
      </c>
      <c r="U402" s="529"/>
      <c r="V402" s="20"/>
      <c r="W402" s="795"/>
      <c r="X402" s="795"/>
      <c r="Y402" s="795"/>
      <c r="Z402" s="795"/>
      <c r="AA402" s="795"/>
      <c r="AB402" s="795"/>
      <c r="AC402" s="795"/>
      <c r="AD402" s="795"/>
      <c r="AE402" s="795"/>
      <c r="AF402" s="795"/>
      <c r="AG402" s="795"/>
      <c r="AH402" s="795"/>
      <c r="AI402" s="5"/>
      <c r="AJ402" s="5"/>
      <c r="AK402" s="5"/>
      <c r="AL402" s="5"/>
      <c r="AM402" s="5"/>
      <c r="AN402" s="5"/>
      <c r="AO402" s="5"/>
      <c r="AP402" s="5"/>
      <c r="AQ402" s="5"/>
      <c r="AR402" s="5"/>
      <c r="AS402" s="22"/>
    </row>
    <row r="403" spans="1:45" ht="18.75" hidden="1" x14ac:dyDescent="0.2">
      <c r="B403" s="1036" t="s">
        <v>953</v>
      </c>
      <c r="C403" s="727"/>
      <c r="D403" s="1012"/>
      <c r="E403" s="403" t="s">
        <v>959</v>
      </c>
      <c r="F403" s="404"/>
      <c r="G403" s="405"/>
      <c r="H403" s="406"/>
      <c r="I403" s="800"/>
      <c r="J403" s="800"/>
      <c r="K403" s="800"/>
      <c r="L403" s="800"/>
      <c r="M403" s="800"/>
      <c r="N403" s="800"/>
      <c r="O403" s="800"/>
      <c r="P403" s="800"/>
      <c r="Q403" s="800"/>
      <c r="R403" s="800"/>
      <c r="S403" s="800"/>
      <c r="T403" s="800"/>
      <c r="U403" s="406"/>
      <c r="V403" s="20"/>
      <c r="W403" s="16"/>
      <c r="X403" s="16"/>
      <c r="Y403" s="16"/>
      <c r="Z403" s="16"/>
      <c r="AA403" s="16"/>
      <c r="AB403" s="16"/>
      <c r="AC403" s="16"/>
      <c r="AD403" s="16"/>
      <c r="AE403" s="16"/>
      <c r="AF403" s="16"/>
      <c r="AG403" s="16"/>
      <c r="AH403" s="16"/>
      <c r="AI403" s="5"/>
      <c r="AJ403" s="5"/>
      <c r="AK403" s="5"/>
      <c r="AL403" s="5"/>
      <c r="AM403" s="5"/>
      <c r="AN403" s="5"/>
      <c r="AO403" s="5"/>
      <c r="AP403" s="5"/>
      <c r="AQ403" s="5"/>
      <c r="AR403" s="5"/>
      <c r="AS403" s="22"/>
    </row>
    <row r="404" spans="1:45" hidden="1" x14ac:dyDescent="0.2">
      <c r="B404" s="1036" t="s">
        <v>953</v>
      </c>
      <c r="C404" s="727"/>
      <c r="D404" s="1012">
        <f t="shared" ref="D404:D409" ca="1" si="101">OFFSET(D404,-1,0)+1</f>
        <v>1</v>
      </c>
      <c r="E404" s="250" t="str">
        <f t="shared" ref="E404:E409" ca="1" si="102">INDEX(ventilatiesystemen_namen,D404)</f>
        <v>natuurlijk (A)</v>
      </c>
      <c r="F404" s="396"/>
      <c r="G404" s="395" t="s">
        <v>70</v>
      </c>
      <c r="H404" s="408"/>
      <c r="I404" s="796">
        <v>0.08</v>
      </c>
      <c r="J404" s="796">
        <v>0.12</v>
      </c>
      <c r="K404" s="796">
        <v>-0.62</v>
      </c>
      <c r="L404" s="796">
        <v>0.4</v>
      </c>
      <c r="M404" s="796">
        <v>-0.32</v>
      </c>
      <c r="N404" s="796">
        <v>3</v>
      </c>
      <c r="O404" s="796">
        <v>-0.54</v>
      </c>
      <c r="P404" s="796">
        <v>-0.27</v>
      </c>
      <c r="Q404" s="796">
        <v>3</v>
      </c>
      <c r="R404" s="798">
        <v>3</v>
      </c>
      <c r="S404" s="796">
        <v>1.1599999999999999</v>
      </c>
      <c r="T404" s="797">
        <v>1.1599999999999999</v>
      </c>
      <c r="U404" s="529"/>
      <c r="V404" s="20"/>
      <c r="W404" s="596">
        <f t="shared" ref="W404:AH408" si="103">IFERROR(I404/I$355,"")</f>
        <v>8.0808080808080815E-2</v>
      </c>
      <c r="X404" s="596">
        <f t="shared" si="103"/>
        <v>0.11881188118811881</v>
      </c>
      <c r="Y404" s="596">
        <f t="shared" si="103"/>
        <v>-0.5636363636363636</v>
      </c>
      <c r="Z404" s="596">
        <f t="shared" si="103"/>
        <v>0.42553191489361708</v>
      </c>
      <c r="AA404" s="596">
        <f t="shared" si="103"/>
        <v>-0.27350427350427353</v>
      </c>
      <c r="AB404" s="596">
        <f t="shared" si="103"/>
        <v>3.0927835051546393</v>
      </c>
      <c r="AC404" s="596">
        <f t="shared" si="103"/>
        <v>-0.45000000000000007</v>
      </c>
      <c r="AD404" s="596">
        <f t="shared" si="103"/>
        <v>-0.31395348837209303</v>
      </c>
      <c r="AE404" s="596">
        <f t="shared" si="103"/>
        <v>2.7272727272727271</v>
      </c>
      <c r="AF404" s="597">
        <f t="shared" si="103"/>
        <v>5.6603773584905657</v>
      </c>
      <c r="AG404" s="596">
        <f t="shared" si="103"/>
        <v>1.3809523809523809</v>
      </c>
      <c r="AH404" s="596">
        <f t="shared" si="103"/>
        <v>1.3809523809523809</v>
      </c>
      <c r="AI404" s="5"/>
      <c r="AJ404" s="5"/>
      <c r="AK404" s="5"/>
      <c r="AL404" s="5"/>
      <c r="AM404" s="5"/>
      <c r="AN404" s="5"/>
      <c r="AO404" s="5"/>
      <c r="AP404" s="5"/>
      <c r="AQ404" s="5"/>
      <c r="AR404" s="5"/>
      <c r="AS404" s="22"/>
    </row>
    <row r="405" spans="1:45" hidden="1" x14ac:dyDescent="0.2">
      <c r="A405" s="233" t="s">
        <v>541</v>
      </c>
      <c r="B405" s="1036" t="s">
        <v>953</v>
      </c>
      <c r="C405" s="727"/>
      <c r="D405" s="1012">
        <f t="shared" ca="1" si="101"/>
        <v>2</v>
      </c>
      <c r="E405" s="250" t="str">
        <f t="shared" ca="1" si="102"/>
        <v>mech (B1)</v>
      </c>
      <c r="F405" s="396"/>
      <c r="G405" s="395" t="s">
        <v>70</v>
      </c>
      <c r="H405" s="408"/>
      <c r="I405" s="796">
        <v>-0.34</v>
      </c>
      <c r="J405" s="796">
        <v>0.11</v>
      </c>
      <c r="K405" s="796">
        <v>-0.55000000000000004</v>
      </c>
      <c r="L405" s="796">
        <v>0.27</v>
      </c>
      <c r="M405" s="796">
        <v>-0.39</v>
      </c>
      <c r="N405" s="796">
        <v>3</v>
      </c>
      <c r="O405" s="796">
        <v>-0.51</v>
      </c>
      <c r="P405" s="796">
        <v>-0.2</v>
      </c>
      <c r="Q405" s="796">
        <v>0.47</v>
      </c>
      <c r="R405" s="796">
        <v>3</v>
      </c>
      <c r="S405" s="796">
        <v>1.1499999999999999</v>
      </c>
      <c r="T405" s="797">
        <v>1.1499999999999999</v>
      </c>
      <c r="U405" s="529"/>
      <c r="V405" s="20"/>
      <c r="W405" s="596">
        <f t="shared" si="103"/>
        <v>-0.34343434343434348</v>
      </c>
      <c r="X405" s="596">
        <f t="shared" si="103"/>
        <v>0.10891089108910891</v>
      </c>
      <c r="Y405" s="596">
        <f t="shared" si="103"/>
        <v>-0.5</v>
      </c>
      <c r="Z405" s="596">
        <f t="shared" si="103"/>
        <v>0.28723404255319152</v>
      </c>
      <c r="AA405" s="596">
        <f t="shared" si="103"/>
        <v>-0.33333333333333337</v>
      </c>
      <c r="AB405" s="596">
        <f t="shared" si="103"/>
        <v>3.0927835051546393</v>
      </c>
      <c r="AC405" s="596">
        <f t="shared" si="103"/>
        <v>-0.42500000000000004</v>
      </c>
      <c r="AD405" s="596">
        <f t="shared" si="103"/>
        <v>-0.23255813953488375</v>
      </c>
      <c r="AE405" s="596">
        <f t="shared" si="103"/>
        <v>0.42727272727272719</v>
      </c>
      <c r="AF405" s="596">
        <f t="shared" si="103"/>
        <v>5.6603773584905657</v>
      </c>
      <c r="AG405" s="596">
        <f t="shared" si="103"/>
        <v>1.3690476190476191</v>
      </c>
      <c r="AH405" s="596">
        <f t="shared" si="103"/>
        <v>1.3690476190476191</v>
      </c>
      <c r="AI405" s="5"/>
      <c r="AJ405" s="5"/>
      <c r="AK405" s="5"/>
      <c r="AL405" s="5"/>
      <c r="AM405" s="5"/>
      <c r="AN405" s="5"/>
      <c r="AO405" s="5"/>
      <c r="AP405" s="5"/>
      <c r="AQ405" s="5"/>
      <c r="AR405" s="5"/>
      <c r="AS405" s="22"/>
    </row>
    <row r="406" spans="1:45" hidden="1" x14ac:dyDescent="0.2">
      <c r="A406" s="233" t="s">
        <v>541</v>
      </c>
      <c r="B406" s="1036" t="s">
        <v>953</v>
      </c>
      <c r="C406" s="727"/>
      <c r="D406" s="1012">
        <f t="shared" ca="1" si="101"/>
        <v>3</v>
      </c>
      <c r="E406" s="250" t="str">
        <f t="shared" ca="1" si="102"/>
        <v>mech (C1)</v>
      </c>
      <c r="F406" s="396"/>
      <c r="G406" s="395" t="s">
        <v>70</v>
      </c>
      <c r="H406" s="408"/>
      <c r="I406" s="798">
        <v>-0.01</v>
      </c>
      <c r="J406" s="798">
        <v>-0.01</v>
      </c>
      <c r="K406" s="798">
        <v>-0.27</v>
      </c>
      <c r="L406" s="798">
        <v>0.43</v>
      </c>
      <c r="M406" s="798">
        <v>-0.3</v>
      </c>
      <c r="N406" s="798">
        <v>3</v>
      </c>
      <c r="O406" s="798">
        <v>-0.51</v>
      </c>
      <c r="P406" s="798">
        <v>-0.28999999999999998</v>
      </c>
      <c r="Q406" s="798">
        <v>3</v>
      </c>
      <c r="R406" s="798">
        <v>2.99</v>
      </c>
      <c r="S406" s="796">
        <v>1.19</v>
      </c>
      <c r="T406" s="797">
        <v>1.19</v>
      </c>
      <c r="U406" s="529"/>
      <c r="V406" s="20"/>
      <c r="W406" s="596">
        <f t="shared" si="103"/>
        <v>-1.0101010101010102E-2</v>
      </c>
      <c r="X406" s="596">
        <f t="shared" si="103"/>
        <v>-9.9009900990099011E-3</v>
      </c>
      <c r="Y406" s="596">
        <f t="shared" si="103"/>
        <v>-0.24545454545454545</v>
      </c>
      <c r="Z406" s="596">
        <f t="shared" si="103"/>
        <v>0.45744680851063829</v>
      </c>
      <c r="AA406" s="596">
        <f t="shared" si="103"/>
        <v>-0.25641025641025644</v>
      </c>
      <c r="AB406" s="596">
        <f t="shared" si="103"/>
        <v>3.0927835051546393</v>
      </c>
      <c r="AC406" s="596">
        <f t="shared" si="103"/>
        <v>-0.42500000000000004</v>
      </c>
      <c r="AD406" s="596">
        <f t="shared" si="103"/>
        <v>-0.33720930232558138</v>
      </c>
      <c r="AE406" s="596">
        <f t="shared" si="103"/>
        <v>2.7272727272727271</v>
      </c>
      <c r="AF406" s="596">
        <f t="shared" si="103"/>
        <v>5.6415094339622645</v>
      </c>
      <c r="AG406" s="596">
        <f t="shared" si="103"/>
        <v>1.4166666666666667</v>
      </c>
      <c r="AH406" s="596">
        <f t="shared" si="103"/>
        <v>1.4166666666666667</v>
      </c>
      <c r="AI406" s="5"/>
      <c r="AJ406" s="5"/>
      <c r="AK406" s="5"/>
      <c r="AL406" s="5"/>
      <c r="AM406" s="5"/>
      <c r="AN406" s="5"/>
      <c r="AO406" s="5"/>
      <c r="AP406" s="5"/>
      <c r="AQ406" s="5"/>
      <c r="AR406" s="5"/>
      <c r="AS406" s="22"/>
    </row>
    <row r="407" spans="1:45" hidden="1" x14ac:dyDescent="0.2">
      <c r="A407" s="233" t="s">
        <v>541</v>
      </c>
      <c r="B407" s="1036" t="s">
        <v>953</v>
      </c>
      <c r="C407" s="727"/>
      <c r="D407" s="1012">
        <f t="shared" ca="1" si="101"/>
        <v>4</v>
      </c>
      <c r="E407" s="250" t="str">
        <f t="shared" ca="1" si="102"/>
        <v>mech - CO2 (C4c)</v>
      </c>
      <c r="F407" s="396"/>
      <c r="G407" s="395" t="s">
        <v>70</v>
      </c>
      <c r="H407" s="408"/>
      <c r="I407" s="796">
        <v>-0.11</v>
      </c>
      <c r="J407" s="796">
        <v>0.15</v>
      </c>
      <c r="K407" s="798">
        <v>-0.25</v>
      </c>
      <c r="L407" s="796">
        <v>0.37</v>
      </c>
      <c r="M407" s="796">
        <v>-0.45</v>
      </c>
      <c r="N407" s="798">
        <v>3</v>
      </c>
      <c r="O407" s="796">
        <v>-0.47</v>
      </c>
      <c r="P407" s="796">
        <v>0.18</v>
      </c>
      <c r="Q407" s="796">
        <v>3</v>
      </c>
      <c r="R407" s="796">
        <v>3</v>
      </c>
      <c r="S407" s="798">
        <v>1.0900000000000001</v>
      </c>
      <c r="T407" s="799">
        <v>1.0900000000000001</v>
      </c>
      <c r="U407" s="529"/>
      <c r="V407" s="20"/>
      <c r="W407" s="596">
        <f t="shared" si="103"/>
        <v>-0.11111111111111112</v>
      </c>
      <c r="X407" s="596">
        <f t="shared" si="103"/>
        <v>0.14851485148514851</v>
      </c>
      <c r="Y407" s="596">
        <f t="shared" si="103"/>
        <v>-0.22727272727272727</v>
      </c>
      <c r="Z407" s="596">
        <f t="shared" si="103"/>
        <v>0.39361702127659576</v>
      </c>
      <c r="AA407" s="596">
        <f t="shared" si="103"/>
        <v>-0.38461538461538464</v>
      </c>
      <c r="AB407" s="596">
        <f t="shared" si="103"/>
        <v>3.0927835051546393</v>
      </c>
      <c r="AC407" s="596">
        <f t="shared" si="103"/>
        <v>-0.39166666666666666</v>
      </c>
      <c r="AD407" s="596">
        <f t="shared" si="103"/>
        <v>0.20930232558139533</v>
      </c>
      <c r="AE407" s="596">
        <f t="shared" si="103"/>
        <v>2.7272727272727271</v>
      </c>
      <c r="AF407" s="596">
        <f t="shared" si="103"/>
        <v>5.6603773584905657</v>
      </c>
      <c r="AG407" s="596">
        <f t="shared" si="103"/>
        <v>1.2976190476190477</v>
      </c>
      <c r="AH407" s="596">
        <f t="shared" si="103"/>
        <v>1.2976190476190477</v>
      </c>
      <c r="AI407" s="5"/>
      <c r="AJ407" s="5"/>
      <c r="AK407" s="5"/>
      <c r="AL407" s="5"/>
      <c r="AM407" s="5"/>
      <c r="AN407" s="5"/>
      <c r="AO407" s="5"/>
      <c r="AP407" s="5"/>
      <c r="AQ407" s="5"/>
      <c r="AR407" s="5"/>
      <c r="AS407" s="22"/>
    </row>
    <row r="408" spans="1:45" hidden="1" x14ac:dyDescent="0.2">
      <c r="A408" s="233" t="s">
        <v>541</v>
      </c>
      <c r="B408" s="1036" t="s">
        <v>953</v>
      </c>
      <c r="C408" s="727"/>
      <c r="D408" s="1012">
        <f t="shared" ca="1" si="101"/>
        <v>5</v>
      </c>
      <c r="E408" s="250" t="str">
        <f t="shared" ca="1" si="102"/>
        <v>balans (D1)</v>
      </c>
      <c r="F408" s="396"/>
      <c r="G408" s="395" t="s">
        <v>70</v>
      </c>
      <c r="H408" s="408"/>
      <c r="I408" s="796">
        <v>-0.04</v>
      </c>
      <c r="J408" s="796">
        <v>0.11</v>
      </c>
      <c r="K408" s="796">
        <v>-0.17</v>
      </c>
      <c r="L408" s="796">
        <v>0.47</v>
      </c>
      <c r="M408" s="796">
        <v>-0.5</v>
      </c>
      <c r="N408" s="796">
        <v>2.99</v>
      </c>
      <c r="O408" s="796">
        <v>-0.38</v>
      </c>
      <c r="P408" s="796">
        <v>0.19</v>
      </c>
      <c r="Q408" s="796">
        <v>0.52</v>
      </c>
      <c r="R408" s="796">
        <v>-0.34</v>
      </c>
      <c r="S408" s="796">
        <v>1.04</v>
      </c>
      <c r="T408" s="797">
        <v>1.04</v>
      </c>
      <c r="U408" s="529"/>
      <c r="V408" s="20"/>
      <c r="W408" s="596">
        <f t="shared" si="103"/>
        <v>-4.0404040404040407E-2</v>
      </c>
      <c r="X408" s="596">
        <f t="shared" si="103"/>
        <v>0.10891089108910891</v>
      </c>
      <c r="Y408" s="596">
        <f t="shared" si="103"/>
        <v>-0.15454545454545454</v>
      </c>
      <c r="Z408" s="596">
        <f t="shared" si="103"/>
        <v>0.5</v>
      </c>
      <c r="AA408" s="596">
        <f t="shared" si="103"/>
        <v>-0.42735042735042739</v>
      </c>
      <c r="AB408" s="596">
        <f t="shared" si="103"/>
        <v>3.0824742268041239</v>
      </c>
      <c r="AC408" s="596">
        <f t="shared" si="103"/>
        <v>-0.31666666666666671</v>
      </c>
      <c r="AD408" s="596">
        <f t="shared" si="103"/>
        <v>0.22093023255813954</v>
      </c>
      <c r="AE408" s="596">
        <f t="shared" si="103"/>
        <v>0.47272727272727272</v>
      </c>
      <c r="AF408" s="596">
        <f t="shared" si="103"/>
        <v>-0.64150943396226412</v>
      </c>
      <c r="AG408" s="596">
        <f t="shared" si="103"/>
        <v>1.2380952380952381</v>
      </c>
      <c r="AH408" s="596">
        <f t="shared" si="103"/>
        <v>1.2380952380952381</v>
      </c>
      <c r="AI408" s="5"/>
      <c r="AJ408" s="5"/>
      <c r="AK408" s="5"/>
      <c r="AL408" s="5"/>
      <c r="AM408" s="5"/>
      <c r="AN408" s="5"/>
      <c r="AO408" s="5"/>
      <c r="AP408" s="5"/>
      <c r="AQ408" s="5"/>
      <c r="AR408" s="5"/>
      <c r="AS408" s="22"/>
    </row>
    <row r="409" spans="1:45" hidden="1" x14ac:dyDescent="0.2">
      <c r="B409" s="1036" t="s">
        <v>953</v>
      </c>
      <c r="C409" s="727"/>
      <c r="D409" s="1012">
        <f t="shared" ca="1" si="101"/>
        <v>6</v>
      </c>
      <c r="E409" s="250" t="str">
        <f t="shared" ca="1" si="102"/>
        <v>balans CO2 (D5a)</v>
      </c>
      <c r="F409" s="396"/>
      <c r="G409" s="395"/>
      <c r="H409" s="408"/>
      <c r="I409" s="407">
        <v>-0.04</v>
      </c>
      <c r="J409" s="407">
        <v>0.13</v>
      </c>
      <c r="K409" s="407">
        <v>-0.15</v>
      </c>
      <c r="L409" s="407">
        <v>0.46</v>
      </c>
      <c r="M409" s="407">
        <v>-0.47</v>
      </c>
      <c r="N409" s="407">
        <v>3</v>
      </c>
      <c r="O409" s="407">
        <v>-0.45</v>
      </c>
      <c r="P409" s="407">
        <v>0.17</v>
      </c>
      <c r="Q409" s="407">
        <v>0.33</v>
      </c>
      <c r="R409" s="407">
        <v>-0.37</v>
      </c>
      <c r="S409" s="407">
        <v>1.01</v>
      </c>
      <c r="T409" s="546">
        <v>1.01</v>
      </c>
      <c r="U409" s="529"/>
      <c r="V409" s="20"/>
      <c r="W409" s="795"/>
      <c r="X409" s="795"/>
      <c r="Y409" s="795"/>
      <c r="Z409" s="795"/>
      <c r="AA409" s="795"/>
      <c r="AB409" s="795"/>
      <c r="AC409" s="795"/>
      <c r="AD409" s="795"/>
      <c r="AE409" s="795"/>
      <c r="AF409" s="795"/>
      <c r="AG409" s="795"/>
      <c r="AH409" s="795"/>
      <c r="AI409" s="5"/>
      <c r="AJ409" s="5"/>
      <c r="AK409" s="5"/>
      <c r="AL409" s="5"/>
      <c r="AM409" s="5"/>
      <c r="AN409" s="5"/>
      <c r="AO409" s="5"/>
      <c r="AP409" s="5"/>
      <c r="AQ409" s="5"/>
      <c r="AR409" s="5"/>
      <c r="AS409" s="22"/>
    </row>
    <row r="410" spans="1:45" ht="18.75" hidden="1" x14ac:dyDescent="0.2">
      <c r="B410" s="1036" t="s">
        <v>953</v>
      </c>
      <c r="C410" s="727"/>
      <c r="D410" s="1012"/>
      <c r="E410" s="403" t="s">
        <v>960</v>
      </c>
      <c r="F410" s="404"/>
      <c r="G410" s="405"/>
      <c r="H410" s="406"/>
      <c r="I410" s="800"/>
      <c r="J410" s="800"/>
      <c r="K410" s="800"/>
      <c r="L410" s="800"/>
      <c r="M410" s="800"/>
      <c r="N410" s="800"/>
      <c r="O410" s="800"/>
      <c r="P410" s="800"/>
      <c r="Q410" s="800"/>
      <c r="R410" s="800"/>
      <c r="S410" s="800"/>
      <c r="T410" s="800"/>
      <c r="U410" s="406"/>
      <c r="V410" s="20"/>
      <c r="W410" s="16"/>
      <c r="X410" s="16"/>
      <c r="Y410" s="16"/>
      <c r="Z410" s="16"/>
      <c r="AA410" s="16"/>
      <c r="AB410" s="16"/>
      <c r="AC410" s="16"/>
      <c r="AD410" s="16"/>
      <c r="AE410" s="16"/>
      <c r="AF410" s="16"/>
      <c r="AG410" s="16"/>
      <c r="AH410" s="16"/>
      <c r="AI410" s="5"/>
      <c r="AJ410" s="5"/>
      <c r="AK410" s="5"/>
      <c r="AL410" s="5"/>
      <c r="AM410" s="5"/>
      <c r="AN410" s="5"/>
      <c r="AO410" s="5"/>
      <c r="AP410" s="5"/>
      <c r="AQ410" s="5"/>
      <c r="AR410" s="5"/>
      <c r="AS410" s="22"/>
    </row>
    <row r="411" spans="1:45" hidden="1" x14ac:dyDescent="0.2">
      <c r="B411" s="1036" t="s">
        <v>953</v>
      </c>
      <c r="C411" s="727"/>
      <c r="D411" s="1012">
        <f t="shared" ref="D411:D416" ca="1" si="104">OFFSET(D411,-1,0)+1</f>
        <v>1</v>
      </c>
      <c r="E411" s="250" t="str">
        <f t="shared" ref="E411:E416" ca="1" si="105">INDEX(ventilatiesystemen_namen,D411)</f>
        <v>natuurlijk (A)</v>
      </c>
      <c r="F411" s="396"/>
      <c r="G411" s="395" t="s">
        <v>70</v>
      </c>
      <c r="H411" s="408"/>
      <c r="I411" s="796">
        <v>-1.3</v>
      </c>
      <c r="J411" s="796">
        <v>-3</v>
      </c>
      <c r="K411" s="796">
        <v>1.58</v>
      </c>
      <c r="L411" s="796">
        <v>-0.25</v>
      </c>
      <c r="M411" s="796">
        <v>0.57999999999999996</v>
      </c>
      <c r="N411" s="796">
        <v>0.72</v>
      </c>
      <c r="O411" s="796">
        <v>1.5</v>
      </c>
      <c r="P411" s="796">
        <v>1.88</v>
      </c>
      <c r="Q411" s="796">
        <v>3</v>
      </c>
      <c r="R411" s="798">
        <v>0.67</v>
      </c>
      <c r="S411" s="796">
        <v>0.77</v>
      </c>
      <c r="T411" s="797">
        <v>0.77</v>
      </c>
      <c r="U411" s="529"/>
      <c r="V411" s="20"/>
      <c r="W411" s="596">
        <f t="shared" ref="W411:AH415" si="106">IFERROR(I411/I$355,"")</f>
        <v>-1.3131313131313131</v>
      </c>
      <c r="X411" s="596">
        <f t="shared" si="106"/>
        <v>-2.9702970297029703</v>
      </c>
      <c r="Y411" s="596">
        <f t="shared" si="106"/>
        <v>1.4363636363636363</v>
      </c>
      <c r="Z411" s="596">
        <f t="shared" si="106"/>
        <v>-0.26595744680851063</v>
      </c>
      <c r="AA411" s="596">
        <f t="shared" si="106"/>
        <v>0.49572649572649574</v>
      </c>
      <c r="AB411" s="596">
        <f t="shared" si="106"/>
        <v>0.74226804123711343</v>
      </c>
      <c r="AC411" s="596">
        <f t="shared" si="106"/>
        <v>1.25</v>
      </c>
      <c r="AD411" s="596">
        <f t="shared" si="106"/>
        <v>2.1860465116279069</v>
      </c>
      <c r="AE411" s="596">
        <f t="shared" si="106"/>
        <v>2.7272727272727271</v>
      </c>
      <c r="AF411" s="597">
        <f t="shared" si="106"/>
        <v>1.2641509433962264</v>
      </c>
      <c r="AG411" s="596">
        <f t="shared" si="106"/>
        <v>0.91666666666666674</v>
      </c>
      <c r="AH411" s="596">
        <f t="shared" si="106"/>
        <v>0.91666666666666674</v>
      </c>
      <c r="AI411" s="5"/>
      <c r="AJ411" s="5"/>
      <c r="AK411" s="5"/>
      <c r="AL411" s="5"/>
      <c r="AM411" s="5"/>
      <c r="AN411" s="5"/>
      <c r="AO411" s="5"/>
      <c r="AP411" s="5"/>
      <c r="AQ411" s="5"/>
      <c r="AR411" s="5"/>
      <c r="AS411" s="22"/>
    </row>
    <row r="412" spans="1:45" hidden="1" x14ac:dyDescent="0.2">
      <c r="A412" s="233" t="s">
        <v>541</v>
      </c>
      <c r="B412" s="1036" t="s">
        <v>953</v>
      </c>
      <c r="C412" s="727"/>
      <c r="D412" s="1012">
        <f t="shared" ca="1" si="104"/>
        <v>2</v>
      </c>
      <c r="E412" s="250" t="str">
        <f t="shared" ca="1" si="105"/>
        <v>mech (B1)</v>
      </c>
      <c r="F412" s="396"/>
      <c r="G412" s="395" t="s">
        <v>70</v>
      </c>
      <c r="H412" s="408"/>
      <c r="I412" s="796">
        <v>3</v>
      </c>
      <c r="J412" s="796">
        <v>-3</v>
      </c>
      <c r="K412" s="796">
        <v>1.82</v>
      </c>
      <c r="L412" s="796">
        <v>-0.33</v>
      </c>
      <c r="M412" s="796">
        <v>0.25</v>
      </c>
      <c r="N412" s="796">
        <v>0.78</v>
      </c>
      <c r="O412" s="796">
        <v>1.5</v>
      </c>
      <c r="P412" s="796">
        <v>1.78</v>
      </c>
      <c r="Q412" s="796">
        <v>3</v>
      </c>
      <c r="R412" s="796">
        <v>0.83</v>
      </c>
      <c r="S412" s="796">
        <v>0.72</v>
      </c>
      <c r="T412" s="797">
        <v>0.72</v>
      </c>
      <c r="U412" s="529"/>
      <c r="V412" s="20"/>
      <c r="W412" s="596">
        <f t="shared" si="106"/>
        <v>3.0303030303030303</v>
      </c>
      <c r="X412" s="596">
        <f t="shared" si="106"/>
        <v>-2.9702970297029703</v>
      </c>
      <c r="Y412" s="596">
        <f t="shared" si="106"/>
        <v>1.6545454545454545</v>
      </c>
      <c r="Z412" s="596">
        <f t="shared" si="106"/>
        <v>-0.35106382978723411</v>
      </c>
      <c r="AA412" s="596">
        <f t="shared" si="106"/>
        <v>0.21367521367521369</v>
      </c>
      <c r="AB412" s="596">
        <f t="shared" si="106"/>
        <v>0.80412371134020622</v>
      </c>
      <c r="AC412" s="596">
        <f t="shared" si="106"/>
        <v>1.25</v>
      </c>
      <c r="AD412" s="596">
        <f t="shared" si="106"/>
        <v>2.0697674418604652</v>
      </c>
      <c r="AE412" s="596">
        <f t="shared" si="106"/>
        <v>2.7272727272727271</v>
      </c>
      <c r="AF412" s="596">
        <f t="shared" si="106"/>
        <v>1.5660377358490565</v>
      </c>
      <c r="AG412" s="596">
        <f t="shared" si="106"/>
        <v>0.8571428571428571</v>
      </c>
      <c r="AH412" s="596">
        <f t="shared" si="106"/>
        <v>0.8571428571428571</v>
      </c>
      <c r="AI412" s="5"/>
      <c r="AJ412" s="5"/>
      <c r="AK412" s="5"/>
      <c r="AL412" s="5"/>
      <c r="AM412" s="5"/>
      <c r="AN412" s="5"/>
      <c r="AO412" s="5"/>
      <c r="AP412" s="5"/>
      <c r="AQ412" s="5"/>
      <c r="AR412" s="5"/>
      <c r="AS412" s="22"/>
    </row>
    <row r="413" spans="1:45" hidden="1" x14ac:dyDescent="0.2">
      <c r="A413" s="233" t="s">
        <v>541</v>
      </c>
      <c r="B413" s="1036" t="s">
        <v>953</v>
      </c>
      <c r="C413" s="727"/>
      <c r="D413" s="1012">
        <f t="shared" ca="1" si="104"/>
        <v>3</v>
      </c>
      <c r="E413" s="250" t="str">
        <f t="shared" ca="1" si="105"/>
        <v>mech (C1)</v>
      </c>
      <c r="F413" s="396"/>
      <c r="G413" s="395" t="s">
        <v>70</v>
      </c>
      <c r="H413" s="408"/>
      <c r="I413" s="798">
        <v>-1.19</v>
      </c>
      <c r="J413" s="798">
        <v>2.99</v>
      </c>
      <c r="K413" s="798">
        <v>-0.21</v>
      </c>
      <c r="L413" s="798">
        <v>0.14000000000000001</v>
      </c>
      <c r="M413" s="798">
        <v>1.25</v>
      </c>
      <c r="N413" s="798">
        <v>1.2</v>
      </c>
      <c r="O413" s="798">
        <v>1.6</v>
      </c>
      <c r="P413" s="798">
        <v>2.21</v>
      </c>
      <c r="Q413" s="798">
        <v>3</v>
      </c>
      <c r="R413" s="798">
        <v>2.99</v>
      </c>
      <c r="S413" s="796">
        <v>0.78</v>
      </c>
      <c r="T413" s="797">
        <v>0.78</v>
      </c>
      <c r="U413" s="529"/>
      <c r="V413" s="20"/>
      <c r="W413" s="596">
        <f t="shared" si="106"/>
        <v>-1.202020202020202</v>
      </c>
      <c r="X413" s="596">
        <f t="shared" si="106"/>
        <v>2.9603960396039604</v>
      </c>
      <c r="Y413" s="596">
        <f t="shared" si="106"/>
        <v>-0.19090909090909089</v>
      </c>
      <c r="Z413" s="596">
        <f t="shared" si="106"/>
        <v>0.14893617021276598</v>
      </c>
      <c r="AA413" s="596">
        <f t="shared" si="106"/>
        <v>1.0683760683760684</v>
      </c>
      <c r="AB413" s="596">
        <f t="shared" si="106"/>
        <v>1.2371134020618557</v>
      </c>
      <c r="AC413" s="596">
        <f t="shared" si="106"/>
        <v>1.3333333333333335</v>
      </c>
      <c r="AD413" s="596">
        <f t="shared" si="106"/>
        <v>2.5697674418604652</v>
      </c>
      <c r="AE413" s="596">
        <f t="shared" si="106"/>
        <v>2.7272727272727271</v>
      </c>
      <c r="AF413" s="596">
        <f t="shared" si="106"/>
        <v>5.6415094339622645</v>
      </c>
      <c r="AG413" s="596">
        <f t="shared" si="106"/>
        <v>0.9285714285714286</v>
      </c>
      <c r="AH413" s="596">
        <f t="shared" si="106"/>
        <v>0.9285714285714286</v>
      </c>
      <c r="AI413" s="5"/>
      <c r="AJ413" s="5"/>
      <c r="AK413" s="5"/>
      <c r="AL413" s="5"/>
      <c r="AM413" s="5"/>
      <c r="AN413" s="5"/>
      <c r="AO413" s="5"/>
      <c r="AP413" s="5"/>
      <c r="AQ413" s="5"/>
      <c r="AR413" s="5"/>
      <c r="AS413" s="22"/>
    </row>
    <row r="414" spans="1:45" hidden="1" x14ac:dyDescent="0.2">
      <c r="A414" s="233" t="s">
        <v>541</v>
      </c>
      <c r="B414" s="1036" t="s">
        <v>953</v>
      </c>
      <c r="C414" s="727"/>
      <c r="D414" s="1012">
        <f t="shared" ca="1" si="104"/>
        <v>4</v>
      </c>
      <c r="E414" s="250" t="str">
        <f t="shared" ca="1" si="105"/>
        <v>mech - CO2 (C4c)</v>
      </c>
      <c r="F414" s="396"/>
      <c r="G414" s="395" t="s">
        <v>70</v>
      </c>
      <c r="H414" s="408"/>
      <c r="I414" s="796">
        <v>-1.0900000000000001</v>
      </c>
      <c r="J414" s="796">
        <v>-3</v>
      </c>
      <c r="K414" s="798">
        <v>1.25</v>
      </c>
      <c r="L414" s="796">
        <v>-0.4</v>
      </c>
      <c r="M414" s="796">
        <v>0.2</v>
      </c>
      <c r="N414" s="798">
        <v>0.88</v>
      </c>
      <c r="O414" s="796">
        <v>1.5</v>
      </c>
      <c r="P414" s="796">
        <v>-2.17</v>
      </c>
      <c r="Q414" s="796">
        <v>3</v>
      </c>
      <c r="R414" s="796">
        <v>0.75</v>
      </c>
      <c r="S414" s="798">
        <v>0.62</v>
      </c>
      <c r="T414" s="799">
        <v>0.62</v>
      </c>
      <c r="U414" s="529"/>
      <c r="V414" s="20"/>
      <c r="W414" s="596">
        <f t="shared" si="106"/>
        <v>-1.101010101010101</v>
      </c>
      <c r="X414" s="596">
        <f t="shared" si="106"/>
        <v>-2.9702970297029703</v>
      </c>
      <c r="Y414" s="596">
        <f t="shared" si="106"/>
        <v>1.1363636363636362</v>
      </c>
      <c r="Z414" s="596">
        <f t="shared" si="106"/>
        <v>-0.42553191489361708</v>
      </c>
      <c r="AA414" s="596">
        <f t="shared" si="106"/>
        <v>0.17094017094017097</v>
      </c>
      <c r="AB414" s="596">
        <f t="shared" si="106"/>
        <v>0.90721649484536082</v>
      </c>
      <c r="AC414" s="596">
        <f t="shared" si="106"/>
        <v>1.25</v>
      </c>
      <c r="AD414" s="596">
        <f t="shared" si="106"/>
        <v>-2.5232558139534884</v>
      </c>
      <c r="AE414" s="596">
        <f t="shared" si="106"/>
        <v>2.7272727272727271</v>
      </c>
      <c r="AF414" s="596">
        <f t="shared" si="106"/>
        <v>1.4150943396226414</v>
      </c>
      <c r="AG414" s="596">
        <f t="shared" si="106"/>
        <v>0.73809523809523814</v>
      </c>
      <c r="AH414" s="596">
        <f t="shared" si="106"/>
        <v>0.73809523809523814</v>
      </c>
      <c r="AI414" s="5"/>
      <c r="AJ414" s="5"/>
      <c r="AK414" s="5"/>
      <c r="AL414" s="5"/>
      <c r="AM414" s="5"/>
      <c r="AN414" s="5"/>
      <c r="AO414" s="5"/>
      <c r="AP414" s="5"/>
      <c r="AQ414" s="5"/>
      <c r="AR414" s="5"/>
      <c r="AS414" s="22"/>
    </row>
    <row r="415" spans="1:45" hidden="1" x14ac:dyDescent="0.2">
      <c r="A415" s="233" t="s">
        <v>541</v>
      </c>
      <c r="B415" s="1036" t="s">
        <v>953</v>
      </c>
      <c r="C415" s="727"/>
      <c r="D415" s="1012">
        <f t="shared" ca="1" si="104"/>
        <v>5</v>
      </c>
      <c r="E415" s="250" t="str">
        <f t="shared" ca="1" si="105"/>
        <v>balans (D1)</v>
      </c>
      <c r="F415" s="396"/>
      <c r="G415" s="395" t="s">
        <v>70</v>
      </c>
      <c r="H415" s="408"/>
      <c r="I415" s="796">
        <v>-1.1599999999999999</v>
      </c>
      <c r="J415" s="796">
        <v>-3</v>
      </c>
      <c r="K415" s="796">
        <v>1</v>
      </c>
      <c r="L415" s="796">
        <v>-0.99</v>
      </c>
      <c r="M415" s="796">
        <v>-0.35</v>
      </c>
      <c r="N415" s="796">
        <v>0.64</v>
      </c>
      <c r="O415" s="796">
        <v>1.5</v>
      </c>
      <c r="P415" s="796">
        <v>-1.88</v>
      </c>
      <c r="Q415" s="796">
        <v>3</v>
      </c>
      <c r="R415" s="796">
        <v>-3</v>
      </c>
      <c r="S415" s="796">
        <v>0.47</v>
      </c>
      <c r="T415" s="797">
        <v>0.47</v>
      </c>
      <c r="U415" s="529"/>
      <c r="V415" s="20"/>
      <c r="W415" s="596">
        <f t="shared" si="106"/>
        <v>-1.1717171717171717</v>
      </c>
      <c r="X415" s="596">
        <f t="shared" si="106"/>
        <v>-2.9702970297029703</v>
      </c>
      <c r="Y415" s="596">
        <f t="shared" si="106"/>
        <v>0.90909090909090906</v>
      </c>
      <c r="Z415" s="596">
        <f t="shared" si="106"/>
        <v>-1.0531914893617023</v>
      </c>
      <c r="AA415" s="596">
        <f t="shared" si="106"/>
        <v>-0.29914529914529914</v>
      </c>
      <c r="AB415" s="596">
        <f t="shared" si="106"/>
        <v>0.65979381443298968</v>
      </c>
      <c r="AC415" s="596">
        <f t="shared" si="106"/>
        <v>1.25</v>
      </c>
      <c r="AD415" s="596">
        <f t="shared" si="106"/>
        <v>-2.1860465116279069</v>
      </c>
      <c r="AE415" s="596">
        <f t="shared" si="106"/>
        <v>2.7272727272727271</v>
      </c>
      <c r="AF415" s="596">
        <f t="shared" si="106"/>
        <v>-5.6603773584905657</v>
      </c>
      <c r="AG415" s="596">
        <f t="shared" si="106"/>
        <v>0.55952380952380953</v>
      </c>
      <c r="AH415" s="596">
        <f t="shared" si="106"/>
        <v>0.55952380952380953</v>
      </c>
      <c r="AI415" s="5"/>
      <c r="AJ415" s="5"/>
      <c r="AK415" s="5"/>
      <c r="AL415" s="5"/>
      <c r="AM415" s="5"/>
      <c r="AN415" s="5"/>
      <c r="AO415" s="5"/>
      <c r="AP415" s="5"/>
      <c r="AQ415" s="5"/>
      <c r="AR415" s="5"/>
      <c r="AS415" s="22"/>
    </row>
    <row r="416" spans="1:45" hidden="1" x14ac:dyDescent="0.2">
      <c r="B416" s="1036" t="s">
        <v>953</v>
      </c>
      <c r="C416" s="727"/>
      <c r="D416" s="1012">
        <f t="shared" ca="1" si="104"/>
        <v>6</v>
      </c>
      <c r="E416" s="250" t="str">
        <f t="shared" ca="1" si="105"/>
        <v>balans CO2 (D5a)</v>
      </c>
      <c r="F416" s="396"/>
      <c r="G416" s="395"/>
      <c r="H416" s="408"/>
      <c r="I416" s="407">
        <v>-1.1599999999999999</v>
      </c>
      <c r="J416" s="407">
        <v>-3</v>
      </c>
      <c r="K416" s="407">
        <v>1</v>
      </c>
      <c r="L416" s="407">
        <v>-1.01</v>
      </c>
      <c r="M416" s="407">
        <v>-0.2</v>
      </c>
      <c r="N416" s="407">
        <v>0.55000000000000004</v>
      </c>
      <c r="O416" s="407">
        <v>1.55</v>
      </c>
      <c r="P416" s="407">
        <v>-1.92</v>
      </c>
      <c r="Q416" s="407">
        <v>3</v>
      </c>
      <c r="R416" s="407">
        <v>-3</v>
      </c>
      <c r="S416" s="407">
        <v>0.42</v>
      </c>
      <c r="T416" s="546">
        <v>0.42</v>
      </c>
      <c r="U416" s="529"/>
      <c r="V416" s="20"/>
      <c r="W416" s="795"/>
      <c r="X416" s="795"/>
      <c r="Y416" s="795"/>
      <c r="Z416" s="795"/>
      <c r="AA416" s="795"/>
      <c r="AB416" s="795"/>
      <c r="AC416" s="795"/>
      <c r="AD416" s="795"/>
      <c r="AE416" s="795"/>
      <c r="AF416" s="795"/>
      <c r="AG416" s="795"/>
      <c r="AH416" s="795"/>
      <c r="AI416" s="5"/>
      <c r="AJ416" s="5"/>
      <c r="AK416" s="5"/>
      <c r="AL416" s="5"/>
      <c r="AM416" s="5"/>
      <c r="AN416" s="5"/>
      <c r="AO416" s="5"/>
      <c r="AP416" s="5"/>
      <c r="AQ416" s="5"/>
      <c r="AR416" s="5"/>
      <c r="AS416" s="22"/>
    </row>
    <row r="417" spans="1:45" ht="18.75" hidden="1" x14ac:dyDescent="0.2">
      <c r="B417" s="1036" t="s">
        <v>953</v>
      </c>
      <c r="C417" s="727"/>
      <c r="D417" s="1012"/>
      <c r="E417" s="403" t="s">
        <v>961</v>
      </c>
      <c r="F417" s="404"/>
      <c r="G417" s="405"/>
      <c r="H417" s="406"/>
      <c r="I417" s="800"/>
      <c r="J417" s="800"/>
      <c r="K417" s="800"/>
      <c r="L417" s="800"/>
      <c r="M417" s="800"/>
      <c r="N417" s="800"/>
      <c r="O417" s="800"/>
      <c r="P417" s="800"/>
      <c r="Q417" s="800"/>
      <c r="R417" s="800"/>
      <c r="S417" s="800"/>
      <c r="T417" s="800"/>
      <c r="U417" s="406"/>
      <c r="V417" s="20"/>
      <c r="W417" s="16"/>
      <c r="X417" s="16"/>
      <c r="Y417" s="16"/>
      <c r="Z417" s="16"/>
      <c r="AA417" s="16"/>
      <c r="AB417" s="16"/>
      <c r="AC417" s="16"/>
      <c r="AD417" s="16"/>
      <c r="AE417" s="16"/>
      <c r="AF417" s="16"/>
      <c r="AG417" s="16"/>
      <c r="AH417" s="16"/>
      <c r="AI417" s="5"/>
      <c r="AJ417" s="5"/>
      <c r="AK417" s="5"/>
      <c r="AL417" s="5"/>
      <c r="AM417" s="5"/>
      <c r="AN417" s="5"/>
      <c r="AO417" s="5"/>
      <c r="AP417" s="5"/>
      <c r="AQ417" s="5"/>
      <c r="AR417" s="5"/>
      <c r="AS417" s="22"/>
    </row>
    <row r="418" spans="1:45" hidden="1" x14ac:dyDescent="0.2">
      <c r="B418" s="1036" t="s">
        <v>953</v>
      </c>
      <c r="C418" s="727"/>
      <c r="D418" s="1012">
        <f t="shared" ref="D418:D423" ca="1" si="107">OFFSET(D418,-1,0)+1</f>
        <v>1</v>
      </c>
      <c r="E418" s="250" t="str">
        <f t="shared" ref="E418:E423" ca="1" si="108">INDEX(ventilatiesystemen_namen,D418)</f>
        <v>natuurlijk (A)</v>
      </c>
      <c r="F418" s="396"/>
      <c r="G418" s="395" t="s">
        <v>70</v>
      </c>
      <c r="H418" s="408"/>
      <c r="I418" s="796">
        <v>-0.46</v>
      </c>
      <c r="J418" s="796">
        <v>-0.46</v>
      </c>
      <c r="K418" s="796">
        <v>-0.08</v>
      </c>
      <c r="L418" s="796">
        <v>0.28999999999999998</v>
      </c>
      <c r="M418" s="796">
        <v>-0.55000000000000004</v>
      </c>
      <c r="N418" s="796">
        <v>3</v>
      </c>
      <c r="O418" s="796">
        <v>-0.44</v>
      </c>
      <c r="P418" s="796">
        <v>-0.15</v>
      </c>
      <c r="Q418" s="796">
        <v>-0.34</v>
      </c>
      <c r="R418" s="798">
        <v>-0.08</v>
      </c>
      <c r="S418" s="796">
        <v>3</v>
      </c>
      <c r="T418" s="797">
        <v>3</v>
      </c>
      <c r="U418" s="529"/>
      <c r="V418" s="20"/>
      <c r="W418" s="596">
        <f t="shared" ref="W418:AH422" si="109">IFERROR(I418/I$355,"")</f>
        <v>-0.4646464646464647</v>
      </c>
      <c r="X418" s="596">
        <f t="shared" si="109"/>
        <v>-0.45544554455445546</v>
      </c>
      <c r="Y418" s="596">
        <f t="shared" si="109"/>
        <v>-7.2727272727272724E-2</v>
      </c>
      <c r="Z418" s="596">
        <f t="shared" si="109"/>
        <v>0.30851063829787234</v>
      </c>
      <c r="AA418" s="596">
        <f t="shared" si="109"/>
        <v>-0.47008547008547014</v>
      </c>
      <c r="AB418" s="596">
        <f t="shared" si="109"/>
        <v>3.0927835051546393</v>
      </c>
      <c r="AC418" s="596">
        <f t="shared" si="109"/>
        <v>-0.3666666666666667</v>
      </c>
      <c r="AD418" s="596">
        <f t="shared" si="109"/>
        <v>-0.1744186046511628</v>
      </c>
      <c r="AE418" s="596">
        <f t="shared" si="109"/>
        <v>-0.30909090909090908</v>
      </c>
      <c r="AF418" s="597">
        <f t="shared" si="109"/>
        <v>-0.15094339622641509</v>
      </c>
      <c r="AG418" s="596">
        <f t="shared" si="109"/>
        <v>3.5714285714285716</v>
      </c>
      <c r="AH418" s="596">
        <f t="shared" si="109"/>
        <v>3.5714285714285716</v>
      </c>
      <c r="AI418" s="5"/>
      <c r="AJ418" s="5"/>
      <c r="AK418" s="5"/>
      <c r="AL418" s="5"/>
      <c r="AM418" s="5"/>
      <c r="AN418" s="5"/>
      <c r="AO418" s="5"/>
      <c r="AP418" s="5"/>
      <c r="AQ418" s="5"/>
      <c r="AR418" s="5"/>
      <c r="AS418" s="22"/>
    </row>
    <row r="419" spans="1:45" hidden="1" x14ac:dyDescent="0.2">
      <c r="A419" s="233" t="s">
        <v>541</v>
      </c>
      <c r="B419" s="1036" t="s">
        <v>953</v>
      </c>
      <c r="C419" s="727"/>
      <c r="D419" s="1012">
        <f t="shared" ca="1" si="107"/>
        <v>2</v>
      </c>
      <c r="E419" s="250" t="str">
        <f t="shared" ca="1" si="108"/>
        <v>mech (B1)</v>
      </c>
      <c r="F419" s="396"/>
      <c r="G419" s="395" t="s">
        <v>70</v>
      </c>
      <c r="H419" s="408"/>
      <c r="I419" s="796">
        <v>-0.39</v>
      </c>
      <c r="J419" s="796">
        <v>-0.57999999999999996</v>
      </c>
      <c r="K419" s="796">
        <v>-1.08</v>
      </c>
      <c r="L419" s="796">
        <v>2.99</v>
      </c>
      <c r="M419" s="796">
        <v>-0.57999999999999996</v>
      </c>
      <c r="N419" s="796">
        <v>1.19</v>
      </c>
      <c r="O419" s="796">
        <v>-0.49</v>
      </c>
      <c r="P419" s="796">
        <v>-0.46</v>
      </c>
      <c r="Q419" s="796">
        <v>-0.41</v>
      </c>
      <c r="R419" s="796">
        <v>-0.32</v>
      </c>
      <c r="S419" s="796">
        <v>0.48</v>
      </c>
      <c r="T419" s="797">
        <v>0.48</v>
      </c>
      <c r="U419" s="529"/>
      <c r="V419" s="20"/>
      <c r="W419" s="596">
        <f t="shared" si="109"/>
        <v>-0.39393939393939398</v>
      </c>
      <c r="X419" s="596">
        <f t="shared" si="109"/>
        <v>-0.57425742574257421</v>
      </c>
      <c r="Y419" s="596">
        <f t="shared" si="109"/>
        <v>-0.98181818181818181</v>
      </c>
      <c r="Z419" s="596">
        <f t="shared" si="109"/>
        <v>3.1808510638297878</v>
      </c>
      <c r="AA419" s="596">
        <f t="shared" si="109"/>
        <v>-0.49572649572649574</v>
      </c>
      <c r="AB419" s="596">
        <f t="shared" si="109"/>
        <v>1.2268041237113403</v>
      </c>
      <c r="AC419" s="596">
        <f t="shared" si="109"/>
        <v>-0.40833333333333333</v>
      </c>
      <c r="AD419" s="596">
        <f t="shared" si="109"/>
        <v>-0.53488372093023262</v>
      </c>
      <c r="AE419" s="596">
        <f t="shared" si="109"/>
        <v>-0.37272727272727268</v>
      </c>
      <c r="AF419" s="596">
        <f t="shared" si="109"/>
        <v>-0.60377358490566035</v>
      </c>
      <c r="AG419" s="596">
        <f t="shared" si="109"/>
        <v>0.5714285714285714</v>
      </c>
      <c r="AH419" s="596">
        <f t="shared" si="109"/>
        <v>0.5714285714285714</v>
      </c>
      <c r="AI419" s="5"/>
      <c r="AJ419" s="5"/>
      <c r="AK419" s="5"/>
      <c r="AL419" s="5"/>
      <c r="AM419" s="5"/>
      <c r="AN419" s="5"/>
      <c r="AO419" s="5"/>
      <c r="AP419" s="5"/>
      <c r="AQ419" s="5"/>
      <c r="AR419" s="5"/>
      <c r="AS419" s="22"/>
    </row>
    <row r="420" spans="1:45" hidden="1" x14ac:dyDescent="0.2">
      <c r="A420" s="233" t="s">
        <v>541</v>
      </c>
      <c r="B420" s="1036" t="s">
        <v>953</v>
      </c>
      <c r="C420" s="727"/>
      <c r="D420" s="1012">
        <f t="shared" ca="1" si="107"/>
        <v>3</v>
      </c>
      <c r="E420" s="250" t="str">
        <f t="shared" ca="1" si="108"/>
        <v>mech (C1)</v>
      </c>
      <c r="F420" s="396"/>
      <c r="G420" s="395" t="s">
        <v>70</v>
      </c>
      <c r="H420" s="408"/>
      <c r="I420" s="798">
        <v>-0.42</v>
      </c>
      <c r="J420" s="798">
        <v>-0.37</v>
      </c>
      <c r="K420" s="798">
        <v>3</v>
      </c>
      <c r="L420" s="798">
        <v>-0.1</v>
      </c>
      <c r="M420" s="798">
        <v>-0.55000000000000004</v>
      </c>
      <c r="N420" s="798">
        <v>2.99</v>
      </c>
      <c r="O420" s="798">
        <v>-0.44</v>
      </c>
      <c r="P420" s="798">
        <v>-0.05</v>
      </c>
      <c r="Q420" s="798">
        <v>-0.32</v>
      </c>
      <c r="R420" s="798">
        <v>0.01</v>
      </c>
      <c r="S420" s="796">
        <v>3</v>
      </c>
      <c r="T420" s="797">
        <v>3</v>
      </c>
      <c r="U420" s="529"/>
      <c r="V420" s="20"/>
      <c r="W420" s="596">
        <f t="shared" si="109"/>
        <v>-0.42424242424242425</v>
      </c>
      <c r="X420" s="596">
        <f t="shared" si="109"/>
        <v>-0.36633663366336633</v>
      </c>
      <c r="Y420" s="596">
        <f t="shared" si="109"/>
        <v>2.7272727272727271</v>
      </c>
      <c r="Z420" s="596">
        <f t="shared" si="109"/>
        <v>-0.10638297872340427</v>
      </c>
      <c r="AA420" s="596">
        <f t="shared" si="109"/>
        <v>-0.47008547008547014</v>
      </c>
      <c r="AB420" s="596">
        <f t="shared" si="109"/>
        <v>3.0824742268041239</v>
      </c>
      <c r="AC420" s="596">
        <f t="shared" si="109"/>
        <v>-0.3666666666666667</v>
      </c>
      <c r="AD420" s="596">
        <f t="shared" si="109"/>
        <v>-5.8139534883720936E-2</v>
      </c>
      <c r="AE420" s="596">
        <f t="shared" si="109"/>
        <v>-0.29090909090909089</v>
      </c>
      <c r="AF420" s="596">
        <f t="shared" si="109"/>
        <v>1.8867924528301886E-2</v>
      </c>
      <c r="AG420" s="596">
        <f t="shared" si="109"/>
        <v>3.5714285714285716</v>
      </c>
      <c r="AH420" s="596">
        <f t="shared" si="109"/>
        <v>3.5714285714285716</v>
      </c>
      <c r="AI420" s="5"/>
      <c r="AJ420" s="5"/>
      <c r="AK420" s="5"/>
      <c r="AL420" s="5"/>
      <c r="AM420" s="5"/>
      <c r="AN420" s="5"/>
      <c r="AO420" s="5"/>
      <c r="AP420" s="5"/>
      <c r="AQ420" s="5"/>
      <c r="AR420" s="5"/>
      <c r="AS420" s="22"/>
    </row>
    <row r="421" spans="1:45" hidden="1" x14ac:dyDescent="0.2">
      <c r="A421" s="233" t="s">
        <v>541</v>
      </c>
      <c r="B421" s="1036" t="s">
        <v>953</v>
      </c>
      <c r="C421" s="727"/>
      <c r="D421" s="1012">
        <f t="shared" ca="1" si="107"/>
        <v>4</v>
      </c>
      <c r="E421" s="250" t="str">
        <f t="shared" ca="1" si="108"/>
        <v>mech - CO2 (C4c)</v>
      </c>
      <c r="F421" s="396"/>
      <c r="G421" s="395" t="s">
        <v>70</v>
      </c>
      <c r="H421" s="408"/>
      <c r="I421" s="796">
        <v>-0.3</v>
      </c>
      <c r="J421" s="796">
        <v>-0.43</v>
      </c>
      <c r="K421" s="798">
        <v>-0.41</v>
      </c>
      <c r="L421" s="796">
        <v>-3</v>
      </c>
      <c r="M421" s="796">
        <v>-0.46</v>
      </c>
      <c r="N421" s="798">
        <v>3</v>
      </c>
      <c r="O421" s="796">
        <v>-0.46</v>
      </c>
      <c r="P421" s="796">
        <v>-0.38</v>
      </c>
      <c r="Q421" s="796">
        <v>-0.28000000000000003</v>
      </c>
      <c r="R421" s="796">
        <v>0.08</v>
      </c>
      <c r="S421" s="798">
        <v>3</v>
      </c>
      <c r="T421" s="799">
        <v>3</v>
      </c>
      <c r="U421" s="529"/>
      <c r="V421" s="20"/>
      <c r="W421" s="596">
        <f t="shared" si="109"/>
        <v>-0.30303030303030304</v>
      </c>
      <c r="X421" s="596">
        <f t="shared" si="109"/>
        <v>-0.42574257425742573</v>
      </c>
      <c r="Y421" s="596">
        <f t="shared" si="109"/>
        <v>-0.37272727272727268</v>
      </c>
      <c r="Z421" s="596">
        <f t="shared" si="109"/>
        <v>-3.191489361702128</v>
      </c>
      <c r="AA421" s="596">
        <f t="shared" si="109"/>
        <v>-0.39316239316239321</v>
      </c>
      <c r="AB421" s="596">
        <f t="shared" si="109"/>
        <v>3.0927835051546393</v>
      </c>
      <c r="AC421" s="596">
        <f t="shared" si="109"/>
        <v>-0.38333333333333336</v>
      </c>
      <c r="AD421" s="596">
        <f t="shared" si="109"/>
        <v>-0.44186046511627908</v>
      </c>
      <c r="AE421" s="596">
        <f t="shared" si="109"/>
        <v>-0.25454545454545457</v>
      </c>
      <c r="AF421" s="596">
        <f t="shared" si="109"/>
        <v>0.15094339622641509</v>
      </c>
      <c r="AG421" s="596">
        <f t="shared" si="109"/>
        <v>3.5714285714285716</v>
      </c>
      <c r="AH421" s="596">
        <f t="shared" si="109"/>
        <v>3.5714285714285716</v>
      </c>
      <c r="AI421" s="5"/>
      <c r="AJ421" s="5"/>
      <c r="AK421" s="5"/>
      <c r="AL421" s="5"/>
      <c r="AM421" s="5"/>
      <c r="AN421" s="5"/>
      <c r="AO421" s="5"/>
      <c r="AP421" s="5"/>
      <c r="AQ421" s="5"/>
      <c r="AR421" s="5"/>
      <c r="AS421" s="22"/>
    </row>
    <row r="422" spans="1:45" hidden="1" x14ac:dyDescent="0.2">
      <c r="A422" s="233" t="s">
        <v>541</v>
      </c>
      <c r="B422" s="1036" t="s">
        <v>953</v>
      </c>
      <c r="C422" s="727"/>
      <c r="D422" s="1012">
        <f t="shared" ca="1" si="107"/>
        <v>5</v>
      </c>
      <c r="E422" s="250" t="str">
        <f t="shared" ca="1" si="108"/>
        <v>balans (D1)</v>
      </c>
      <c r="F422" s="396"/>
      <c r="G422" s="395" t="s">
        <v>70</v>
      </c>
      <c r="H422" s="408"/>
      <c r="I422" s="796">
        <v>-0.39</v>
      </c>
      <c r="J422" s="796">
        <v>-0.64</v>
      </c>
      <c r="K422" s="796">
        <v>-1.03</v>
      </c>
      <c r="L422" s="796">
        <v>-0.42</v>
      </c>
      <c r="M422" s="796">
        <v>-0.6</v>
      </c>
      <c r="N422" s="796">
        <v>-0.18</v>
      </c>
      <c r="O422" s="796">
        <v>-0.56999999999999995</v>
      </c>
      <c r="P422" s="796">
        <v>-0.54</v>
      </c>
      <c r="Q422" s="796">
        <v>-0.45</v>
      </c>
      <c r="R422" s="796">
        <v>-0.35</v>
      </c>
      <c r="S422" s="796">
        <v>-0.24</v>
      </c>
      <c r="T422" s="797">
        <v>-0.24</v>
      </c>
      <c r="U422" s="529"/>
      <c r="V422" s="20"/>
      <c r="W422" s="596">
        <f t="shared" si="109"/>
        <v>-0.39393939393939398</v>
      </c>
      <c r="X422" s="596">
        <f t="shared" si="109"/>
        <v>-0.63366336633663367</v>
      </c>
      <c r="Y422" s="596">
        <f t="shared" si="109"/>
        <v>-0.93636363636363629</v>
      </c>
      <c r="Z422" s="596">
        <f t="shared" si="109"/>
        <v>-0.44680851063829791</v>
      </c>
      <c r="AA422" s="596">
        <f t="shared" si="109"/>
        <v>-0.51282051282051289</v>
      </c>
      <c r="AB422" s="596">
        <f t="shared" si="109"/>
        <v>-0.18556701030927836</v>
      </c>
      <c r="AC422" s="596">
        <f t="shared" si="109"/>
        <v>-0.47499999999999998</v>
      </c>
      <c r="AD422" s="596">
        <f t="shared" si="109"/>
        <v>-0.62790697674418605</v>
      </c>
      <c r="AE422" s="596">
        <f t="shared" si="109"/>
        <v>-0.40909090909090906</v>
      </c>
      <c r="AF422" s="596">
        <f t="shared" si="109"/>
        <v>-0.660377358490566</v>
      </c>
      <c r="AG422" s="596">
        <f t="shared" si="109"/>
        <v>-0.2857142857142857</v>
      </c>
      <c r="AH422" s="596">
        <f t="shared" si="109"/>
        <v>-0.2857142857142857</v>
      </c>
      <c r="AI422" s="5"/>
      <c r="AJ422" s="5"/>
      <c r="AK422" s="5"/>
      <c r="AL422" s="5"/>
      <c r="AM422" s="5"/>
      <c r="AN422" s="5"/>
      <c r="AO422" s="5"/>
      <c r="AP422" s="5"/>
      <c r="AQ422" s="5"/>
      <c r="AR422" s="5"/>
      <c r="AS422" s="22"/>
    </row>
    <row r="423" spans="1:45" hidden="1" x14ac:dyDescent="0.2">
      <c r="B423" s="1036" t="s">
        <v>953</v>
      </c>
      <c r="C423" s="727"/>
      <c r="D423" s="1012">
        <f t="shared" ca="1" si="107"/>
        <v>6</v>
      </c>
      <c r="E423" s="250" t="str">
        <f t="shared" ca="1" si="108"/>
        <v>balans CO2 (D5a)</v>
      </c>
      <c r="F423" s="396"/>
      <c r="G423" s="395"/>
      <c r="H423" s="408"/>
      <c r="I423" s="407">
        <v>-0.22</v>
      </c>
      <c r="J423" s="407">
        <v>-0.45</v>
      </c>
      <c r="K423" s="407">
        <v>-0.18</v>
      </c>
      <c r="L423" s="407">
        <v>3</v>
      </c>
      <c r="M423" s="407">
        <v>-0.45</v>
      </c>
      <c r="N423" s="407">
        <v>1.63</v>
      </c>
      <c r="O423" s="407">
        <v>-0.5</v>
      </c>
      <c r="P423" s="407">
        <v>-0.41</v>
      </c>
      <c r="Q423" s="407">
        <v>-0.28000000000000003</v>
      </c>
      <c r="R423" s="407">
        <v>0.26</v>
      </c>
      <c r="S423" s="407">
        <v>1.43</v>
      </c>
      <c r="T423" s="546">
        <v>1.43</v>
      </c>
      <c r="U423" s="529"/>
      <c r="V423" s="20"/>
      <c r="W423" s="795"/>
      <c r="X423" s="795"/>
      <c r="Y423" s="795"/>
      <c r="Z423" s="795"/>
      <c r="AA423" s="795"/>
      <c r="AB423" s="795"/>
      <c r="AC423" s="795"/>
      <c r="AD423" s="795"/>
      <c r="AE423" s="795"/>
      <c r="AF423" s="795"/>
      <c r="AG423" s="795"/>
      <c r="AH423" s="795"/>
      <c r="AI423" s="5"/>
      <c r="AJ423" s="5"/>
      <c r="AK423" s="5"/>
      <c r="AL423" s="5"/>
      <c r="AM423" s="5"/>
      <c r="AN423" s="5"/>
      <c r="AO423" s="5"/>
      <c r="AP423" s="5"/>
      <c r="AQ423" s="5"/>
      <c r="AR423" s="5"/>
      <c r="AS423" s="22"/>
    </row>
    <row r="424" spans="1:45" ht="18.75" hidden="1" x14ac:dyDescent="0.2">
      <c r="B424" s="1036" t="s">
        <v>953</v>
      </c>
      <c r="C424" s="727"/>
      <c r="D424" s="1012"/>
      <c r="E424" s="403" t="s">
        <v>962</v>
      </c>
      <c r="F424" s="404"/>
      <c r="G424" s="405"/>
      <c r="H424" s="406"/>
      <c r="I424" s="800"/>
      <c r="J424" s="800"/>
      <c r="K424" s="800"/>
      <c r="L424" s="800"/>
      <c r="M424" s="800"/>
      <c r="N424" s="800"/>
      <c r="O424" s="800"/>
      <c r="P424" s="800"/>
      <c r="Q424" s="800"/>
      <c r="R424" s="800"/>
      <c r="S424" s="800"/>
      <c r="T424" s="800"/>
      <c r="U424" s="406"/>
      <c r="V424" s="20"/>
      <c r="W424" s="16"/>
      <c r="X424" s="16"/>
      <c r="Y424" s="16"/>
      <c r="Z424" s="16"/>
      <c r="AA424" s="16"/>
      <c r="AB424" s="16"/>
      <c r="AC424" s="16"/>
      <c r="AD424" s="16"/>
      <c r="AE424" s="16"/>
      <c r="AF424" s="16"/>
      <c r="AG424" s="16"/>
      <c r="AH424" s="16"/>
      <c r="AI424" s="5"/>
      <c r="AJ424" s="5"/>
      <c r="AK424" s="5"/>
      <c r="AL424" s="5"/>
      <c r="AM424" s="5"/>
      <c r="AN424" s="5"/>
      <c r="AO424" s="5"/>
      <c r="AP424" s="5"/>
      <c r="AQ424" s="5"/>
      <c r="AR424" s="5"/>
      <c r="AS424" s="22"/>
    </row>
    <row r="425" spans="1:45" hidden="1" x14ac:dyDescent="0.2">
      <c r="B425" s="1036" t="s">
        <v>953</v>
      </c>
      <c r="C425" s="727"/>
      <c r="D425" s="1012">
        <f t="shared" ref="D425:D430" ca="1" si="110">OFFSET(D425,-1,0)+1</f>
        <v>1</v>
      </c>
      <c r="E425" s="250" t="str">
        <f t="shared" ref="E425:E430" ca="1" si="111">INDEX(ventilatiesystemen_namen,D425)</f>
        <v>natuurlijk (A)</v>
      </c>
      <c r="F425" s="396"/>
      <c r="G425" s="395" t="s">
        <v>70</v>
      </c>
      <c r="H425" s="408"/>
      <c r="I425" s="796">
        <v>-0.15</v>
      </c>
      <c r="J425" s="796">
        <v>1.94</v>
      </c>
      <c r="K425" s="796">
        <v>2</v>
      </c>
      <c r="L425" s="796">
        <v>3</v>
      </c>
      <c r="M425" s="796">
        <v>1.07</v>
      </c>
      <c r="N425" s="796">
        <v>0.05</v>
      </c>
      <c r="O425" s="796">
        <v>1.2</v>
      </c>
      <c r="P425" s="796">
        <v>0.65</v>
      </c>
      <c r="Q425" s="796">
        <v>-3</v>
      </c>
      <c r="R425" s="798">
        <v>-3</v>
      </c>
      <c r="S425" s="796">
        <v>0.73</v>
      </c>
      <c r="T425" s="797">
        <v>0.73</v>
      </c>
      <c r="U425" s="529"/>
      <c r="V425" s="20"/>
      <c r="W425" s="596">
        <f t="shared" ref="W425:AH429" si="112">IFERROR(I425/I$355,"")</f>
        <v>-0.15151515151515152</v>
      </c>
      <c r="X425" s="596">
        <f t="shared" si="112"/>
        <v>1.9207920792079207</v>
      </c>
      <c r="Y425" s="596">
        <f t="shared" si="112"/>
        <v>1.8181818181818181</v>
      </c>
      <c r="Z425" s="596">
        <f t="shared" si="112"/>
        <v>3.191489361702128</v>
      </c>
      <c r="AA425" s="596">
        <f t="shared" si="112"/>
        <v>0.91452991452991461</v>
      </c>
      <c r="AB425" s="596">
        <f t="shared" si="112"/>
        <v>5.1546391752577324E-2</v>
      </c>
      <c r="AC425" s="596">
        <f t="shared" si="112"/>
        <v>1</v>
      </c>
      <c r="AD425" s="596">
        <f t="shared" si="112"/>
        <v>0.7558139534883721</v>
      </c>
      <c r="AE425" s="596">
        <f t="shared" si="112"/>
        <v>-2.7272727272727271</v>
      </c>
      <c r="AF425" s="597">
        <f t="shared" si="112"/>
        <v>-5.6603773584905657</v>
      </c>
      <c r="AG425" s="596">
        <f t="shared" si="112"/>
        <v>0.86904761904761907</v>
      </c>
      <c r="AH425" s="596">
        <f t="shared" si="112"/>
        <v>0.86904761904761907</v>
      </c>
      <c r="AI425" s="5"/>
      <c r="AJ425" s="5"/>
      <c r="AK425" s="5"/>
      <c r="AL425" s="5"/>
      <c r="AM425" s="5"/>
      <c r="AN425" s="5"/>
      <c r="AO425" s="5"/>
      <c r="AP425" s="5"/>
      <c r="AQ425" s="5"/>
      <c r="AR425" s="5"/>
      <c r="AS425" s="22"/>
    </row>
    <row r="426" spans="1:45" hidden="1" x14ac:dyDescent="0.2">
      <c r="A426" s="233" t="s">
        <v>541</v>
      </c>
      <c r="B426" s="1036" t="s">
        <v>953</v>
      </c>
      <c r="C426" s="727"/>
      <c r="D426" s="1012">
        <f t="shared" ca="1" si="110"/>
        <v>2</v>
      </c>
      <c r="E426" s="250" t="str">
        <f t="shared" ca="1" si="111"/>
        <v>mech (B1)</v>
      </c>
      <c r="F426" s="396"/>
      <c r="G426" s="395" t="s">
        <v>70</v>
      </c>
      <c r="H426" s="408"/>
      <c r="I426" s="796">
        <v>-0.33</v>
      </c>
      <c r="J426" s="796">
        <v>1.48</v>
      </c>
      <c r="K426" s="796">
        <v>2</v>
      </c>
      <c r="L426" s="796">
        <v>2.99</v>
      </c>
      <c r="M426" s="796">
        <v>1.1200000000000001</v>
      </c>
      <c r="N426" s="796">
        <v>-0.09</v>
      </c>
      <c r="O426" s="796">
        <v>1.23</v>
      </c>
      <c r="P426" s="796">
        <v>1.1399999999999999</v>
      </c>
      <c r="Q426" s="796">
        <v>-3</v>
      </c>
      <c r="R426" s="796">
        <v>-3</v>
      </c>
      <c r="S426" s="796">
        <v>0.7</v>
      </c>
      <c r="T426" s="797">
        <v>0.7</v>
      </c>
      <c r="U426" s="529"/>
      <c r="V426" s="20"/>
      <c r="W426" s="596">
        <f t="shared" si="112"/>
        <v>-0.33333333333333337</v>
      </c>
      <c r="X426" s="596">
        <f t="shared" si="112"/>
        <v>1.4653465346534653</v>
      </c>
      <c r="Y426" s="596">
        <f t="shared" si="112"/>
        <v>1.8181818181818181</v>
      </c>
      <c r="Z426" s="596">
        <f t="shared" si="112"/>
        <v>3.1808510638297878</v>
      </c>
      <c r="AA426" s="596">
        <f t="shared" si="112"/>
        <v>0.95726495726495742</v>
      </c>
      <c r="AB426" s="596">
        <f t="shared" si="112"/>
        <v>-9.2783505154639179E-2</v>
      </c>
      <c r="AC426" s="596">
        <f t="shared" si="112"/>
        <v>1.0250000000000001</v>
      </c>
      <c r="AD426" s="596">
        <f t="shared" si="112"/>
        <v>1.3255813953488371</v>
      </c>
      <c r="AE426" s="596">
        <f t="shared" si="112"/>
        <v>-2.7272727272727271</v>
      </c>
      <c r="AF426" s="596">
        <f t="shared" si="112"/>
        <v>-5.6603773584905657</v>
      </c>
      <c r="AG426" s="596">
        <f t="shared" si="112"/>
        <v>0.83333333333333326</v>
      </c>
      <c r="AH426" s="596">
        <f t="shared" si="112"/>
        <v>0.83333333333333326</v>
      </c>
      <c r="AI426" s="5"/>
      <c r="AJ426" s="5"/>
      <c r="AK426" s="5"/>
      <c r="AL426" s="5"/>
      <c r="AM426" s="5"/>
      <c r="AN426" s="5"/>
      <c r="AO426" s="5"/>
      <c r="AP426" s="5"/>
      <c r="AQ426" s="5"/>
      <c r="AR426" s="5"/>
      <c r="AS426" s="22"/>
    </row>
    <row r="427" spans="1:45" hidden="1" x14ac:dyDescent="0.2">
      <c r="A427" s="233" t="s">
        <v>541</v>
      </c>
      <c r="B427" s="1036" t="s">
        <v>953</v>
      </c>
      <c r="C427" s="727"/>
      <c r="D427" s="1012">
        <f t="shared" ca="1" si="110"/>
        <v>3</v>
      </c>
      <c r="E427" s="250" t="str">
        <f t="shared" ca="1" si="111"/>
        <v>mech (C1)</v>
      </c>
      <c r="F427" s="396"/>
      <c r="G427" s="395" t="s">
        <v>70</v>
      </c>
      <c r="H427" s="408"/>
      <c r="I427" s="798">
        <v>0.03</v>
      </c>
      <c r="J427" s="798">
        <v>2</v>
      </c>
      <c r="K427" s="798">
        <v>1.63</v>
      </c>
      <c r="L427" s="798">
        <v>2</v>
      </c>
      <c r="M427" s="798">
        <v>1.1499999999999999</v>
      </c>
      <c r="N427" s="798">
        <v>0.6</v>
      </c>
      <c r="O427" s="798">
        <v>1.2</v>
      </c>
      <c r="P427" s="798">
        <v>0.96</v>
      </c>
      <c r="Q427" s="798">
        <v>-3</v>
      </c>
      <c r="R427" s="798">
        <v>-0.39</v>
      </c>
      <c r="S427" s="796">
        <v>0.81</v>
      </c>
      <c r="T427" s="797">
        <v>0.81</v>
      </c>
      <c r="U427" s="529"/>
      <c r="V427" s="20"/>
      <c r="W427" s="596">
        <f t="shared" si="112"/>
        <v>3.0303030303030304E-2</v>
      </c>
      <c r="X427" s="596">
        <f t="shared" si="112"/>
        <v>1.9801980198019802</v>
      </c>
      <c r="Y427" s="596">
        <f t="shared" si="112"/>
        <v>1.4818181818181817</v>
      </c>
      <c r="Z427" s="596">
        <f t="shared" si="112"/>
        <v>2.1276595744680851</v>
      </c>
      <c r="AA427" s="596">
        <f t="shared" si="112"/>
        <v>0.98290598290598286</v>
      </c>
      <c r="AB427" s="596">
        <f t="shared" si="112"/>
        <v>0.61855670103092786</v>
      </c>
      <c r="AC427" s="596">
        <f t="shared" si="112"/>
        <v>1</v>
      </c>
      <c r="AD427" s="596">
        <f t="shared" si="112"/>
        <v>1.1162790697674418</v>
      </c>
      <c r="AE427" s="596">
        <f t="shared" si="112"/>
        <v>-2.7272727272727271</v>
      </c>
      <c r="AF427" s="596">
        <f t="shared" si="112"/>
        <v>-0.73584905660377353</v>
      </c>
      <c r="AG427" s="596">
        <f t="shared" si="112"/>
        <v>0.96428571428571441</v>
      </c>
      <c r="AH427" s="596">
        <f t="shared" si="112"/>
        <v>0.96428571428571441</v>
      </c>
      <c r="AI427" s="5"/>
      <c r="AJ427" s="5"/>
      <c r="AK427" s="5"/>
      <c r="AL427" s="5"/>
      <c r="AM427" s="5"/>
      <c r="AN427" s="5"/>
      <c r="AO427" s="5"/>
      <c r="AP427" s="5"/>
      <c r="AQ427" s="5"/>
      <c r="AR427" s="5"/>
      <c r="AS427" s="22"/>
    </row>
    <row r="428" spans="1:45" hidden="1" x14ac:dyDescent="0.2">
      <c r="A428" s="233" t="s">
        <v>541</v>
      </c>
      <c r="B428" s="1036" t="s">
        <v>953</v>
      </c>
      <c r="C428" s="727"/>
      <c r="D428" s="1012">
        <f t="shared" ca="1" si="110"/>
        <v>4</v>
      </c>
      <c r="E428" s="250" t="str">
        <f t="shared" ca="1" si="111"/>
        <v>mech - CO2 (C4c)</v>
      </c>
      <c r="F428" s="396"/>
      <c r="G428" s="395" t="s">
        <v>70</v>
      </c>
      <c r="H428" s="408"/>
      <c r="I428" s="796">
        <v>-0.11</v>
      </c>
      <c r="J428" s="796">
        <v>1.6</v>
      </c>
      <c r="K428" s="798">
        <v>0.97</v>
      </c>
      <c r="L428" s="796">
        <v>2.5</v>
      </c>
      <c r="M428" s="796">
        <v>1.45</v>
      </c>
      <c r="N428" s="798">
        <v>7.0000000000000007E-2</v>
      </c>
      <c r="O428" s="796">
        <v>1.2</v>
      </c>
      <c r="P428" s="796">
        <v>2.27</v>
      </c>
      <c r="Q428" s="796">
        <v>-3</v>
      </c>
      <c r="R428" s="796">
        <v>-3</v>
      </c>
      <c r="S428" s="798">
        <v>0.67</v>
      </c>
      <c r="T428" s="799">
        <v>0.67</v>
      </c>
      <c r="U428" s="529"/>
      <c r="V428" s="20"/>
      <c r="W428" s="596">
        <f t="shared" si="112"/>
        <v>-0.11111111111111112</v>
      </c>
      <c r="X428" s="596">
        <f t="shared" si="112"/>
        <v>1.5841584158415842</v>
      </c>
      <c r="Y428" s="596">
        <f t="shared" si="112"/>
        <v>0.88181818181818172</v>
      </c>
      <c r="Z428" s="596">
        <f t="shared" si="112"/>
        <v>2.6595744680851063</v>
      </c>
      <c r="AA428" s="596">
        <f t="shared" si="112"/>
        <v>1.2393162393162394</v>
      </c>
      <c r="AB428" s="596">
        <f t="shared" si="112"/>
        <v>7.2164948453608255E-2</v>
      </c>
      <c r="AC428" s="596">
        <f t="shared" si="112"/>
        <v>1</v>
      </c>
      <c r="AD428" s="596">
        <f t="shared" si="112"/>
        <v>2.6395348837209305</v>
      </c>
      <c r="AE428" s="596">
        <f t="shared" si="112"/>
        <v>-2.7272727272727271</v>
      </c>
      <c r="AF428" s="596">
        <f t="shared" si="112"/>
        <v>-5.6603773584905657</v>
      </c>
      <c r="AG428" s="596">
        <f t="shared" si="112"/>
        <v>0.79761904761904767</v>
      </c>
      <c r="AH428" s="596">
        <f t="shared" si="112"/>
        <v>0.79761904761904767</v>
      </c>
      <c r="AI428" s="5"/>
      <c r="AJ428" s="5"/>
      <c r="AK428" s="5"/>
      <c r="AL428" s="5"/>
      <c r="AM428" s="5"/>
      <c r="AN428" s="5"/>
      <c r="AO428" s="5"/>
      <c r="AP428" s="5"/>
      <c r="AQ428" s="5"/>
      <c r="AR428" s="5"/>
      <c r="AS428" s="22"/>
    </row>
    <row r="429" spans="1:45" hidden="1" x14ac:dyDescent="0.2">
      <c r="A429" s="233" t="s">
        <v>541</v>
      </c>
      <c r="B429" s="1036" t="s">
        <v>953</v>
      </c>
      <c r="C429" s="727"/>
      <c r="D429" s="1012">
        <f t="shared" ca="1" si="110"/>
        <v>5</v>
      </c>
      <c r="E429" s="250" t="str">
        <f t="shared" ca="1" si="111"/>
        <v>balans (D1)</v>
      </c>
      <c r="F429" s="396"/>
      <c r="G429" s="395" t="s">
        <v>70</v>
      </c>
      <c r="H429" s="408"/>
      <c r="I429" s="796">
        <v>-0.37</v>
      </c>
      <c r="J429" s="796">
        <v>1.22</v>
      </c>
      <c r="K429" s="796">
        <v>0.3</v>
      </c>
      <c r="L429" s="796">
        <v>1.6</v>
      </c>
      <c r="M429" s="796">
        <v>1.24</v>
      </c>
      <c r="N429" s="796">
        <v>-0.03</v>
      </c>
      <c r="O429" s="796">
        <v>1.19</v>
      </c>
      <c r="P429" s="796">
        <v>1.7</v>
      </c>
      <c r="Q429" s="796">
        <v>-2.99</v>
      </c>
      <c r="R429" s="796">
        <v>-3</v>
      </c>
      <c r="S429" s="796">
        <v>0.5</v>
      </c>
      <c r="T429" s="797">
        <v>0.5</v>
      </c>
      <c r="U429" s="529"/>
      <c r="V429" s="20"/>
      <c r="W429" s="596">
        <f t="shared" si="112"/>
        <v>-0.37373737373737376</v>
      </c>
      <c r="X429" s="596">
        <f t="shared" si="112"/>
        <v>1.2079207920792079</v>
      </c>
      <c r="Y429" s="596">
        <f t="shared" si="112"/>
        <v>0.27272727272727271</v>
      </c>
      <c r="Z429" s="596">
        <f t="shared" si="112"/>
        <v>1.7021276595744683</v>
      </c>
      <c r="AA429" s="596">
        <f t="shared" si="112"/>
        <v>1.0598290598290598</v>
      </c>
      <c r="AB429" s="596">
        <f t="shared" si="112"/>
        <v>-3.0927835051546393E-2</v>
      </c>
      <c r="AC429" s="596">
        <f t="shared" si="112"/>
        <v>0.9916666666666667</v>
      </c>
      <c r="AD429" s="596">
        <f t="shared" si="112"/>
        <v>1.9767441860465116</v>
      </c>
      <c r="AE429" s="596">
        <f t="shared" si="112"/>
        <v>-2.7181818181818183</v>
      </c>
      <c r="AF429" s="596">
        <f t="shared" si="112"/>
        <v>-5.6603773584905657</v>
      </c>
      <c r="AG429" s="596">
        <f t="shared" si="112"/>
        <v>0.59523809523809523</v>
      </c>
      <c r="AH429" s="596">
        <f t="shared" si="112"/>
        <v>0.59523809523809523</v>
      </c>
      <c r="AI429" s="5"/>
      <c r="AJ429" s="5"/>
      <c r="AK429" s="5"/>
      <c r="AL429" s="5"/>
      <c r="AM429" s="5"/>
      <c r="AN429" s="5"/>
      <c r="AO429" s="5"/>
      <c r="AP429" s="5"/>
      <c r="AQ429" s="5"/>
      <c r="AR429" s="5"/>
      <c r="AS429" s="22"/>
    </row>
    <row r="430" spans="1:45" hidden="1" x14ac:dyDescent="0.2">
      <c r="B430" s="1036" t="s">
        <v>953</v>
      </c>
      <c r="C430" s="727"/>
      <c r="D430" s="1012">
        <f t="shared" ca="1" si="110"/>
        <v>6</v>
      </c>
      <c r="E430" s="250" t="str">
        <f t="shared" ca="1" si="111"/>
        <v>balans CO2 (D5a)</v>
      </c>
      <c r="F430" s="396"/>
      <c r="G430" s="395"/>
      <c r="H430" s="408"/>
      <c r="I430" s="407">
        <v>-0.25</v>
      </c>
      <c r="J430" s="407">
        <v>1.4</v>
      </c>
      <c r="K430" s="407">
        <v>0.05</v>
      </c>
      <c r="L430" s="407">
        <v>1.7</v>
      </c>
      <c r="M430" s="407">
        <v>1.2</v>
      </c>
      <c r="N430" s="407">
        <v>-0.2</v>
      </c>
      <c r="O430" s="407">
        <v>1.24</v>
      </c>
      <c r="P430" s="407">
        <v>1.86</v>
      </c>
      <c r="Q430" s="407">
        <v>-3</v>
      </c>
      <c r="R430" s="407">
        <v>-3</v>
      </c>
      <c r="S430" s="407">
        <v>0.61</v>
      </c>
      <c r="T430" s="546">
        <v>0.61</v>
      </c>
      <c r="U430" s="529"/>
      <c r="V430" s="20"/>
      <c r="W430" s="795"/>
      <c r="X430" s="795"/>
      <c r="Y430" s="795"/>
      <c r="Z430" s="795"/>
      <c r="AA430" s="795"/>
      <c r="AB430" s="795"/>
      <c r="AC430" s="795"/>
      <c r="AD430" s="795"/>
      <c r="AE430" s="795"/>
      <c r="AF430" s="795"/>
      <c r="AG430" s="795"/>
      <c r="AH430" s="795"/>
      <c r="AI430" s="5"/>
      <c r="AJ430" s="5"/>
      <c r="AK430" s="5"/>
      <c r="AL430" s="5"/>
      <c r="AM430" s="5"/>
      <c r="AN430" s="5"/>
      <c r="AO430" s="5"/>
      <c r="AP430" s="5"/>
      <c r="AQ430" s="5"/>
      <c r="AR430" s="5"/>
      <c r="AS430" s="22"/>
    </row>
    <row r="431" spans="1:45" hidden="1" x14ac:dyDescent="0.2">
      <c r="B431" s="1036" t="s">
        <v>953</v>
      </c>
      <c r="C431" s="727"/>
      <c r="D431" s="1012"/>
      <c r="E431" s="391" t="s">
        <v>951</v>
      </c>
      <c r="F431" s="391"/>
      <c r="G431" s="391"/>
      <c r="H431" s="544"/>
      <c r="I431" s="544"/>
      <c r="J431" s="544"/>
      <c r="K431" s="544"/>
      <c r="L431" s="544"/>
      <c r="M431" s="544"/>
      <c r="N431" s="544"/>
      <c r="O431" s="544"/>
      <c r="P431" s="544"/>
      <c r="Q431" s="544"/>
      <c r="R431" s="544"/>
      <c r="S431" s="544"/>
      <c r="T431" s="525"/>
      <c r="U431" s="544"/>
      <c r="V431" s="16"/>
      <c r="W431" s="16"/>
      <c r="X431" s="16"/>
      <c r="Y431" s="20"/>
      <c r="Z431" s="5"/>
      <c r="AA431" s="5"/>
      <c r="AB431" s="5"/>
      <c r="AC431" s="5"/>
      <c r="AD431" s="5"/>
      <c r="AE431" s="5"/>
      <c r="AF431" s="5"/>
      <c r="AG431" s="5"/>
      <c r="AH431" s="5"/>
      <c r="AI431" s="5"/>
      <c r="AJ431" s="5"/>
      <c r="AK431" s="5"/>
      <c r="AL431" s="5"/>
      <c r="AM431" s="5"/>
      <c r="AN431" s="5"/>
      <c r="AO431" s="5"/>
      <c r="AP431" s="5"/>
      <c r="AQ431" s="5"/>
      <c r="AR431" s="5"/>
      <c r="AS431" s="22"/>
    </row>
    <row r="432" spans="1:45" hidden="1" x14ac:dyDescent="0.2">
      <c r="B432" s="1036" t="s">
        <v>953</v>
      </c>
      <c r="C432" s="727"/>
      <c r="D432" s="1012"/>
      <c r="E432" s="802" t="s">
        <v>963</v>
      </c>
      <c r="F432" s="391"/>
      <c r="G432" s="391"/>
      <c r="H432" s="544"/>
      <c r="I432" s="544"/>
      <c r="J432" s="544"/>
      <c r="K432" s="544"/>
      <c r="L432" s="544"/>
      <c r="M432" s="544"/>
      <c r="N432" s="544"/>
      <c r="O432" s="544"/>
      <c r="P432" s="544"/>
      <c r="Q432" s="544"/>
      <c r="R432" s="544"/>
      <c r="S432" s="544"/>
      <c r="T432" s="525"/>
      <c r="U432" s="544"/>
      <c r="V432" s="16"/>
      <c r="W432" s="16"/>
      <c r="X432" s="16"/>
      <c r="Y432" s="20"/>
      <c r="Z432" s="5"/>
      <c r="AA432" s="5"/>
      <c r="AB432" s="5"/>
      <c r="AC432" s="5"/>
      <c r="AD432" s="5"/>
      <c r="AE432" s="5"/>
      <c r="AF432" s="5"/>
      <c r="AG432" s="5"/>
      <c r="AH432" s="5"/>
      <c r="AI432" s="5"/>
      <c r="AJ432" s="5"/>
      <c r="AK432" s="5"/>
      <c r="AL432" s="5"/>
      <c r="AM432" s="5"/>
      <c r="AN432" s="5"/>
      <c r="AO432" s="5"/>
      <c r="AP432" s="5"/>
      <c r="AQ432" s="5"/>
      <c r="AR432" s="5"/>
      <c r="AS432" s="22"/>
    </row>
    <row r="433" spans="1:50" hidden="1" x14ac:dyDescent="0.2">
      <c r="B433" s="1036" t="s">
        <v>953</v>
      </c>
      <c r="C433" s="727"/>
      <c r="D433" s="1012"/>
      <c r="E433" s="5"/>
      <c r="F433" s="5"/>
      <c r="G433" s="5"/>
      <c r="H433" s="16"/>
      <c r="I433" s="16"/>
      <c r="J433" s="16"/>
      <c r="K433" s="16"/>
      <c r="L433" s="16"/>
      <c r="M433" s="16"/>
      <c r="N433" s="16"/>
      <c r="O433" s="16"/>
      <c r="P433" s="16"/>
      <c r="Q433" s="16"/>
      <c r="R433" s="16"/>
      <c r="S433" s="16"/>
      <c r="T433" s="16"/>
      <c r="U433" s="16"/>
      <c r="V433" s="16"/>
      <c r="X433" s="16"/>
      <c r="Y433" s="20"/>
      <c r="Z433" s="16"/>
      <c r="AA433" s="5"/>
      <c r="AB433" s="5"/>
      <c r="AC433" s="5"/>
      <c r="AD433" s="5"/>
      <c r="AE433" s="5"/>
      <c r="AF433" s="5"/>
      <c r="AG433" s="5"/>
      <c r="AH433" s="5"/>
      <c r="AI433" s="5"/>
      <c r="AJ433" s="5"/>
      <c r="AK433" s="5"/>
      <c r="AL433" s="5"/>
      <c r="AM433" s="5"/>
      <c r="AN433" s="5"/>
      <c r="AO433" s="5"/>
      <c r="AP433" s="5"/>
      <c r="AQ433" s="5"/>
      <c r="AR433" s="5"/>
      <c r="AS433" s="22"/>
    </row>
    <row r="434" spans="1:50" hidden="1" x14ac:dyDescent="0.2">
      <c r="B434" s="1036" t="s">
        <v>964</v>
      </c>
      <c r="C434" s="727"/>
      <c r="D434" s="1012"/>
      <c r="E434" s="5"/>
      <c r="F434" s="5"/>
      <c r="G434" s="5"/>
      <c r="H434" s="16"/>
      <c r="I434" s="16"/>
      <c r="J434" s="16"/>
      <c r="K434" s="16"/>
      <c r="L434" s="16"/>
      <c r="M434" s="16"/>
      <c r="N434" s="16"/>
      <c r="O434" s="16"/>
      <c r="P434" s="16"/>
      <c r="Q434" s="16"/>
      <c r="R434" s="16"/>
      <c r="S434" s="16"/>
      <c r="T434" s="16"/>
      <c r="U434" s="16"/>
      <c r="V434" s="16"/>
      <c r="X434" s="16"/>
      <c r="Y434" s="20"/>
      <c r="Z434" s="16"/>
      <c r="AA434" s="16"/>
      <c r="AB434" s="5"/>
      <c r="AC434" s="5"/>
      <c r="AD434" s="5"/>
      <c r="AE434" s="5"/>
      <c r="AF434" s="5"/>
      <c r="AG434" s="5"/>
      <c r="AH434" s="5"/>
      <c r="AI434" s="5"/>
      <c r="AJ434" s="5"/>
      <c r="AK434" s="5"/>
      <c r="AL434" s="5"/>
      <c r="AM434" s="5"/>
      <c r="AN434" s="5"/>
      <c r="AO434" s="5"/>
      <c r="AP434" s="5"/>
      <c r="AQ434" s="5"/>
      <c r="AR434" s="5"/>
      <c r="AS434" s="22"/>
    </row>
    <row r="435" spans="1:50" ht="21" hidden="1" x14ac:dyDescent="0.2">
      <c r="B435" s="1036" t="s">
        <v>964</v>
      </c>
      <c r="C435" s="727"/>
      <c r="D435" s="1012"/>
      <c r="E435" s="240" t="s">
        <v>965</v>
      </c>
      <c r="F435" s="801"/>
      <c r="G435" s="801" t="s">
        <v>947</v>
      </c>
      <c r="H435" s="240"/>
      <c r="I435" s="240"/>
      <c r="J435" s="240"/>
      <c r="K435" s="240"/>
      <c r="L435" s="240"/>
      <c r="M435" s="240"/>
      <c r="N435" s="240"/>
      <c r="O435" s="240"/>
      <c r="P435" s="240"/>
      <c r="Q435" s="240"/>
      <c r="R435" s="240"/>
      <c r="S435" s="240"/>
      <c r="T435" s="240"/>
      <c r="U435" s="240"/>
      <c r="V435" s="61"/>
      <c r="X435" s="61"/>
      <c r="Y435" s="20"/>
      <c r="Z435" s="5"/>
      <c r="AA435" s="5"/>
      <c r="AB435" s="5"/>
      <c r="AC435" s="5"/>
      <c r="AD435" s="5"/>
      <c r="AE435" s="5"/>
      <c r="AF435" s="5"/>
      <c r="AG435" s="5"/>
      <c r="AH435" s="5"/>
      <c r="AI435" s="5"/>
      <c r="AJ435" s="5"/>
      <c r="AK435" s="5"/>
      <c r="AL435" s="5"/>
      <c r="AM435" s="5"/>
      <c r="AN435" s="5"/>
      <c r="AO435" s="5"/>
      <c r="AP435" s="5"/>
      <c r="AQ435" s="5"/>
      <c r="AR435" s="5"/>
      <c r="AS435" s="437"/>
    </row>
    <row r="436" spans="1:50" hidden="1" x14ac:dyDescent="0.2">
      <c r="B436" s="1036" t="s">
        <v>964</v>
      </c>
      <c r="C436" s="727"/>
      <c r="D436" s="1013"/>
      <c r="E436" s="386" t="s">
        <v>491</v>
      </c>
      <c r="F436" s="386"/>
      <c r="G436" s="386" t="s">
        <v>423</v>
      </c>
      <c r="H436" s="387"/>
      <c r="I436" s="387">
        <f t="shared" ref="I436:T436" ca="1" si="113">OFFSET(I436,0,-1)+1</f>
        <v>1</v>
      </c>
      <c r="J436" s="387">
        <f t="shared" ca="1" si="113"/>
        <v>2</v>
      </c>
      <c r="K436" s="387">
        <f t="shared" ca="1" si="113"/>
        <v>3</v>
      </c>
      <c r="L436" s="387">
        <f t="shared" ca="1" si="113"/>
        <v>4</v>
      </c>
      <c r="M436" s="387">
        <f t="shared" ca="1" si="113"/>
        <v>5</v>
      </c>
      <c r="N436" s="387">
        <f t="shared" ca="1" si="113"/>
        <v>6</v>
      </c>
      <c r="O436" s="387">
        <f t="shared" ca="1" si="113"/>
        <v>7</v>
      </c>
      <c r="P436" s="387">
        <f t="shared" ca="1" si="113"/>
        <v>8</v>
      </c>
      <c r="Q436" s="387">
        <f t="shared" ca="1" si="113"/>
        <v>9</v>
      </c>
      <c r="R436" s="387">
        <f t="shared" ca="1" si="113"/>
        <v>10</v>
      </c>
      <c r="S436" s="387">
        <f t="shared" ca="1" si="113"/>
        <v>11</v>
      </c>
      <c r="T436" s="387">
        <f t="shared" ca="1" si="113"/>
        <v>12</v>
      </c>
      <c r="U436" s="387"/>
      <c r="V436" s="61"/>
      <c r="W436" s="61"/>
      <c r="X436" s="5"/>
      <c r="Y436" s="20"/>
      <c r="Z436" s="5"/>
      <c r="AA436" s="5"/>
      <c r="AB436" s="5"/>
      <c r="AC436" s="5"/>
      <c r="AD436" s="5"/>
      <c r="AE436" s="5"/>
      <c r="AF436" s="5"/>
      <c r="AG436" s="5"/>
      <c r="AH436" s="5"/>
      <c r="AI436" s="5"/>
      <c r="AJ436" s="5"/>
      <c r="AK436" s="5"/>
      <c r="AL436" s="5"/>
      <c r="AM436" s="5"/>
      <c r="AN436" s="5"/>
      <c r="AO436" s="5"/>
      <c r="AP436" s="5"/>
      <c r="AQ436" s="5"/>
      <c r="AR436" s="5"/>
      <c r="AS436" s="22"/>
    </row>
    <row r="437" spans="1:50" ht="18.75" hidden="1" x14ac:dyDescent="0.2">
      <c r="B437" s="1036" t="s">
        <v>964</v>
      </c>
      <c r="C437" s="727"/>
      <c r="D437" s="1012"/>
      <c r="E437" s="403" t="s">
        <v>124</v>
      </c>
      <c r="F437" s="404"/>
      <c r="G437" s="405"/>
      <c r="H437" s="406"/>
      <c r="I437" s="406"/>
      <c r="J437" s="406"/>
      <c r="K437" s="406"/>
      <c r="L437" s="406"/>
      <c r="M437" s="406"/>
      <c r="N437" s="406"/>
      <c r="O437" s="406"/>
      <c r="P437" s="406"/>
      <c r="Q437" s="406"/>
      <c r="R437" s="406"/>
      <c r="S437" s="406"/>
      <c r="T437" s="406"/>
      <c r="U437" s="406"/>
      <c r="V437" s="20"/>
      <c r="W437" s="16"/>
      <c r="X437" s="16"/>
      <c r="Y437" s="16"/>
      <c r="Z437" s="16"/>
      <c r="AA437" s="16"/>
      <c r="AB437" s="16"/>
      <c r="AC437" s="16"/>
      <c r="AD437" s="16"/>
      <c r="AE437" s="16"/>
      <c r="AF437" s="16"/>
      <c r="AG437" s="16"/>
      <c r="AH437" s="16"/>
      <c r="AI437" s="5"/>
      <c r="AJ437" s="5"/>
      <c r="AK437" s="5"/>
      <c r="AL437" s="5"/>
      <c r="AM437" s="5"/>
      <c r="AN437" s="5"/>
      <c r="AO437" s="5"/>
      <c r="AP437" s="5"/>
      <c r="AQ437" s="5"/>
      <c r="AR437" s="5"/>
      <c r="AS437" s="22"/>
    </row>
    <row r="438" spans="1:50" ht="25.5" hidden="1" x14ac:dyDescent="0.2">
      <c r="B438" s="1036" t="s">
        <v>964</v>
      </c>
      <c r="C438" s="727"/>
      <c r="D438" s="1012"/>
      <c r="E438" s="395" t="s">
        <v>124</v>
      </c>
      <c r="F438" s="396"/>
      <c r="G438" s="395" t="s">
        <v>70</v>
      </c>
      <c r="H438" s="529"/>
      <c r="I438" s="545" t="str">
        <f>I$272</f>
        <v>kantoor</v>
      </c>
      <c r="J438" s="545" t="str">
        <f t="shared" ref="J438:T438" si="114">J$272</f>
        <v>bijeenkomst overig</v>
      </c>
      <c r="K438" s="545" t="str">
        <f t="shared" si="114"/>
        <v>bijeenkomst kinderopvang</v>
      </c>
      <c r="L438" s="545" t="str">
        <f t="shared" si="114"/>
        <v>onderwijs</v>
      </c>
      <c r="M438" s="545" t="str">
        <f t="shared" si="114"/>
        <v>gezondheid overig</v>
      </c>
      <c r="N438" s="545" t="str">
        <f t="shared" si="114"/>
        <v>gezondheid met bed</v>
      </c>
      <c r="O438" s="545" t="str">
        <f t="shared" si="114"/>
        <v>winkel</v>
      </c>
      <c r="P438" s="545" t="str">
        <f t="shared" si="114"/>
        <v>sport</v>
      </c>
      <c r="Q438" s="545" t="str">
        <f t="shared" si="114"/>
        <v>logies</v>
      </c>
      <c r="R438" s="545" t="str">
        <f t="shared" si="114"/>
        <v>cellengebouw</v>
      </c>
      <c r="S438" s="545" t="str">
        <f t="shared" si="114"/>
        <v>woning</v>
      </c>
      <c r="T438" s="545" t="str">
        <f t="shared" si="114"/>
        <v>woongebouw</v>
      </c>
      <c r="U438" s="529"/>
      <c r="V438" s="20"/>
      <c r="W438" s="595" t="str">
        <f t="shared" ref="W438:AH438" si="115">I438</f>
        <v>kantoor</v>
      </c>
      <c r="X438" s="595" t="str">
        <f t="shared" si="115"/>
        <v>bijeenkomst overig</v>
      </c>
      <c r="Y438" s="595" t="str">
        <f t="shared" si="115"/>
        <v>bijeenkomst kinderopvang</v>
      </c>
      <c r="Z438" s="595" t="str">
        <f t="shared" si="115"/>
        <v>onderwijs</v>
      </c>
      <c r="AA438" s="595" t="str">
        <f t="shared" si="115"/>
        <v>gezondheid overig</v>
      </c>
      <c r="AB438" s="595" t="str">
        <f t="shared" si="115"/>
        <v>gezondheid met bed</v>
      </c>
      <c r="AC438" s="595" t="str">
        <f t="shared" si="115"/>
        <v>winkel</v>
      </c>
      <c r="AD438" s="595" t="str">
        <f t="shared" si="115"/>
        <v>sport</v>
      </c>
      <c r="AE438" s="595" t="str">
        <f t="shared" si="115"/>
        <v>logies</v>
      </c>
      <c r="AF438" s="595" t="str">
        <f t="shared" si="115"/>
        <v>cellengebouw</v>
      </c>
      <c r="AG438" s="595" t="str">
        <f t="shared" si="115"/>
        <v>woning</v>
      </c>
      <c r="AH438" s="595" t="str">
        <f t="shared" si="115"/>
        <v>woongebouw</v>
      </c>
      <c r="AI438" s="5"/>
      <c r="AJ438" s="5"/>
      <c r="AK438" s="5"/>
      <c r="AL438" s="5"/>
      <c r="AM438" s="5"/>
      <c r="AN438" s="5"/>
      <c r="AO438" s="5"/>
      <c r="AP438" s="5"/>
      <c r="AQ438" s="5"/>
      <c r="AR438" s="5"/>
      <c r="AS438" s="22"/>
    </row>
    <row r="439" spans="1:50" hidden="1" x14ac:dyDescent="0.2">
      <c r="B439" s="1036" t="s">
        <v>964</v>
      </c>
      <c r="C439" s="727"/>
      <c r="D439" s="1012">
        <f ca="1">OFFSET(D439,-1,0)+1</f>
        <v>1</v>
      </c>
      <c r="E439" s="250" t="s">
        <v>948</v>
      </c>
      <c r="F439" s="396"/>
      <c r="G439" s="395" t="s">
        <v>70</v>
      </c>
      <c r="H439" s="408"/>
      <c r="I439" s="796">
        <v>30.36748400004582</v>
      </c>
      <c r="J439" s="796">
        <v>27.711614114601588</v>
      </c>
      <c r="K439" s="796">
        <v>99.295017449021302</v>
      </c>
      <c r="L439" s="796">
        <v>119.19994807165985</v>
      </c>
      <c r="M439" s="796">
        <v>36.683161640136447</v>
      </c>
      <c r="N439" s="796">
        <v>214.14302930022222</v>
      </c>
      <c r="O439" s="796">
        <v>12.222484704965026</v>
      </c>
      <c r="P439" s="796">
        <v>3.8457783534915748</v>
      </c>
      <c r="Q439" s="796">
        <v>39.763985147780858</v>
      </c>
      <c r="R439" s="798">
        <v>68.672559909358199</v>
      </c>
      <c r="S439" s="796">
        <v>33.165094051740759</v>
      </c>
      <c r="T439" s="797">
        <v>33.165094051740759</v>
      </c>
      <c r="U439" s="529"/>
      <c r="V439" s="20"/>
      <c r="W439" s="596">
        <f t="shared" ref="W439:AH441" si="116">IFERROR(I439/I$341,"")</f>
        <v>3.1879600249953737</v>
      </c>
      <c r="X439" s="596">
        <f t="shared" si="116"/>
        <v>1.1605585597284869</v>
      </c>
      <c r="Y439" s="596">
        <f t="shared" si="116"/>
        <v>1.3721588556696525</v>
      </c>
      <c r="Z439" s="596">
        <f t="shared" si="116"/>
        <v>1.517885174321816</v>
      </c>
      <c r="AA439" s="596">
        <f t="shared" si="116"/>
        <v>1.9070039984013381</v>
      </c>
      <c r="AB439" s="596">
        <f t="shared" si="116"/>
        <v>1.5567783625044902</v>
      </c>
      <c r="AC439" s="596">
        <f t="shared" si="116"/>
        <v>-1.7207812413292136</v>
      </c>
      <c r="AD439" s="596">
        <f t="shared" si="116"/>
        <v>1.1126109406933051</v>
      </c>
      <c r="AE439" s="596">
        <f t="shared" si="116"/>
        <v>2.328295834156485</v>
      </c>
      <c r="AF439" s="597">
        <f t="shared" si="116"/>
        <v>1.1715637287228653</v>
      </c>
      <c r="AG439" s="596">
        <f t="shared" si="116"/>
        <v>1.2196101320896089</v>
      </c>
      <c r="AH439" s="596">
        <f t="shared" si="116"/>
        <v>1.2196101320896089</v>
      </c>
      <c r="AI439" s="5"/>
      <c r="AJ439" s="5"/>
      <c r="AK439" s="5"/>
      <c r="AL439" s="5"/>
      <c r="AM439" s="5"/>
      <c r="AN439" s="5"/>
      <c r="AO439" s="5"/>
      <c r="AP439" s="5"/>
      <c r="AQ439" s="5"/>
      <c r="AR439" s="5"/>
      <c r="AS439" s="379"/>
    </row>
    <row r="440" spans="1:50" hidden="1" x14ac:dyDescent="0.2">
      <c r="A440" s="233" t="s">
        <v>541</v>
      </c>
      <c r="B440" s="1036" t="s">
        <v>964</v>
      </c>
      <c r="C440" s="727"/>
      <c r="D440" s="1012">
        <f ca="1">OFFSET(D440,-1,0)+1</f>
        <v>2</v>
      </c>
      <c r="E440" s="250" t="s">
        <v>541</v>
      </c>
      <c r="F440" s="396"/>
      <c r="G440" s="395" t="s">
        <v>70</v>
      </c>
      <c r="H440" s="408"/>
      <c r="I440" s="796">
        <v>57.206662895526222</v>
      </c>
      <c r="J440" s="796">
        <v>52.293745188895883</v>
      </c>
      <c r="K440" s="796">
        <v>51.052359873495448</v>
      </c>
      <c r="L440" s="796">
        <v>57.615500534884909</v>
      </c>
      <c r="M440" s="796">
        <v>50.99705568207272</v>
      </c>
      <c r="N440" s="796">
        <v>76.909405147713912</v>
      </c>
      <c r="O440" s="796">
        <v>45.533562858401488</v>
      </c>
      <c r="P440" s="796">
        <v>28.332873935173172</v>
      </c>
      <c r="Q440" s="796">
        <v>57.55766890931497</v>
      </c>
      <c r="R440" s="796">
        <v>72.521372654322036</v>
      </c>
      <c r="S440" s="796">
        <v>44.275666281087645</v>
      </c>
      <c r="T440" s="797">
        <v>44.275666281087645</v>
      </c>
      <c r="U440" s="529"/>
      <c r="V440" s="20"/>
      <c r="W440" s="596">
        <f t="shared" si="116"/>
        <v>6.0055207232198926</v>
      </c>
      <c r="X440" s="596">
        <f t="shared" si="116"/>
        <v>2.190054803312782</v>
      </c>
      <c r="Y440" s="596">
        <f t="shared" si="116"/>
        <v>0.70549308014589873</v>
      </c>
      <c r="Z440" s="596">
        <f t="shared" si="116"/>
        <v>0.73367241754549772</v>
      </c>
      <c r="AA440" s="596">
        <f t="shared" si="116"/>
        <v>2.6511234240508235</v>
      </c>
      <c r="AB440" s="596">
        <f t="shared" si="116"/>
        <v>0.55911648489474419</v>
      </c>
      <c r="AC440" s="596">
        <f t="shared" si="116"/>
        <v>-6.410586939478284</v>
      </c>
      <c r="AD440" s="596">
        <f t="shared" si="116"/>
        <v>8.1969012834392174</v>
      </c>
      <c r="AE440" s="596">
        <f t="shared" si="116"/>
        <v>3.3701672568096499</v>
      </c>
      <c r="AF440" s="596">
        <f t="shared" si="116"/>
        <v>1.2372250265774607</v>
      </c>
      <c r="AG440" s="596">
        <f t="shared" si="116"/>
        <v>1.6281892979766315</v>
      </c>
      <c r="AH440" s="596">
        <f t="shared" si="116"/>
        <v>1.6281892979766315</v>
      </c>
      <c r="AI440" s="5"/>
      <c r="AJ440" s="5"/>
      <c r="AK440" s="5"/>
      <c r="AL440" s="5"/>
      <c r="AM440" s="5"/>
      <c r="AN440" s="5"/>
      <c r="AO440" s="5"/>
      <c r="AP440" s="5"/>
      <c r="AQ440" s="5"/>
      <c r="AR440" s="5"/>
      <c r="AS440" s="379"/>
    </row>
    <row r="441" spans="1:50" hidden="1" x14ac:dyDescent="0.2">
      <c r="A441" s="233" t="s">
        <v>541</v>
      </c>
      <c r="B441" s="1036" t="s">
        <v>964</v>
      </c>
      <c r="C441" s="727"/>
      <c r="D441" s="1012">
        <f ca="1">OFFSET(D441,-1,0)+1</f>
        <v>3</v>
      </c>
      <c r="E441" s="250" t="s">
        <v>966</v>
      </c>
      <c r="F441" s="396"/>
      <c r="G441" s="395" t="s">
        <v>70</v>
      </c>
      <c r="H441" s="408"/>
      <c r="I441" s="798">
        <v>1.03</v>
      </c>
      <c r="J441" s="798">
        <v>1.1100000000000001</v>
      </c>
      <c r="K441" s="798">
        <v>1.1100000000000001</v>
      </c>
      <c r="L441" s="798">
        <v>0.95</v>
      </c>
      <c r="M441" s="798">
        <v>1.1399999999999999</v>
      </c>
      <c r="N441" s="798">
        <v>1.01</v>
      </c>
      <c r="O441" s="798">
        <v>1.27</v>
      </c>
      <c r="P441" s="798">
        <v>1.2</v>
      </c>
      <c r="Q441" s="798">
        <v>1.0900000000000001</v>
      </c>
      <c r="R441" s="798">
        <v>0.99</v>
      </c>
      <c r="S441" s="796">
        <v>1</v>
      </c>
      <c r="T441" s="797">
        <v>1</v>
      </c>
      <c r="U441" s="529"/>
      <c r="V441" s="20"/>
      <c r="W441" s="596">
        <f t="shared" si="116"/>
        <v>0.10812877437394157</v>
      </c>
      <c r="X441" s="596">
        <f t="shared" si="116"/>
        <v>4.6486646211627264E-2</v>
      </c>
      <c r="Y441" s="596">
        <f t="shared" si="116"/>
        <v>1.5339101285472676E-2</v>
      </c>
      <c r="Z441" s="596">
        <f t="shared" si="116"/>
        <v>1.2097244494929129E-2</v>
      </c>
      <c r="AA441" s="596">
        <f t="shared" si="116"/>
        <v>5.9263827352299035E-2</v>
      </c>
      <c r="AB441" s="596">
        <f t="shared" si="116"/>
        <v>7.3425044525972033E-3</v>
      </c>
      <c r="AC441" s="596">
        <f t="shared" si="116"/>
        <v>-0.17880097453510002</v>
      </c>
      <c r="AD441" s="596">
        <f t="shared" si="116"/>
        <v>0.34716850689530804</v>
      </c>
      <c r="AE441" s="596">
        <f t="shared" si="116"/>
        <v>6.382263874706734E-2</v>
      </c>
      <c r="AF441" s="596">
        <f t="shared" si="116"/>
        <v>1.6889542096093915E-2</v>
      </c>
      <c r="AG441" s="596">
        <f t="shared" si="116"/>
        <v>3.6773908440811263E-2</v>
      </c>
      <c r="AH441" s="596">
        <f t="shared" si="116"/>
        <v>3.6773908440811263E-2</v>
      </c>
      <c r="AI441" s="5"/>
      <c r="AJ441" s="5"/>
      <c r="AK441" s="5"/>
      <c r="AL441" s="5"/>
      <c r="AM441" s="5"/>
      <c r="AN441" s="5"/>
      <c r="AO441" s="5"/>
      <c r="AP441" s="5"/>
      <c r="AQ441" s="5"/>
      <c r="AR441" s="5"/>
      <c r="AS441" s="22"/>
    </row>
    <row r="442" spans="1:50" hidden="1" x14ac:dyDescent="0.2">
      <c r="B442" s="1036" t="s">
        <v>964</v>
      </c>
      <c r="C442" s="727"/>
      <c r="D442" s="1012"/>
      <c r="E442" s="391" t="s">
        <v>951</v>
      </c>
      <c r="F442" s="391"/>
      <c r="G442" s="391"/>
      <c r="H442" s="544"/>
      <c r="I442" s="544"/>
      <c r="J442" s="544"/>
      <c r="K442" s="544"/>
      <c r="L442" s="544"/>
      <c r="M442" s="544"/>
      <c r="N442" s="544"/>
      <c r="O442" s="544"/>
      <c r="P442" s="544"/>
      <c r="Q442" s="544"/>
      <c r="R442" s="544"/>
      <c r="S442" s="544"/>
      <c r="T442" s="525"/>
      <c r="U442" s="544"/>
      <c r="V442" s="16"/>
      <c r="W442" s="16"/>
      <c r="X442" s="16"/>
      <c r="Y442" s="20"/>
      <c r="Z442" s="5"/>
      <c r="AA442" s="5"/>
      <c r="AB442" s="5"/>
      <c r="AC442" s="5"/>
      <c r="AD442" s="5"/>
      <c r="AE442" s="5"/>
      <c r="AF442" s="5"/>
      <c r="AG442" s="5"/>
      <c r="AH442" s="5"/>
      <c r="AI442" s="5"/>
      <c r="AJ442" s="5"/>
      <c r="AK442" s="5"/>
      <c r="AL442" s="5"/>
      <c r="AM442" s="5"/>
      <c r="AN442" s="5"/>
      <c r="AO442" s="5"/>
      <c r="AP442" s="5"/>
      <c r="AQ442" s="5"/>
      <c r="AR442" s="5"/>
      <c r="AS442" s="22"/>
    </row>
    <row r="443" spans="1:50" hidden="1" x14ac:dyDescent="0.2">
      <c r="B443" s="1036" t="s">
        <v>964</v>
      </c>
      <c r="C443" s="727"/>
      <c r="D443" s="1012"/>
      <c r="E443" s="802" t="s">
        <v>967</v>
      </c>
      <c r="F443" s="391"/>
      <c r="G443" s="391"/>
      <c r="H443" s="544"/>
      <c r="I443" s="544"/>
      <c r="J443" s="544"/>
      <c r="K443" s="544"/>
      <c r="L443" s="544"/>
      <c r="M443" s="544"/>
      <c r="N443" s="544"/>
      <c r="O443" s="544"/>
      <c r="P443" s="544"/>
      <c r="Q443" s="544"/>
      <c r="R443" s="544"/>
      <c r="S443" s="544"/>
      <c r="T443" s="525"/>
      <c r="U443" s="544"/>
      <c r="V443" s="16"/>
      <c r="W443" s="16"/>
      <c r="X443" s="16"/>
      <c r="Y443" s="20"/>
      <c r="Z443" s="5"/>
      <c r="AA443" s="5"/>
      <c r="AB443" s="5"/>
      <c r="AC443" s="5"/>
      <c r="AD443" s="5"/>
      <c r="AE443" s="5"/>
      <c r="AF443" s="5"/>
      <c r="AG443" s="5"/>
      <c r="AH443" s="5"/>
      <c r="AI443" s="5"/>
      <c r="AJ443" s="5"/>
      <c r="AK443" s="5"/>
      <c r="AL443" s="5"/>
      <c r="AM443" s="5"/>
      <c r="AN443" s="5"/>
      <c r="AO443" s="5"/>
      <c r="AP443" s="5"/>
      <c r="AQ443" s="5"/>
      <c r="AR443" s="5"/>
      <c r="AS443" s="22"/>
    </row>
    <row r="444" spans="1:50" hidden="1" x14ac:dyDescent="0.2">
      <c r="B444" s="1036" t="s">
        <v>964</v>
      </c>
      <c r="C444" s="727"/>
      <c r="D444" s="1012"/>
      <c r="E444" s="5"/>
      <c r="F444" s="5"/>
      <c r="G444" s="5"/>
      <c r="H444" s="16"/>
      <c r="I444" s="16"/>
      <c r="J444" s="16"/>
      <c r="K444" s="16"/>
      <c r="L444" s="16"/>
      <c r="M444" s="16"/>
      <c r="N444" s="16"/>
      <c r="O444" s="16"/>
      <c r="P444" s="16"/>
      <c r="Q444" s="16"/>
      <c r="R444" s="16"/>
      <c r="S444" s="16"/>
      <c r="T444" s="16"/>
      <c r="U444" s="16"/>
      <c r="V444" s="16"/>
      <c r="W444" s="16"/>
      <c r="X444" s="16"/>
      <c r="Y444" s="20"/>
      <c r="Z444" s="16"/>
      <c r="AA444" s="5"/>
      <c r="AB444" s="5"/>
      <c r="AC444" s="5"/>
      <c r="AD444" s="5"/>
      <c r="AE444" s="5"/>
      <c r="AF444" s="5"/>
      <c r="AG444" s="5"/>
      <c r="AH444" s="5"/>
      <c r="AI444" s="5"/>
      <c r="AJ444" s="5"/>
      <c r="AK444" s="5"/>
      <c r="AL444" s="5"/>
      <c r="AM444" s="5"/>
      <c r="AN444" s="5"/>
      <c r="AO444" s="5"/>
      <c r="AP444" s="5"/>
      <c r="AQ444" s="5"/>
      <c r="AR444" s="5"/>
      <c r="AS444" s="22"/>
    </row>
    <row r="445" spans="1:50" hidden="1" x14ac:dyDescent="0.2">
      <c r="B445" s="1036" t="s">
        <v>968</v>
      </c>
      <c r="C445" s="727"/>
      <c r="D445" s="1012"/>
      <c r="E445" s="5"/>
      <c r="F445" s="5"/>
      <c r="G445" s="5"/>
      <c r="H445" s="16"/>
      <c r="I445" s="16"/>
      <c r="J445" s="16"/>
      <c r="K445" s="16"/>
      <c r="L445" s="16"/>
      <c r="M445" s="16"/>
      <c r="N445" s="16"/>
      <c r="O445" s="16"/>
      <c r="P445" s="16"/>
      <c r="Q445" s="16"/>
      <c r="R445" s="16"/>
      <c r="S445" s="16"/>
      <c r="T445" s="16"/>
      <c r="U445" s="16"/>
      <c r="V445" s="16"/>
      <c r="W445" s="16"/>
      <c r="X445" s="16"/>
      <c r="Y445" s="20"/>
      <c r="Z445" s="16"/>
      <c r="AA445" s="16"/>
      <c r="AB445" s="5"/>
      <c r="AC445" s="5"/>
      <c r="AD445" s="5"/>
      <c r="AE445" s="5"/>
      <c r="AF445" s="5"/>
      <c r="AG445" s="5"/>
      <c r="AH445" s="5"/>
      <c r="AI445" s="5"/>
      <c r="AJ445" s="5"/>
      <c r="AK445" s="5"/>
      <c r="AL445" s="5"/>
      <c r="AM445" s="5"/>
      <c r="AN445" s="5"/>
      <c r="AO445" s="5"/>
      <c r="AP445" s="5"/>
      <c r="AQ445" s="5"/>
      <c r="AR445" s="5"/>
      <c r="AS445" s="22"/>
    </row>
    <row r="446" spans="1:50" ht="24" hidden="1" x14ac:dyDescent="0.2">
      <c r="B446" s="1036" t="s">
        <v>968</v>
      </c>
      <c r="C446" s="727"/>
      <c r="D446" s="1012"/>
      <c r="E446" s="240" t="s">
        <v>969</v>
      </c>
      <c r="F446" s="240"/>
      <c r="G446" s="240"/>
      <c r="H446" s="240"/>
      <c r="I446" s="240"/>
      <c r="J446" s="240"/>
      <c r="K446" s="240"/>
      <c r="L446" s="240"/>
      <c r="M446" s="240"/>
      <c r="N446" s="240"/>
      <c r="O446" s="240"/>
      <c r="P446" s="240"/>
      <c r="Q446" s="240"/>
      <c r="R446" s="240"/>
      <c r="S446" s="240"/>
      <c r="T446" s="240"/>
      <c r="U446" s="240"/>
      <c r="V446" s="61"/>
      <c r="X446" s="61"/>
      <c r="Y446" s="20"/>
      <c r="Z446" s="5"/>
      <c r="AA446" s="5"/>
      <c r="AB446" s="5"/>
      <c r="AC446" s="5"/>
      <c r="AD446" s="5"/>
      <c r="AE446" s="5"/>
      <c r="AF446" s="5"/>
      <c r="AG446" s="5"/>
      <c r="AH446" s="5"/>
      <c r="AI446" s="5"/>
      <c r="AJ446" s="5"/>
      <c r="AK446" s="5"/>
      <c r="AL446" s="5"/>
      <c r="AM446" s="5"/>
      <c r="AN446" s="5"/>
      <c r="AO446" s="5"/>
      <c r="AP446" s="5"/>
      <c r="AQ446" s="5"/>
      <c r="AR446" s="5"/>
      <c r="AS446" s="437"/>
    </row>
    <row r="447" spans="1:50" hidden="1" x14ac:dyDescent="0.2">
      <c r="B447" s="1036" t="s">
        <v>968</v>
      </c>
      <c r="C447" s="727"/>
      <c r="D447" s="1013"/>
      <c r="E447" s="386" t="s">
        <v>491</v>
      </c>
      <c r="F447" s="386"/>
      <c r="G447" s="386" t="s">
        <v>423</v>
      </c>
      <c r="H447" s="387"/>
      <c r="I447" s="387">
        <f t="shared" ref="I447:T447" ca="1" si="117">OFFSET(I447,0,-1)+1</f>
        <v>1</v>
      </c>
      <c r="J447" s="387">
        <f t="shared" ca="1" si="117"/>
        <v>2</v>
      </c>
      <c r="K447" s="387">
        <f t="shared" ca="1" si="117"/>
        <v>3</v>
      </c>
      <c r="L447" s="387">
        <f t="shared" ca="1" si="117"/>
        <v>4</v>
      </c>
      <c r="M447" s="387">
        <f t="shared" ca="1" si="117"/>
        <v>5</v>
      </c>
      <c r="N447" s="387">
        <f t="shared" ca="1" si="117"/>
        <v>6</v>
      </c>
      <c r="O447" s="387">
        <f t="shared" ca="1" si="117"/>
        <v>7</v>
      </c>
      <c r="P447" s="387">
        <f t="shared" ca="1" si="117"/>
        <v>8</v>
      </c>
      <c r="Q447" s="387">
        <f t="shared" ca="1" si="117"/>
        <v>9</v>
      </c>
      <c r="R447" s="387">
        <f t="shared" ca="1" si="117"/>
        <v>10</v>
      </c>
      <c r="S447" s="387">
        <f t="shared" ca="1" si="117"/>
        <v>11</v>
      </c>
      <c r="T447" s="387">
        <f t="shared" ca="1" si="117"/>
        <v>12</v>
      </c>
      <c r="U447" s="387"/>
      <c r="V447" s="61"/>
      <c r="X447" s="5"/>
      <c r="Y447" s="20"/>
      <c r="Z447" s="5"/>
      <c r="AA447" s="5"/>
      <c r="AB447" s="5"/>
      <c r="AC447" s="5"/>
      <c r="AD447" s="5"/>
      <c r="AE447" s="5"/>
      <c r="AF447" s="5"/>
      <c r="AG447" s="5"/>
      <c r="AH447" s="5"/>
      <c r="AI447" s="5"/>
      <c r="AJ447" s="5"/>
      <c r="AK447" s="5"/>
      <c r="AL447" s="5"/>
      <c r="AM447" s="5"/>
      <c r="AN447" s="5"/>
      <c r="AO447" s="5"/>
      <c r="AP447" s="5"/>
      <c r="AQ447" s="5"/>
      <c r="AR447" s="5"/>
    </row>
    <row r="448" spans="1:50" s="2" customFormat="1" ht="18.75" hidden="1" x14ac:dyDescent="0.2">
      <c r="A448" s="309"/>
      <c r="B448" s="1036" t="s">
        <v>968</v>
      </c>
      <c r="C448" s="727"/>
      <c r="D448" s="1017"/>
      <c r="E448" s="382" t="s">
        <v>970</v>
      </c>
      <c r="F448" s="383"/>
      <c r="G448" s="382"/>
      <c r="H448" s="384"/>
      <c r="I448" s="385"/>
      <c r="J448" s="384"/>
      <c r="K448" s="9"/>
      <c r="L448" s="9"/>
      <c r="M448" s="9"/>
      <c r="N448" s="9"/>
      <c r="O448" s="9"/>
      <c r="P448" s="9"/>
      <c r="Q448" s="9"/>
      <c r="R448" s="9"/>
      <c r="S448" s="4"/>
      <c r="T448" s="4"/>
      <c r="AC448" s="4"/>
      <c r="AD448" s="8"/>
      <c r="AE448" s="4"/>
      <c r="AF448" s="4"/>
      <c r="AG448" s="4"/>
      <c r="AH448" s="4"/>
      <c r="AI448" s="4"/>
      <c r="AJ448" s="4"/>
      <c r="AK448" s="4"/>
      <c r="AL448" s="4"/>
      <c r="AM448" s="4"/>
      <c r="AN448" s="4"/>
      <c r="AO448" s="4"/>
      <c r="AP448" s="4"/>
      <c r="AQ448" s="4"/>
      <c r="AR448" s="4"/>
      <c r="AS448" s="4"/>
      <c r="AT448" s="4"/>
      <c r="AU448" s="4"/>
      <c r="AV448" s="4"/>
      <c r="AW448" s="4"/>
      <c r="AX448" s="22"/>
    </row>
    <row r="449" spans="1:50" ht="25.5" hidden="1" x14ac:dyDescent="0.2">
      <c r="B449" s="1036" t="s">
        <v>968</v>
      </c>
      <c r="C449" s="727"/>
      <c r="D449" s="1012"/>
      <c r="E449" s="395" t="s">
        <v>124</v>
      </c>
      <c r="F449" s="396"/>
      <c r="G449" s="395" t="s">
        <v>70</v>
      </c>
      <c r="H449" s="408"/>
      <c r="I449" s="522" t="str">
        <f>I$272</f>
        <v>kantoor</v>
      </c>
      <c r="J449" s="522" t="str">
        <f t="shared" ref="J449:T449" si="118">J$272</f>
        <v>bijeenkomst overig</v>
      </c>
      <c r="K449" s="522" t="str">
        <f t="shared" si="118"/>
        <v>bijeenkomst kinderopvang</v>
      </c>
      <c r="L449" s="522" t="str">
        <f t="shared" si="118"/>
        <v>onderwijs</v>
      </c>
      <c r="M449" s="522" t="str">
        <f t="shared" si="118"/>
        <v>gezondheid overig</v>
      </c>
      <c r="N449" s="522" t="str">
        <f t="shared" si="118"/>
        <v>gezondheid met bed</v>
      </c>
      <c r="O449" s="522" t="str">
        <f t="shared" si="118"/>
        <v>winkel</v>
      </c>
      <c r="P449" s="522" t="str">
        <f t="shared" si="118"/>
        <v>sport</v>
      </c>
      <c r="Q449" s="522" t="str">
        <f t="shared" si="118"/>
        <v>logies</v>
      </c>
      <c r="R449" s="522" t="str">
        <f t="shared" si="118"/>
        <v>cellengebouw</v>
      </c>
      <c r="S449" s="522" t="str">
        <f t="shared" si="118"/>
        <v>woning</v>
      </c>
      <c r="T449" s="522" t="str">
        <f t="shared" si="118"/>
        <v>woongebouw</v>
      </c>
      <c r="U449" s="408"/>
      <c r="V449" s="20"/>
      <c r="X449" s="16"/>
      <c r="Y449" s="20"/>
      <c r="Z449" s="5"/>
      <c r="AA449" s="5"/>
      <c r="AB449" s="5"/>
      <c r="AC449" s="5"/>
      <c r="AD449" s="5"/>
      <c r="AE449" s="5"/>
      <c r="AF449" s="5"/>
      <c r="AG449" s="5"/>
      <c r="AH449" s="5"/>
      <c r="AI449" s="5"/>
      <c r="AJ449" s="5"/>
      <c r="AK449" s="5"/>
      <c r="AL449" s="5"/>
      <c r="AM449" s="5"/>
      <c r="AN449" s="5"/>
      <c r="AO449" s="5"/>
      <c r="AP449" s="5"/>
      <c r="AQ449" s="5"/>
      <c r="AR449" s="5"/>
      <c r="AS449" s="22"/>
    </row>
    <row r="450" spans="1:50" hidden="1" x14ac:dyDescent="0.2">
      <c r="B450" s="1036" t="s">
        <v>968</v>
      </c>
      <c r="C450" s="727"/>
      <c r="D450" s="1012">
        <f ca="1">OFFSET(D450,-1,0)+1</f>
        <v>1</v>
      </c>
      <c r="E450" s="395" t="s">
        <v>971</v>
      </c>
      <c r="F450" s="396"/>
      <c r="G450" s="395" t="s">
        <v>169</v>
      </c>
      <c r="H450" s="408"/>
      <c r="I450" s="407">
        <v>1.8288415610293782</v>
      </c>
      <c r="J450" s="407">
        <v>2.5418204567613358</v>
      </c>
      <c r="K450" s="407">
        <v>2.2114553421897014</v>
      </c>
      <c r="L450" s="407">
        <v>2.5488157054281508</v>
      </c>
      <c r="M450" s="407">
        <v>1.1654898627803334</v>
      </c>
      <c r="N450" s="407">
        <v>2.2036939790980625</v>
      </c>
      <c r="O450" s="407">
        <v>2.4717486437003942</v>
      </c>
      <c r="P450" s="407">
        <v>2.4467135687272119</v>
      </c>
      <c r="Q450" s="407">
        <v>3.1914390376463473</v>
      </c>
      <c r="R450" s="407">
        <v>2.1974174446957662</v>
      </c>
      <c r="S450" s="407">
        <v>5</v>
      </c>
      <c r="T450" s="546">
        <f>S450</f>
        <v>5</v>
      </c>
      <c r="U450" s="408"/>
      <c r="V450" s="20"/>
      <c r="X450" s="16"/>
      <c r="Y450" s="20"/>
      <c r="Z450" s="5"/>
      <c r="AA450" s="5"/>
      <c r="AB450" s="5"/>
      <c r="AC450" s="5"/>
      <c r="AD450" s="5"/>
      <c r="AE450" s="5"/>
      <c r="AF450" s="5"/>
      <c r="AG450" s="5"/>
      <c r="AH450" s="5"/>
      <c r="AI450" s="5"/>
      <c r="AJ450" s="5"/>
      <c r="AK450" s="5"/>
      <c r="AL450" s="5"/>
      <c r="AM450" s="5"/>
      <c r="AN450" s="5"/>
      <c r="AO450" s="5"/>
      <c r="AP450" s="5"/>
      <c r="AQ450" s="5"/>
      <c r="AR450" s="5"/>
      <c r="AS450" s="22"/>
    </row>
    <row r="451" spans="1:50" hidden="1" x14ac:dyDescent="0.2">
      <c r="A451" s="233" t="s">
        <v>541</v>
      </c>
      <c r="B451" s="1036" t="s">
        <v>968</v>
      </c>
      <c r="C451" s="727"/>
      <c r="D451" s="1012">
        <f ca="1">OFFSET(D451,-1,0)+1</f>
        <v>2</v>
      </c>
      <c r="E451" s="395" t="s">
        <v>972</v>
      </c>
      <c r="F451" s="396"/>
      <c r="G451" s="395" t="s">
        <v>973</v>
      </c>
      <c r="H451" s="408"/>
      <c r="I451" s="407">
        <v>2.6379870861287928</v>
      </c>
      <c r="J451" s="407">
        <v>2.6007073322217287</v>
      </c>
      <c r="K451" s="407">
        <v>2.6073889995474935</v>
      </c>
      <c r="L451" s="407">
        <v>1.9669805590606055</v>
      </c>
      <c r="M451" s="407">
        <v>2.6977428176747114</v>
      </c>
      <c r="N451" s="407">
        <v>5.2284493925871773</v>
      </c>
      <c r="O451" s="407">
        <v>3.2165395961051884</v>
      </c>
      <c r="P451" s="407">
        <v>3.1211713204107099</v>
      </c>
      <c r="Q451" s="407">
        <v>5.0874577181676761</v>
      </c>
      <c r="R451" s="407">
        <v>5.2008319593800172</v>
      </c>
      <c r="S451" s="407">
        <v>0</v>
      </c>
      <c r="T451" s="546">
        <f>S451</f>
        <v>0</v>
      </c>
      <c r="U451" s="408"/>
      <c r="V451" s="20"/>
      <c r="X451" s="16"/>
      <c r="Y451" s="20"/>
      <c r="Z451" s="5"/>
      <c r="AA451" s="5"/>
      <c r="AB451" s="5"/>
      <c r="AC451" s="5"/>
      <c r="AD451" s="5"/>
      <c r="AE451" s="5"/>
      <c r="AF451" s="5"/>
      <c r="AG451" s="5"/>
      <c r="AH451" s="5"/>
      <c r="AI451" s="5"/>
      <c r="AJ451" s="5"/>
      <c r="AK451" s="5"/>
      <c r="AL451" s="5"/>
      <c r="AM451" s="5"/>
      <c r="AN451" s="5"/>
      <c r="AO451" s="5"/>
      <c r="AP451" s="5"/>
      <c r="AQ451" s="5"/>
      <c r="AR451" s="5"/>
      <c r="AS451" s="22"/>
    </row>
    <row r="452" spans="1:50" hidden="1" x14ac:dyDescent="0.2">
      <c r="B452" s="1036" t="s">
        <v>968</v>
      </c>
      <c r="C452" s="727"/>
      <c r="D452" s="1012"/>
      <c r="E452" s="395" t="s">
        <v>974</v>
      </c>
      <c r="F452" s="396"/>
      <c r="G452" s="395" t="s">
        <v>152</v>
      </c>
      <c r="H452" s="408"/>
      <c r="I452" s="518">
        <v>16</v>
      </c>
      <c r="J452" s="518">
        <v>16</v>
      </c>
      <c r="K452" s="518">
        <v>16</v>
      </c>
      <c r="L452" s="518">
        <v>16</v>
      </c>
      <c r="M452" s="518">
        <v>16</v>
      </c>
      <c r="N452" s="518">
        <v>17</v>
      </c>
      <c r="O452" s="518">
        <v>30</v>
      </c>
      <c r="P452" s="518">
        <v>16</v>
      </c>
      <c r="Q452" s="518">
        <v>17</v>
      </c>
      <c r="R452" s="518">
        <v>17</v>
      </c>
      <c r="S452" s="518">
        <v>0</v>
      </c>
      <c r="T452" s="518">
        <v>0</v>
      </c>
      <c r="U452" s="408"/>
      <c r="V452" s="20"/>
      <c r="X452" s="16"/>
      <c r="Y452" s="20"/>
      <c r="Z452" s="5"/>
      <c r="AA452" s="5"/>
      <c r="AB452" s="5"/>
      <c r="AC452" s="5"/>
      <c r="AD452" s="5"/>
      <c r="AE452" s="5"/>
      <c r="AF452" s="5"/>
      <c r="AG452" s="5"/>
      <c r="AH452" s="5"/>
      <c r="AI452" s="5"/>
      <c r="AJ452" s="5"/>
      <c r="AK452" s="5"/>
      <c r="AL452" s="5"/>
      <c r="AM452" s="5"/>
      <c r="AN452" s="5"/>
      <c r="AO452" s="5"/>
      <c r="AP452" s="5"/>
      <c r="AQ452" s="5"/>
      <c r="AR452" s="5"/>
      <c r="AS452" s="22"/>
    </row>
    <row r="453" spans="1:50" hidden="1" x14ac:dyDescent="0.2">
      <c r="B453" s="1036" t="s">
        <v>968</v>
      </c>
      <c r="C453" s="727"/>
      <c r="D453" s="1012"/>
      <c r="E453" s="391" t="s">
        <v>975</v>
      </c>
      <c r="F453" s="391"/>
      <c r="G453" s="391"/>
      <c r="H453" s="544"/>
      <c r="I453" s="544"/>
      <c r="J453" s="544"/>
      <c r="K453" s="544"/>
      <c r="L453" s="544"/>
      <c r="M453" s="544"/>
      <c r="N453" s="544"/>
      <c r="O453" s="544"/>
      <c r="P453" s="544"/>
      <c r="Q453" s="544"/>
      <c r="R453" s="544"/>
      <c r="S453" s="544"/>
      <c r="T453" s="525"/>
      <c r="U453" s="544"/>
      <c r="V453" s="16"/>
      <c r="W453" s="16"/>
      <c r="X453" s="16"/>
      <c r="Y453" s="20"/>
      <c r="Z453" s="5"/>
      <c r="AA453" s="5"/>
      <c r="AB453" s="5"/>
      <c r="AC453" s="5"/>
      <c r="AD453" s="5"/>
      <c r="AE453" s="5"/>
      <c r="AF453" s="5"/>
      <c r="AG453" s="5"/>
      <c r="AH453" s="5"/>
      <c r="AI453" s="5"/>
      <c r="AJ453" s="5"/>
      <c r="AK453" s="5"/>
      <c r="AL453" s="5"/>
      <c r="AM453" s="5"/>
      <c r="AN453" s="5"/>
      <c r="AO453" s="5"/>
      <c r="AP453" s="5"/>
      <c r="AQ453" s="5"/>
      <c r="AR453" s="5"/>
      <c r="AS453" s="22"/>
    </row>
    <row r="454" spans="1:50" hidden="1" x14ac:dyDescent="0.2">
      <c r="B454" s="1036" t="s">
        <v>968</v>
      </c>
      <c r="C454" s="727"/>
      <c r="D454" s="1012"/>
      <c r="E454" s="391" t="s">
        <v>976</v>
      </c>
      <c r="F454" s="391"/>
      <c r="G454" s="391"/>
      <c r="H454" s="544"/>
      <c r="I454" s="544"/>
      <c r="J454" s="544"/>
      <c r="K454" s="544"/>
      <c r="L454" s="544"/>
      <c r="M454" s="544"/>
      <c r="N454" s="544"/>
      <c r="O454" s="544"/>
      <c r="P454" s="544"/>
      <c r="Q454" s="544"/>
      <c r="R454" s="544"/>
      <c r="S454" s="544"/>
      <c r="T454" s="525"/>
      <c r="U454" s="544"/>
      <c r="V454" s="16"/>
      <c r="X454" s="16"/>
      <c r="Y454" s="20"/>
      <c r="Z454" s="5"/>
      <c r="AA454" s="5"/>
      <c r="AB454" s="5"/>
      <c r="AC454" s="5"/>
      <c r="AD454" s="5"/>
      <c r="AE454" s="5"/>
      <c r="AF454" s="5"/>
      <c r="AG454" s="5"/>
      <c r="AH454" s="5"/>
      <c r="AI454" s="5"/>
      <c r="AJ454" s="5"/>
      <c r="AK454" s="5"/>
      <c r="AL454" s="5"/>
      <c r="AM454" s="5"/>
      <c r="AN454" s="5"/>
      <c r="AO454" s="5"/>
      <c r="AP454" s="5"/>
      <c r="AQ454" s="5"/>
      <c r="AR454" s="5"/>
      <c r="AS454" s="22"/>
    </row>
    <row r="455" spans="1:50" hidden="1" x14ac:dyDescent="0.2">
      <c r="B455" s="1036" t="s">
        <v>968</v>
      </c>
      <c r="C455" s="727"/>
      <c r="D455" s="1012"/>
      <c r="E455" s="391" t="s">
        <v>977</v>
      </c>
      <c r="F455" s="391"/>
      <c r="G455" s="391"/>
      <c r="H455" s="544"/>
      <c r="I455" s="544"/>
      <c r="J455" s="544"/>
      <c r="K455" s="544"/>
      <c r="L455" s="544"/>
      <c r="M455" s="544"/>
      <c r="N455" s="544"/>
      <c r="O455" s="544"/>
      <c r="P455" s="544"/>
      <c r="Q455" s="544"/>
      <c r="R455" s="544"/>
      <c r="S455" s="544"/>
      <c r="T455" s="525"/>
      <c r="U455" s="544"/>
      <c r="V455" s="16"/>
      <c r="X455" s="16"/>
      <c r="Y455" s="20"/>
      <c r="Z455" s="5"/>
      <c r="AA455" s="5"/>
      <c r="AB455" s="5"/>
      <c r="AC455" s="5"/>
      <c r="AD455" s="5"/>
      <c r="AE455" s="5"/>
      <c r="AF455" s="5"/>
      <c r="AG455" s="5"/>
      <c r="AH455" s="5"/>
      <c r="AI455" s="5"/>
      <c r="AJ455" s="5"/>
      <c r="AK455" s="5"/>
      <c r="AL455" s="5"/>
      <c r="AM455" s="5"/>
      <c r="AN455" s="5"/>
      <c r="AO455" s="5"/>
      <c r="AP455" s="5"/>
      <c r="AQ455" s="5"/>
      <c r="AR455" s="5"/>
      <c r="AS455" s="22"/>
    </row>
    <row r="456" spans="1:50" hidden="1" x14ac:dyDescent="0.2">
      <c r="B456" s="1036" t="s">
        <v>968</v>
      </c>
      <c r="C456" s="727"/>
      <c r="D456" s="1012"/>
      <c r="E456" s="5"/>
      <c r="F456" s="5"/>
      <c r="G456" s="5"/>
      <c r="H456" s="16"/>
      <c r="I456" s="16"/>
      <c r="J456" s="16"/>
      <c r="K456" s="16"/>
      <c r="L456" s="16"/>
      <c r="M456" s="16"/>
      <c r="N456" s="16"/>
      <c r="O456" s="16"/>
      <c r="P456" s="16"/>
      <c r="Q456" s="16"/>
      <c r="R456" s="16"/>
      <c r="S456" s="16"/>
      <c r="T456" s="16"/>
      <c r="U456" s="16"/>
      <c r="V456" s="16"/>
      <c r="X456" s="16"/>
      <c r="Y456" s="20"/>
      <c r="Z456" s="16"/>
      <c r="AA456" s="5"/>
      <c r="AB456" s="5"/>
      <c r="AC456" s="5"/>
      <c r="AD456" s="5"/>
      <c r="AE456" s="5"/>
      <c r="AF456" s="5"/>
      <c r="AG456" s="5"/>
      <c r="AH456" s="5"/>
      <c r="AI456" s="5"/>
      <c r="AJ456" s="5"/>
      <c r="AK456" s="5"/>
      <c r="AL456" s="5"/>
      <c r="AM456" s="5"/>
      <c r="AN456" s="5"/>
      <c r="AO456" s="5"/>
      <c r="AP456" s="5"/>
      <c r="AQ456" s="5"/>
      <c r="AR456" s="5"/>
      <c r="AS456" s="22"/>
    </row>
    <row r="457" spans="1:50" hidden="1" x14ac:dyDescent="0.2">
      <c r="B457" s="1036" t="s">
        <v>968</v>
      </c>
      <c r="C457" s="727"/>
      <c r="D457" s="1012"/>
      <c r="E457" s="5"/>
      <c r="F457" s="5"/>
      <c r="G457" s="5"/>
      <c r="H457" s="16"/>
      <c r="I457" s="16"/>
      <c r="J457" s="16"/>
      <c r="K457" s="16"/>
      <c r="L457" s="16"/>
      <c r="M457" s="16"/>
      <c r="N457" s="16"/>
      <c r="O457" s="16"/>
      <c r="P457" s="16"/>
      <c r="Q457" s="16"/>
      <c r="R457" s="16"/>
      <c r="S457" s="16"/>
      <c r="T457" s="16"/>
      <c r="U457" s="16"/>
      <c r="V457" s="16"/>
      <c r="X457" s="16"/>
      <c r="Y457" s="20"/>
      <c r="Z457" s="16"/>
      <c r="AA457" s="16"/>
      <c r="AB457" s="5"/>
      <c r="AC457" s="5"/>
      <c r="AD457" s="5"/>
      <c r="AE457" s="5"/>
      <c r="AF457" s="5"/>
      <c r="AG457" s="5"/>
      <c r="AH457" s="5"/>
      <c r="AI457" s="5"/>
      <c r="AJ457" s="5"/>
      <c r="AK457" s="5"/>
      <c r="AL457" s="5"/>
      <c r="AM457" s="5"/>
      <c r="AN457" s="5"/>
      <c r="AO457" s="5"/>
      <c r="AP457" s="5"/>
      <c r="AQ457" s="5"/>
      <c r="AR457" s="5"/>
      <c r="AS457" s="22"/>
    </row>
    <row r="458" spans="1:50" ht="21" hidden="1" x14ac:dyDescent="0.2">
      <c r="B458" s="1036" t="s">
        <v>968</v>
      </c>
      <c r="C458" s="727"/>
      <c r="D458" s="1012"/>
      <c r="E458" s="240" t="s">
        <v>978</v>
      </c>
      <c r="F458" s="240"/>
      <c r="G458" s="240"/>
      <c r="H458" s="240"/>
      <c r="I458" s="240"/>
      <c r="J458" s="240"/>
      <c r="K458" s="240"/>
      <c r="L458" s="240"/>
      <c r="M458" s="240"/>
      <c r="N458" s="240"/>
      <c r="O458" s="61"/>
      <c r="P458" s="61"/>
      <c r="Q458" s="61"/>
      <c r="R458" s="61"/>
      <c r="S458" s="61"/>
      <c r="T458" s="61"/>
      <c r="U458" s="61"/>
      <c r="V458" s="61"/>
      <c r="X458" s="61"/>
      <c r="Y458" s="20"/>
      <c r="Z458" s="5"/>
      <c r="AA458" s="5"/>
      <c r="AB458" s="5"/>
      <c r="AC458" s="5"/>
      <c r="AD458" s="5"/>
      <c r="AE458" s="5"/>
      <c r="AF458" s="5"/>
      <c r="AG458" s="5"/>
      <c r="AH458" s="5"/>
      <c r="AI458" s="5"/>
      <c r="AJ458" s="5"/>
      <c r="AK458" s="5"/>
      <c r="AL458" s="5"/>
      <c r="AM458" s="5"/>
      <c r="AN458" s="5"/>
      <c r="AO458" s="5"/>
      <c r="AP458" s="5"/>
      <c r="AQ458" s="5"/>
      <c r="AR458" s="5"/>
      <c r="AS458" s="437"/>
    </row>
    <row r="459" spans="1:50" hidden="1" x14ac:dyDescent="0.2">
      <c r="B459" s="1036" t="s">
        <v>968</v>
      </c>
      <c r="C459" s="727"/>
      <c r="D459" s="1013"/>
      <c r="E459" s="386" t="s">
        <v>491</v>
      </c>
      <c r="F459" s="386"/>
      <c r="G459" s="386" t="s">
        <v>423</v>
      </c>
      <c r="H459" s="387"/>
      <c r="I459" s="387">
        <f ca="1">OFFSET(I459,0,-1)+1</f>
        <v>1</v>
      </c>
      <c r="J459" s="387">
        <f ca="1">OFFSET(J459,0,-1)+1</f>
        <v>2</v>
      </c>
      <c r="K459" s="387">
        <f ca="1">OFFSET(K459,0,-1)+1</f>
        <v>3</v>
      </c>
      <c r="L459" s="387">
        <f ca="1">OFFSET(L459,0,-1)+1</f>
        <v>4</v>
      </c>
      <c r="M459" s="387">
        <f ca="1">OFFSET(M459,0,-1)+1</f>
        <v>5</v>
      </c>
      <c r="N459" s="387"/>
      <c r="O459" s="61"/>
      <c r="P459" s="61"/>
      <c r="Q459" s="5"/>
      <c r="R459" s="5"/>
      <c r="S459" s="5"/>
      <c r="T459" s="5"/>
      <c r="U459" s="5"/>
      <c r="V459" s="5"/>
      <c r="X459" s="5"/>
      <c r="Y459" s="20"/>
      <c r="Z459" s="5"/>
      <c r="AA459" s="5"/>
      <c r="AB459" s="5"/>
      <c r="AC459" s="5"/>
      <c r="AD459" s="5"/>
      <c r="AE459" s="5"/>
      <c r="AF459" s="5"/>
      <c r="AG459" s="5"/>
      <c r="AH459" s="5"/>
      <c r="AI459" s="5"/>
      <c r="AJ459" s="5"/>
      <c r="AK459" s="5"/>
      <c r="AL459" s="5"/>
      <c r="AM459" s="5"/>
      <c r="AN459" s="5"/>
      <c r="AO459" s="5"/>
      <c r="AP459" s="5"/>
      <c r="AQ459" s="5"/>
      <c r="AR459" s="5"/>
      <c r="AS459" s="22"/>
    </row>
    <row r="460" spans="1:50" s="2" customFormat="1" ht="18.75" hidden="1" x14ac:dyDescent="0.2">
      <c r="A460" s="309"/>
      <c r="B460" s="1036" t="s">
        <v>968</v>
      </c>
      <c r="C460" s="727"/>
      <c r="D460" s="1017"/>
      <c r="E460" s="382" t="s">
        <v>979</v>
      </c>
      <c r="F460" s="383"/>
      <c r="G460" s="382"/>
      <c r="H460" s="384"/>
      <c r="I460" s="385"/>
      <c r="J460" s="384"/>
      <c r="K460" s="9"/>
      <c r="L460" s="9"/>
      <c r="M460" s="9"/>
      <c r="N460" s="9"/>
      <c r="O460" s="9"/>
      <c r="P460" s="9"/>
      <c r="Q460" s="9"/>
      <c r="R460" s="9"/>
      <c r="S460" s="4"/>
      <c r="T460" s="4"/>
      <c r="AC460" s="4"/>
      <c r="AD460" s="8"/>
      <c r="AE460" s="4"/>
      <c r="AF460" s="4"/>
      <c r="AG460" s="4"/>
      <c r="AH460" s="4"/>
      <c r="AI460" s="4"/>
      <c r="AJ460" s="4"/>
      <c r="AK460" s="4"/>
      <c r="AL460" s="4"/>
      <c r="AM460" s="4"/>
      <c r="AN460" s="4"/>
      <c r="AO460" s="4"/>
      <c r="AP460" s="4"/>
      <c r="AQ460" s="4"/>
      <c r="AR460" s="4"/>
      <c r="AS460" s="4"/>
      <c r="AT460" s="4"/>
      <c r="AU460" s="4"/>
      <c r="AV460" s="4"/>
      <c r="AW460" s="4"/>
      <c r="AX460" s="22"/>
    </row>
    <row r="461" spans="1:50" ht="51" hidden="1" x14ac:dyDescent="0.2">
      <c r="B461" s="1036" t="s">
        <v>968</v>
      </c>
      <c r="C461" s="727"/>
      <c r="D461" s="1012"/>
      <c r="E461" s="395" t="s">
        <v>980</v>
      </c>
      <c r="F461" s="396"/>
      <c r="G461" s="395" t="s">
        <v>70</v>
      </c>
      <c r="H461" s="408"/>
      <c r="I461" s="522" t="s">
        <v>981</v>
      </c>
      <c r="J461" s="522" t="s">
        <v>982</v>
      </c>
      <c r="K461" s="522" t="s">
        <v>983</v>
      </c>
      <c r="L461" s="522" t="s">
        <v>154</v>
      </c>
      <c r="M461" s="522" t="s">
        <v>984</v>
      </c>
      <c r="N461" s="408"/>
      <c r="O461" s="20"/>
      <c r="P461" s="16"/>
      <c r="Q461" s="16"/>
      <c r="R461" s="16"/>
      <c r="S461" s="5"/>
      <c r="T461" s="5"/>
      <c r="U461" s="5"/>
      <c r="V461" s="5"/>
      <c r="X461" s="5"/>
      <c r="Y461" s="20"/>
      <c r="Z461" s="5"/>
      <c r="AA461" s="5"/>
      <c r="AB461" s="5"/>
      <c r="AC461" s="5"/>
      <c r="AD461" s="5"/>
      <c r="AE461" s="5"/>
      <c r="AF461" s="5"/>
      <c r="AG461" s="5"/>
      <c r="AH461" s="5"/>
      <c r="AI461" s="5"/>
      <c r="AJ461" s="5"/>
      <c r="AK461" s="5"/>
      <c r="AL461" s="5"/>
      <c r="AM461" s="5"/>
      <c r="AN461" s="5"/>
      <c r="AO461" s="5"/>
      <c r="AP461" s="5"/>
      <c r="AQ461" s="5"/>
      <c r="AR461" s="5"/>
      <c r="AS461" s="22"/>
    </row>
    <row r="462" spans="1:50" hidden="1" x14ac:dyDescent="0.2">
      <c r="A462" s="233" t="s">
        <v>541</v>
      </c>
      <c r="B462" s="1036" t="s">
        <v>968</v>
      </c>
      <c r="C462" s="727"/>
      <c r="D462" s="1012">
        <f ca="1">OFFSET(D462,-1,0)+1</f>
        <v>1</v>
      </c>
      <c r="E462" s="395" t="s">
        <v>985</v>
      </c>
      <c r="F462" s="396"/>
      <c r="G462" s="395" t="s">
        <v>70</v>
      </c>
      <c r="H462" s="408"/>
      <c r="I462" s="410">
        <v>1</v>
      </c>
      <c r="J462" s="410">
        <v>0.93</v>
      </c>
      <c r="K462" s="410">
        <v>0.88</v>
      </c>
      <c r="L462" s="410">
        <v>0.85</v>
      </c>
      <c r="M462" s="410">
        <v>0.82</v>
      </c>
      <c r="N462" s="408"/>
      <c r="O462" s="20"/>
      <c r="P462" s="16"/>
      <c r="Q462" s="16"/>
      <c r="R462" s="16"/>
      <c r="S462" s="5"/>
      <c r="T462" s="5"/>
      <c r="U462" s="5"/>
      <c r="V462" s="5"/>
      <c r="X462" s="5"/>
      <c r="Y462" s="20"/>
      <c r="Z462" s="5"/>
      <c r="AA462" s="5"/>
      <c r="AB462" s="5"/>
      <c r="AC462" s="5"/>
      <c r="AD462" s="5"/>
      <c r="AE462" s="5"/>
      <c r="AF462" s="5"/>
      <c r="AG462" s="5"/>
      <c r="AH462" s="5"/>
      <c r="AI462" s="5"/>
      <c r="AJ462" s="5"/>
      <c r="AK462" s="5"/>
      <c r="AL462" s="5"/>
      <c r="AM462" s="5"/>
      <c r="AN462" s="5"/>
      <c r="AO462" s="5"/>
      <c r="AP462" s="5"/>
      <c r="AQ462" s="5"/>
      <c r="AR462" s="5"/>
      <c r="AS462" s="22"/>
    </row>
    <row r="463" spans="1:50" hidden="1" x14ac:dyDescent="0.2">
      <c r="B463" s="1036" t="s">
        <v>968</v>
      </c>
      <c r="C463" s="727"/>
      <c r="E463" s="391" t="s">
        <v>986</v>
      </c>
      <c r="F463" s="391"/>
      <c r="G463" s="391"/>
      <c r="H463" s="544"/>
      <c r="I463" s="544"/>
      <c r="J463" s="544"/>
      <c r="K463" s="544"/>
      <c r="L463" s="544"/>
      <c r="M463" s="544"/>
      <c r="N463" s="544"/>
      <c r="O463" s="20"/>
      <c r="P463" s="16"/>
      <c r="Q463" s="16"/>
      <c r="R463" s="16"/>
      <c r="S463" s="5"/>
      <c r="T463" s="5"/>
      <c r="U463" s="5"/>
      <c r="V463" s="5"/>
      <c r="W463" s="16"/>
      <c r="X463" s="16"/>
      <c r="Y463" s="20"/>
      <c r="Z463" s="5"/>
      <c r="AA463" s="5"/>
      <c r="AB463" s="5"/>
      <c r="AC463" s="5"/>
      <c r="AD463" s="5"/>
      <c r="AE463" s="5"/>
      <c r="AF463" s="5"/>
      <c r="AG463" s="5"/>
      <c r="AH463" s="5"/>
      <c r="AI463" s="5"/>
      <c r="AJ463" s="5"/>
      <c r="AK463" s="5"/>
      <c r="AL463" s="5"/>
      <c r="AM463" s="5"/>
      <c r="AN463" s="5"/>
      <c r="AO463" s="5"/>
      <c r="AP463" s="5"/>
      <c r="AQ463" s="5"/>
      <c r="AR463" s="5"/>
      <c r="AS463" s="22"/>
    </row>
    <row r="464" spans="1:50" hidden="1" x14ac:dyDescent="0.2">
      <c r="B464" s="1036" t="s">
        <v>968</v>
      </c>
      <c r="C464" s="727"/>
      <c r="E464" s="5"/>
      <c r="F464" s="5"/>
      <c r="G464" s="5"/>
      <c r="H464" s="16"/>
      <c r="I464" s="16"/>
      <c r="J464" s="16"/>
      <c r="K464" s="16"/>
      <c r="L464" s="16"/>
      <c r="M464" s="16"/>
      <c r="N464" s="16"/>
      <c r="O464" s="16"/>
      <c r="P464" s="16"/>
      <c r="Q464" s="16"/>
      <c r="R464" s="16"/>
      <c r="S464" s="16"/>
      <c r="T464" s="16"/>
      <c r="U464" s="16"/>
      <c r="V464" s="16"/>
      <c r="X464" s="16"/>
      <c r="Y464" s="20"/>
      <c r="Z464" s="16"/>
      <c r="AA464" s="5"/>
      <c r="AB464" s="5"/>
      <c r="AC464" s="5"/>
      <c r="AD464" s="5"/>
      <c r="AE464" s="5"/>
      <c r="AF464" s="5"/>
      <c r="AG464" s="5"/>
      <c r="AH464" s="5"/>
      <c r="AI464" s="5"/>
      <c r="AJ464" s="5"/>
      <c r="AK464" s="5"/>
      <c r="AL464" s="5"/>
      <c r="AM464" s="5"/>
      <c r="AN464" s="5"/>
      <c r="AO464" s="5"/>
      <c r="AP464" s="5"/>
      <c r="AQ464" s="5"/>
      <c r="AR464" s="5"/>
      <c r="AS464" s="22"/>
    </row>
    <row r="465" spans="2:45" hidden="1" x14ac:dyDescent="0.2">
      <c r="B465" s="1036" t="s">
        <v>987</v>
      </c>
      <c r="C465" s="727"/>
      <c r="E465" s="5"/>
      <c r="F465" s="5"/>
      <c r="G465" s="5"/>
      <c r="H465" s="16"/>
      <c r="I465" s="16"/>
      <c r="J465" s="16"/>
      <c r="K465" s="16"/>
      <c r="L465" s="16"/>
      <c r="M465" s="16"/>
      <c r="N465" s="16"/>
      <c r="O465" s="16"/>
      <c r="P465" s="16"/>
      <c r="Q465" s="16"/>
      <c r="R465" s="16"/>
      <c r="S465" s="16"/>
      <c r="T465" s="16"/>
      <c r="U465" s="16"/>
      <c r="V465" s="16"/>
      <c r="X465" s="16"/>
      <c r="Y465" s="20"/>
      <c r="Z465" s="16"/>
      <c r="AA465" s="16"/>
      <c r="AB465" s="5"/>
      <c r="AC465" s="5"/>
      <c r="AD465" s="5"/>
      <c r="AE465" s="5"/>
      <c r="AF465" s="5"/>
      <c r="AG465" s="5"/>
      <c r="AH465" s="5"/>
      <c r="AI465" s="5"/>
      <c r="AJ465" s="5"/>
      <c r="AK465" s="5"/>
      <c r="AL465" s="5"/>
      <c r="AM465" s="5"/>
      <c r="AN465" s="5"/>
      <c r="AO465" s="5"/>
      <c r="AP465" s="5"/>
      <c r="AQ465" s="5"/>
      <c r="AR465" s="5"/>
      <c r="AS465" s="22"/>
    </row>
    <row r="466" spans="2:45" ht="21" hidden="1" x14ac:dyDescent="0.2">
      <c r="B466" s="1036" t="s">
        <v>987</v>
      </c>
      <c r="C466" s="727"/>
      <c r="E466" s="240" t="s">
        <v>987</v>
      </c>
      <c r="F466" s="240"/>
      <c r="G466" s="240"/>
      <c r="H466" s="240"/>
      <c r="I466" s="240"/>
      <c r="J466" s="240"/>
      <c r="K466" s="240"/>
      <c r="L466" s="240"/>
      <c r="M466" s="240"/>
      <c r="N466" s="240"/>
      <c r="O466" s="240"/>
      <c r="P466" s="240"/>
      <c r="Q466" s="240"/>
      <c r="R466" s="240"/>
      <c r="S466" s="240"/>
      <c r="T466" s="240"/>
      <c r="U466" s="240"/>
      <c r="V466" s="61"/>
      <c r="X466" s="61"/>
      <c r="Y466" s="20"/>
      <c r="Z466" s="5"/>
      <c r="AA466" s="5"/>
      <c r="AB466" s="5"/>
      <c r="AC466" s="5"/>
      <c r="AD466" s="5"/>
      <c r="AE466" s="5"/>
      <c r="AF466" s="5"/>
      <c r="AG466" s="5"/>
      <c r="AH466" s="5"/>
      <c r="AI466" s="5"/>
      <c r="AJ466" s="5"/>
      <c r="AK466" s="5"/>
      <c r="AL466" s="5"/>
      <c r="AM466" s="5"/>
      <c r="AN466" s="5"/>
      <c r="AO466" s="5"/>
      <c r="AP466" s="5"/>
      <c r="AQ466" s="5"/>
      <c r="AR466" s="5"/>
      <c r="AS466" s="437"/>
    </row>
    <row r="467" spans="2:45" hidden="1" x14ac:dyDescent="0.2">
      <c r="B467" s="1036" t="s">
        <v>987</v>
      </c>
      <c r="C467" s="727"/>
      <c r="D467" s="869"/>
      <c r="E467" s="386" t="s">
        <v>491</v>
      </c>
      <c r="F467" s="386"/>
      <c r="G467" s="386" t="s">
        <v>423</v>
      </c>
      <c r="H467" s="387"/>
      <c r="I467" s="387">
        <f t="shared" ref="I467:T467" ca="1" si="119">OFFSET(I467,0,-1)+1</f>
        <v>1</v>
      </c>
      <c r="J467" s="387">
        <f t="shared" ca="1" si="119"/>
        <v>2</v>
      </c>
      <c r="K467" s="387">
        <f t="shared" ca="1" si="119"/>
        <v>3</v>
      </c>
      <c r="L467" s="387">
        <f t="shared" ca="1" si="119"/>
        <v>4</v>
      </c>
      <c r="M467" s="387">
        <f t="shared" ca="1" si="119"/>
        <v>5</v>
      </c>
      <c r="N467" s="387">
        <f t="shared" ca="1" si="119"/>
        <v>6</v>
      </c>
      <c r="O467" s="387">
        <f t="shared" ca="1" si="119"/>
        <v>7</v>
      </c>
      <c r="P467" s="387">
        <f t="shared" ca="1" si="119"/>
        <v>8</v>
      </c>
      <c r="Q467" s="387">
        <f t="shared" ca="1" si="119"/>
        <v>9</v>
      </c>
      <c r="R467" s="387">
        <f t="shared" ca="1" si="119"/>
        <v>10</v>
      </c>
      <c r="S467" s="387">
        <f t="shared" ca="1" si="119"/>
        <v>11</v>
      </c>
      <c r="T467" s="387">
        <f t="shared" ca="1" si="119"/>
        <v>12</v>
      </c>
      <c r="U467" s="387"/>
      <c r="V467" s="61"/>
      <c r="W467" s="61"/>
      <c r="X467" s="5"/>
      <c r="Y467" s="20"/>
      <c r="Z467" s="5"/>
      <c r="AA467" s="5"/>
      <c r="AB467" s="5"/>
      <c r="AC467" s="5"/>
      <c r="AD467" s="5"/>
      <c r="AE467" s="5"/>
      <c r="AF467" s="5"/>
      <c r="AG467" s="5"/>
      <c r="AH467" s="5"/>
      <c r="AI467" s="5"/>
      <c r="AJ467" s="5"/>
      <c r="AK467" s="5"/>
      <c r="AL467" s="5"/>
      <c r="AM467" s="5"/>
      <c r="AN467" s="5"/>
      <c r="AO467" s="5"/>
      <c r="AP467" s="5"/>
      <c r="AQ467" s="5"/>
      <c r="AR467" s="5"/>
      <c r="AS467" s="22"/>
    </row>
    <row r="468" spans="2:45" ht="18.75" hidden="1" x14ac:dyDescent="0.2">
      <c r="B468" s="1036" t="s">
        <v>987</v>
      </c>
      <c r="C468" s="727"/>
      <c r="E468" s="403" t="s">
        <v>124</v>
      </c>
      <c r="F468" s="404"/>
      <c r="G468" s="405"/>
      <c r="H468" s="406"/>
      <c r="I468" s="406"/>
      <c r="J468" s="406"/>
      <c r="K468" s="406"/>
      <c r="L468" s="406"/>
      <c r="M468" s="406"/>
      <c r="N468" s="406"/>
      <c r="O468" s="406"/>
      <c r="P468" s="406"/>
      <c r="Q468" s="406"/>
      <c r="R468" s="406"/>
      <c r="S468" s="406"/>
      <c r="T468" s="406"/>
      <c r="U468" s="406"/>
      <c r="V468" s="20"/>
      <c r="W468" s="16"/>
      <c r="X468" s="16"/>
      <c r="Y468" s="16"/>
      <c r="Z468" s="16"/>
      <c r="AA468" s="16"/>
      <c r="AB468" s="16"/>
      <c r="AC468" s="16"/>
      <c r="AD468" s="16"/>
      <c r="AE468" s="16"/>
      <c r="AF468" s="16"/>
      <c r="AG468" s="16"/>
      <c r="AH468" s="16"/>
      <c r="AI468" s="5"/>
      <c r="AJ468" s="5"/>
      <c r="AK468" s="5"/>
      <c r="AL468" s="5"/>
      <c r="AM468" s="5"/>
      <c r="AN468" s="5"/>
      <c r="AO468" s="5"/>
      <c r="AP468" s="5"/>
      <c r="AQ468" s="5"/>
      <c r="AR468" s="5"/>
      <c r="AS468" s="22"/>
    </row>
    <row r="469" spans="2:45" ht="25.5" hidden="1" x14ac:dyDescent="0.2">
      <c r="B469" s="1036" t="s">
        <v>987</v>
      </c>
      <c r="C469" s="727"/>
      <c r="E469" s="395" t="s">
        <v>124</v>
      </c>
      <c r="F469" s="396"/>
      <c r="G469" s="395" t="s">
        <v>70</v>
      </c>
      <c r="H469" s="408"/>
      <c r="I469" s="522" t="str">
        <f>I$272</f>
        <v>kantoor</v>
      </c>
      <c r="J469" s="522" t="str">
        <f t="shared" ref="J469:T469" si="120">J$272</f>
        <v>bijeenkomst overig</v>
      </c>
      <c r="K469" s="522" t="str">
        <f t="shared" si="120"/>
        <v>bijeenkomst kinderopvang</v>
      </c>
      <c r="L469" s="522" t="str">
        <f t="shared" si="120"/>
        <v>onderwijs</v>
      </c>
      <c r="M469" s="522" t="str">
        <f t="shared" si="120"/>
        <v>gezondheid overig</v>
      </c>
      <c r="N469" s="522" t="str">
        <f t="shared" si="120"/>
        <v>gezondheid met bed</v>
      </c>
      <c r="O469" s="522" t="str">
        <f t="shared" si="120"/>
        <v>winkel</v>
      </c>
      <c r="P469" s="522" t="str">
        <f t="shared" si="120"/>
        <v>sport</v>
      </c>
      <c r="Q469" s="522" t="str">
        <f t="shared" si="120"/>
        <v>logies</v>
      </c>
      <c r="R469" s="522" t="str">
        <f t="shared" si="120"/>
        <v>cellengebouw</v>
      </c>
      <c r="S469" s="522" t="str">
        <f t="shared" si="120"/>
        <v>woning</v>
      </c>
      <c r="T469" s="522" t="str">
        <f t="shared" si="120"/>
        <v>woongebouw</v>
      </c>
      <c r="U469" s="408"/>
      <c r="V469" s="20"/>
      <c r="W469" s="16"/>
      <c r="X469" s="16"/>
      <c r="Y469" s="20"/>
      <c r="Z469" s="5"/>
      <c r="AA469" s="5"/>
      <c r="AB469" s="5"/>
      <c r="AC469" s="5"/>
      <c r="AD469" s="5"/>
      <c r="AE469" s="5"/>
      <c r="AF469" s="5"/>
      <c r="AG469" s="5"/>
      <c r="AH469" s="5"/>
      <c r="AI469" s="5"/>
      <c r="AJ469" s="5"/>
      <c r="AK469" s="5"/>
      <c r="AL469" s="5"/>
      <c r="AM469" s="5"/>
      <c r="AN469" s="5"/>
      <c r="AO469" s="5"/>
      <c r="AP469" s="5"/>
      <c r="AQ469" s="5"/>
      <c r="AR469" s="5"/>
      <c r="AS469" s="22"/>
    </row>
    <row r="470" spans="2:45" ht="18.75" hidden="1" x14ac:dyDescent="0.2">
      <c r="B470" s="1036" t="s">
        <v>987</v>
      </c>
      <c r="C470" s="727"/>
      <c r="E470" s="403" t="s">
        <v>988</v>
      </c>
      <c r="F470" s="404"/>
      <c r="G470" s="405"/>
      <c r="H470" s="406"/>
      <c r="I470" s="406"/>
      <c r="J470" s="406"/>
      <c r="K470" s="406"/>
      <c r="L470" s="406"/>
      <c r="M470" s="406"/>
      <c r="N470" s="406"/>
      <c r="O470" s="406"/>
      <c r="P470" s="406"/>
      <c r="Q470" s="406"/>
      <c r="R470" s="406"/>
      <c r="S470" s="406"/>
      <c r="T470" s="406"/>
      <c r="U470" s="406"/>
      <c r="V470" s="20"/>
      <c r="W470" s="16"/>
      <c r="X470" s="16"/>
      <c r="Y470" s="20"/>
      <c r="Z470" s="5"/>
      <c r="AA470" s="5"/>
      <c r="AB470" s="5"/>
      <c r="AC470" s="5"/>
      <c r="AD470" s="5"/>
      <c r="AE470" s="5"/>
      <c r="AF470" s="5"/>
      <c r="AG470" s="5"/>
      <c r="AH470" s="5"/>
      <c r="AI470" s="5"/>
      <c r="AJ470" s="5"/>
      <c r="AK470" s="5"/>
      <c r="AL470" s="5"/>
      <c r="AM470" s="5"/>
      <c r="AN470" s="5"/>
      <c r="AO470" s="5"/>
      <c r="AP470" s="5"/>
      <c r="AQ470" s="5"/>
      <c r="AR470" s="5"/>
      <c r="AS470" s="22"/>
    </row>
    <row r="471" spans="2:45" hidden="1" x14ac:dyDescent="0.2">
      <c r="B471" s="1036" t="s">
        <v>987</v>
      </c>
      <c r="C471" s="727"/>
      <c r="E471" s="395" t="s">
        <v>989</v>
      </c>
      <c r="F471" s="396"/>
      <c r="G471" s="395" t="s">
        <v>139</v>
      </c>
      <c r="H471" s="408"/>
      <c r="I471" s="407">
        <v>1.8</v>
      </c>
      <c r="J471" s="407">
        <v>1.8</v>
      </c>
      <c r="K471" s="407">
        <v>1.8</v>
      </c>
      <c r="L471" s="407">
        <v>1.8</v>
      </c>
      <c r="M471" s="407">
        <v>1.8</v>
      </c>
      <c r="N471" s="407"/>
      <c r="O471" s="407">
        <v>1.8</v>
      </c>
      <c r="P471" s="407">
        <v>1.8</v>
      </c>
      <c r="Q471" s="407">
        <v>1.8</v>
      </c>
      <c r="R471" s="407">
        <v>1.8</v>
      </c>
      <c r="S471" s="407">
        <v>1.5</v>
      </c>
      <c r="T471" s="407">
        <v>1.83</v>
      </c>
      <c r="U471" s="408"/>
      <c r="V471" s="20"/>
      <c r="W471" s="16"/>
      <c r="X471" s="16"/>
      <c r="Y471" s="20"/>
      <c r="Z471" s="5"/>
      <c r="AA471" s="5"/>
      <c r="AB471" s="5"/>
      <c r="AC471" s="5"/>
      <c r="AD471" s="5"/>
      <c r="AE471" s="5"/>
      <c r="AF471" s="5"/>
      <c r="AG471" s="5"/>
      <c r="AH471" s="5"/>
      <c r="AI471" s="5"/>
      <c r="AJ471" s="5"/>
      <c r="AK471" s="5"/>
      <c r="AL471" s="5"/>
      <c r="AM471" s="5"/>
      <c r="AN471" s="5"/>
      <c r="AO471" s="5"/>
      <c r="AP471" s="5"/>
      <c r="AQ471" s="5"/>
      <c r="AR471" s="5"/>
      <c r="AS471" s="22"/>
    </row>
    <row r="472" spans="2:45" hidden="1" x14ac:dyDescent="0.2">
      <c r="B472" s="1036" t="s">
        <v>987</v>
      </c>
      <c r="C472" s="727"/>
      <c r="E472" s="395" t="s">
        <v>990</v>
      </c>
      <c r="F472" s="396"/>
      <c r="G472" s="395" t="s">
        <v>139</v>
      </c>
      <c r="H472" s="408"/>
      <c r="I472" s="407">
        <v>1.8</v>
      </c>
      <c r="J472" s="407">
        <v>1.8</v>
      </c>
      <c r="K472" s="407">
        <v>1.8</v>
      </c>
      <c r="L472" s="407">
        <v>1.8</v>
      </c>
      <c r="M472" s="407">
        <v>1.8</v>
      </c>
      <c r="N472" s="407"/>
      <c r="O472" s="407">
        <v>1.8</v>
      </c>
      <c r="P472" s="407">
        <v>1.8</v>
      </c>
      <c r="Q472" s="407">
        <v>1.8</v>
      </c>
      <c r="R472" s="407">
        <v>1.8</v>
      </c>
      <c r="S472" s="407">
        <v>3</v>
      </c>
      <c r="T472" s="407">
        <v>3</v>
      </c>
      <c r="U472" s="408"/>
      <c r="V472" s="20"/>
      <c r="W472" s="16"/>
      <c r="X472" s="16"/>
      <c r="Y472" s="20"/>
      <c r="Z472" s="5"/>
      <c r="AA472" s="5"/>
      <c r="AB472" s="5"/>
      <c r="AC472" s="5"/>
      <c r="AD472" s="5"/>
      <c r="AE472" s="5"/>
      <c r="AF472" s="5"/>
      <c r="AG472" s="5"/>
      <c r="AH472" s="5"/>
      <c r="AI472" s="5"/>
      <c r="AJ472" s="5"/>
      <c r="AK472" s="5"/>
      <c r="AL472" s="5"/>
      <c r="AM472" s="5"/>
      <c r="AN472" s="5"/>
      <c r="AO472" s="5"/>
      <c r="AP472" s="5"/>
      <c r="AQ472" s="5"/>
      <c r="AR472" s="5"/>
      <c r="AS472" s="22"/>
    </row>
    <row r="473" spans="2:45" ht="18.75" hidden="1" x14ac:dyDescent="0.2">
      <c r="B473" s="1036" t="s">
        <v>987</v>
      </c>
      <c r="C473" s="727"/>
      <c r="E473" s="403" t="s">
        <v>991</v>
      </c>
      <c r="F473" s="404"/>
      <c r="G473" s="405"/>
      <c r="H473" s="406"/>
      <c r="I473" s="406"/>
      <c r="J473" s="406"/>
      <c r="K473" s="406"/>
      <c r="L473" s="406"/>
      <c r="M473" s="406"/>
      <c r="N473" s="406"/>
      <c r="O473" s="406"/>
      <c r="P473" s="406"/>
      <c r="Q473" s="406"/>
      <c r="R473" s="406"/>
      <c r="S473" s="406"/>
      <c r="T473" s="406"/>
      <c r="U473" s="406"/>
      <c r="V473" s="20"/>
      <c r="W473" s="16"/>
      <c r="X473" s="16"/>
      <c r="Y473" s="20"/>
      <c r="Z473" s="5"/>
      <c r="AA473" s="5"/>
      <c r="AB473" s="5"/>
      <c r="AC473" s="5"/>
      <c r="AD473" s="5"/>
      <c r="AE473" s="5"/>
      <c r="AF473" s="5"/>
      <c r="AG473" s="5"/>
      <c r="AH473" s="5"/>
      <c r="AI473" s="5"/>
      <c r="AJ473" s="5"/>
      <c r="AK473" s="5"/>
      <c r="AL473" s="5"/>
      <c r="AM473" s="5"/>
      <c r="AN473" s="5"/>
      <c r="AO473" s="5"/>
      <c r="AP473" s="5"/>
      <c r="AQ473" s="5"/>
      <c r="AR473" s="5"/>
      <c r="AS473" s="22"/>
    </row>
    <row r="474" spans="2:45" hidden="1" x14ac:dyDescent="0.2">
      <c r="B474" s="1036" t="s">
        <v>987</v>
      </c>
      <c r="C474" s="727"/>
      <c r="E474" s="395" t="s">
        <v>992</v>
      </c>
      <c r="F474" s="396"/>
      <c r="G474" s="395" t="s">
        <v>169</v>
      </c>
      <c r="H474" s="408"/>
      <c r="I474" s="409">
        <v>90</v>
      </c>
      <c r="J474" s="409">
        <v>90</v>
      </c>
      <c r="K474" s="409">
        <v>160</v>
      </c>
      <c r="L474" s="409">
        <v>190</v>
      </c>
      <c r="M474" s="409">
        <v>90</v>
      </c>
      <c r="N474" s="409">
        <v>350</v>
      </c>
      <c r="O474" s="409">
        <v>70</v>
      </c>
      <c r="P474" s="409">
        <v>40</v>
      </c>
      <c r="Q474" s="409">
        <v>100</v>
      </c>
      <c r="R474" s="409">
        <v>160</v>
      </c>
      <c r="S474" s="409">
        <v>55</v>
      </c>
      <c r="T474" s="409">
        <v>65</v>
      </c>
      <c r="U474" s="408"/>
      <c r="V474" s="20"/>
      <c r="W474" s="16"/>
      <c r="X474" s="16"/>
      <c r="Y474" s="20"/>
      <c r="Z474" s="5"/>
      <c r="AA474" s="5"/>
      <c r="AB474" s="5"/>
      <c r="AC474" s="5"/>
      <c r="AD474" s="5"/>
      <c r="AE474" s="5"/>
      <c r="AF474" s="5"/>
      <c r="AG474" s="5"/>
      <c r="AH474" s="5"/>
      <c r="AI474" s="5"/>
      <c r="AJ474" s="5"/>
      <c r="AK474" s="5"/>
      <c r="AL474" s="5"/>
      <c r="AM474" s="5"/>
      <c r="AN474" s="5"/>
      <c r="AO474" s="5"/>
      <c r="AP474" s="5"/>
      <c r="AQ474" s="5"/>
      <c r="AR474" s="5"/>
      <c r="AS474" s="22"/>
    </row>
    <row r="475" spans="2:45" ht="18.75" hidden="1" x14ac:dyDescent="0.2">
      <c r="B475" s="1036" t="s">
        <v>987</v>
      </c>
      <c r="C475" s="727"/>
      <c r="E475" s="403" t="s">
        <v>993</v>
      </c>
      <c r="F475" s="404"/>
      <c r="G475" s="405"/>
      <c r="H475" s="406"/>
      <c r="I475" s="406"/>
      <c r="J475" s="406"/>
      <c r="K475" s="406"/>
      <c r="L475" s="406"/>
      <c r="M475" s="406"/>
      <c r="N475" s="406"/>
      <c r="O475" s="406"/>
      <c r="P475" s="406"/>
      <c r="Q475" s="406"/>
      <c r="R475" s="406"/>
      <c r="S475" s="406"/>
      <c r="T475" s="406"/>
      <c r="U475" s="406"/>
      <c r="V475" s="20"/>
      <c r="W475" s="16"/>
      <c r="X475" s="16"/>
      <c r="Y475" s="20"/>
      <c r="Z475" s="5"/>
      <c r="AA475" s="5"/>
      <c r="AB475" s="5"/>
      <c r="AC475" s="5"/>
      <c r="AD475" s="5"/>
      <c r="AE475" s="5"/>
      <c r="AF475" s="5"/>
      <c r="AG475" s="5"/>
      <c r="AH475" s="5"/>
      <c r="AI475" s="5"/>
      <c r="AJ475" s="5"/>
      <c r="AK475" s="5"/>
      <c r="AL475" s="5"/>
      <c r="AM475" s="5"/>
      <c r="AN475" s="5"/>
      <c r="AO475" s="5"/>
      <c r="AP475" s="5"/>
      <c r="AQ475" s="5"/>
      <c r="AR475" s="5"/>
      <c r="AS475" s="22"/>
    </row>
    <row r="476" spans="2:45" hidden="1" x14ac:dyDescent="0.2">
      <c r="B476" s="1036" t="s">
        <v>987</v>
      </c>
      <c r="C476" s="727"/>
      <c r="E476" s="395" t="s">
        <v>540</v>
      </c>
      <c r="F476" s="396"/>
      <c r="G476" s="395" t="s">
        <v>169</v>
      </c>
      <c r="H476" s="408"/>
      <c r="I476" s="409">
        <v>90</v>
      </c>
      <c r="J476" s="409">
        <v>90</v>
      </c>
      <c r="K476" s="409">
        <v>160</v>
      </c>
      <c r="L476" s="409">
        <v>190</v>
      </c>
      <c r="M476" s="409">
        <v>90</v>
      </c>
      <c r="N476" s="409">
        <v>350</v>
      </c>
      <c r="O476" s="409">
        <v>70</v>
      </c>
      <c r="P476" s="409">
        <v>40</v>
      </c>
      <c r="Q476" s="409">
        <v>100</v>
      </c>
      <c r="R476" s="409">
        <v>160</v>
      </c>
      <c r="S476" s="409">
        <v>55</v>
      </c>
      <c r="T476" s="409">
        <v>55</v>
      </c>
      <c r="U476" s="408"/>
      <c r="V476" s="20"/>
      <c r="W476" s="16"/>
      <c r="X476" s="16"/>
      <c r="Y476" s="20"/>
      <c r="Z476" s="5"/>
      <c r="AA476" s="5"/>
      <c r="AB476" s="5"/>
      <c r="AC476" s="5"/>
      <c r="AD476" s="5"/>
      <c r="AE476" s="5"/>
      <c r="AF476" s="5"/>
      <c r="AG476" s="5"/>
      <c r="AH476" s="5"/>
      <c r="AI476" s="5"/>
      <c r="AJ476" s="5"/>
      <c r="AK476" s="5"/>
      <c r="AL476" s="5"/>
      <c r="AM476" s="5"/>
      <c r="AN476" s="5"/>
      <c r="AO476" s="5"/>
      <c r="AP476" s="5"/>
      <c r="AQ476" s="5"/>
      <c r="AR476" s="5"/>
      <c r="AS476" s="22"/>
    </row>
    <row r="477" spans="2:45" hidden="1" x14ac:dyDescent="0.2">
      <c r="B477" s="1036" t="s">
        <v>987</v>
      </c>
      <c r="C477" s="727"/>
      <c r="E477" s="395" t="s">
        <v>905</v>
      </c>
      <c r="F477" s="396"/>
      <c r="G477" s="395" t="s">
        <v>169</v>
      </c>
      <c r="H477" s="408"/>
      <c r="I477" s="409">
        <v>30</v>
      </c>
      <c r="J477" s="409">
        <v>30</v>
      </c>
      <c r="K477" s="409">
        <v>30</v>
      </c>
      <c r="L477" s="409">
        <v>30</v>
      </c>
      <c r="M477" s="409">
        <v>35</v>
      </c>
      <c r="N477" s="409">
        <v>0</v>
      </c>
      <c r="O477" s="409">
        <v>30</v>
      </c>
      <c r="P477" s="409">
        <v>15</v>
      </c>
      <c r="Q477" s="409">
        <v>35</v>
      </c>
      <c r="R477" s="409">
        <v>35</v>
      </c>
      <c r="S477" s="409">
        <v>30</v>
      </c>
      <c r="T477" s="409">
        <v>30</v>
      </c>
      <c r="U477" s="408"/>
      <c r="V477" s="20"/>
      <c r="W477" s="16"/>
      <c r="X477" s="16"/>
      <c r="Y477" s="20"/>
      <c r="Z477" s="5"/>
      <c r="AA477" s="5"/>
      <c r="AB477" s="5"/>
      <c r="AC477" s="5"/>
      <c r="AD477" s="5"/>
      <c r="AE477" s="5"/>
      <c r="AF477" s="5"/>
      <c r="AG477" s="5"/>
      <c r="AH477" s="5"/>
      <c r="AI477" s="5"/>
      <c r="AJ477" s="5"/>
      <c r="AK477" s="5"/>
      <c r="AL477" s="5"/>
      <c r="AM477" s="5"/>
      <c r="AN477" s="5"/>
      <c r="AO477" s="5"/>
      <c r="AP477" s="5"/>
      <c r="AQ477" s="5"/>
      <c r="AR477" s="5"/>
      <c r="AS477" s="22"/>
    </row>
    <row r="478" spans="2:45" hidden="1" x14ac:dyDescent="0.2">
      <c r="B478" s="1036" t="s">
        <v>987</v>
      </c>
      <c r="C478" s="727"/>
      <c r="E478" s="395" t="s">
        <v>994</v>
      </c>
      <c r="F478" s="396"/>
      <c r="G478" s="395" t="s">
        <v>139</v>
      </c>
      <c r="H478" s="408"/>
      <c r="I478" s="407">
        <v>1.8</v>
      </c>
      <c r="J478" s="407">
        <v>1.8</v>
      </c>
      <c r="K478" s="407">
        <v>1.8</v>
      </c>
      <c r="L478" s="407">
        <v>1.8</v>
      </c>
      <c r="M478" s="407">
        <v>1.8</v>
      </c>
      <c r="N478" s="407"/>
      <c r="O478" s="407">
        <v>1.8</v>
      </c>
      <c r="P478" s="407">
        <v>1.8</v>
      </c>
      <c r="Q478" s="407">
        <v>1.8</v>
      </c>
      <c r="R478" s="407">
        <v>1.8</v>
      </c>
      <c r="S478" s="407">
        <v>1.5</v>
      </c>
      <c r="T478" s="407">
        <v>1.5</v>
      </c>
      <c r="U478" s="408"/>
      <c r="V478" s="20"/>
      <c r="W478" s="16"/>
      <c r="X478" s="16"/>
      <c r="Y478" s="20"/>
      <c r="Z478" s="5"/>
      <c r="AA478" s="5"/>
      <c r="AB478" s="5"/>
      <c r="AC478" s="5"/>
      <c r="AD478" s="5"/>
      <c r="AE478" s="5"/>
      <c r="AF478" s="5"/>
      <c r="AG478" s="5"/>
      <c r="AH478" s="5"/>
      <c r="AI478" s="5"/>
      <c r="AJ478" s="5"/>
      <c r="AK478" s="5"/>
      <c r="AL478" s="5"/>
      <c r="AM478" s="5"/>
      <c r="AN478" s="5"/>
      <c r="AO478" s="5"/>
      <c r="AP478" s="5"/>
      <c r="AQ478" s="5"/>
      <c r="AR478" s="5"/>
      <c r="AS478" s="22"/>
    </row>
    <row r="479" spans="2:45" ht="18.75" hidden="1" x14ac:dyDescent="0.2">
      <c r="B479" s="1036" t="s">
        <v>987</v>
      </c>
      <c r="C479" s="727"/>
      <c r="E479" s="403" t="s">
        <v>995</v>
      </c>
      <c r="F479" s="404"/>
      <c r="G479" s="405"/>
      <c r="H479" s="406"/>
      <c r="I479" s="406"/>
      <c r="J479" s="406"/>
      <c r="K479" s="406"/>
      <c r="L479" s="406"/>
      <c r="M479" s="406"/>
      <c r="N479" s="406"/>
      <c r="O479" s="406"/>
      <c r="P479" s="406"/>
      <c r="Q479" s="406"/>
      <c r="R479" s="406"/>
      <c r="S479" s="406"/>
      <c r="T479" s="406"/>
      <c r="U479" s="406"/>
      <c r="V479" s="20"/>
      <c r="W479" s="16"/>
      <c r="X479" s="16"/>
      <c r="Y479" s="20"/>
      <c r="Z479" s="5"/>
      <c r="AA479" s="5"/>
      <c r="AB479" s="5"/>
      <c r="AC479" s="5"/>
      <c r="AD479" s="5"/>
      <c r="AE479" s="5"/>
      <c r="AF479" s="5"/>
      <c r="AG479" s="5"/>
      <c r="AH479" s="5"/>
      <c r="AI479" s="5"/>
      <c r="AJ479" s="5"/>
      <c r="AK479" s="5"/>
      <c r="AL479" s="5"/>
      <c r="AM479" s="5"/>
      <c r="AN479" s="5"/>
      <c r="AO479" s="5"/>
      <c r="AP479" s="5"/>
      <c r="AQ479" s="5"/>
      <c r="AR479" s="5"/>
      <c r="AS479" s="22"/>
    </row>
    <row r="480" spans="2:45" hidden="1" x14ac:dyDescent="0.2">
      <c r="B480" s="1036" t="s">
        <v>987</v>
      </c>
      <c r="C480" s="727"/>
      <c r="E480" s="395" t="s">
        <v>996</v>
      </c>
      <c r="F480" s="396"/>
      <c r="G480" s="395" t="s">
        <v>169</v>
      </c>
      <c r="H480" s="408"/>
      <c r="I480" s="409">
        <v>90</v>
      </c>
      <c r="J480" s="409">
        <v>90</v>
      </c>
      <c r="K480" s="409">
        <v>160</v>
      </c>
      <c r="L480" s="409">
        <v>190</v>
      </c>
      <c r="M480" s="409">
        <v>90</v>
      </c>
      <c r="N480" s="409">
        <v>350</v>
      </c>
      <c r="O480" s="409">
        <v>70</v>
      </c>
      <c r="P480" s="409">
        <v>40</v>
      </c>
      <c r="Q480" s="409">
        <v>100</v>
      </c>
      <c r="R480" s="409">
        <v>160</v>
      </c>
      <c r="S480" s="409">
        <v>100</v>
      </c>
      <c r="T480" s="409">
        <v>100</v>
      </c>
      <c r="U480" s="408"/>
      <c r="V480" s="20"/>
      <c r="W480" s="16"/>
      <c r="X480" s="16"/>
      <c r="Y480" s="20"/>
      <c r="Z480" s="5"/>
      <c r="AA480" s="5"/>
      <c r="AB480" s="5"/>
      <c r="AC480" s="5"/>
      <c r="AD480" s="5"/>
      <c r="AE480" s="5"/>
      <c r="AF480" s="5"/>
      <c r="AG480" s="5"/>
      <c r="AH480" s="5"/>
      <c r="AI480" s="5"/>
      <c r="AJ480" s="5"/>
      <c r="AK480" s="5"/>
      <c r="AL480" s="5"/>
      <c r="AM480" s="5"/>
      <c r="AN480" s="5"/>
      <c r="AO480" s="5"/>
      <c r="AP480" s="5"/>
      <c r="AQ480" s="5"/>
      <c r="AR480" s="5"/>
      <c r="AS480" s="22"/>
    </row>
    <row r="481" spans="2:45" hidden="1" x14ac:dyDescent="0.2">
      <c r="B481" s="1036" t="s">
        <v>987</v>
      </c>
      <c r="C481" s="727"/>
      <c r="E481" s="395" t="s">
        <v>997</v>
      </c>
      <c r="F481" s="396"/>
      <c r="G481" s="395" t="s">
        <v>169</v>
      </c>
      <c r="H481" s="408"/>
      <c r="I481" s="409">
        <v>30</v>
      </c>
      <c r="J481" s="409">
        <v>30</v>
      </c>
      <c r="K481" s="409">
        <v>30</v>
      </c>
      <c r="L481" s="409">
        <v>30</v>
      </c>
      <c r="M481" s="409">
        <v>35</v>
      </c>
      <c r="N481" s="409">
        <v>0</v>
      </c>
      <c r="O481" s="409">
        <v>30</v>
      </c>
      <c r="P481" s="409">
        <v>15</v>
      </c>
      <c r="Q481" s="409">
        <v>35</v>
      </c>
      <c r="R481" s="409">
        <v>35</v>
      </c>
      <c r="S481" s="409">
        <v>50</v>
      </c>
      <c r="T481" s="409">
        <v>50</v>
      </c>
      <c r="U481" s="408"/>
      <c r="V481" s="20"/>
      <c r="W481" s="16"/>
      <c r="X481" s="16"/>
      <c r="Y481" s="20"/>
      <c r="Z481" s="5"/>
      <c r="AA481" s="5"/>
      <c r="AB481" s="5"/>
      <c r="AC481" s="5"/>
      <c r="AD481" s="5"/>
      <c r="AE481" s="5"/>
      <c r="AF481" s="5"/>
      <c r="AG481" s="5"/>
      <c r="AH481" s="5"/>
      <c r="AI481" s="5"/>
      <c r="AJ481" s="5"/>
      <c r="AK481" s="5"/>
      <c r="AL481" s="5"/>
      <c r="AM481" s="5"/>
      <c r="AN481" s="5"/>
      <c r="AO481" s="5"/>
      <c r="AP481" s="5"/>
      <c r="AQ481" s="5"/>
      <c r="AR481" s="5"/>
      <c r="AS481" s="22"/>
    </row>
    <row r="482" spans="2:45" hidden="1" x14ac:dyDescent="0.2">
      <c r="B482" s="1036" t="s">
        <v>987</v>
      </c>
      <c r="C482" s="727"/>
      <c r="E482" s="395" t="s">
        <v>998</v>
      </c>
      <c r="F482" s="396"/>
      <c r="G482" s="395" t="s">
        <v>139</v>
      </c>
      <c r="H482" s="408"/>
      <c r="I482" s="407">
        <v>1.8</v>
      </c>
      <c r="J482" s="407">
        <v>1.8</v>
      </c>
      <c r="K482" s="407">
        <v>1.8</v>
      </c>
      <c r="L482" s="407">
        <v>1.8</v>
      </c>
      <c r="M482" s="407">
        <v>1.8</v>
      </c>
      <c r="N482" s="407"/>
      <c r="O482" s="407">
        <v>1.8</v>
      </c>
      <c r="P482" s="407">
        <v>1.8</v>
      </c>
      <c r="Q482" s="407">
        <v>1.8</v>
      </c>
      <c r="R482" s="407">
        <v>1.8</v>
      </c>
      <c r="S482" s="407">
        <v>3</v>
      </c>
      <c r="T482" s="407">
        <v>3</v>
      </c>
      <c r="U482" s="408"/>
      <c r="V482" s="20"/>
      <c r="W482" s="16"/>
      <c r="X482" s="16"/>
      <c r="Y482" s="20"/>
      <c r="Z482" s="5"/>
      <c r="AA482" s="5"/>
      <c r="AB482" s="5"/>
      <c r="AC482" s="5"/>
      <c r="AD482" s="5"/>
      <c r="AE482" s="5"/>
      <c r="AF482" s="5"/>
      <c r="AG482" s="5"/>
      <c r="AH482" s="5"/>
      <c r="AI482" s="5"/>
      <c r="AJ482" s="5"/>
      <c r="AK482" s="5"/>
      <c r="AL482" s="5"/>
      <c r="AM482" s="5"/>
      <c r="AN482" s="5"/>
      <c r="AO482" s="5"/>
      <c r="AP482" s="5"/>
      <c r="AQ482" s="5"/>
      <c r="AR482" s="5"/>
      <c r="AS482" s="22"/>
    </row>
    <row r="483" spans="2:45" ht="18.75" hidden="1" x14ac:dyDescent="0.2">
      <c r="B483" s="1036" t="s">
        <v>987</v>
      </c>
      <c r="C483" s="727"/>
      <c r="E483" s="403" t="s">
        <v>999</v>
      </c>
      <c r="F483" s="404"/>
      <c r="G483" s="405"/>
      <c r="H483" s="406"/>
      <c r="I483" s="406"/>
      <c r="J483" s="406"/>
      <c r="K483" s="406"/>
      <c r="L483" s="406"/>
      <c r="M483" s="406"/>
      <c r="N483" s="406"/>
      <c r="O483" s="406"/>
      <c r="P483" s="406"/>
      <c r="Q483" s="406"/>
      <c r="R483" s="406"/>
      <c r="S483" s="406"/>
      <c r="T483" s="406"/>
      <c r="U483" s="406"/>
      <c r="V483" s="20"/>
      <c r="W483" s="16"/>
      <c r="X483" s="16"/>
      <c r="Y483" s="20"/>
      <c r="Z483" s="5"/>
      <c r="AA483" s="5"/>
      <c r="AB483" s="5"/>
      <c r="AC483" s="5"/>
      <c r="AD483" s="5"/>
      <c r="AE483" s="5"/>
      <c r="AF483" s="5"/>
      <c r="AG483" s="5"/>
      <c r="AH483" s="5"/>
      <c r="AI483" s="5"/>
      <c r="AJ483" s="5"/>
      <c r="AK483" s="5"/>
      <c r="AL483" s="5"/>
      <c r="AM483" s="5"/>
      <c r="AN483" s="5"/>
      <c r="AO483" s="5"/>
      <c r="AP483" s="5"/>
      <c r="AQ483" s="5"/>
      <c r="AR483" s="5"/>
      <c r="AS483" s="22"/>
    </row>
    <row r="484" spans="2:45" hidden="1" x14ac:dyDescent="0.2">
      <c r="B484" s="1036" t="s">
        <v>987</v>
      </c>
      <c r="C484" s="727"/>
      <c r="E484" s="395" t="s">
        <v>114</v>
      </c>
      <c r="F484" s="396"/>
      <c r="G484" s="395" t="s">
        <v>169</v>
      </c>
      <c r="H484" s="408"/>
      <c r="I484" s="409">
        <v>40</v>
      </c>
      <c r="J484" s="409">
        <v>60</v>
      </c>
      <c r="K484" s="409">
        <v>70</v>
      </c>
      <c r="L484" s="409">
        <v>70</v>
      </c>
      <c r="M484" s="409">
        <v>50</v>
      </c>
      <c r="N484" s="409">
        <v>130</v>
      </c>
      <c r="O484" s="409">
        <v>60</v>
      </c>
      <c r="P484" s="409">
        <v>90</v>
      </c>
      <c r="Q484" s="409">
        <v>130</v>
      </c>
      <c r="R484" s="409">
        <v>120</v>
      </c>
      <c r="S484" s="409">
        <v>30</v>
      </c>
      <c r="T484" s="409">
        <v>50</v>
      </c>
      <c r="U484" s="408"/>
      <c r="V484" s="20"/>
      <c r="W484" s="16"/>
      <c r="X484" s="16"/>
      <c r="Y484" s="20"/>
      <c r="Z484" s="5"/>
      <c r="AA484" s="5"/>
      <c r="AB484" s="5"/>
      <c r="AC484" s="5"/>
      <c r="AD484" s="5"/>
      <c r="AE484" s="5"/>
      <c r="AF484" s="5"/>
      <c r="AG484" s="5"/>
      <c r="AH484" s="5"/>
      <c r="AI484" s="5"/>
      <c r="AJ484" s="5"/>
      <c r="AK484" s="5"/>
      <c r="AL484" s="5"/>
      <c r="AM484" s="5"/>
      <c r="AN484" s="5"/>
      <c r="AO484" s="5"/>
      <c r="AP484" s="5"/>
      <c r="AQ484" s="5"/>
      <c r="AR484" s="5"/>
      <c r="AS484" s="22"/>
    </row>
    <row r="485" spans="2:45" ht="18.75" hidden="1" x14ac:dyDescent="0.2">
      <c r="B485" s="1036" t="s">
        <v>987</v>
      </c>
      <c r="C485" s="727"/>
      <c r="D485" s="749" t="s">
        <v>50</v>
      </c>
      <c r="E485" s="403" t="s">
        <v>1200</v>
      </c>
      <c r="F485" s="404"/>
      <c r="G485" s="405"/>
      <c r="H485" s="406"/>
      <c r="I485" s="406"/>
      <c r="J485" s="406"/>
      <c r="K485" s="406"/>
      <c r="L485" s="406"/>
      <c r="M485" s="406"/>
      <c r="N485" s="406"/>
      <c r="O485" s="406"/>
      <c r="P485" s="406"/>
      <c r="Q485" s="406"/>
      <c r="R485" s="406"/>
      <c r="S485" s="406"/>
      <c r="T485" s="406"/>
      <c r="U485" s="406"/>
      <c r="V485" s="20"/>
      <c r="W485" s="16"/>
      <c r="X485" s="16"/>
      <c r="Y485" s="20"/>
      <c r="Z485" s="5"/>
      <c r="AA485" s="5"/>
      <c r="AB485" s="5"/>
      <c r="AC485" s="5"/>
      <c r="AD485" s="5"/>
      <c r="AE485" s="5"/>
      <c r="AF485" s="5"/>
      <c r="AG485" s="5"/>
      <c r="AH485" s="5"/>
      <c r="AI485" s="5"/>
      <c r="AJ485" s="5"/>
      <c r="AK485" s="5"/>
      <c r="AL485" s="5"/>
      <c r="AM485" s="5"/>
      <c r="AN485" s="5"/>
      <c r="AO485" s="5"/>
      <c r="AP485" s="5"/>
      <c r="AQ485" s="5"/>
      <c r="AR485" s="5"/>
      <c r="AS485" s="22"/>
    </row>
    <row r="486" spans="2:45" hidden="1" x14ac:dyDescent="0.2">
      <c r="B486" s="1036" t="s">
        <v>987</v>
      </c>
      <c r="C486" s="727"/>
      <c r="E486" s="395" t="s">
        <v>1096</v>
      </c>
      <c r="F486" s="396"/>
      <c r="G486" s="395" t="s">
        <v>70</v>
      </c>
      <c r="H486" s="408"/>
      <c r="I486" s="1040" t="s">
        <v>1024</v>
      </c>
      <c r="J486" s="1040" t="s">
        <v>1024</v>
      </c>
      <c r="K486" s="1040" t="s">
        <v>1024</v>
      </c>
      <c r="L486" s="1040" t="s">
        <v>1024</v>
      </c>
      <c r="M486" s="1040" t="s">
        <v>1024</v>
      </c>
      <c r="N486" s="1040" t="s">
        <v>1023</v>
      </c>
      <c r="O486" s="1040" t="s">
        <v>1024</v>
      </c>
      <c r="P486" s="1040" t="s">
        <v>1023</v>
      </c>
      <c r="Q486" s="1040" t="s">
        <v>1023</v>
      </c>
      <c r="R486" s="1040" t="s">
        <v>1023</v>
      </c>
      <c r="S486" s="409" t="s">
        <v>70</v>
      </c>
      <c r="T486" s="409" t="s">
        <v>70</v>
      </c>
      <c r="U486" s="408"/>
      <c r="V486" s="20"/>
      <c r="W486" s="16"/>
      <c r="X486" s="16"/>
      <c r="Y486" s="20"/>
      <c r="Z486" s="5"/>
      <c r="AA486" s="5"/>
      <c r="AB486" s="5"/>
      <c r="AC486" s="5"/>
      <c r="AD486" s="5"/>
      <c r="AE486" s="5"/>
      <c r="AF486" s="5"/>
      <c r="AG486" s="5"/>
      <c r="AH486" s="5"/>
      <c r="AI486" s="5"/>
      <c r="AJ486" s="5"/>
      <c r="AK486" s="5"/>
      <c r="AL486" s="5"/>
      <c r="AM486" s="5"/>
      <c r="AN486" s="5"/>
      <c r="AO486" s="5"/>
      <c r="AP486" s="5"/>
      <c r="AQ486" s="5"/>
      <c r="AR486" s="5"/>
      <c r="AS486" s="22"/>
    </row>
    <row r="487" spans="2:45" hidden="1" x14ac:dyDescent="0.2">
      <c r="B487" s="1036" t="s">
        <v>987</v>
      </c>
      <c r="C487" s="727"/>
      <c r="E487" s="789" t="s">
        <v>1199</v>
      </c>
      <c r="F487" s="391"/>
      <c r="G487" s="391"/>
      <c r="H487" s="391"/>
      <c r="I487" s="544"/>
      <c r="J487" s="544"/>
      <c r="K487" s="544"/>
      <c r="L487" s="544"/>
      <c r="M487" s="544"/>
      <c r="N487" s="544"/>
      <c r="O487" s="544"/>
      <c r="P487" s="544"/>
      <c r="Q487" s="544"/>
      <c r="R487" s="544"/>
      <c r="S487" s="544"/>
      <c r="T487" s="544"/>
      <c r="U487" s="544"/>
      <c r="V487" s="14"/>
      <c r="W487" s="14"/>
      <c r="X487" s="14"/>
      <c r="Y487" s="377"/>
      <c r="Z487" s="14"/>
      <c r="AA487" s="18"/>
      <c r="AB487" s="18"/>
      <c r="AC487" s="18"/>
      <c r="AD487" s="18"/>
      <c r="AE487" s="18"/>
      <c r="AF487" s="18"/>
      <c r="AG487" s="18"/>
      <c r="AH487" s="18"/>
      <c r="AI487" s="18"/>
      <c r="AJ487" s="18"/>
      <c r="AK487" s="18"/>
      <c r="AL487" s="18"/>
      <c r="AM487" s="18"/>
      <c r="AN487" s="18"/>
      <c r="AO487" s="18"/>
      <c r="AP487" s="18"/>
      <c r="AQ487" s="18"/>
      <c r="AR487" s="18"/>
      <c r="AS487" s="22"/>
    </row>
    <row r="488" spans="2:45" ht="18.75" hidden="1" x14ac:dyDescent="0.2">
      <c r="B488" s="1036" t="s">
        <v>987</v>
      </c>
      <c r="C488" s="727"/>
      <c r="E488" s="403" t="s">
        <v>1000</v>
      </c>
      <c r="F488" s="404"/>
      <c r="G488" s="405"/>
      <c r="H488" s="406"/>
      <c r="I488" s="406"/>
      <c r="J488" s="406"/>
      <c r="K488" s="406"/>
      <c r="L488" s="406"/>
      <c r="M488" s="406"/>
      <c r="N488" s="406"/>
      <c r="O488" s="406"/>
      <c r="P488" s="406"/>
      <c r="Q488" s="406"/>
      <c r="R488" s="406"/>
      <c r="S488" s="406"/>
      <c r="T488" s="406"/>
      <c r="U488" s="406"/>
      <c r="V488" s="20"/>
      <c r="W488" s="16"/>
      <c r="X488" s="16"/>
      <c r="Y488" s="20"/>
      <c r="Z488" s="5"/>
      <c r="AA488" s="5"/>
      <c r="AB488" s="5"/>
      <c r="AC488" s="5"/>
      <c r="AD488" s="5"/>
      <c r="AE488" s="5"/>
      <c r="AF488" s="5"/>
      <c r="AG488" s="5"/>
      <c r="AH488" s="5"/>
      <c r="AI488" s="5"/>
      <c r="AJ488" s="5"/>
      <c r="AK488" s="5"/>
      <c r="AL488" s="5"/>
      <c r="AM488" s="5"/>
      <c r="AN488" s="5"/>
      <c r="AO488" s="5"/>
      <c r="AP488" s="5"/>
      <c r="AQ488" s="5"/>
      <c r="AR488" s="5"/>
      <c r="AS488" s="22"/>
    </row>
    <row r="489" spans="2:45" hidden="1" x14ac:dyDescent="0.2">
      <c r="B489" s="1036" t="s">
        <v>987</v>
      </c>
      <c r="C489" s="727"/>
      <c r="E489" s="395" t="s">
        <v>1001</v>
      </c>
      <c r="F489" s="396"/>
      <c r="G489" s="395" t="s">
        <v>150</v>
      </c>
      <c r="H489" s="408"/>
      <c r="I489" s="410">
        <v>0.3</v>
      </c>
      <c r="J489" s="410">
        <v>0.3</v>
      </c>
      <c r="K489" s="410">
        <v>0.4</v>
      </c>
      <c r="L489" s="410">
        <v>0.4</v>
      </c>
      <c r="M489" s="410">
        <v>0.4</v>
      </c>
      <c r="N489" s="410">
        <v>0.3</v>
      </c>
      <c r="O489" s="410">
        <v>0.3</v>
      </c>
      <c r="P489" s="410">
        <v>0.3</v>
      </c>
      <c r="Q489" s="410">
        <v>0.4</v>
      </c>
      <c r="R489" s="410">
        <v>0.3</v>
      </c>
      <c r="S489" s="410">
        <v>0.5</v>
      </c>
      <c r="T489" s="410">
        <v>0.4</v>
      </c>
      <c r="U489" s="408"/>
      <c r="V489" s="20"/>
      <c r="W489" s="16"/>
      <c r="X489" s="16"/>
      <c r="Y489" s="20"/>
      <c r="Z489" s="5"/>
      <c r="AA489" s="5"/>
      <c r="AB489" s="5"/>
      <c r="AC489" s="5"/>
      <c r="AD489" s="5"/>
      <c r="AE489" s="5"/>
      <c r="AF489" s="5"/>
      <c r="AG489" s="5"/>
      <c r="AH489" s="5"/>
      <c r="AI489" s="5"/>
      <c r="AJ489" s="5"/>
      <c r="AK489" s="5"/>
      <c r="AL489" s="5"/>
      <c r="AM489" s="5"/>
      <c r="AN489" s="5"/>
      <c r="AO489" s="5"/>
      <c r="AP489" s="5"/>
      <c r="AQ489" s="5"/>
      <c r="AR489" s="5"/>
      <c r="AS489" s="22"/>
    </row>
    <row r="490" spans="2:45" hidden="1" x14ac:dyDescent="0.2">
      <c r="B490" s="1036" t="s">
        <v>987</v>
      </c>
      <c r="C490" s="727"/>
      <c r="E490" s="789" t="s">
        <v>1002</v>
      </c>
      <c r="F490" s="391"/>
      <c r="G490" s="391"/>
      <c r="H490" s="391"/>
      <c r="I490" s="544"/>
      <c r="J490" s="544"/>
      <c r="K490" s="544"/>
      <c r="L490" s="544"/>
      <c r="M490" s="544"/>
      <c r="N490" s="544"/>
      <c r="O490" s="544"/>
      <c r="P490" s="544"/>
      <c r="Q490" s="544"/>
      <c r="R490" s="544"/>
      <c r="S490" s="544"/>
      <c r="T490" s="544"/>
      <c r="U490" s="544"/>
      <c r="V490" s="14"/>
      <c r="W490" s="14"/>
      <c r="X490" s="14"/>
      <c r="Y490" s="377"/>
      <c r="Z490" s="14"/>
      <c r="AA490" s="18"/>
      <c r="AB490" s="18"/>
      <c r="AC490" s="18"/>
      <c r="AD490" s="18"/>
      <c r="AE490" s="18"/>
      <c r="AF490" s="18"/>
      <c r="AG490" s="18"/>
      <c r="AH490" s="18"/>
      <c r="AI490" s="18"/>
      <c r="AJ490" s="18"/>
      <c r="AK490" s="18"/>
      <c r="AL490" s="18"/>
      <c r="AM490" s="18"/>
      <c r="AN490" s="18"/>
      <c r="AO490" s="18"/>
      <c r="AP490" s="18"/>
      <c r="AQ490" s="18"/>
      <c r="AR490" s="18"/>
      <c r="AS490" s="22"/>
    </row>
    <row r="491" spans="2:45" hidden="1" x14ac:dyDescent="0.2">
      <c r="B491" s="1036" t="s">
        <v>987</v>
      </c>
      <c r="C491" s="727"/>
      <c r="E491" s="5"/>
      <c r="F491" s="5"/>
      <c r="G491" s="5"/>
      <c r="H491" s="16"/>
      <c r="I491" s="16"/>
      <c r="J491" s="16"/>
      <c r="K491" s="16"/>
      <c r="L491" s="16"/>
      <c r="M491" s="16"/>
      <c r="N491" s="16"/>
      <c r="O491" s="16"/>
      <c r="P491" s="16"/>
      <c r="Q491" s="16"/>
      <c r="R491" s="16"/>
      <c r="S491" s="16"/>
      <c r="T491" s="16"/>
      <c r="U491" s="16"/>
      <c r="V491" s="16"/>
      <c r="X491" s="16"/>
      <c r="Y491" s="20"/>
      <c r="Z491" s="16"/>
      <c r="AA491" s="5"/>
      <c r="AB491" s="5"/>
      <c r="AC491" s="5"/>
      <c r="AD491" s="5"/>
      <c r="AE491" s="5"/>
      <c r="AF491" s="5"/>
      <c r="AG491" s="5"/>
      <c r="AH491" s="5"/>
      <c r="AI491" s="5"/>
      <c r="AJ491" s="5"/>
      <c r="AK491" s="5"/>
      <c r="AL491" s="5"/>
      <c r="AM491" s="5"/>
      <c r="AN491" s="5"/>
      <c r="AO491" s="5"/>
      <c r="AP491" s="5"/>
      <c r="AQ491" s="5"/>
      <c r="AR491" s="5"/>
      <c r="AS491" s="22"/>
    </row>
    <row r="492" spans="2:45" hidden="1" x14ac:dyDescent="0.2">
      <c r="B492" s="1036" t="s">
        <v>1003</v>
      </c>
      <c r="C492" s="727"/>
      <c r="E492" s="5"/>
      <c r="F492" s="5"/>
      <c r="G492" s="5"/>
      <c r="H492" s="16"/>
      <c r="I492" s="16"/>
      <c r="J492" s="16"/>
      <c r="K492" s="16"/>
      <c r="L492" s="16"/>
      <c r="M492" s="16"/>
      <c r="N492" s="16"/>
      <c r="O492" s="16"/>
      <c r="P492" s="16"/>
      <c r="Q492" s="16"/>
      <c r="R492" s="16"/>
      <c r="S492" s="16"/>
      <c r="T492" s="16"/>
      <c r="U492" s="16"/>
      <c r="V492" s="16"/>
      <c r="X492" s="16"/>
      <c r="Y492" s="20"/>
      <c r="Z492" s="16"/>
      <c r="AA492" s="16"/>
      <c r="AB492" s="5"/>
      <c r="AC492" s="5"/>
      <c r="AD492" s="5"/>
      <c r="AE492" s="5"/>
      <c r="AF492" s="5"/>
      <c r="AG492" s="5"/>
      <c r="AH492" s="5"/>
      <c r="AI492" s="5"/>
      <c r="AJ492" s="5"/>
      <c r="AK492" s="5"/>
      <c r="AL492" s="5"/>
      <c r="AM492" s="5"/>
      <c r="AN492" s="5"/>
      <c r="AO492" s="5"/>
      <c r="AP492" s="5"/>
      <c r="AQ492" s="5"/>
      <c r="AR492" s="5"/>
      <c r="AS492" s="22"/>
    </row>
    <row r="493" spans="2:45" ht="21" hidden="1" x14ac:dyDescent="0.2">
      <c r="B493" s="1036" t="s">
        <v>1003</v>
      </c>
      <c r="C493" s="727"/>
      <c r="E493" s="240" t="s">
        <v>1004</v>
      </c>
      <c r="F493" s="240"/>
      <c r="G493" s="801" t="s">
        <v>59</v>
      </c>
      <c r="H493" s="240"/>
      <c r="I493" s="240"/>
      <c r="J493" s="240"/>
      <c r="K493" s="240"/>
      <c r="L493" s="240"/>
      <c r="M493" s="240"/>
      <c r="N493" s="61"/>
      <c r="P493" s="61"/>
      <c r="Q493" s="20"/>
      <c r="R493" s="5"/>
      <c r="S493" s="5"/>
      <c r="T493" s="5"/>
      <c r="U493" s="5"/>
      <c r="V493" s="5"/>
      <c r="W493" s="5"/>
      <c r="X493" s="5"/>
      <c r="Y493" s="5"/>
      <c r="Z493" s="5"/>
      <c r="AA493" s="5"/>
      <c r="AB493" s="5"/>
      <c r="AC493" s="5"/>
      <c r="AD493" s="5"/>
      <c r="AE493" s="5"/>
      <c r="AF493" s="5"/>
      <c r="AG493" s="5"/>
      <c r="AH493" s="5"/>
      <c r="AI493" s="5"/>
      <c r="AJ493" s="5"/>
      <c r="AK493" s="437"/>
      <c r="AS493"/>
    </row>
    <row r="494" spans="2:45" hidden="1" x14ac:dyDescent="0.2">
      <c r="B494" s="1036" t="s">
        <v>1003</v>
      </c>
      <c r="C494" s="727"/>
      <c r="D494" s="869"/>
      <c r="E494" s="386" t="s">
        <v>491</v>
      </c>
      <c r="F494" s="386"/>
      <c r="G494" s="386" t="s">
        <v>423</v>
      </c>
      <c r="H494" s="387"/>
      <c r="I494" s="387">
        <f ca="1">$S$270</f>
        <v>11</v>
      </c>
      <c r="J494" s="387">
        <f ca="1">$S$270</f>
        <v>11</v>
      </c>
      <c r="K494" s="387">
        <f ca="1">$T$270</f>
        <v>12</v>
      </c>
      <c r="L494" s="387">
        <f ca="1">$T$270</f>
        <v>12</v>
      </c>
      <c r="M494" s="387"/>
      <c r="N494" s="61"/>
      <c r="O494" s="61"/>
      <c r="P494" s="5"/>
      <c r="Q494" s="20"/>
      <c r="R494" s="5"/>
      <c r="S494" s="5"/>
      <c r="T494" s="5"/>
      <c r="U494" s="5"/>
      <c r="V494" s="5"/>
      <c r="W494" s="5"/>
      <c r="X494" s="5"/>
      <c r="Y494" s="5"/>
      <c r="Z494" s="5"/>
      <c r="AA494" s="5"/>
      <c r="AB494" s="5"/>
      <c r="AC494" s="5"/>
      <c r="AD494" s="5"/>
      <c r="AE494" s="5"/>
      <c r="AF494" s="5"/>
      <c r="AG494" s="5"/>
      <c r="AH494" s="5"/>
      <c r="AI494" s="5"/>
      <c r="AJ494" s="5"/>
      <c r="AK494" s="22"/>
      <c r="AS494"/>
    </row>
    <row r="495" spans="2:45" ht="18.75" hidden="1" x14ac:dyDescent="0.2">
      <c r="B495" s="1036" t="s">
        <v>1003</v>
      </c>
      <c r="C495" s="727"/>
      <c r="E495" s="403" t="s">
        <v>124</v>
      </c>
      <c r="F495" s="404"/>
      <c r="G495" s="405"/>
      <c r="H495" s="406"/>
      <c r="I495" s="406"/>
      <c r="J495" s="406"/>
      <c r="K495" s="406"/>
      <c r="L495" s="406"/>
      <c r="M495" s="406"/>
      <c r="N495" s="20"/>
      <c r="O495" s="16"/>
      <c r="P495" s="16"/>
      <c r="Q495" s="16"/>
      <c r="R495" s="16"/>
      <c r="S495" s="16"/>
      <c r="T495" s="16"/>
      <c r="U495" s="16"/>
      <c r="V495" s="16"/>
      <c r="W495" s="16"/>
      <c r="X495" s="16"/>
      <c r="Y495" s="16"/>
      <c r="Z495" s="16"/>
      <c r="AA495" s="5"/>
      <c r="AB495" s="5"/>
      <c r="AC495" s="5"/>
      <c r="AD495" s="5"/>
      <c r="AE495" s="5"/>
      <c r="AF495" s="5"/>
      <c r="AG495" s="5"/>
      <c r="AH495" s="5"/>
      <c r="AI495" s="5"/>
      <c r="AJ495" s="5"/>
      <c r="AK495" s="22"/>
      <c r="AS495"/>
    </row>
    <row r="496" spans="2:45" hidden="1" x14ac:dyDescent="0.2">
      <c r="B496" s="1036" t="s">
        <v>1003</v>
      </c>
      <c r="C496" s="727"/>
      <c r="E496" s="395" t="s">
        <v>124</v>
      </c>
      <c r="F496" s="396"/>
      <c r="G496" s="395" t="s">
        <v>70</v>
      </c>
      <c r="H496" s="408"/>
      <c r="I496" s="522" t="str">
        <f>$S$272</f>
        <v>woning</v>
      </c>
      <c r="J496" s="522" t="str">
        <f>$S$272</f>
        <v>woning</v>
      </c>
      <c r="K496" s="522" t="str">
        <f>$T$272</f>
        <v>woongebouw</v>
      </c>
      <c r="L496" s="522" t="str">
        <f>$T$272</f>
        <v>woongebouw</v>
      </c>
      <c r="M496" s="408"/>
      <c r="N496" s="20"/>
      <c r="O496" s="16"/>
      <c r="P496" s="16"/>
      <c r="Q496" s="20"/>
      <c r="R496" s="5"/>
      <c r="S496" s="5"/>
      <c r="T496" s="5"/>
      <c r="U496" s="5"/>
      <c r="V496" s="5"/>
      <c r="W496" s="5"/>
      <c r="X496" s="5"/>
      <c r="Y496" s="5"/>
      <c r="Z496" s="5"/>
      <c r="AA496" s="5"/>
      <c r="AB496" s="5"/>
      <c r="AC496" s="5"/>
      <c r="AD496" s="5"/>
      <c r="AE496" s="5"/>
      <c r="AF496" s="5"/>
      <c r="AG496" s="5"/>
      <c r="AH496" s="5"/>
      <c r="AI496" s="5"/>
      <c r="AJ496" s="5"/>
      <c r="AK496" s="22"/>
      <c r="AS496"/>
    </row>
    <row r="497" spans="2:45" hidden="1" x14ac:dyDescent="0.2">
      <c r="B497" s="1036" t="s">
        <v>1003</v>
      </c>
      <c r="C497" s="727"/>
      <c r="E497" s="395" t="s">
        <v>1005</v>
      </c>
      <c r="F497" s="396"/>
      <c r="G497" s="395" t="s">
        <v>1006</v>
      </c>
      <c r="H497" s="408"/>
      <c r="I497" s="522" t="s">
        <v>1007</v>
      </c>
      <c r="J497" s="522" t="s">
        <v>1008</v>
      </c>
      <c r="K497" s="522" t="s">
        <v>1007</v>
      </c>
      <c r="L497" s="522" t="s">
        <v>1008</v>
      </c>
      <c r="M497" s="408"/>
      <c r="N497" s="20"/>
      <c r="O497" s="16"/>
      <c r="P497" s="16"/>
      <c r="Q497" s="20"/>
      <c r="R497" s="5"/>
      <c r="S497" s="5"/>
      <c r="T497" s="5"/>
      <c r="U497" s="5"/>
      <c r="V497" s="5"/>
      <c r="W497" s="5"/>
      <c r="X497" s="5"/>
      <c r="Y497" s="5"/>
      <c r="Z497" s="5"/>
      <c r="AA497" s="5"/>
      <c r="AB497" s="5"/>
      <c r="AC497" s="5"/>
      <c r="AD497" s="5"/>
      <c r="AE497" s="5"/>
      <c r="AF497" s="5"/>
      <c r="AG497" s="5"/>
      <c r="AH497" s="5"/>
      <c r="AI497" s="5"/>
      <c r="AJ497" s="5"/>
      <c r="AK497" s="22"/>
      <c r="AS497"/>
    </row>
    <row r="498" spans="2:45" ht="18.75" hidden="1" x14ac:dyDescent="0.2">
      <c r="B498" s="1036" t="s">
        <v>1003</v>
      </c>
      <c r="C498" s="727"/>
      <c r="E498" s="403" t="s">
        <v>1009</v>
      </c>
      <c r="F498" s="404"/>
      <c r="G498" s="405"/>
      <c r="H498" s="406"/>
      <c r="I498" s="406"/>
      <c r="J498" s="406"/>
      <c r="K498" s="406"/>
      <c r="L498" s="406"/>
      <c r="M498" s="406"/>
      <c r="N498" s="20"/>
      <c r="O498" s="16"/>
      <c r="P498" s="16"/>
      <c r="Q498" s="20"/>
      <c r="R498" s="5"/>
      <c r="S498" s="5"/>
      <c r="T498" s="5"/>
      <c r="U498" s="5"/>
      <c r="V498" s="5"/>
      <c r="W498" s="5"/>
      <c r="X498" s="5"/>
      <c r="Y498" s="5"/>
      <c r="Z498" s="5"/>
      <c r="AA498" s="5"/>
      <c r="AB498" s="5"/>
      <c r="AC498" s="5"/>
      <c r="AD498" s="5"/>
      <c r="AE498" s="5"/>
      <c r="AF498" s="5"/>
      <c r="AG498" s="5"/>
      <c r="AH498" s="5"/>
      <c r="AI498" s="5"/>
      <c r="AJ498" s="5"/>
      <c r="AK498" s="22"/>
      <c r="AS498"/>
    </row>
    <row r="499" spans="2:45" hidden="1" x14ac:dyDescent="0.2">
      <c r="B499" s="1036" t="s">
        <v>1003</v>
      </c>
      <c r="C499" s="727"/>
      <c r="E499" s="395" t="s">
        <v>1010</v>
      </c>
      <c r="F499" s="396"/>
      <c r="G499" s="395" t="s">
        <v>169</v>
      </c>
      <c r="H499" s="408"/>
      <c r="I499" s="409">
        <v>60</v>
      </c>
      <c r="J499" s="409">
        <v>43</v>
      </c>
      <c r="K499" s="409">
        <v>95</v>
      </c>
      <c r="L499" s="409">
        <v>45</v>
      </c>
      <c r="M499" s="408"/>
      <c r="N499" s="20"/>
      <c r="O499" s="16"/>
      <c r="P499" s="16"/>
      <c r="Q499" s="20"/>
      <c r="R499" s="5"/>
      <c r="S499" s="5"/>
      <c r="T499" s="5"/>
      <c r="U499" s="5"/>
      <c r="V499" s="5"/>
      <c r="W499" s="5"/>
      <c r="X499" s="5"/>
      <c r="Y499" s="5"/>
      <c r="Z499" s="5"/>
      <c r="AA499" s="5"/>
      <c r="AB499" s="5"/>
      <c r="AC499" s="5"/>
      <c r="AD499" s="5"/>
      <c r="AE499" s="5"/>
      <c r="AF499" s="5"/>
      <c r="AG499" s="5"/>
      <c r="AH499" s="5"/>
      <c r="AI499" s="5"/>
      <c r="AJ499" s="5"/>
      <c r="AK499" s="22"/>
      <c r="AS499"/>
    </row>
    <row r="500" spans="2:45" ht="18.75" hidden="1" x14ac:dyDescent="0.2">
      <c r="B500" s="1036" t="s">
        <v>1003</v>
      </c>
      <c r="C500" s="727"/>
      <c r="E500" s="403" t="s">
        <v>1011</v>
      </c>
      <c r="F500" s="404"/>
      <c r="G500" s="405"/>
      <c r="H500" s="406"/>
      <c r="I500" s="406"/>
      <c r="J500" s="406"/>
      <c r="K500" s="406"/>
      <c r="L500" s="406"/>
      <c r="M500" s="406"/>
      <c r="N500" s="20"/>
      <c r="O500" s="16"/>
      <c r="P500" s="16"/>
      <c r="Q500" s="20"/>
      <c r="R500" s="5"/>
      <c r="S500" s="5"/>
      <c r="T500" s="5"/>
      <c r="U500" s="5"/>
      <c r="V500" s="5"/>
      <c r="W500" s="5"/>
      <c r="X500" s="5"/>
      <c r="Y500" s="5"/>
      <c r="Z500" s="5"/>
      <c r="AA500" s="5"/>
      <c r="AB500" s="5"/>
      <c r="AC500" s="5"/>
      <c r="AD500" s="5"/>
      <c r="AE500" s="5"/>
      <c r="AF500" s="5"/>
      <c r="AG500" s="5"/>
      <c r="AH500" s="5"/>
      <c r="AI500" s="5"/>
      <c r="AJ500" s="5"/>
      <c r="AK500" s="22"/>
      <c r="AS500"/>
    </row>
    <row r="501" spans="2:45" hidden="1" x14ac:dyDescent="0.2">
      <c r="B501" s="1036" t="s">
        <v>1003</v>
      </c>
      <c r="C501" s="727"/>
      <c r="E501" s="395" t="s">
        <v>1012</v>
      </c>
      <c r="F501" s="396"/>
      <c r="G501" s="395" t="s">
        <v>139</v>
      </c>
      <c r="H501" s="408"/>
      <c r="I501" s="494">
        <v>1</v>
      </c>
      <c r="J501" s="494">
        <v>1</v>
      </c>
      <c r="K501" s="494">
        <v>1</v>
      </c>
      <c r="L501" s="494">
        <v>1</v>
      </c>
      <c r="M501" s="408"/>
      <c r="N501" s="20"/>
      <c r="O501" s="16"/>
      <c r="P501" s="16"/>
      <c r="Q501" s="20"/>
      <c r="R501" s="5"/>
      <c r="S501" s="5"/>
      <c r="T501" s="5"/>
      <c r="U501" s="5"/>
      <c r="V501" s="5"/>
      <c r="W501" s="5"/>
      <c r="X501" s="5"/>
      <c r="Y501" s="5"/>
      <c r="Z501" s="5"/>
      <c r="AA501" s="5"/>
      <c r="AB501" s="5"/>
      <c r="AC501" s="5"/>
      <c r="AD501" s="5"/>
      <c r="AE501" s="5"/>
      <c r="AF501" s="5"/>
      <c r="AG501" s="5"/>
      <c r="AH501" s="5"/>
      <c r="AI501" s="5"/>
      <c r="AJ501" s="5"/>
      <c r="AK501" s="22"/>
      <c r="AS501"/>
    </row>
    <row r="502" spans="2:45" hidden="1" x14ac:dyDescent="0.2">
      <c r="B502" s="1036" t="s">
        <v>1003</v>
      </c>
      <c r="C502" s="727"/>
      <c r="E502" s="395" t="s">
        <v>1013</v>
      </c>
      <c r="F502" s="396"/>
      <c r="G502" s="395" t="s">
        <v>169</v>
      </c>
      <c r="H502" s="408"/>
      <c r="I502" s="518">
        <v>105</v>
      </c>
      <c r="J502" s="518">
        <v>40</v>
      </c>
      <c r="K502" s="518">
        <v>70</v>
      </c>
      <c r="L502" s="518">
        <v>45</v>
      </c>
      <c r="M502" s="408"/>
      <c r="N502" s="20"/>
      <c r="O502" s="16"/>
      <c r="P502" s="16"/>
      <c r="Q502" s="20"/>
      <c r="R502" s="5"/>
      <c r="S502" s="5"/>
      <c r="T502" s="5"/>
      <c r="U502" s="5"/>
      <c r="V502" s="5"/>
      <c r="W502" s="5"/>
      <c r="X502" s="5"/>
      <c r="Y502" s="5"/>
      <c r="Z502" s="5"/>
      <c r="AA502" s="5"/>
      <c r="AB502" s="5"/>
      <c r="AC502" s="5"/>
      <c r="AD502" s="5"/>
      <c r="AE502" s="5"/>
      <c r="AF502" s="5"/>
      <c r="AG502" s="5"/>
      <c r="AH502" s="5"/>
      <c r="AI502" s="5"/>
      <c r="AJ502" s="5"/>
      <c r="AK502" s="22"/>
      <c r="AS502"/>
    </row>
    <row r="503" spans="2:45" hidden="1" x14ac:dyDescent="0.2">
      <c r="B503" s="1036" t="s">
        <v>1003</v>
      </c>
      <c r="C503" s="727"/>
      <c r="E503" s="391" t="s">
        <v>1014</v>
      </c>
      <c r="F503" s="396"/>
      <c r="G503" s="395"/>
      <c r="H503" s="408"/>
      <c r="I503" s="407"/>
      <c r="J503" s="407"/>
      <c r="K503" s="407"/>
      <c r="L503" s="407"/>
      <c r="M503" s="408"/>
      <c r="N503" s="20"/>
      <c r="O503" s="16"/>
      <c r="P503" s="16"/>
      <c r="Q503" s="20"/>
      <c r="R503" s="5"/>
      <c r="S503" s="5"/>
      <c r="T503" s="5"/>
      <c r="U503" s="5"/>
      <c r="V503" s="5"/>
      <c r="W503" s="5"/>
      <c r="X503" s="5"/>
      <c r="Y503" s="5"/>
      <c r="Z503" s="5"/>
      <c r="AA503" s="5"/>
      <c r="AB503" s="5"/>
      <c r="AC503" s="5"/>
      <c r="AD503" s="5"/>
      <c r="AE503" s="5"/>
      <c r="AF503" s="5"/>
      <c r="AG503" s="5"/>
      <c r="AH503" s="5"/>
      <c r="AI503" s="5"/>
      <c r="AJ503" s="5"/>
      <c r="AK503" s="22"/>
      <c r="AS503"/>
    </row>
    <row r="504" spans="2:45" hidden="1" x14ac:dyDescent="0.2">
      <c r="B504" s="1036" t="s">
        <v>1003</v>
      </c>
      <c r="C504" s="727"/>
      <c r="E504" s="789" t="s">
        <v>1015</v>
      </c>
      <c r="F504" s="391"/>
      <c r="G504" s="391"/>
      <c r="H504" s="391"/>
      <c r="I504" s="544"/>
      <c r="J504" s="544"/>
      <c r="K504" s="544"/>
      <c r="L504" s="544"/>
      <c r="M504" s="544"/>
      <c r="N504" s="20"/>
      <c r="O504" s="20"/>
      <c r="P504" s="20"/>
      <c r="Q504" s="20"/>
      <c r="R504" s="20"/>
      <c r="S504" s="20"/>
      <c r="T504" s="20"/>
      <c r="U504" s="20"/>
      <c r="V504" s="14"/>
      <c r="W504" s="14"/>
      <c r="X504" s="14"/>
      <c r="Y504" s="377"/>
      <c r="Z504" s="14"/>
      <c r="AA504" s="18"/>
      <c r="AB504" s="18"/>
      <c r="AC504" s="18"/>
      <c r="AD504" s="18"/>
      <c r="AE504" s="18"/>
      <c r="AF504" s="18"/>
      <c r="AG504" s="18"/>
      <c r="AH504" s="18"/>
      <c r="AI504" s="18"/>
      <c r="AJ504" s="18"/>
      <c r="AK504" s="18"/>
      <c r="AL504" s="18"/>
      <c r="AM504" s="18"/>
      <c r="AN504" s="18"/>
      <c r="AO504" s="18"/>
      <c r="AP504" s="18"/>
      <c r="AQ504" s="18"/>
      <c r="AR504" s="18"/>
      <c r="AS504" s="22"/>
    </row>
    <row r="505" spans="2:45" hidden="1" x14ac:dyDescent="0.2">
      <c r="B505" s="1036" t="s">
        <v>1003</v>
      </c>
      <c r="C505" s="727"/>
      <c r="E505" s="5"/>
      <c r="F505" s="5"/>
      <c r="G505" s="5"/>
      <c r="H505" s="16"/>
      <c r="I505" s="16"/>
      <c r="J505" s="16"/>
      <c r="K505" s="16"/>
      <c r="L505" s="16"/>
      <c r="M505" s="16"/>
      <c r="N505" s="16"/>
      <c r="O505" s="16"/>
      <c r="P505" s="16"/>
      <c r="Q505" s="16"/>
      <c r="R505" s="16"/>
      <c r="S505" s="16"/>
      <c r="T505" s="16"/>
      <c r="U505" s="16"/>
      <c r="V505" s="16"/>
      <c r="X505" s="16"/>
      <c r="Y505" s="20"/>
      <c r="Z505" s="16"/>
      <c r="AA505" s="16"/>
      <c r="AB505" s="5"/>
      <c r="AC505" s="5"/>
      <c r="AD505" s="5"/>
      <c r="AE505" s="5"/>
      <c r="AF505" s="5"/>
      <c r="AG505" s="5"/>
      <c r="AH505" s="5"/>
      <c r="AI505" s="5"/>
      <c r="AJ505" s="5"/>
      <c r="AK505" s="5"/>
      <c r="AL505" s="5"/>
      <c r="AM505" s="5"/>
      <c r="AN505" s="5"/>
      <c r="AO505" s="5"/>
      <c r="AP505" s="5"/>
      <c r="AQ505" s="5"/>
      <c r="AR505" s="5"/>
      <c r="AS505" s="22"/>
    </row>
    <row r="506" spans="2:45" hidden="1" x14ac:dyDescent="0.2">
      <c r="B506" s="1036" t="s">
        <v>1016</v>
      </c>
      <c r="C506" s="727"/>
      <c r="E506" s="5"/>
      <c r="F506" s="5"/>
      <c r="G506" s="5"/>
      <c r="H506" s="16"/>
      <c r="I506" s="16"/>
      <c r="J506" s="16"/>
      <c r="K506" s="16"/>
      <c r="L506" s="16"/>
      <c r="M506" s="16"/>
      <c r="N506" s="16"/>
      <c r="O506" s="16"/>
      <c r="P506" s="16"/>
      <c r="Q506" s="16"/>
      <c r="R506" s="16"/>
      <c r="S506" s="16"/>
      <c r="T506" s="16"/>
      <c r="U506" s="16"/>
      <c r="V506" s="16"/>
      <c r="X506" s="16"/>
      <c r="Y506" s="20"/>
      <c r="Z506" s="16"/>
      <c r="AA506" s="16"/>
      <c r="AB506" s="5"/>
      <c r="AC506" s="5"/>
      <c r="AD506" s="5"/>
      <c r="AE506" s="5"/>
      <c r="AF506" s="5"/>
      <c r="AG506" s="5"/>
      <c r="AH506" s="5"/>
      <c r="AI506" s="5"/>
      <c r="AJ506" s="5"/>
      <c r="AK506" s="5"/>
      <c r="AL506" s="5"/>
      <c r="AM506" s="5"/>
      <c r="AN506" s="5"/>
      <c r="AO506" s="5"/>
      <c r="AP506" s="5"/>
      <c r="AQ506" s="5"/>
      <c r="AR506" s="5"/>
      <c r="AS506" s="22"/>
    </row>
    <row r="507" spans="2:45" ht="21" hidden="1" x14ac:dyDescent="0.2">
      <c r="B507" s="1036" t="s">
        <v>1016</v>
      </c>
      <c r="C507" s="727"/>
      <c r="E507" s="240" t="s">
        <v>1016</v>
      </c>
      <c r="F507" s="240"/>
      <c r="G507" s="240"/>
      <c r="H507" s="240"/>
      <c r="I507" s="240"/>
      <c r="J507" s="240"/>
      <c r="K507" s="240"/>
      <c r="L507" s="240"/>
      <c r="M507" s="240"/>
      <c r="N507" s="240"/>
      <c r="O507" s="240"/>
      <c r="P507" s="240"/>
      <c r="Q507" s="240"/>
      <c r="R507" s="240"/>
      <c r="S507" s="240"/>
      <c r="T507" s="240"/>
      <c r="U507" s="240"/>
      <c r="V507" s="61"/>
      <c r="X507" s="61"/>
      <c r="Y507" s="20"/>
      <c r="Z507" s="5"/>
      <c r="AA507" s="5"/>
      <c r="AB507" s="5"/>
      <c r="AC507" s="5"/>
      <c r="AD507" s="5"/>
      <c r="AE507" s="5"/>
      <c r="AF507" s="5"/>
      <c r="AG507" s="5"/>
      <c r="AH507" s="5"/>
      <c r="AI507" s="5"/>
      <c r="AJ507" s="5"/>
      <c r="AK507" s="5"/>
      <c r="AL507" s="5"/>
      <c r="AM507" s="5"/>
      <c r="AN507" s="5"/>
      <c r="AO507" s="5"/>
      <c r="AP507" s="5"/>
      <c r="AQ507" s="5"/>
      <c r="AR507" s="5"/>
      <c r="AS507" s="22"/>
    </row>
    <row r="508" spans="2:45" hidden="1" x14ac:dyDescent="0.2">
      <c r="B508" s="1036" t="s">
        <v>1016</v>
      </c>
      <c r="C508" s="727"/>
      <c r="D508" s="869"/>
      <c r="E508" s="386" t="s">
        <v>491</v>
      </c>
      <c r="F508" s="386"/>
      <c r="G508" s="386" t="s">
        <v>423</v>
      </c>
      <c r="H508" s="387"/>
      <c r="I508" s="387">
        <f t="shared" ref="I508:T508" ca="1" si="121">OFFSET(I508,0,-1)+1</f>
        <v>1</v>
      </c>
      <c r="J508" s="387">
        <f t="shared" ca="1" si="121"/>
        <v>2</v>
      </c>
      <c r="K508" s="387">
        <f t="shared" ca="1" si="121"/>
        <v>3</v>
      </c>
      <c r="L508" s="387">
        <f t="shared" ca="1" si="121"/>
        <v>4</v>
      </c>
      <c r="M508" s="387">
        <f t="shared" ca="1" si="121"/>
        <v>5</v>
      </c>
      <c r="N508" s="387">
        <f t="shared" ca="1" si="121"/>
        <v>6</v>
      </c>
      <c r="O508" s="387">
        <f t="shared" ca="1" si="121"/>
        <v>7</v>
      </c>
      <c r="P508" s="387">
        <f t="shared" ca="1" si="121"/>
        <v>8</v>
      </c>
      <c r="Q508" s="387">
        <f t="shared" ca="1" si="121"/>
        <v>9</v>
      </c>
      <c r="R508" s="387">
        <f t="shared" ca="1" si="121"/>
        <v>10</v>
      </c>
      <c r="S508" s="387">
        <f t="shared" ca="1" si="121"/>
        <v>11</v>
      </c>
      <c r="T508" s="387">
        <f t="shared" ca="1" si="121"/>
        <v>12</v>
      </c>
      <c r="U508" s="387"/>
      <c r="V508" s="61"/>
      <c r="W508" s="61"/>
      <c r="X508" s="5"/>
      <c r="Y508" s="20"/>
      <c r="Z508" s="5"/>
      <c r="AA508" s="5"/>
      <c r="AB508" s="5"/>
      <c r="AC508" s="5"/>
      <c r="AD508" s="5"/>
      <c r="AE508" s="5"/>
      <c r="AF508" s="5"/>
      <c r="AG508" s="5"/>
      <c r="AH508" s="5"/>
      <c r="AI508" s="5"/>
      <c r="AJ508" s="5"/>
      <c r="AK508" s="5"/>
      <c r="AL508" s="5"/>
      <c r="AM508" s="5"/>
      <c r="AN508" s="5"/>
      <c r="AO508" s="5"/>
      <c r="AP508" s="5"/>
      <c r="AQ508" s="5"/>
      <c r="AR508" s="5"/>
      <c r="AS508" s="22"/>
    </row>
    <row r="509" spans="2:45" ht="18.75" hidden="1" x14ac:dyDescent="0.2">
      <c r="B509" s="1036" t="s">
        <v>1016</v>
      </c>
      <c r="C509" s="727"/>
      <c r="E509" s="403" t="s">
        <v>124</v>
      </c>
      <c r="F509" s="404"/>
      <c r="G509" s="405"/>
      <c r="H509" s="406"/>
      <c r="I509" s="406"/>
      <c r="J509" s="406"/>
      <c r="K509" s="406"/>
      <c r="L509" s="406"/>
      <c r="M509" s="406"/>
      <c r="N509" s="406"/>
      <c r="O509" s="406"/>
      <c r="P509" s="406"/>
      <c r="Q509" s="406"/>
      <c r="R509" s="406"/>
      <c r="S509" s="406"/>
      <c r="T509" s="406"/>
      <c r="U509" s="406"/>
      <c r="V509" s="20"/>
      <c r="W509" s="16"/>
      <c r="X509" s="16"/>
      <c r="Y509" s="16"/>
      <c r="Z509" s="16"/>
      <c r="AA509" s="16"/>
      <c r="AB509" s="16"/>
      <c r="AC509" s="16"/>
      <c r="AD509" s="16"/>
      <c r="AE509" s="16"/>
      <c r="AF509" s="16"/>
      <c r="AG509" s="16"/>
      <c r="AH509" s="16"/>
      <c r="AI509" s="16"/>
      <c r="AJ509" s="16"/>
      <c r="AK509" s="16"/>
      <c r="AL509" s="16"/>
      <c r="AM509" s="16"/>
      <c r="AN509" s="5"/>
      <c r="AO509" s="5"/>
      <c r="AP509" s="5"/>
      <c r="AQ509" s="5"/>
      <c r="AR509" s="5"/>
      <c r="AS509" s="22"/>
    </row>
    <row r="510" spans="2:45" ht="25.5" hidden="1" x14ac:dyDescent="0.2">
      <c r="B510" s="1036" t="s">
        <v>1016</v>
      </c>
      <c r="C510" s="727"/>
      <c r="E510" s="395" t="s">
        <v>1017</v>
      </c>
      <c r="F510" s="396"/>
      <c r="G510" s="395" t="s">
        <v>70</v>
      </c>
      <c r="H510" s="395"/>
      <c r="I510" s="522" t="str">
        <f>I$272</f>
        <v>kantoor</v>
      </c>
      <c r="J510" s="522" t="str">
        <f t="shared" ref="J510:T510" si="122">J$272</f>
        <v>bijeenkomst overig</v>
      </c>
      <c r="K510" s="522" t="str">
        <f t="shared" si="122"/>
        <v>bijeenkomst kinderopvang</v>
      </c>
      <c r="L510" s="522" t="str">
        <f t="shared" si="122"/>
        <v>onderwijs</v>
      </c>
      <c r="M510" s="522" t="str">
        <f t="shared" si="122"/>
        <v>gezondheid overig</v>
      </c>
      <c r="N510" s="522" t="str">
        <f t="shared" si="122"/>
        <v>gezondheid met bed</v>
      </c>
      <c r="O510" s="522" t="str">
        <f t="shared" si="122"/>
        <v>winkel</v>
      </c>
      <c r="P510" s="522" t="str">
        <f t="shared" si="122"/>
        <v>sport</v>
      </c>
      <c r="Q510" s="522" t="str">
        <f t="shared" si="122"/>
        <v>logies</v>
      </c>
      <c r="R510" s="522" t="str">
        <f t="shared" si="122"/>
        <v>cellengebouw</v>
      </c>
      <c r="S510" s="522" t="str">
        <f t="shared" si="122"/>
        <v>woning</v>
      </c>
      <c r="T510" s="522" t="str">
        <f t="shared" si="122"/>
        <v>woongebouw</v>
      </c>
      <c r="U510" s="408"/>
      <c r="V510" s="20"/>
      <c r="W510" s="16"/>
      <c r="X510" s="16"/>
      <c r="Y510" s="16"/>
      <c r="Z510" s="16"/>
      <c r="AA510" s="16"/>
      <c r="AB510" s="16"/>
      <c r="AC510" s="16"/>
      <c r="AD510" s="16"/>
      <c r="AE510" s="16"/>
      <c r="AF510" s="16"/>
      <c r="AG510" s="16"/>
      <c r="AH510" s="16"/>
      <c r="AI510" s="16"/>
      <c r="AJ510" s="16"/>
      <c r="AK510" s="16"/>
      <c r="AL510" s="16"/>
      <c r="AM510" s="16"/>
      <c r="AN510" s="5"/>
      <c r="AO510" s="5"/>
      <c r="AP510" s="5"/>
      <c r="AQ510" s="5"/>
      <c r="AR510" s="5"/>
      <c r="AS510" s="22"/>
    </row>
    <row r="511" spans="2:45" ht="18.75" hidden="1" x14ac:dyDescent="0.2">
      <c r="B511" s="1036" t="s">
        <v>1016</v>
      </c>
      <c r="C511" s="727"/>
      <c r="E511" s="403" t="s">
        <v>1018</v>
      </c>
      <c r="F511" s="404"/>
      <c r="G511" s="405"/>
      <c r="H511" s="406"/>
      <c r="I511" s="406"/>
      <c r="J511" s="406"/>
      <c r="K511" s="406"/>
      <c r="L511" s="406"/>
      <c r="M511" s="406"/>
      <c r="N511" s="406"/>
      <c r="O511" s="406"/>
      <c r="P511" s="406"/>
      <c r="Q511" s="406"/>
      <c r="R511" s="406"/>
      <c r="S511" s="406"/>
      <c r="T511" s="406"/>
      <c r="U511" s="406"/>
      <c r="V511" s="20"/>
      <c r="W511" s="16"/>
      <c r="X511" s="16"/>
      <c r="Y511" s="16"/>
      <c r="Z511" s="16"/>
      <c r="AA511" s="16"/>
      <c r="AB511" s="16"/>
      <c r="AC511" s="16"/>
      <c r="AD511" s="16"/>
      <c r="AE511" s="16"/>
      <c r="AF511" s="16"/>
      <c r="AG511" s="16"/>
      <c r="AH511" s="16"/>
      <c r="AI511" s="16"/>
      <c r="AJ511" s="16"/>
      <c r="AK511" s="16"/>
      <c r="AL511" s="16"/>
      <c r="AM511" s="16"/>
      <c r="AN511" s="5"/>
      <c r="AO511" s="5"/>
      <c r="AP511" s="5"/>
      <c r="AQ511" s="5"/>
      <c r="AR511" s="5"/>
      <c r="AS511" s="22"/>
    </row>
    <row r="512" spans="2:45" hidden="1" x14ac:dyDescent="0.2">
      <c r="B512" s="1036" t="s">
        <v>1016</v>
      </c>
      <c r="C512" s="727"/>
      <c r="E512" s="395" t="s">
        <v>1019</v>
      </c>
      <c r="F512" s="396"/>
      <c r="G512" s="395" t="s">
        <v>169</v>
      </c>
      <c r="H512" s="408"/>
      <c r="I512" s="518">
        <v>10000</v>
      </c>
      <c r="J512" s="518">
        <v>10000</v>
      </c>
      <c r="K512" s="518">
        <v>10000</v>
      </c>
      <c r="L512" s="518">
        <v>10000</v>
      </c>
      <c r="M512" s="518">
        <v>10000</v>
      </c>
      <c r="N512" s="518">
        <v>10000</v>
      </c>
      <c r="O512" s="518">
        <v>10000</v>
      </c>
      <c r="P512" s="518">
        <v>10000</v>
      </c>
      <c r="Q512" s="518">
        <v>10000</v>
      </c>
      <c r="R512" s="518">
        <v>10000</v>
      </c>
      <c r="S512" s="518">
        <v>10000</v>
      </c>
      <c r="T512" s="518">
        <v>10000</v>
      </c>
      <c r="U512" s="408"/>
      <c r="V512" s="20"/>
      <c r="W512" s="16"/>
      <c r="X512" s="16"/>
      <c r="Y512" s="16"/>
      <c r="Z512" s="16"/>
      <c r="AA512" s="16"/>
      <c r="AB512" s="16"/>
      <c r="AC512" s="16"/>
      <c r="AD512" s="16"/>
      <c r="AE512" s="16"/>
      <c r="AF512" s="16"/>
      <c r="AG512" s="16"/>
      <c r="AH512" s="16"/>
      <c r="AI512" s="16"/>
      <c r="AJ512" s="16"/>
      <c r="AK512" s="16"/>
      <c r="AL512" s="16"/>
      <c r="AM512" s="16"/>
      <c r="AN512" s="5"/>
      <c r="AO512" s="5"/>
      <c r="AP512" s="5"/>
      <c r="AQ512" s="5"/>
      <c r="AR512" s="5"/>
      <c r="AS512" s="22"/>
    </row>
    <row r="513" spans="2:45" hidden="1" x14ac:dyDescent="0.2">
      <c r="B513" s="1036" t="s">
        <v>1016</v>
      </c>
      <c r="C513" s="727"/>
      <c r="E513" s="395" t="s">
        <v>1020</v>
      </c>
      <c r="F513" s="396"/>
      <c r="G513" s="395" t="s">
        <v>169</v>
      </c>
      <c r="H513" s="408"/>
      <c r="I513" s="518">
        <v>300</v>
      </c>
      <c r="J513" s="518">
        <v>385</v>
      </c>
      <c r="K513" s="518">
        <v>445</v>
      </c>
      <c r="L513" s="518">
        <v>395</v>
      </c>
      <c r="M513" s="518">
        <v>355</v>
      </c>
      <c r="N513" s="518">
        <v>715</v>
      </c>
      <c r="O513" s="518">
        <v>475</v>
      </c>
      <c r="P513" s="518">
        <v>260</v>
      </c>
      <c r="Q513" s="518">
        <v>385</v>
      </c>
      <c r="R513" s="518">
        <v>500</v>
      </c>
      <c r="S513" s="518">
        <v>380</v>
      </c>
      <c r="T513" s="518">
        <v>380</v>
      </c>
      <c r="U513" s="408"/>
      <c r="V513" s="20"/>
      <c r="W513" s="16"/>
      <c r="X513" s="16"/>
      <c r="Y513" s="16"/>
      <c r="Z513" s="16"/>
      <c r="AA513" s="16"/>
      <c r="AB513" s="16"/>
      <c r="AC513" s="16"/>
      <c r="AD513" s="16"/>
      <c r="AE513" s="16"/>
      <c r="AF513" s="16"/>
      <c r="AG513" s="16"/>
      <c r="AH513" s="16"/>
      <c r="AI513" s="16"/>
      <c r="AJ513" s="16"/>
      <c r="AK513" s="16"/>
      <c r="AL513" s="16"/>
      <c r="AM513" s="16"/>
      <c r="AN513" s="5"/>
      <c r="AO513" s="5"/>
      <c r="AP513" s="5"/>
      <c r="AQ513" s="5"/>
      <c r="AR513" s="5"/>
      <c r="AS513" s="22"/>
    </row>
    <row r="514" spans="2:45" hidden="1" x14ac:dyDescent="0.2">
      <c r="B514" s="1036" t="s">
        <v>1016</v>
      </c>
      <c r="C514" s="727"/>
      <c r="E514" s="395" t="s">
        <v>1021</v>
      </c>
      <c r="F514" s="396"/>
      <c r="G514" s="395" t="s">
        <v>169</v>
      </c>
      <c r="H514" s="408"/>
      <c r="I514" s="518">
        <v>275</v>
      </c>
      <c r="J514" s="518">
        <v>355</v>
      </c>
      <c r="K514" s="518">
        <v>405</v>
      </c>
      <c r="L514" s="518">
        <v>360</v>
      </c>
      <c r="M514" s="518">
        <v>325</v>
      </c>
      <c r="N514" s="518">
        <v>655</v>
      </c>
      <c r="O514" s="518">
        <v>435</v>
      </c>
      <c r="P514" s="518">
        <v>240</v>
      </c>
      <c r="Q514" s="518">
        <v>355</v>
      </c>
      <c r="R514" s="518">
        <v>455</v>
      </c>
      <c r="S514" s="518">
        <v>335</v>
      </c>
      <c r="T514" s="518">
        <v>335</v>
      </c>
      <c r="U514" s="408"/>
      <c r="V514" s="20"/>
      <c r="W514" s="16"/>
      <c r="X514" s="16"/>
      <c r="Y514" s="16"/>
      <c r="Z514" s="16"/>
      <c r="AA514" s="16"/>
      <c r="AB514" s="16"/>
      <c r="AC514" s="16"/>
      <c r="AD514" s="16"/>
      <c r="AE514" s="16"/>
      <c r="AF514" s="16"/>
      <c r="AG514" s="16"/>
      <c r="AH514" s="16"/>
      <c r="AI514" s="16"/>
      <c r="AJ514" s="16"/>
      <c r="AK514" s="16"/>
      <c r="AL514" s="16"/>
      <c r="AM514" s="16"/>
      <c r="AN514" s="5"/>
      <c r="AO514" s="5"/>
      <c r="AP514" s="5"/>
      <c r="AQ514" s="5"/>
      <c r="AR514" s="5"/>
      <c r="AS514" s="22"/>
    </row>
    <row r="515" spans="2:45" hidden="1" x14ac:dyDescent="0.2">
      <c r="B515" s="1036" t="s">
        <v>1016</v>
      </c>
      <c r="C515" s="727"/>
      <c r="E515" s="395" t="s">
        <v>545</v>
      </c>
      <c r="F515" s="396"/>
      <c r="G515" s="395" t="s">
        <v>169</v>
      </c>
      <c r="H515" s="408"/>
      <c r="I515" s="518">
        <v>250</v>
      </c>
      <c r="J515" s="518">
        <v>320</v>
      </c>
      <c r="K515" s="518">
        <v>365</v>
      </c>
      <c r="L515" s="518">
        <v>330</v>
      </c>
      <c r="M515" s="518">
        <v>295</v>
      </c>
      <c r="N515" s="518">
        <v>595</v>
      </c>
      <c r="O515" s="518">
        <v>395</v>
      </c>
      <c r="P515" s="518">
        <v>215</v>
      </c>
      <c r="Q515" s="518">
        <v>320</v>
      </c>
      <c r="R515" s="518">
        <v>415</v>
      </c>
      <c r="S515" s="518">
        <v>290</v>
      </c>
      <c r="T515" s="518">
        <v>290</v>
      </c>
      <c r="U515" s="408"/>
      <c r="V515" s="20"/>
      <c r="W515" s="16"/>
      <c r="X515" s="16"/>
      <c r="Y515" s="16"/>
      <c r="Z515" s="16"/>
      <c r="AA515" s="16"/>
      <c r="AB515" s="16"/>
      <c r="AC515" s="16"/>
      <c r="AD515" s="16"/>
      <c r="AE515" s="16"/>
      <c r="AF515" s="16"/>
      <c r="AG515" s="16"/>
      <c r="AH515" s="16"/>
      <c r="AI515" s="16"/>
      <c r="AJ515" s="16"/>
      <c r="AK515" s="16"/>
      <c r="AL515" s="16"/>
      <c r="AM515" s="16"/>
      <c r="AN515" s="5"/>
      <c r="AO515" s="5"/>
      <c r="AP515" s="5"/>
      <c r="AQ515" s="5"/>
      <c r="AR515" s="5"/>
      <c r="AS515" s="22"/>
    </row>
    <row r="516" spans="2:45" hidden="1" x14ac:dyDescent="0.2">
      <c r="B516" s="1036" t="s">
        <v>1016</v>
      </c>
      <c r="C516" s="727"/>
      <c r="E516" s="395" t="s">
        <v>541</v>
      </c>
      <c r="F516" s="396"/>
      <c r="G516" s="395" t="s">
        <v>169</v>
      </c>
      <c r="H516" s="408"/>
      <c r="I516" s="518">
        <v>225</v>
      </c>
      <c r="J516" s="518">
        <v>285</v>
      </c>
      <c r="K516" s="518">
        <v>330</v>
      </c>
      <c r="L516" s="518">
        <v>295</v>
      </c>
      <c r="M516" s="518">
        <v>260</v>
      </c>
      <c r="N516" s="518">
        <v>530</v>
      </c>
      <c r="O516" s="518">
        <v>355</v>
      </c>
      <c r="P516" s="518">
        <v>195</v>
      </c>
      <c r="Q516" s="518">
        <v>285</v>
      </c>
      <c r="R516" s="518">
        <v>370</v>
      </c>
      <c r="S516" s="518">
        <v>250</v>
      </c>
      <c r="T516" s="518">
        <v>250</v>
      </c>
      <c r="U516" s="408"/>
      <c r="V516" s="20"/>
      <c r="W516" s="16"/>
      <c r="X516" s="16"/>
      <c r="Y516" s="16"/>
      <c r="Z516" s="16"/>
      <c r="AA516" s="16"/>
      <c r="AB516" s="16"/>
      <c r="AC516" s="16"/>
      <c r="AD516" s="16"/>
      <c r="AE516" s="16"/>
      <c r="AF516" s="16"/>
      <c r="AG516" s="16"/>
      <c r="AH516" s="16"/>
      <c r="AI516" s="16"/>
      <c r="AJ516" s="16"/>
      <c r="AK516" s="16"/>
      <c r="AL516" s="16"/>
      <c r="AM516" s="16"/>
      <c r="AN516" s="5"/>
      <c r="AO516" s="5"/>
      <c r="AP516" s="5"/>
      <c r="AQ516" s="5"/>
      <c r="AR516" s="5"/>
      <c r="AS516" s="22"/>
    </row>
    <row r="517" spans="2:45" hidden="1" x14ac:dyDescent="0.2">
      <c r="B517" s="1036" t="s">
        <v>1016</v>
      </c>
      <c r="C517" s="727"/>
      <c r="E517" s="395" t="s">
        <v>538</v>
      </c>
      <c r="F517" s="396"/>
      <c r="G517" s="395" t="s">
        <v>169</v>
      </c>
      <c r="H517" s="408"/>
      <c r="I517" s="518">
        <v>200</v>
      </c>
      <c r="J517" s="518">
        <v>255</v>
      </c>
      <c r="K517" s="518">
        <v>290</v>
      </c>
      <c r="L517" s="518">
        <v>260</v>
      </c>
      <c r="M517" s="518">
        <v>230</v>
      </c>
      <c r="N517" s="518">
        <v>470</v>
      </c>
      <c r="O517" s="518">
        <v>315</v>
      </c>
      <c r="P517" s="518">
        <v>170</v>
      </c>
      <c r="Q517" s="518">
        <v>255</v>
      </c>
      <c r="R517" s="518">
        <v>330</v>
      </c>
      <c r="S517" s="518">
        <v>190</v>
      </c>
      <c r="T517" s="518">
        <v>190</v>
      </c>
      <c r="U517" s="408"/>
      <c r="V517" s="20"/>
      <c r="W517" s="16"/>
      <c r="X517" s="16"/>
      <c r="Y517" s="16"/>
      <c r="Z517" s="16"/>
      <c r="AA517" s="16"/>
      <c r="AB517" s="16"/>
      <c r="AC517" s="16"/>
      <c r="AD517" s="16"/>
      <c r="AE517" s="16"/>
      <c r="AF517" s="16"/>
      <c r="AG517" s="16"/>
      <c r="AH517" s="16"/>
      <c r="AI517" s="16"/>
      <c r="AJ517" s="16"/>
      <c r="AK517" s="16"/>
      <c r="AL517" s="16"/>
      <c r="AM517" s="16"/>
      <c r="AN517" s="5"/>
      <c r="AO517" s="5"/>
      <c r="AP517" s="5"/>
      <c r="AQ517" s="5"/>
      <c r="AR517" s="5"/>
      <c r="AS517" s="22"/>
    </row>
    <row r="518" spans="2:45" hidden="1" x14ac:dyDescent="0.2">
      <c r="B518" s="1036" t="s">
        <v>1016</v>
      </c>
      <c r="C518" s="727"/>
      <c r="E518" s="395" t="s">
        <v>535</v>
      </c>
      <c r="F518" s="396"/>
      <c r="G518" s="395" t="s">
        <v>169</v>
      </c>
      <c r="H518" s="408"/>
      <c r="I518" s="518">
        <v>180</v>
      </c>
      <c r="J518" s="518">
        <v>230</v>
      </c>
      <c r="K518" s="518">
        <v>265</v>
      </c>
      <c r="L518" s="518">
        <v>235</v>
      </c>
      <c r="M518" s="518">
        <v>210</v>
      </c>
      <c r="N518" s="518">
        <v>430</v>
      </c>
      <c r="O518" s="518">
        <v>285</v>
      </c>
      <c r="P518" s="518">
        <v>155</v>
      </c>
      <c r="Q518" s="518">
        <v>230</v>
      </c>
      <c r="R518" s="518">
        <v>300</v>
      </c>
      <c r="S518" s="518">
        <v>160</v>
      </c>
      <c r="T518" s="518">
        <v>160</v>
      </c>
      <c r="U518" s="408"/>
      <c r="V518" s="20"/>
      <c r="W518" s="16"/>
      <c r="X518" s="16"/>
      <c r="Y518" s="16"/>
      <c r="Z518" s="16"/>
      <c r="AA518" s="16"/>
      <c r="AB518" s="16"/>
      <c r="AC518" s="16"/>
      <c r="AD518" s="16"/>
      <c r="AE518" s="16"/>
      <c r="AF518" s="16"/>
      <c r="AG518" s="16"/>
      <c r="AH518" s="16"/>
      <c r="AI518" s="16"/>
      <c r="AJ518" s="16"/>
      <c r="AK518" s="16"/>
      <c r="AL518" s="16"/>
      <c r="AM518" s="16"/>
      <c r="AN518" s="5"/>
      <c r="AO518" s="5"/>
      <c r="AP518" s="5"/>
      <c r="AQ518" s="5"/>
      <c r="AR518" s="5"/>
      <c r="AS518" s="22"/>
    </row>
    <row r="519" spans="2:45" hidden="1" x14ac:dyDescent="0.2">
      <c r="B519" s="1036" t="s">
        <v>1016</v>
      </c>
      <c r="C519" s="727"/>
      <c r="E519" s="395" t="s">
        <v>1022</v>
      </c>
      <c r="F519" s="396"/>
      <c r="G519" s="395" t="s">
        <v>169</v>
      </c>
      <c r="H519" s="408"/>
      <c r="I519" s="518">
        <v>160</v>
      </c>
      <c r="J519" s="518">
        <v>200</v>
      </c>
      <c r="K519" s="518">
        <v>220</v>
      </c>
      <c r="L519" s="518">
        <v>200</v>
      </c>
      <c r="M519" s="518">
        <v>180</v>
      </c>
      <c r="N519" s="518">
        <v>360</v>
      </c>
      <c r="O519" s="518">
        <v>240</v>
      </c>
      <c r="P519" s="518">
        <v>140</v>
      </c>
      <c r="Q519" s="518">
        <v>200</v>
      </c>
      <c r="R519" s="518">
        <v>240</v>
      </c>
      <c r="S519" s="518">
        <v>105</v>
      </c>
      <c r="T519" s="518">
        <v>105</v>
      </c>
      <c r="U519" s="408"/>
      <c r="V519" s="20"/>
      <c r="W519" s="16"/>
      <c r="X519" s="16"/>
      <c r="Y519" s="16"/>
      <c r="Z519" s="16"/>
      <c r="AA519" s="16"/>
      <c r="AB519" s="16"/>
      <c r="AC519" s="16"/>
      <c r="AD519" s="16"/>
      <c r="AE519" s="16"/>
      <c r="AF519" s="16"/>
      <c r="AG519" s="16"/>
      <c r="AH519" s="16"/>
      <c r="AI519" s="16"/>
      <c r="AJ519" s="16"/>
      <c r="AK519" s="16"/>
      <c r="AL519" s="16"/>
      <c r="AM519" s="16"/>
      <c r="AN519" s="5"/>
      <c r="AO519" s="5"/>
      <c r="AP519" s="5"/>
      <c r="AQ519" s="5"/>
      <c r="AR519" s="5"/>
      <c r="AS519" s="22"/>
    </row>
    <row r="520" spans="2:45" hidden="1" x14ac:dyDescent="0.2">
      <c r="B520" s="1036" t="s">
        <v>1016</v>
      </c>
      <c r="C520" s="727"/>
      <c r="E520" s="395" t="s">
        <v>1023</v>
      </c>
      <c r="F520" s="396"/>
      <c r="G520" s="395" t="s">
        <v>169</v>
      </c>
      <c r="H520" s="408"/>
      <c r="I520" s="518">
        <v>120</v>
      </c>
      <c r="J520" s="518">
        <v>150</v>
      </c>
      <c r="K520" s="518">
        <v>165</v>
      </c>
      <c r="L520" s="518">
        <v>150</v>
      </c>
      <c r="M520" s="518">
        <v>135</v>
      </c>
      <c r="N520" s="518">
        <v>270</v>
      </c>
      <c r="O520" s="518">
        <v>180</v>
      </c>
      <c r="P520" s="518">
        <v>105</v>
      </c>
      <c r="Q520" s="518">
        <v>150</v>
      </c>
      <c r="R520" s="518">
        <v>180</v>
      </c>
      <c r="S520" s="518">
        <v>75</v>
      </c>
      <c r="T520" s="518">
        <v>75</v>
      </c>
      <c r="U520" s="408"/>
      <c r="V520" s="20"/>
      <c r="W520" s="16"/>
      <c r="X520" s="16"/>
      <c r="Y520" s="16"/>
      <c r="Z520" s="16"/>
      <c r="AA520" s="16"/>
      <c r="AB520" s="16"/>
      <c r="AC520" s="16"/>
      <c r="AD520" s="16"/>
      <c r="AE520" s="16"/>
      <c r="AF520" s="16"/>
      <c r="AG520" s="16"/>
      <c r="AH520" s="16"/>
      <c r="AI520" s="16"/>
      <c r="AJ520" s="16"/>
      <c r="AK520" s="16"/>
      <c r="AL520" s="16"/>
      <c r="AM520" s="16"/>
      <c r="AN520" s="5"/>
      <c r="AO520" s="5"/>
      <c r="AP520" s="5"/>
      <c r="AQ520" s="5"/>
      <c r="AR520" s="5"/>
      <c r="AS520" s="22"/>
    </row>
    <row r="521" spans="2:45" hidden="1" x14ac:dyDescent="0.2">
      <c r="B521" s="1036" t="s">
        <v>1016</v>
      </c>
      <c r="C521" s="727"/>
      <c r="E521" s="395" t="s">
        <v>1024</v>
      </c>
      <c r="F521" s="396"/>
      <c r="G521" s="395" t="s">
        <v>169</v>
      </c>
      <c r="H521" s="408"/>
      <c r="I521" s="518">
        <v>80</v>
      </c>
      <c r="J521" s="518">
        <v>100</v>
      </c>
      <c r="K521" s="518">
        <v>110</v>
      </c>
      <c r="L521" s="518">
        <v>100</v>
      </c>
      <c r="M521" s="518">
        <v>90</v>
      </c>
      <c r="N521" s="518">
        <v>180</v>
      </c>
      <c r="O521" s="518">
        <v>120</v>
      </c>
      <c r="P521" s="518">
        <v>70</v>
      </c>
      <c r="Q521" s="518">
        <v>100</v>
      </c>
      <c r="R521" s="518">
        <v>120</v>
      </c>
      <c r="S521" s="518">
        <v>50</v>
      </c>
      <c r="T521" s="518">
        <v>50</v>
      </c>
      <c r="U521" s="408"/>
      <c r="V521" s="20"/>
      <c r="W521" s="16"/>
      <c r="X521" s="16"/>
      <c r="Y521" s="16"/>
      <c r="Z521" s="16"/>
      <c r="AA521" s="16"/>
      <c r="AB521" s="16"/>
      <c r="AC521" s="16"/>
      <c r="AD521" s="16"/>
      <c r="AE521" s="16"/>
      <c r="AF521" s="16"/>
      <c r="AG521" s="16"/>
      <c r="AH521" s="16"/>
      <c r="AI521" s="16"/>
      <c r="AJ521" s="16"/>
      <c r="AK521" s="16"/>
      <c r="AL521" s="16"/>
      <c r="AM521" s="16"/>
      <c r="AN521" s="5"/>
      <c r="AO521" s="5"/>
      <c r="AP521" s="5"/>
      <c r="AQ521" s="5"/>
      <c r="AR521" s="5"/>
      <c r="AS521" s="22"/>
    </row>
    <row r="522" spans="2:45" hidden="1" x14ac:dyDescent="0.2">
      <c r="B522" s="1036" t="s">
        <v>1016</v>
      </c>
      <c r="C522" s="727"/>
      <c r="E522" s="395" t="s">
        <v>1025</v>
      </c>
      <c r="F522" s="396"/>
      <c r="G522" s="395" t="s">
        <v>169</v>
      </c>
      <c r="H522" s="408"/>
      <c r="I522" s="518">
        <v>40</v>
      </c>
      <c r="J522" s="518">
        <v>50</v>
      </c>
      <c r="K522" s="518">
        <v>55</v>
      </c>
      <c r="L522" s="518">
        <v>50</v>
      </c>
      <c r="M522" s="518">
        <v>45</v>
      </c>
      <c r="N522" s="518">
        <v>90</v>
      </c>
      <c r="O522" s="518">
        <v>60</v>
      </c>
      <c r="P522" s="518">
        <v>35</v>
      </c>
      <c r="Q522" s="518">
        <v>50</v>
      </c>
      <c r="R522" s="518">
        <v>60</v>
      </c>
      <c r="S522" s="518">
        <v>0</v>
      </c>
      <c r="T522" s="518">
        <v>0</v>
      </c>
      <c r="U522" s="408"/>
      <c r="V522" s="20"/>
      <c r="W522" s="16"/>
      <c r="X522" s="16"/>
      <c r="Y522" s="16"/>
      <c r="Z522" s="16"/>
      <c r="AA522" s="16"/>
      <c r="AB522" s="16"/>
      <c r="AC522" s="16"/>
      <c r="AD522" s="16"/>
      <c r="AE522" s="16"/>
      <c r="AF522" s="16"/>
      <c r="AG522" s="16"/>
      <c r="AH522" s="16"/>
      <c r="AI522" s="16"/>
      <c r="AJ522" s="16"/>
      <c r="AK522" s="16"/>
      <c r="AL522" s="16"/>
      <c r="AM522" s="16"/>
      <c r="AN522" s="5"/>
      <c r="AO522" s="5"/>
      <c r="AP522" s="5"/>
      <c r="AQ522" s="5"/>
      <c r="AR522" s="5"/>
      <c r="AS522" s="22"/>
    </row>
    <row r="523" spans="2:45" hidden="1" x14ac:dyDescent="0.2">
      <c r="B523" s="1036" t="s">
        <v>1016</v>
      </c>
      <c r="C523" s="727"/>
      <c r="E523" s="395" t="s">
        <v>1026</v>
      </c>
      <c r="F523" s="396"/>
      <c r="G523" s="395" t="s">
        <v>169</v>
      </c>
      <c r="H523" s="408"/>
      <c r="I523" s="518">
        <v>0</v>
      </c>
      <c r="J523" s="518">
        <v>0</v>
      </c>
      <c r="K523" s="518">
        <v>0</v>
      </c>
      <c r="L523" s="518">
        <v>0</v>
      </c>
      <c r="M523" s="518">
        <v>0</v>
      </c>
      <c r="N523" s="518">
        <v>0</v>
      </c>
      <c r="O523" s="518">
        <v>0</v>
      </c>
      <c r="P523" s="518">
        <v>0</v>
      </c>
      <c r="Q523" s="518">
        <v>0</v>
      </c>
      <c r="R523" s="518">
        <v>0</v>
      </c>
      <c r="S523" s="518"/>
      <c r="T523" s="518"/>
      <c r="U523" s="408"/>
      <c r="V523" s="20"/>
      <c r="W523" s="16"/>
      <c r="X523" s="16"/>
      <c r="Y523" s="16"/>
      <c r="Z523" s="16"/>
      <c r="AA523" s="16"/>
      <c r="AB523" s="16"/>
      <c r="AC523" s="16"/>
      <c r="AD523" s="16"/>
      <c r="AE523" s="16"/>
      <c r="AF523" s="16"/>
      <c r="AG523" s="16"/>
      <c r="AH523" s="16"/>
      <c r="AI523" s="16"/>
      <c r="AJ523" s="16"/>
      <c r="AK523" s="16"/>
      <c r="AL523" s="16"/>
      <c r="AM523" s="16"/>
      <c r="AN523" s="5"/>
      <c r="AO523" s="5"/>
      <c r="AP523" s="5"/>
      <c r="AQ523" s="5"/>
      <c r="AR523" s="5"/>
      <c r="AS523" s="22"/>
    </row>
    <row r="524" spans="2:45" hidden="1" x14ac:dyDescent="0.2">
      <c r="B524" s="1036" t="s">
        <v>1016</v>
      </c>
      <c r="C524" s="727"/>
      <c r="E524" s="789" t="s">
        <v>1027</v>
      </c>
      <c r="F524" s="391"/>
      <c r="G524" s="391"/>
      <c r="H524" s="391"/>
      <c r="I524" s="544"/>
      <c r="J524" s="544"/>
      <c r="K524" s="544"/>
      <c r="L524" s="544"/>
      <c r="M524" s="544"/>
      <c r="N524" s="544"/>
      <c r="O524" s="544"/>
      <c r="P524" s="544"/>
      <c r="Q524" s="544"/>
      <c r="R524" s="544"/>
      <c r="S524" s="544"/>
      <c r="T524" s="544"/>
      <c r="U524" s="544"/>
      <c r="V524" s="14"/>
      <c r="W524" s="14"/>
      <c r="X524" s="14"/>
      <c r="Y524" s="14"/>
      <c r="Z524" s="14"/>
      <c r="AA524" s="14"/>
      <c r="AB524" s="14"/>
      <c r="AC524" s="14"/>
      <c r="AD524" s="14"/>
      <c r="AE524" s="14"/>
      <c r="AF524" s="14"/>
      <c r="AG524" s="14"/>
      <c r="AH524" s="14"/>
      <c r="AI524" s="14"/>
      <c r="AJ524" s="14"/>
      <c r="AK524" s="14"/>
      <c r="AL524" s="14"/>
      <c r="AM524" s="14"/>
      <c r="AN524" s="18"/>
      <c r="AO524" s="18"/>
      <c r="AP524" s="18"/>
      <c r="AQ524" s="18"/>
      <c r="AR524" s="18"/>
      <c r="AS524" s="22"/>
    </row>
    <row r="525" spans="2:45" hidden="1" x14ac:dyDescent="0.2">
      <c r="B525" s="1036" t="s">
        <v>1016</v>
      </c>
      <c r="C525" s="727"/>
      <c r="E525" s="5"/>
      <c r="F525" s="5"/>
      <c r="G525" s="5"/>
      <c r="H525" s="16"/>
      <c r="I525" s="16"/>
      <c r="J525" s="16"/>
      <c r="K525" s="16"/>
      <c r="L525" s="16"/>
      <c r="M525" s="16"/>
      <c r="N525" s="16"/>
      <c r="O525" s="16"/>
      <c r="P525" s="16"/>
      <c r="Q525" s="16"/>
      <c r="R525" s="16"/>
      <c r="S525" s="16"/>
      <c r="T525" s="16"/>
      <c r="U525" s="16"/>
      <c r="V525" s="16"/>
      <c r="W525" s="16"/>
      <c r="X525" s="16"/>
      <c r="Y525" s="16"/>
      <c r="Z525" s="16"/>
      <c r="AA525" s="16"/>
      <c r="AB525" s="16"/>
      <c r="AC525" s="16"/>
      <c r="AD525" s="16"/>
      <c r="AE525" s="16"/>
      <c r="AF525" s="16"/>
      <c r="AG525" s="16"/>
      <c r="AH525" s="16"/>
      <c r="AI525" s="16"/>
      <c r="AJ525" s="16"/>
      <c r="AK525" s="16"/>
      <c r="AL525" s="16"/>
      <c r="AM525" s="16"/>
      <c r="AN525" s="5"/>
      <c r="AO525" s="5"/>
      <c r="AP525" s="5"/>
      <c r="AQ525" s="5"/>
      <c r="AR525" s="5"/>
      <c r="AS525" s="22"/>
    </row>
    <row r="526" spans="2:45" hidden="1" x14ac:dyDescent="0.2">
      <c r="B526" s="1036" t="s">
        <v>1028</v>
      </c>
      <c r="C526" s="727"/>
      <c r="E526" s="5"/>
      <c r="F526" s="5"/>
      <c r="G526" s="5"/>
      <c r="H526" s="16"/>
      <c r="I526" s="16"/>
      <c r="J526" s="16"/>
      <c r="K526" s="16"/>
      <c r="L526" s="16"/>
      <c r="M526" s="16"/>
      <c r="N526" s="16"/>
      <c r="O526" s="16"/>
      <c r="P526" s="16"/>
      <c r="Q526" s="16"/>
      <c r="R526" s="16"/>
      <c r="S526" s="16"/>
      <c r="T526" s="16"/>
      <c r="U526" s="16"/>
      <c r="V526" s="16"/>
      <c r="W526" s="16"/>
      <c r="X526" s="16"/>
      <c r="Y526" s="20"/>
      <c r="Z526" s="5"/>
      <c r="AA526" s="5"/>
      <c r="AB526" s="5"/>
      <c r="AC526" s="5"/>
      <c r="AD526" s="5"/>
      <c r="AE526" s="5"/>
      <c r="AF526" s="5"/>
      <c r="AG526" s="5"/>
      <c r="AH526" s="5"/>
      <c r="AI526" s="5"/>
      <c r="AJ526" s="5"/>
      <c r="AK526" s="5"/>
      <c r="AL526" s="5"/>
      <c r="AM526" s="5"/>
      <c r="AN526" s="5"/>
      <c r="AO526" s="5"/>
      <c r="AP526" s="5"/>
      <c r="AQ526" s="5"/>
      <c r="AR526" s="5"/>
      <c r="AS526" s="22"/>
    </row>
    <row r="527" spans="2:45" ht="21" hidden="1" x14ac:dyDescent="0.2">
      <c r="B527" s="1036" t="s">
        <v>1028</v>
      </c>
      <c r="C527" s="727"/>
      <c r="E527" s="240" t="s">
        <v>1028</v>
      </c>
      <c r="F527" s="240"/>
      <c r="G527" s="240"/>
      <c r="H527" s="240"/>
      <c r="I527" s="240"/>
      <c r="J527" s="240"/>
      <c r="K527" s="5"/>
      <c r="L527" s="30"/>
      <c r="M527" s="5"/>
      <c r="N527" s="27"/>
      <c r="O527" s="5"/>
      <c r="P527" s="5"/>
      <c r="Q527" s="5"/>
      <c r="R527" s="5"/>
      <c r="S527" s="5"/>
      <c r="T527" s="5"/>
      <c r="U527" s="5"/>
      <c r="V527" s="5"/>
      <c r="W527" s="5"/>
      <c r="X527" s="5"/>
      <c r="Y527" s="20"/>
      <c r="Z527" s="5"/>
      <c r="AA527" s="5"/>
      <c r="AB527" s="5"/>
      <c r="AC527" s="5"/>
      <c r="AD527" s="5"/>
      <c r="AE527" s="5"/>
      <c r="AF527" s="5"/>
      <c r="AG527" s="5"/>
      <c r="AH527" s="5"/>
      <c r="AI527" s="5"/>
      <c r="AJ527" s="5"/>
      <c r="AK527" s="5"/>
      <c r="AL527" s="5"/>
      <c r="AM527" s="5"/>
      <c r="AN527" s="5"/>
      <c r="AO527" s="5"/>
      <c r="AP527" s="5"/>
      <c r="AQ527" s="5"/>
      <c r="AR527" s="5"/>
      <c r="AS527" s="22"/>
    </row>
    <row r="528" spans="2:45" hidden="1" x14ac:dyDescent="0.2">
      <c r="B528" s="1036" t="s">
        <v>1028</v>
      </c>
      <c r="C528" s="727"/>
      <c r="E528" s="386" t="s">
        <v>491</v>
      </c>
      <c r="F528" s="386"/>
      <c r="G528" s="386" t="s">
        <v>423</v>
      </c>
      <c r="H528" s="387"/>
      <c r="I528" s="387">
        <f ca="1">OFFSET(I528,0,-1)+1</f>
        <v>1</v>
      </c>
      <c r="J528" s="387"/>
      <c r="K528" s="20"/>
      <c r="L528" s="31"/>
      <c r="M528" s="16"/>
      <c r="N528" s="24"/>
      <c r="O528" s="24"/>
      <c r="P528" s="24"/>
      <c r="Q528" s="16"/>
      <c r="R528" s="16"/>
      <c r="S528" s="16"/>
      <c r="T528" s="16"/>
      <c r="U528" s="16"/>
      <c r="V528" s="16"/>
      <c r="W528" s="16"/>
      <c r="X528" s="16"/>
      <c r="Y528" s="20"/>
      <c r="Z528" s="5"/>
      <c r="AA528" s="5"/>
      <c r="AB528" s="5"/>
      <c r="AC528" s="5"/>
      <c r="AD528" s="5"/>
      <c r="AE528" s="5"/>
      <c r="AF528" s="5"/>
      <c r="AG528" s="5"/>
      <c r="AH528" s="5"/>
      <c r="AI528" s="5"/>
      <c r="AJ528" s="5"/>
      <c r="AK528" s="5"/>
      <c r="AL528" s="5"/>
      <c r="AM528" s="5"/>
      <c r="AN528" s="5"/>
      <c r="AO528" s="5"/>
      <c r="AP528" s="5"/>
      <c r="AQ528" s="5"/>
      <c r="AR528" s="5"/>
      <c r="AS528" s="22"/>
    </row>
    <row r="529" spans="1:45" ht="18.75" hidden="1" x14ac:dyDescent="0.2">
      <c r="B529" s="1036" t="s">
        <v>1028</v>
      </c>
      <c r="C529" s="727"/>
      <c r="E529" s="403" t="s">
        <v>1028</v>
      </c>
      <c r="F529" s="404"/>
      <c r="G529" s="405"/>
      <c r="H529" s="406"/>
      <c r="I529" s="406"/>
      <c r="J529" s="406"/>
      <c r="K529" s="20"/>
      <c r="L529" s="20"/>
      <c r="M529" s="20"/>
      <c r="N529" s="16"/>
      <c r="O529" s="16"/>
      <c r="P529" s="16"/>
      <c r="Q529" s="16"/>
      <c r="R529" s="16"/>
      <c r="S529" s="16"/>
      <c r="T529" s="16"/>
      <c r="U529" s="16"/>
      <c r="V529" s="16"/>
      <c r="W529" s="16"/>
      <c r="X529" s="16"/>
      <c r="Y529" s="20"/>
      <c r="Z529" s="16"/>
      <c r="AA529" s="5"/>
      <c r="AB529" s="5"/>
      <c r="AC529" s="5"/>
      <c r="AD529" s="5"/>
      <c r="AE529" s="5"/>
      <c r="AF529" s="5"/>
      <c r="AG529" s="5"/>
      <c r="AH529" s="5"/>
      <c r="AI529" s="5"/>
      <c r="AJ529" s="5"/>
      <c r="AK529" s="5"/>
      <c r="AL529" s="5"/>
      <c r="AM529" s="5"/>
      <c r="AN529" s="5"/>
      <c r="AO529" s="5"/>
      <c r="AP529" s="5"/>
      <c r="AQ529" s="5"/>
      <c r="AR529" s="5"/>
      <c r="AS529" s="22"/>
    </row>
    <row r="530" spans="1:45" hidden="1" x14ac:dyDescent="0.2">
      <c r="B530" s="1036" t="s">
        <v>1028</v>
      </c>
      <c r="C530" s="727"/>
      <c r="E530" s="395" t="s">
        <v>1029</v>
      </c>
      <c r="F530" s="396"/>
      <c r="G530" s="395" t="s">
        <v>1030</v>
      </c>
      <c r="H530" s="408"/>
      <c r="I530" s="547">
        <f>35.17/3.6</f>
        <v>9.7694444444444439</v>
      </c>
      <c r="J530" s="408"/>
      <c r="K530" s="16"/>
      <c r="L530" s="31"/>
      <c r="M530" s="16"/>
      <c r="N530" s="24"/>
      <c r="O530" s="24"/>
      <c r="P530" s="24"/>
      <c r="Q530" s="16"/>
      <c r="R530" s="16"/>
      <c r="S530" s="16"/>
      <c r="T530" s="16"/>
      <c r="U530" s="16"/>
      <c r="V530" s="16"/>
      <c r="W530" s="16"/>
      <c r="X530" s="16"/>
      <c r="Y530" s="20"/>
      <c r="Z530" s="5"/>
      <c r="AA530" s="5"/>
      <c r="AB530" s="5"/>
      <c r="AC530" s="5"/>
      <c r="AD530" s="5"/>
      <c r="AE530" s="5"/>
      <c r="AF530" s="5"/>
      <c r="AG530" s="5"/>
      <c r="AH530" s="5"/>
      <c r="AI530" s="5"/>
      <c r="AJ530" s="5"/>
      <c r="AK530" s="5"/>
      <c r="AL530" s="5"/>
      <c r="AM530" s="5"/>
      <c r="AN530" s="5"/>
      <c r="AO530" s="5"/>
      <c r="AP530" s="5"/>
      <c r="AQ530" s="5"/>
      <c r="AR530" s="5"/>
      <c r="AS530" s="22"/>
    </row>
    <row r="531" spans="1:45" hidden="1" x14ac:dyDescent="0.2">
      <c r="B531" s="1036" t="s">
        <v>1028</v>
      </c>
      <c r="C531" s="727"/>
      <c r="E531" s="5"/>
      <c r="F531" s="5"/>
      <c r="G531" s="5"/>
      <c r="H531" s="16"/>
      <c r="I531" s="16"/>
      <c r="J531" s="16"/>
      <c r="K531" s="16"/>
      <c r="L531" s="16"/>
      <c r="M531" s="16"/>
      <c r="N531" s="16"/>
      <c r="O531" s="16"/>
      <c r="P531" s="16"/>
      <c r="Q531" s="16"/>
      <c r="R531" s="16"/>
      <c r="S531" s="16"/>
      <c r="T531" s="16"/>
      <c r="U531" s="16"/>
      <c r="V531" s="16"/>
      <c r="W531" s="16"/>
      <c r="X531" s="16"/>
      <c r="Y531" s="20"/>
      <c r="Z531" s="5"/>
      <c r="AA531" s="5"/>
      <c r="AB531" s="5"/>
      <c r="AC531" s="5"/>
      <c r="AD531" s="5"/>
      <c r="AE531" s="5"/>
      <c r="AF531" s="5"/>
      <c r="AG531" s="5"/>
      <c r="AH531" s="5"/>
      <c r="AI531" s="5"/>
      <c r="AJ531" s="5"/>
      <c r="AK531" s="5"/>
      <c r="AL531" s="5"/>
      <c r="AM531" s="5"/>
      <c r="AN531" s="5"/>
      <c r="AO531" s="5"/>
      <c r="AP531" s="5"/>
      <c r="AQ531" s="5"/>
      <c r="AR531" s="5"/>
      <c r="AS531" s="22"/>
    </row>
    <row r="532" spans="1:45" hidden="1" x14ac:dyDescent="0.2">
      <c r="B532" s="1036" t="s">
        <v>1031</v>
      </c>
      <c r="C532" s="727"/>
      <c r="E532" s="5"/>
      <c r="F532" s="5"/>
      <c r="G532" s="5"/>
      <c r="H532" s="16"/>
      <c r="I532" s="16"/>
      <c r="J532" s="16"/>
      <c r="K532" s="20"/>
      <c r="L532" s="16"/>
      <c r="M532" s="16"/>
      <c r="N532" s="16"/>
      <c r="O532" s="16"/>
      <c r="P532" s="16"/>
      <c r="Q532" s="16"/>
      <c r="R532" s="16"/>
      <c r="S532" s="16"/>
      <c r="T532" s="16"/>
      <c r="U532" s="16"/>
      <c r="V532" s="16"/>
      <c r="W532" s="16"/>
      <c r="X532" s="16"/>
      <c r="Y532" s="20"/>
      <c r="Z532" s="5"/>
      <c r="AA532" s="5"/>
      <c r="AB532" s="5"/>
      <c r="AC532" s="5"/>
      <c r="AD532" s="5"/>
      <c r="AE532" s="5"/>
      <c r="AF532" s="5"/>
      <c r="AG532" s="5"/>
      <c r="AH532" s="5"/>
      <c r="AI532" s="5"/>
      <c r="AJ532" s="5"/>
      <c r="AK532" s="5"/>
      <c r="AL532" s="5"/>
      <c r="AM532" s="5"/>
      <c r="AN532" s="5"/>
      <c r="AO532" s="5"/>
      <c r="AP532" s="5"/>
      <c r="AQ532" s="5"/>
      <c r="AR532" s="5"/>
      <c r="AS532" s="22"/>
    </row>
    <row r="533" spans="1:45" ht="21" hidden="1" x14ac:dyDescent="0.2">
      <c r="B533" s="1036" t="s">
        <v>1031</v>
      </c>
      <c r="C533" s="727"/>
      <c r="E533" s="240" t="s">
        <v>1031</v>
      </c>
      <c r="F533" s="240"/>
      <c r="G533" s="240"/>
      <c r="H533" s="240"/>
      <c r="I533" s="240"/>
      <c r="J533" s="240"/>
      <c r="K533" s="240"/>
      <c r="L533" s="240"/>
      <c r="M533" s="240"/>
      <c r="N533" s="5"/>
      <c r="O533" s="27"/>
      <c r="P533" s="16"/>
      <c r="Q533" s="5"/>
      <c r="R533" s="5"/>
      <c r="S533" s="5"/>
      <c r="T533" s="5"/>
      <c r="U533" s="5"/>
      <c r="V533" s="5"/>
      <c r="W533" s="5"/>
      <c r="X533" s="5"/>
      <c r="Y533" s="20"/>
      <c r="Z533" s="5"/>
      <c r="AA533" s="5"/>
      <c r="AB533" s="5"/>
      <c r="AC533" s="5"/>
      <c r="AD533" s="5"/>
      <c r="AE533" s="5"/>
      <c r="AF533" s="5"/>
      <c r="AG533" s="5"/>
      <c r="AH533" s="5"/>
      <c r="AI533" s="5"/>
      <c r="AJ533" s="5"/>
      <c r="AK533" s="5"/>
      <c r="AL533" s="5"/>
      <c r="AM533" s="5"/>
      <c r="AN533" s="5"/>
      <c r="AO533" s="5"/>
      <c r="AP533" s="5"/>
      <c r="AQ533" s="5"/>
      <c r="AR533" s="5"/>
      <c r="AS533" s="22"/>
    </row>
    <row r="534" spans="1:45" hidden="1" x14ac:dyDescent="0.2">
      <c r="B534" s="1036" t="s">
        <v>1031</v>
      </c>
      <c r="C534" s="727"/>
      <c r="E534" s="386" t="s">
        <v>491</v>
      </c>
      <c r="F534" s="386"/>
      <c r="G534" s="386" t="s">
        <v>423</v>
      </c>
      <c r="H534" s="387"/>
      <c r="I534" s="387">
        <f ca="1">OFFSET(I534,0,-1)+1</f>
        <v>1</v>
      </c>
      <c r="J534" s="387">
        <f ca="1">OFFSET(J534,0,-1)+1</f>
        <v>2</v>
      </c>
      <c r="K534" s="387">
        <f ca="1">OFFSET(K534,0,-1)+1</f>
        <v>3</v>
      </c>
      <c r="L534" s="387">
        <f ca="1">OFFSET(L534,0,-1)+1</f>
        <v>4</v>
      </c>
      <c r="M534" s="387"/>
      <c r="N534" s="5"/>
      <c r="O534" s="27"/>
      <c r="P534" s="16"/>
      <c r="Q534" s="5"/>
      <c r="R534" s="5"/>
      <c r="S534" s="5"/>
      <c r="T534" s="5"/>
      <c r="U534" s="5"/>
      <c r="V534" s="16"/>
      <c r="W534" s="16"/>
      <c r="X534" s="16"/>
      <c r="Y534" s="20"/>
      <c r="Z534" s="5"/>
      <c r="AA534" s="5"/>
      <c r="AB534" s="5"/>
      <c r="AC534" s="5"/>
      <c r="AD534" s="5"/>
      <c r="AE534" s="5"/>
      <c r="AF534" s="5"/>
      <c r="AG534" s="5"/>
      <c r="AH534" s="5"/>
      <c r="AI534" s="5"/>
      <c r="AJ534" s="5"/>
      <c r="AK534" s="5"/>
      <c r="AL534" s="5"/>
      <c r="AM534" s="5"/>
      <c r="AN534" s="5"/>
      <c r="AO534" s="5"/>
      <c r="AP534" s="5"/>
      <c r="AQ534" s="5"/>
      <c r="AR534" s="5"/>
      <c r="AS534" s="22"/>
    </row>
    <row r="535" spans="1:45" ht="18.75" hidden="1" x14ac:dyDescent="0.2">
      <c r="B535" s="1036" t="s">
        <v>1031</v>
      </c>
      <c r="C535" s="727"/>
      <c r="E535" s="403" t="s">
        <v>1032</v>
      </c>
      <c r="F535" s="404"/>
      <c r="G535" s="405"/>
      <c r="H535" s="405"/>
      <c r="I535" s="405"/>
      <c r="J535" s="405"/>
      <c r="K535" s="405"/>
      <c r="L535" s="405"/>
      <c r="M535" s="405"/>
      <c r="N535" s="5"/>
      <c r="O535" s="27"/>
      <c r="P535" s="16"/>
      <c r="Q535" s="5"/>
      <c r="R535" s="5"/>
      <c r="S535" s="5"/>
      <c r="T535" s="5"/>
      <c r="U535" s="5"/>
      <c r="V535" s="20"/>
      <c r="W535" s="16"/>
      <c r="X535" s="16"/>
      <c r="Y535" s="20"/>
      <c r="Z535" s="5"/>
      <c r="AA535" s="5"/>
      <c r="AB535" s="5"/>
      <c r="AC535" s="5"/>
      <c r="AD535" s="5"/>
      <c r="AE535" s="5"/>
      <c r="AF535" s="5"/>
      <c r="AG535" s="5"/>
      <c r="AH535" s="5"/>
      <c r="AI535" s="5"/>
      <c r="AJ535" s="5"/>
      <c r="AK535" s="5"/>
      <c r="AL535" s="5"/>
      <c r="AM535" s="5"/>
      <c r="AN535" s="5"/>
      <c r="AO535" s="5"/>
      <c r="AP535" s="5"/>
      <c r="AQ535" s="5"/>
      <c r="AR535" s="5"/>
    </row>
    <row r="536" spans="1:45" hidden="1" x14ac:dyDescent="0.2">
      <c r="B536" s="1036" t="s">
        <v>1031</v>
      </c>
      <c r="C536" s="727"/>
      <c r="E536" s="395" t="s">
        <v>1033</v>
      </c>
      <c r="F536" s="396"/>
      <c r="G536" s="395" t="s">
        <v>70</v>
      </c>
      <c r="H536" s="408"/>
      <c r="I536" s="547" t="s">
        <v>776</v>
      </c>
      <c r="J536" s="547" t="s">
        <v>775</v>
      </c>
      <c r="K536" s="547" t="s">
        <v>777</v>
      </c>
      <c r="L536" s="547" t="s">
        <v>628</v>
      </c>
      <c r="M536" s="408"/>
      <c r="N536" s="5"/>
      <c r="O536" s="27"/>
      <c r="P536" s="16"/>
      <c r="Q536" s="5"/>
      <c r="R536" s="5"/>
      <c r="S536" s="5"/>
      <c r="T536" s="5"/>
      <c r="U536" s="5"/>
      <c r="V536" s="16"/>
      <c r="W536" s="16"/>
      <c r="X536" s="16"/>
      <c r="Y536" s="20"/>
      <c r="Z536" s="5"/>
      <c r="AA536" s="5"/>
      <c r="AB536" s="5"/>
      <c r="AC536" s="5"/>
      <c r="AD536" s="5"/>
      <c r="AE536" s="5"/>
      <c r="AF536" s="5"/>
      <c r="AG536" s="5"/>
      <c r="AH536" s="5"/>
      <c r="AI536" s="5"/>
      <c r="AJ536" s="5"/>
      <c r="AK536" s="5"/>
      <c r="AL536" s="5"/>
      <c r="AM536" s="5"/>
      <c r="AN536" s="5"/>
      <c r="AO536" s="5"/>
      <c r="AP536" s="5"/>
      <c r="AQ536" s="5"/>
      <c r="AR536" s="5"/>
      <c r="AS536" s="22"/>
    </row>
    <row r="537" spans="1:45" ht="18.75" hidden="1" x14ac:dyDescent="0.2">
      <c r="B537" s="1036" t="s">
        <v>1031</v>
      </c>
      <c r="C537" s="727"/>
      <c r="E537" s="403" t="s">
        <v>1034</v>
      </c>
      <c r="F537" s="404"/>
      <c r="G537" s="405"/>
      <c r="H537" s="405"/>
      <c r="I537" s="405"/>
      <c r="J537" s="405"/>
      <c r="K537" s="405"/>
      <c r="L537" s="405"/>
      <c r="M537" s="405"/>
      <c r="N537" s="5"/>
      <c r="O537" s="27"/>
      <c r="P537" s="16"/>
      <c r="Q537" s="5"/>
      <c r="R537" s="5"/>
      <c r="S537" s="5"/>
      <c r="T537" s="5"/>
      <c r="U537" s="5"/>
      <c r="V537" s="20"/>
      <c r="W537" s="16"/>
      <c r="X537" s="16"/>
      <c r="Y537" s="20"/>
      <c r="Z537" s="5"/>
      <c r="AA537" s="5"/>
      <c r="AB537" s="5"/>
      <c r="AC537" s="5"/>
      <c r="AD537" s="5"/>
      <c r="AE537" s="5"/>
      <c r="AF537" s="5"/>
      <c r="AG537" s="5"/>
      <c r="AH537" s="5"/>
      <c r="AI537" s="5"/>
      <c r="AJ537" s="5"/>
      <c r="AK537" s="5"/>
      <c r="AL537" s="5"/>
      <c r="AM537" s="5"/>
      <c r="AN537" s="5"/>
      <c r="AO537" s="5"/>
      <c r="AP537" s="5"/>
      <c r="AQ537" s="5"/>
      <c r="AR537" s="5"/>
    </row>
    <row r="538" spans="1:45" s="2" customFormat="1" hidden="1" x14ac:dyDescent="0.2">
      <c r="A538" s="309"/>
      <c r="B538" s="1036" t="s">
        <v>1031</v>
      </c>
      <c r="C538" s="727"/>
      <c r="D538" s="870"/>
      <c r="E538" s="246" t="s">
        <v>1035</v>
      </c>
      <c r="F538" s="548"/>
      <c r="G538" s="246" t="s">
        <v>70</v>
      </c>
      <c r="H538" s="549"/>
      <c r="I538" s="551" t="s">
        <v>590</v>
      </c>
      <c r="J538" s="551" t="s">
        <v>687</v>
      </c>
      <c r="K538" s="551" t="s">
        <v>591</v>
      </c>
      <c r="L538" s="549"/>
      <c r="M538" s="549"/>
      <c r="N538" s="5"/>
      <c r="O538" s="27"/>
      <c r="P538" s="16"/>
      <c r="Q538" s="5"/>
      <c r="R538" s="5"/>
      <c r="S538" s="5"/>
      <c r="T538" s="5"/>
      <c r="U538" s="5"/>
      <c r="V538" s="9"/>
      <c r="W538" s="9"/>
      <c r="X538" s="9"/>
      <c r="Y538" s="8"/>
      <c r="Z538" s="4"/>
      <c r="AA538" s="4"/>
      <c r="AB538" s="4"/>
      <c r="AC538" s="4"/>
      <c r="AD538" s="4"/>
      <c r="AE538" s="4"/>
      <c r="AF538" s="4"/>
      <c r="AG538" s="4"/>
      <c r="AH538" s="4"/>
      <c r="AI538" s="4"/>
      <c r="AJ538" s="4"/>
      <c r="AK538" s="4"/>
      <c r="AL538" s="4"/>
      <c r="AM538" s="4"/>
      <c r="AN538" s="4"/>
      <c r="AO538" s="4"/>
      <c r="AP538" s="4"/>
      <c r="AQ538" s="4"/>
      <c r="AR538" s="4"/>
      <c r="AS538" s="22"/>
    </row>
    <row r="539" spans="1:45" ht="51" hidden="1" x14ac:dyDescent="0.2">
      <c r="B539" s="1036" t="s">
        <v>1031</v>
      </c>
      <c r="C539" s="727"/>
      <c r="E539" s="395" t="s">
        <v>1036</v>
      </c>
      <c r="F539" s="396"/>
      <c r="G539" s="395" t="s">
        <v>70</v>
      </c>
      <c r="H539" s="408"/>
      <c r="I539" s="407" t="s">
        <v>1037</v>
      </c>
      <c r="J539" s="407" t="s">
        <v>1038</v>
      </c>
      <c r="K539" s="407" t="s">
        <v>1039</v>
      </c>
      <c r="L539" s="408"/>
      <c r="M539" s="408"/>
      <c r="N539" s="5"/>
      <c r="O539" s="27"/>
      <c r="P539" s="16"/>
      <c r="Q539" s="5"/>
      <c r="R539" s="5"/>
      <c r="S539" s="5"/>
      <c r="T539" s="5"/>
      <c r="U539" s="5"/>
      <c r="V539" s="16"/>
      <c r="W539" s="16"/>
      <c r="X539" s="16"/>
      <c r="Y539" s="20"/>
      <c r="Z539" s="5"/>
      <c r="AA539" s="5"/>
      <c r="AB539" s="5"/>
      <c r="AC539" s="5"/>
      <c r="AD539" s="5"/>
      <c r="AE539" s="5"/>
      <c r="AF539" s="5"/>
      <c r="AG539" s="5"/>
      <c r="AH539" s="5"/>
      <c r="AI539" s="5"/>
      <c r="AJ539" s="5"/>
      <c r="AK539" s="5"/>
      <c r="AL539" s="5"/>
      <c r="AM539" s="5"/>
      <c r="AN539" s="5"/>
      <c r="AO539" s="5"/>
      <c r="AP539" s="5"/>
      <c r="AQ539" s="5"/>
      <c r="AR539" s="5"/>
      <c r="AS539" s="22"/>
    </row>
    <row r="540" spans="1:45" ht="18.75" hidden="1" x14ac:dyDescent="0.2">
      <c r="B540" s="1036" t="s">
        <v>1031</v>
      </c>
      <c r="C540" s="727"/>
      <c r="E540" s="403" t="s">
        <v>1040</v>
      </c>
      <c r="F540" s="404"/>
      <c r="G540" s="405"/>
      <c r="H540" s="405"/>
      <c r="I540" s="405"/>
      <c r="J540" s="405"/>
      <c r="K540" s="405"/>
      <c r="L540" s="405"/>
      <c r="M540" s="405"/>
      <c r="N540" s="5"/>
      <c r="O540" s="27"/>
      <c r="P540" s="16"/>
      <c r="Q540" s="5"/>
      <c r="R540" s="5"/>
      <c r="S540" s="5"/>
      <c r="T540" s="5"/>
      <c r="U540" s="5"/>
      <c r="V540" s="20"/>
      <c r="W540" s="16"/>
      <c r="X540" s="16"/>
      <c r="Y540" s="20"/>
      <c r="Z540" s="5"/>
      <c r="AA540" s="5"/>
      <c r="AB540" s="5"/>
      <c r="AC540" s="5"/>
      <c r="AD540" s="5"/>
      <c r="AE540" s="5"/>
      <c r="AF540" s="5"/>
      <c r="AG540" s="5"/>
      <c r="AH540" s="5"/>
      <c r="AI540" s="5"/>
      <c r="AJ540" s="5"/>
      <c r="AK540" s="5"/>
      <c r="AL540" s="5"/>
      <c r="AM540" s="5"/>
      <c r="AN540" s="5"/>
      <c r="AO540" s="5"/>
      <c r="AP540" s="5"/>
      <c r="AQ540" s="5"/>
      <c r="AR540" s="5"/>
    </row>
    <row r="541" spans="1:45" s="2" customFormat="1" hidden="1" x14ac:dyDescent="0.2">
      <c r="A541" s="309"/>
      <c r="B541" s="1036" t="s">
        <v>1031</v>
      </c>
      <c r="C541" s="727"/>
      <c r="D541" s="870"/>
      <c r="E541" s="246" t="s">
        <v>1041</v>
      </c>
      <c r="F541" s="548"/>
      <c r="G541" s="246" t="s">
        <v>70</v>
      </c>
      <c r="H541" s="549"/>
      <c r="I541" s="551" t="s">
        <v>1042</v>
      </c>
      <c r="J541" s="549"/>
      <c r="K541" s="549"/>
      <c r="L541" s="549"/>
      <c r="M541" s="549"/>
      <c r="N541" s="5"/>
      <c r="O541" s="27"/>
      <c r="P541" s="16"/>
      <c r="Q541" s="5"/>
      <c r="R541" s="5"/>
      <c r="S541" s="5"/>
      <c r="T541" s="5"/>
      <c r="U541" s="5"/>
      <c r="V541" s="9"/>
      <c r="W541" s="9"/>
      <c r="X541" s="9"/>
      <c r="Y541" s="8"/>
      <c r="Z541" s="4"/>
      <c r="AA541" s="4"/>
      <c r="AB541" s="4"/>
      <c r="AC541" s="4"/>
      <c r="AD541" s="4"/>
      <c r="AE541" s="4"/>
      <c r="AF541" s="4"/>
      <c r="AG541" s="4"/>
      <c r="AH541" s="4"/>
      <c r="AI541" s="4"/>
      <c r="AJ541" s="4"/>
      <c r="AK541" s="4"/>
      <c r="AL541" s="4"/>
      <c r="AM541" s="4"/>
      <c r="AN541" s="4"/>
      <c r="AO541" s="4"/>
      <c r="AP541" s="4"/>
      <c r="AQ541" s="4"/>
      <c r="AR541" s="4"/>
      <c r="AS541" s="22"/>
    </row>
    <row r="542" spans="1:45" s="2" customFormat="1" hidden="1" x14ac:dyDescent="0.2">
      <c r="A542" s="309"/>
      <c r="B542" s="1036" t="s">
        <v>1031</v>
      </c>
      <c r="C542" s="727"/>
      <c r="D542" s="870"/>
      <c r="E542" s="246" t="s">
        <v>1043</v>
      </c>
      <c r="F542" s="548"/>
      <c r="G542" s="246" t="s">
        <v>70</v>
      </c>
      <c r="H542" s="549"/>
      <c r="I542" s="551" t="s">
        <v>1044</v>
      </c>
      <c r="J542" s="549"/>
      <c r="K542" s="549"/>
      <c r="L542" s="549"/>
      <c r="M542" s="549"/>
      <c r="N542" s="5"/>
      <c r="O542" s="27"/>
      <c r="P542" s="16"/>
      <c r="Q542" s="5"/>
      <c r="R542" s="5"/>
      <c r="S542" s="5"/>
      <c r="T542" s="5"/>
      <c r="U542" s="5"/>
      <c r="V542" s="9"/>
      <c r="W542" s="9"/>
      <c r="X542" s="9"/>
      <c r="Y542" s="8"/>
      <c r="Z542" s="4"/>
      <c r="AA542" s="4"/>
      <c r="AB542" s="4"/>
      <c r="AC542" s="4"/>
      <c r="AD542" s="4"/>
      <c r="AE542" s="4"/>
      <c r="AF542" s="4"/>
      <c r="AG542" s="4"/>
      <c r="AH542" s="4"/>
      <c r="AI542" s="4"/>
      <c r="AJ542" s="4"/>
      <c r="AK542" s="4"/>
      <c r="AL542" s="4"/>
      <c r="AM542" s="4"/>
      <c r="AN542" s="4"/>
      <c r="AO542" s="4"/>
      <c r="AP542" s="4"/>
      <c r="AQ542" s="4"/>
      <c r="AR542" s="4"/>
      <c r="AS542" s="22"/>
    </row>
    <row r="543" spans="1:45" ht="18.75" hidden="1" x14ac:dyDescent="0.2">
      <c r="B543" s="1036" t="s">
        <v>1031</v>
      </c>
      <c r="C543" s="727"/>
      <c r="E543" s="403" t="s">
        <v>1045</v>
      </c>
      <c r="F543" s="404"/>
      <c r="G543" s="405"/>
      <c r="H543" s="405"/>
      <c r="I543" s="405"/>
      <c r="J543" s="405"/>
      <c r="K543" s="405"/>
      <c r="L543" s="405"/>
      <c r="M543" s="405"/>
      <c r="N543" s="5"/>
      <c r="O543" s="27"/>
      <c r="P543" s="16"/>
      <c r="Q543" s="5"/>
      <c r="R543" s="5"/>
      <c r="S543" s="5"/>
      <c r="T543" s="5"/>
      <c r="U543" s="5"/>
      <c r="V543" s="20"/>
      <c r="W543" s="16"/>
      <c r="X543" s="16"/>
      <c r="Y543" s="20"/>
      <c r="Z543" s="5"/>
      <c r="AA543" s="5"/>
      <c r="AB543" s="5"/>
      <c r="AC543" s="5"/>
      <c r="AD543" s="5"/>
      <c r="AE543" s="5"/>
      <c r="AF543" s="5"/>
      <c r="AG543" s="5"/>
      <c r="AH543" s="5"/>
      <c r="AI543" s="5"/>
      <c r="AJ543" s="5"/>
      <c r="AK543" s="5"/>
      <c r="AL543" s="5"/>
      <c r="AM543" s="5"/>
      <c r="AN543" s="5"/>
      <c r="AO543" s="5"/>
      <c r="AP543" s="5"/>
      <c r="AQ543" s="5"/>
      <c r="AR543" s="5"/>
    </row>
    <row r="544" spans="1:45" hidden="1" x14ac:dyDescent="0.2">
      <c r="B544" s="1036" t="s">
        <v>1031</v>
      </c>
      <c r="C544" s="727"/>
      <c r="E544" s="548" t="s">
        <v>1046</v>
      </c>
      <c r="F544" s="548"/>
      <c r="G544" s="246" t="s">
        <v>70</v>
      </c>
      <c r="H544" s="549"/>
      <c r="I544" s="552" t="s">
        <v>1047</v>
      </c>
      <c r="J544" s="552" t="s">
        <v>1048</v>
      </c>
      <c r="K544" s="549"/>
      <c r="L544" s="549"/>
      <c r="M544" s="549"/>
      <c r="N544" s="5"/>
      <c r="O544" s="27"/>
      <c r="P544" s="16"/>
      <c r="Q544" s="5"/>
      <c r="R544" s="5"/>
      <c r="S544" s="5"/>
      <c r="T544" s="5"/>
      <c r="U544" s="5"/>
      <c r="V544" s="5"/>
      <c r="W544" s="5"/>
      <c r="X544" s="5"/>
      <c r="Y544" s="20"/>
      <c r="Z544" s="5"/>
      <c r="AA544" s="5"/>
      <c r="AB544" s="5"/>
      <c r="AC544" s="5"/>
      <c r="AD544" s="5"/>
      <c r="AE544" s="5"/>
      <c r="AF544" s="5"/>
      <c r="AG544" s="5"/>
      <c r="AH544" s="5"/>
      <c r="AI544" s="5"/>
      <c r="AJ544" s="5"/>
      <c r="AK544" s="5"/>
      <c r="AL544" s="5"/>
      <c r="AM544" s="5"/>
      <c r="AN544" s="5"/>
      <c r="AO544" s="5"/>
      <c r="AP544" s="5"/>
      <c r="AQ544" s="5"/>
      <c r="AR544" s="5"/>
      <c r="AS544" s="22"/>
    </row>
    <row r="545" spans="1:103" hidden="1" x14ac:dyDescent="0.2">
      <c r="B545" s="1036" t="s">
        <v>1031</v>
      </c>
      <c r="C545" s="727"/>
      <c r="E545" s="548" t="s">
        <v>1049</v>
      </c>
      <c r="F545" s="548"/>
      <c r="G545" s="246" t="s">
        <v>70</v>
      </c>
      <c r="H545" s="549"/>
      <c r="I545" s="552">
        <v>0</v>
      </c>
      <c r="J545" s="552">
        <v>1</v>
      </c>
      <c r="K545" s="549"/>
      <c r="L545" s="549"/>
      <c r="M545" s="549"/>
      <c r="N545" s="5"/>
      <c r="O545" s="5"/>
      <c r="P545" s="5"/>
      <c r="Q545" s="5"/>
      <c r="R545" s="5"/>
      <c r="S545" s="5"/>
      <c r="T545" s="5"/>
      <c r="U545" s="5"/>
      <c r="V545" s="5"/>
      <c r="W545" s="5"/>
      <c r="X545" s="5"/>
      <c r="Y545" s="20"/>
      <c r="Z545" s="5"/>
      <c r="AA545" s="5"/>
      <c r="AB545" s="5"/>
      <c r="AC545" s="5"/>
      <c r="AD545" s="5"/>
      <c r="AE545" s="5"/>
      <c r="AF545" s="5"/>
      <c r="AG545" s="5"/>
      <c r="AH545" s="5"/>
      <c r="AI545" s="5"/>
      <c r="AJ545" s="5"/>
      <c r="AK545" s="5"/>
      <c r="AL545" s="5"/>
      <c r="AM545" s="5"/>
      <c r="AN545" s="5"/>
      <c r="AO545" s="5"/>
      <c r="AP545" s="5"/>
      <c r="AQ545" s="5"/>
      <c r="AR545" s="5"/>
      <c r="AS545" s="22"/>
    </row>
    <row r="546" spans="1:103" hidden="1" x14ac:dyDescent="0.2">
      <c r="B546" s="1036" t="s">
        <v>1031</v>
      </c>
      <c r="C546" s="727"/>
      <c r="E546" s="246" t="s">
        <v>1050</v>
      </c>
      <c r="F546" s="548"/>
      <c r="G546" s="246" t="s">
        <v>70</v>
      </c>
      <c r="H546" s="549"/>
      <c r="I546" s="552" t="s">
        <v>183</v>
      </c>
      <c r="J546" s="552"/>
      <c r="K546" s="549"/>
      <c r="L546" s="549"/>
      <c r="M546" s="549"/>
      <c r="N546" s="5"/>
      <c r="O546" s="5"/>
      <c r="P546" s="5"/>
      <c r="Q546" s="5"/>
      <c r="R546" s="5"/>
      <c r="S546" s="5"/>
      <c r="T546" s="5"/>
      <c r="U546" s="5"/>
      <c r="V546" s="5"/>
      <c r="W546" s="5"/>
      <c r="X546" s="5"/>
      <c r="Y546" s="20"/>
      <c r="Z546" s="5"/>
      <c r="AA546" s="5"/>
      <c r="AB546" s="5"/>
      <c r="AC546" s="5"/>
      <c r="AD546" s="5"/>
      <c r="AE546" s="5"/>
      <c r="AF546" s="5"/>
      <c r="AG546" s="5"/>
      <c r="AH546" s="5"/>
      <c r="AI546" s="5"/>
      <c r="AJ546" s="5"/>
      <c r="AK546" s="5"/>
      <c r="AL546" s="5"/>
      <c r="AM546" s="5"/>
      <c r="AN546" s="5"/>
      <c r="AO546" s="5"/>
      <c r="AP546" s="5"/>
      <c r="AQ546" s="5"/>
      <c r="AR546" s="5"/>
      <c r="AS546" s="22"/>
    </row>
    <row r="547" spans="1:103" hidden="1" x14ac:dyDescent="0.2">
      <c r="B547" s="1036" t="s">
        <v>1031</v>
      </c>
      <c r="C547" s="727"/>
      <c r="E547" s="548" t="s">
        <v>1051</v>
      </c>
      <c r="F547" s="548"/>
      <c r="G547" s="246" t="s">
        <v>70</v>
      </c>
      <c r="H547" s="549"/>
      <c r="I547" s="552" t="b">
        <v>0</v>
      </c>
      <c r="J547" s="552" t="b">
        <v>1</v>
      </c>
      <c r="K547" s="549"/>
      <c r="L547" s="549"/>
      <c r="M547" s="549"/>
      <c r="N547" s="5"/>
      <c r="O547" s="5"/>
      <c r="P547" s="5"/>
      <c r="Q547" s="5"/>
      <c r="R547" s="5"/>
      <c r="S547" s="5"/>
      <c r="T547" s="5"/>
      <c r="U547" s="5"/>
      <c r="V547" s="5"/>
      <c r="W547" s="5"/>
      <c r="X547" s="5"/>
      <c r="Y547" s="20"/>
      <c r="Z547" s="5"/>
      <c r="AA547" s="5"/>
      <c r="AB547" s="5"/>
      <c r="AC547" s="5"/>
      <c r="AD547" s="5"/>
      <c r="AE547" s="5"/>
      <c r="AF547" s="5"/>
      <c r="AG547" s="5"/>
      <c r="AH547" s="5"/>
      <c r="AI547" s="5"/>
      <c r="AJ547" s="5"/>
      <c r="AK547" s="5"/>
      <c r="AL547" s="5"/>
      <c r="AM547" s="5"/>
      <c r="AN547" s="5"/>
      <c r="AO547" s="5"/>
      <c r="AP547" s="5"/>
      <c r="AQ547" s="5"/>
      <c r="AR547" s="5"/>
      <c r="AS547" s="22"/>
    </row>
    <row r="548" spans="1:103" s="38" customFormat="1" hidden="1" x14ac:dyDescent="0.2">
      <c r="A548" s="233"/>
      <c r="B548" s="1036" t="s">
        <v>1031</v>
      </c>
      <c r="C548" s="727"/>
      <c r="D548" s="868"/>
      <c r="E548" s="396" t="s">
        <v>1052</v>
      </c>
      <c r="F548" s="396"/>
      <c r="G548" s="534" t="s">
        <v>70</v>
      </c>
      <c r="H548" s="408"/>
      <c r="I548" s="522" t="s">
        <v>1053</v>
      </c>
      <c r="J548" s="522" t="s">
        <v>1054</v>
      </c>
      <c r="K548" s="408"/>
      <c r="L548" s="408"/>
      <c r="M548" s="408"/>
      <c r="N548" s="76"/>
      <c r="O548" s="76"/>
      <c r="P548" s="76"/>
      <c r="Q548" s="76"/>
      <c r="R548" s="76"/>
      <c r="S548" s="76"/>
      <c r="T548" s="76"/>
      <c r="U548" s="76"/>
      <c r="V548" s="76"/>
      <c r="W548" s="76"/>
      <c r="X548" s="76"/>
      <c r="Y548" s="20"/>
      <c r="Z548" s="76"/>
      <c r="AA548" s="76"/>
      <c r="AB548" s="76"/>
      <c r="AC548" s="76"/>
      <c r="AD548" s="76"/>
      <c r="AE548" s="76"/>
      <c r="AF548" s="76"/>
      <c r="AG548" s="76"/>
      <c r="AH548" s="76"/>
      <c r="AI548" s="76"/>
      <c r="AJ548" s="76"/>
      <c r="AK548" s="76"/>
      <c r="AL548" s="76"/>
      <c r="AM548" s="76"/>
      <c r="AN548" s="76"/>
      <c r="AO548" s="76"/>
      <c r="AP548" s="76"/>
      <c r="AQ548" s="76"/>
      <c r="AR548" s="76"/>
      <c r="AS548" s="22"/>
    </row>
    <row r="549" spans="1:103" s="38" customFormat="1" ht="38.25" hidden="1" x14ac:dyDescent="0.2">
      <c r="A549" s="233"/>
      <c r="B549" s="1036" t="s">
        <v>1031</v>
      </c>
      <c r="C549" s="727"/>
      <c r="D549" s="868"/>
      <c r="E549" s="534" t="s">
        <v>1055</v>
      </c>
      <c r="F549" s="396"/>
      <c r="G549" s="534" t="s">
        <v>70</v>
      </c>
      <c r="H549" s="408"/>
      <c r="I549" s="522" t="s">
        <v>1056</v>
      </c>
      <c r="J549" s="522" t="s">
        <v>1057</v>
      </c>
      <c r="K549" s="408"/>
      <c r="L549" s="408"/>
      <c r="M549" s="408"/>
      <c r="N549" s="76"/>
      <c r="O549" s="76"/>
      <c r="P549" s="76"/>
      <c r="Q549" s="76"/>
      <c r="R549" s="76"/>
      <c r="S549" s="76"/>
      <c r="T549" s="76"/>
      <c r="U549" s="76"/>
      <c r="V549" s="76"/>
      <c r="W549" s="76"/>
      <c r="X549" s="76"/>
      <c r="Y549" s="20"/>
      <c r="Z549" s="76"/>
      <c r="AA549" s="76"/>
      <c r="AB549" s="76"/>
      <c r="AC549" s="76"/>
      <c r="AD549" s="76"/>
      <c r="AE549" s="76"/>
      <c r="AF549" s="76"/>
      <c r="AG549" s="76"/>
      <c r="AH549" s="76"/>
      <c r="AI549" s="76"/>
      <c r="AJ549" s="76"/>
      <c r="AK549" s="76"/>
      <c r="AL549" s="76"/>
      <c r="AM549" s="76"/>
      <c r="AN549" s="76"/>
      <c r="AO549" s="76"/>
      <c r="AP549" s="76"/>
      <c r="AQ549" s="76"/>
      <c r="AR549" s="76"/>
      <c r="AS549" s="22"/>
    </row>
    <row r="550" spans="1:103" hidden="1" x14ac:dyDescent="0.2">
      <c r="B550" s="1036" t="s">
        <v>1031</v>
      </c>
      <c r="C550" s="727"/>
      <c r="E550" s="5"/>
      <c r="F550" s="5"/>
      <c r="G550" s="5"/>
      <c r="H550" s="16"/>
      <c r="I550" s="85"/>
      <c r="J550" s="16"/>
      <c r="K550" s="16"/>
      <c r="L550" s="16"/>
      <c r="M550" s="16"/>
      <c r="N550" s="16"/>
      <c r="O550" s="16"/>
      <c r="P550" s="16"/>
      <c r="Q550" s="16"/>
      <c r="R550" s="16"/>
      <c r="S550" s="16"/>
      <c r="T550" s="16"/>
      <c r="U550" s="16"/>
      <c r="V550" s="16"/>
      <c r="W550" s="16"/>
      <c r="X550" s="16"/>
      <c r="Y550" s="20"/>
      <c r="Z550" s="5"/>
      <c r="AA550" s="5"/>
      <c r="AB550" s="5"/>
      <c r="AC550" s="5"/>
      <c r="AD550" s="5"/>
      <c r="AE550" s="5"/>
      <c r="AF550" s="5"/>
      <c r="AG550" s="5"/>
      <c r="AH550" s="5"/>
      <c r="AI550" s="5"/>
      <c r="AJ550" s="5"/>
      <c r="AK550" s="5"/>
      <c r="AL550" s="5"/>
      <c r="AM550" s="5"/>
      <c r="AN550" s="5"/>
      <c r="AO550" s="5"/>
      <c r="AP550" s="5"/>
      <c r="AQ550" s="5"/>
      <c r="AR550" s="5"/>
      <c r="AS550" s="22"/>
    </row>
    <row r="551" spans="1:103" ht="21" x14ac:dyDescent="0.2">
      <c r="A551" s="553" t="s">
        <v>87</v>
      </c>
      <c r="B551" s="553" t="s">
        <v>87</v>
      </c>
      <c r="C551" s="553" t="s">
        <v>87</v>
      </c>
      <c r="D551" s="871" t="s">
        <v>87</v>
      </c>
      <c r="E551" s="553" t="s">
        <v>87</v>
      </c>
      <c r="F551" s="553" t="s">
        <v>87</v>
      </c>
      <c r="G551" s="553" t="s">
        <v>87</v>
      </c>
      <c r="H551" s="553" t="s">
        <v>87</v>
      </c>
      <c r="I551" s="553" t="s">
        <v>87</v>
      </c>
      <c r="J551" s="553" t="s">
        <v>87</v>
      </c>
      <c r="K551" s="553" t="s">
        <v>87</v>
      </c>
      <c r="L551" s="553" t="s">
        <v>87</v>
      </c>
      <c r="M551" s="553" t="s">
        <v>87</v>
      </c>
      <c r="N551" s="553" t="s">
        <v>87</v>
      </c>
      <c r="O551" s="553" t="s">
        <v>87</v>
      </c>
      <c r="P551" s="553" t="s">
        <v>87</v>
      </c>
      <c r="Q551" s="553" t="s">
        <v>87</v>
      </c>
      <c r="R551" s="553" t="s">
        <v>87</v>
      </c>
      <c r="S551" s="553" t="s">
        <v>87</v>
      </c>
      <c r="T551" s="553" t="s">
        <v>87</v>
      </c>
      <c r="U551" s="553" t="s">
        <v>87</v>
      </c>
      <c r="V551" s="553" t="s">
        <v>87</v>
      </c>
      <c r="W551" s="553" t="s">
        <v>87</v>
      </c>
      <c r="X551" s="553" t="s">
        <v>87</v>
      </c>
      <c r="Y551" s="553" t="s">
        <v>87</v>
      </c>
      <c r="Z551" s="553" t="s">
        <v>87</v>
      </c>
      <c r="AA551" s="553" t="s">
        <v>87</v>
      </c>
      <c r="AB551" s="553" t="s">
        <v>87</v>
      </c>
      <c r="AC551" s="553" t="s">
        <v>87</v>
      </c>
      <c r="AD551" s="553" t="s">
        <v>87</v>
      </c>
      <c r="AE551" s="553" t="s">
        <v>87</v>
      </c>
      <c r="AF551" s="553" t="s">
        <v>87</v>
      </c>
      <c r="AG551" s="553" t="s">
        <v>87</v>
      </c>
      <c r="AH551" s="553" t="s">
        <v>87</v>
      </c>
      <c r="AI551" s="553" t="s">
        <v>87</v>
      </c>
      <c r="AJ551" s="553" t="s">
        <v>87</v>
      </c>
      <c r="AK551" s="553" t="s">
        <v>87</v>
      </c>
      <c r="AL551" s="553" t="s">
        <v>87</v>
      </c>
      <c r="AM551" s="553" t="s">
        <v>87</v>
      </c>
      <c r="AN551" s="553" t="s">
        <v>87</v>
      </c>
      <c r="AO551" s="553" t="s">
        <v>87</v>
      </c>
      <c r="AP551" s="553" t="s">
        <v>87</v>
      </c>
      <c r="AQ551" s="553" t="s">
        <v>87</v>
      </c>
      <c r="AR551" s="553" t="s">
        <v>87</v>
      </c>
      <c r="AS551" s="553" t="s">
        <v>87</v>
      </c>
      <c r="AT551" s="553" t="s">
        <v>87</v>
      </c>
      <c r="AU551" s="553" t="s">
        <v>87</v>
      </c>
      <c r="AV551" s="553" t="s">
        <v>87</v>
      </c>
      <c r="AW551" s="553" t="s">
        <v>87</v>
      </c>
      <c r="AX551" s="553" t="s">
        <v>87</v>
      </c>
      <c r="AY551" s="553" t="s">
        <v>87</v>
      </c>
      <c r="AZ551" s="553" t="s">
        <v>87</v>
      </c>
      <c r="BA551" s="553" t="s">
        <v>87</v>
      </c>
      <c r="BB551" s="553" t="s">
        <v>87</v>
      </c>
      <c r="BC551" s="553" t="s">
        <v>87</v>
      </c>
      <c r="BD551" s="553" t="s">
        <v>87</v>
      </c>
      <c r="BE551" s="553" t="s">
        <v>87</v>
      </c>
      <c r="BF551" s="553" t="s">
        <v>87</v>
      </c>
      <c r="BG551" s="553" t="s">
        <v>87</v>
      </c>
      <c r="BH551" s="553" t="s">
        <v>87</v>
      </c>
      <c r="BI551" s="553" t="s">
        <v>87</v>
      </c>
      <c r="BJ551" s="553" t="s">
        <v>87</v>
      </c>
      <c r="BK551" s="553" t="s">
        <v>87</v>
      </c>
      <c r="BL551" s="553" t="s">
        <v>87</v>
      </c>
      <c r="BM551" s="553" t="s">
        <v>87</v>
      </c>
      <c r="BN551" s="553" t="s">
        <v>87</v>
      </c>
      <c r="BO551" s="553" t="s">
        <v>87</v>
      </c>
      <c r="BP551" s="553" t="s">
        <v>87</v>
      </c>
      <c r="BQ551" s="553" t="s">
        <v>87</v>
      </c>
      <c r="BR551" s="553" t="s">
        <v>87</v>
      </c>
      <c r="BS551" s="553" t="s">
        <v>87</v>
      </c>
      <c r="BT551" s="553" t="s">
        <v>87</v>
      </c>
      <c r="BU551" s="553" t="s">
        <v>87</v>
      </c>
      <c r="BV551" s="553" t="s">
        <v>87</v>
      </c>
      <c r="BW551" s="553" t="s">
        <v>87</v>
      </c>
      <c r="BX551" s="553" t="s">
        <v>87</v>
      </c>
      <c r="BY551" s="553" t="s">
        <v>87</v>
      </c>
      <c r="BZ551" s="553" t="s">
        <v>87</v>
      </c>
      <c r="CA551" s="553" t="s">
        <v>87</v>
      </c>
      <c r="CB551" s="553" t="s">
        <v>87</v>
      </c>
      <c r="CC551" s="553" t="s">
        <v>87</v>
      </c>
      <c r="CD551" s="553" t="s">
        <v>87</v>
      </c>
      <c r="CE551" s="553" t="s">
        <v>87</v>
      </c>
      <c r="CF551" s="553" t="s">
        <v>87</v>
      </c>
      <c r="CG551" s="553" t="s">
        <v>87</v>
      </c>
      <c r="CH551" s="553" t="s">
        <v>87</v>
      </c>
      <c r="CI551" s="553" t="s">
        <v>87</v>
      </c>
      <c r="CJ551" s="553" t="s">
        <v>87</v>
      </c>
      <c r="CK551" s="553" t="s">
        <v>87</v>
      </c>
      <c r="CL551" s="553" t="s">
        <v>87</v>
      </c>
      <c r="CM551" s="553" t="s">
        <v>87</v>
      </c>
      <c r="CN551" s="553" t="s">
        <v>87</v>
      </c>
      <c r="CO551" s="553" t="s">
        <v>87</v>
      </c>
      <c r="CP551" s="553" t="s">
        <v>87</v>
      </c>
      <c r="CQ551" s="553" t="s">
        <v>87</v>
      </c>
      <c r="CR551" s="553" t="s">
        <v>87</v>
      </c>
      <c r="CS551" s="553" t="s">
        <v>87</v>
      </c>
      <c r="CT551" s="553" t="s">
        <v>87</v>
      </c>
      <c r="CU551" s="553" t="s">
        <v>87</v>
      </c>
      <c r="CV551" s="553" t="s">
        <v>87</v>
      </c>
      <c r="CW551" s="553" t="s">
        <v>87</v>
      </c>
      <c r="CX551" s="553" t="s">
        <v>87</v>
      </c>
      <c r="CY551" s="553" t="s">
        <v>87</v>
      </c>
    </row>
  </sheetData>
  <sheetProtection algorithmName="SHA-512" hashValue="r28TP60Ad0XFQUgKnaABD6+SyCnQyUJOT9w5gM3Vi2eia1x7xwdMwSlL4Kg6eALe5sHdoyN/vCaPrqrojj96lA==" saltValue="YG277cTaapVyjDJSyxUX2w==" spinCount="100000" sheet="1" objects="1" scenarios="1" formatColumns="0" autoFilter="0"/>
  <autoFilter ref="B8:B551" xr:uid="{00000000-0009-0000-0000-00000A000000}">
    <filterColumn colId="0">
      <filters>
        <filter val="EINDE"/>
        <filter val="installaties koeling"/>
        <filter val="installaties ruimteverwarming"/>
        <filter val="installaties warmtapwater"/>
        <filter val="woningen|utiliteitsgebouwen"/>
      </filters>
    </filterColumn>
  </autoFilter>
  <sortState xmlns:xlrd2="http://schemas.microsoft.com/office/spreadsheetml/2017/richdata2" ref="K514:AA525">
    <sortCondition descending="1" ref="K514:K525"/>
  </sortState>
  <mergeCells count="4">
    <mergeCell ref="F4:G4"/>
    <mergeCell ref="F5:G5"/>
    <mergeCell ref="F3:G3"/>
    <mergeCell ref="B4:B7"/>
  </mergeCells>
  <phoneticPr fontId="0" type="noConversion"/>
  <conditionalFormatting sqref="D94:D95 D97:D98 D151:D152">
    <cfRule type="expression" dxfId="1033" priority="5401">
      <formula>SUMPRODUCT($H$97:$AT$97,$H$98:$AT$98)&gt;0</formula>
    </cfRule>
  </conditionalFormatting>
  <conditionalFormatting sqref="D154:D155">
    <cfRule type="expression" dxfId="1032" priority="5450">
      <formula>SUMPRODUCT($H$154:$AY$154,$H$155:$AY$155)&gt;0</formula>
    </cfRule>
  </conditionalFormatting>
  <conditionalFormatting sqref="F5">
    <cfRule type="expression" dxfId="1031" priority="392">
      <formula>F5=""</formula>
    </cfRule>
  </conditionalFormatting>
  <conditionalFormatting sqref="I324">
    <cfRule type="expression" dxfId="1030" priority="427">
      <formula>I$86=0</formula>
    </cfRule>
    <cfRule type="expression" dxfId="1029" priority="429">
      <formula>AND(I$86&gt;0,I324="")</formula>
    </cfRule>
  </conditionalFormatting>
  <conditionalFormatting sqref="I80:N80 I81:AS81 I83:AS84 I86:AS86 I88:AS90 I92:AS98 I100:AS101 I103:AS103 I105:AS111 I113:AS115 P80 R80 T80:AS80">
    <cfRule type="expression" dxfId="1028" priority="43">
      <formula>I$79=""</formula>
    </cfRule>
  </conditionalFormatting>
  <conditionalFormatting sqref="I164:N164 I162:AL163 I149:AX155 I157:AX160 P164:AL164 AM163:AO164 AP162:AX164">
    <cfRule type="expression" dxfId="1027" priority="147">
      <formula>I$136=""</formula>
    </cfRule>
  </conditionalFormatting>
  <conditionalFormatting sqref="I463:N463">
    <cfRule type="dataBar" priority="364">
      <dataBar>
        <cfvo type="min"/>
        <cfvo type="max"/>
        <color rgb="FF638EC6"/>
      </dataBar>
      <extLst>
        <ext xmlns:x14="http://schemas.microsoft.com/office/spreadsheetml/2009/9/main" uri="{B025F937-C7B1-47D3-B67F-A62EFF666E3E}">
          <x14:id>{AE131E70-2231-4B09-9066-E04D54D89432}</x14:id>
        </ext>
      </extLst>
    </cfRule>
  </conditionalFormatting>
  <conditionalFormatting sqref="I360:T360">
    <cfRule type="dataBar" priority="366">
      <dataBar>
        <cfvo type="min"/>
        <cfvo type="max"/>
        <color rgb="FF638EC6"/>
      </dataBar>
      <extLst>
        <ext xmlns:x14="http://schemas.microsoft.com/office/spreadsheetml/2009/9/main" uri="{B025F937-C7B1-47D3-B67F-A62EFF666E3E}">
          <x14:id>{A59C9184-A865-4BA3-AAB5-B5725D4A50EA}</x14:id>
        </ext>
      </extLst>
    </cfRule>
  </conditionalFormatting>
  <conditionalFormatting sqref="I361:T361">
    <cfRule type="dataBar" priority="369">
      <dataBar>
        <cfvo type="min"/>
        <cfvo type="max"/>
        <color rgb="FF638EC6"/>
      </dataBar>
      <extLst>
        <ext xmlns:x14="http://schemas.microsoft.com/office/spreadsheetml/2009/9/main" uri="{B025F937-C7B1-47D3-B67F-A62EFF666E3E}">
          <x14:id>{A4C6C92E-ED20-46A2-8C40-9A470BE6A39C}</x14:id>
        </ext>
      </extLst>
    </cfRule>
  </conditionalFormatting>
  <conditionalFormatting sqref="I431:T431">
    <cfRule type="dataBar" priority="228">
      <dataBar>
        <cfvo type="min"/>
        <cfvo type="max"/>
        <color rgb="FF638EC6"/>
      </dataBar>
      <extLst>
        <ext xmlns:x14="http://schemas.microsoft.com/office/spreadsheetml/2009/9/main" uri="{B025F937-C7B1-47D3-B67F-A62EFF666E3E}">
          <x14:id>{071E6616-2F00-4EB4-B9C7-B1BA4431A46F}</x14:id>
        </ext>
      </extLst>
    </cfRule>
  </conditionalFormatting>
  <conditionalFormatting sqref="I432:T432">
    <cfRule type="dataBar" priority="231">
      <dataBar>
        <cfvo type="min"/>
        <cfvo type="max"/>
        <color rgb="FF638EC6"/>
      </dataBar>
      <extLst>
        <ext xmlns:x14="http://schemas.microsoft.com/office/spreadsheetml/2009/9/main" uri="{B025F937-C7B1-47D3-B67F-A62EFF666E3E}">
          <x14:id>{7F847848-86A3-4AC9-967F-061DABE7CCB3}</x14:id>
        </ext>
      </extLst>
    </cfRule>
  </conditionalFormatting>
  <conditionalFormatting sqref="I442:T442">
    <cfRule type="dataBar" priority="212">
      <dataBar>
        <cfvo type="min"/>
        <cfvo type="max"/>
        <color rgb="FF638EC6"/>
      </dataBar>
      <extLst>
        <ext xmlns:x14="http://schemas.microsoft.com/office/spreadsheetml/2009/9/main" uri="{B025F937-C7B1-47D3-B67F-A62EFF666E3E}">
          <x14:id>{36B87AD2-5175-4742-BA5D-82ABB13C8F73}</x14:id>
        </ext>
      </extLst>
    </cfRule>
  </conditionalFormatting>
  <conditionalFormatting sqref="I443:T443">
    <cfRule type="dataBar" priority="213">
      <dataBar>
        <cfvo type="min"/>
        <cfvo type="max"/>
        <color rgb="FF638EC6"/>
      </dataBar>
      <extLst>
        <ext xmlns:x14="http://schemas.microsoft.com/office/spreadsheetml/2009/9/main" uri="{B025F937-C7B1-47D3-B67F-A62EFF666E3E}">
          <x14:id>{FB54DE33-7B2F-41E0-AD4E-4364820683E4}</x14:id>
        </ext>
      </extLst>
    </cfRule>
  </conditionalFormatting>
  <conditionalFormatting sqref="I453:T453">
    <cfRule type="dataBar" priority="365">
      <dataBar>
        <cfvo type="min"/>
        <cfvo type="max"/>
        <color rgb="FF638EC6"/>
      </dataBar>
      <extLst>
        <ext xmlns:x14="http://schemas.microsoft.com/office/spreadsheetml/2009/9/main" uri="{B025F937-C7B1-47D3-B67F-A62EFF666E3E}">
          <x14:id>{030D5D8A-7B40-4792-A2BB-75EF26F48F80}</x14:id>
        </ext>
      </extLst>
    </cfRule>
  </conditionalFormatting>
  <conditionalFormatting sqref="I34:V34">
    <cfRule type="expression" dxfId="1026" priority="542">
      <formula>COUNTIF($H34:$W34,I34)&gt;1</formula>
    </cfRule>
  </conditionalFormatting>
  <conditionalFormatting sqref="I170:AB170">
    <cfRule type="expression" dxfId="1025" priority="461">
      <formula>COUNTIF(toestellen_KOEL_invoer,I170)&gt;1</formula>
    </cfRule>
  </conditionalFormatting>
  <conditionalFormatting sqref="I177:AB177">
    <cfRule type="expression" dxfId="1024" priority="454">
      <formula>ISERROR(MATCH(I177,energiedragers_geschikt_voor_KOEL,0))=TRUE</formula>
    </cfRule>
  </conditionalFormatting>
  <conditionalFormatting sqref="I184:AB184 I186:AB186">
    <cfRule type="expression" dxfId="1023" priority="371">
      <formula>OR(I$179=1,I$179="")</formula>
    </cfRule>
  </conditionalFormatting>
  <conditionalFormatting sqref="I184:AB184">
    <cfRule type="expression" dxfId="1022" priority="450">
      <formula>AND(I184="",ISERROR(MATCH(I184,energiedragers_geschikt_voor_KOEL,0))=TRUE)</formula>
    </cfRule>
  </conditionalFormatting>
  <conditionalFormatting sqref="I223:AB225">
    <cfRule type="expression" dxfId="1021" priority="18">
      <formula>AND(I$221&lt;&gt;"",I223="")</formula>
    </cfRule>
  </conditionalFormatting>
  <conditionalFormatting sqref="I225:AB225">
    <cfRule type="expression" dxfId="1020" priority="134">
      <formula>ISERROR(MATCH(I225,energiedragers_gebouwaansluiting,0))=TRUE</formula>
    </cfRule>
  </conditionalFormatting>
  <conditionalFormatting sqref="I228:AB228 I222:AM226 I229:AM233 I235:AM241">
    <cfRule type="expression" dxfId="1019" priority="8">
      <formula>I$221=""</formula>
    </cfRule>
  </conditionalFormatting>
  <conditionalFormatting sqref="I228:AB228">
    <cfRule type="expression" dxfId="1018" priority="137">
      <formula>ISERROR(MATCH(I228,hernieuwbare_energiebron_namen,0))=TRUE</formula>
    </cfRule>
  </conditionalFormatting>
  <conditionalFormatting sqref="I231:AB231 I233:AB233 I235:AB237">
    <cfRule type="expression" dxfId="1017" priority="492">
      <formula>AND(INDEX(hernieuwbare_energiebron_getalswaarde_bij_toestellen,MATCH(I$228,hernieuwbare_energiebron_namen,0))=1,I$221&lt;&gt;"",I231="")</formula>
    </cfRule>
  </conditionalFormatting>
  <conditionalFormatting sqref="I235:AB237">
    <cfRule type="expression" dxfId="1016" priority="198">
      <formula>AND(I$221&lt;&gt;"",OR(I235="",AND(I235&lt;&gt;0,I235&lt;&gt;1)))</formula>
    </cfRule>
  </conditionalFormatting>
  <conditionalFormatting sqref="I138:AL138">
    <cfRule type="expression" dxfId="1015" priority="510">
      <formula>AND(I$136&lt;&gt;"",I138&lt;&gt;"",ISERROR(MATCH(I138,geografische_niveaus_installaties,0))=TRUE)</formula>
    </cfRule>
  </conditionalFormatting>
  <conditionalFormatting sqref="I138:AL141 I162:AL163 I143:AX143 I145:AX147 I149:AX155 I157:AX160 AM163:AO163 AP162:AX163">
    <cfRule type="expression" dxfId="1014" priority="150">
      <formula>AND(I$136&lt;&gt;"",I138="")</formula>
    </cfRule>
  </conditionalFormatting>
  <conditionalFormatting sqref="I139:AL139">
    <cfRule type="expression" dxfId="1013" priority="415">
      <formula>IF(I$138=centraal,AND(I139&lt;&gt;0,I139&lt;&gt;1),I139&lt;&gt;0)</formula>
    </cfRule>
  </conditionalFormatting>
  <conditionalFormatting sqref="I140:AL141 I162:AL163 I145:AX147 I153:AX155 AM163:AO163 AP162:AX163">
    <cfRule type="expression" dxfId="1012" priority="153">
      <formula>AND(I$136&lt;&gt;"",I$139=1,I140&lt;&gt;0)</formula>
    </cfRule>
  </conditionalFormatting>
  <conditionalFormatting sqref="I149:AL149 AR149:AS149">
    <cfRule type="expression" dxfId="1011" priority="558">
      <formula>AND(I149&lt;&gt;"",ISERROR(MATCH(I149,energiedragers_geschikt_voor_TAP,FALSE)))</formula>
    </cfRule>
  </conditionalFormatting>
  <conditionalFormatting sqref="I154:AL155 AR154:AS155">
    <cfRule type="expression" dxfId="1010" priority="189">
      <formula>AND(I$154&gt;0,I$155&gt;0)</formula>
    </cfRule>
  </conditionalFormatting>
  <conditionalFormatting sqref="I221:AM222 I226:AM226 I233:AM233">
    <cfRule type="expression" dxfId="1009" priority="9">
      <formula>I221=""</formula>
    </cfRule>
  </conditionalFormatting>
  <conditionalFormatting sqref="I231:AM231 I233:AM233">
    <cfRule type="expression" dxfId="1008" priority="10">
      <formula>AND(I$221&lt;&gt;"",I231="",INDEX(hernieuwbare_energiebron_getalswaarde_bij_toestellen,MATCH(I$228,hernieuwbare_energiebron_namen,0))=1)</formula>
    </cfRule>
  </conditionalFormatting>
  <conditionalFormatting sqref="I81:AS81 I83:AS84 I86:AS86 I88:AS90 I92:AS92 I94:AS98 I100:AS101 I103:AS103 I105:AS111 I113:AS114">
    <cfRule type="expression" dxfId="1007" priority="192">
      <formula>AND(I$79&lt;&gt;"",I81="")</formula>
    </cfRule>
  </conditionalFormatting>
  <conditionalFormatting sqref="I81:AS81">
    <cfRule type="expression" dxfId="1006" priority="523">
      <formula>AND(I81&lt;&gt;"",ISERROR(MATCH(I81,geografische_niveaus_installaties,0))=TRUE)</formula>
    </cfRule>
  </conditionalFormatting>
  <conditionalFormatting sqref="I82:AS82">
    <cfRule type="expression" dxfId="1005" priority="165">
      <formula>IF(I$81=centraal,AND(I82&lt;&gt;0,I82&lt;&gt;1),I82&lt;&gt;0)</formula>
    </cfRule>
  </conditionalFormatting>
  <conditionalFormatting sqref="I83:AS84 I88:AS90 I96:AS98 I105:AS111 I113:AS114">
    <cfRule type="expression" dxfId="1004" priority="513">
      <formula>AND(I$79&lt;&gt;"",I$82=1,I83&lt;&gt;0)</formula>
    </cfRule>
  </conditionalFormatting>
  <conditionalFormatting sqref="I92:AS92">
    <cfRule type="expression" dxfId="1003" priority="160">
      <formula>AND(I92&lt;&gt;"",ISERROR(MATCH(I92,energiedragers_geschikt_voor_RV,0)))=TRUE</formula>
    </cfRule>
  </conditionalFormatting>
  <conditionalFormatting sqref="I93:AS93">
    <cfRule type="expression" dxfId="1002" priority="130">
      <formula>AND(I$79&lt;&gt;"",I$81="")</formula>
    </cfRule>
  </conditionalFormatting>
  <conditionalFormatting sqref="I97:AS98">
    <cfRule type="expression" dxfId="1001" priority="388">
      <formula>AND(I$97&gt;0,I$98&gt;0)</formula>
    </cfRule>
  </conditionalFormatting>
  <conditionalFormatting sqref="I100:AS100">
    <cfRule type="expression" dxfId="1000" priority="416">
      <formula>AND(I$79&lt;&gt;"",I$94=1,I$100&lt;&gt;geen)</formula>
    </cfRule>
  </conditionalFormatting>
  <conditionalFormatting sqref="I101:AS101 I103:AS103">
    <cfRule type="expression" dxfId="999" priority="162">
      <formula>OR(I$94="",I$94=1)</formula>
    </cfRule>
  </conditionalFormatting>
  <conditionalFormatting sqref="I101:AS101">
    <cfRule type="expression" dxfId="998" priority="531">
      <formula>AND(I101&lt;&gt;"",ISERROR(MATCH(I101,energiedragers_geschikt_voor_RV,0)))</formula>
    </cfRule>
  </conditionalFormatting>
  <conditionalFormatting sqref="I136:AX136">
    <cfRule type="expression" dxfId="997" priority="85">
      <formula>COUNTIF(toestellen_TAP_invoer,I136)&gt;1</formula>
    </cfRule>
  </conditionalFormatting>
  <conditionalFormatting sqref="I137:AX147">
    <cfRule type="expression" dxfId="996" priority="101">
      <formula>I$136=""</formula>
    </cfRule>
  </conditionalFormatting>
  <conditionalFormatting sqref="I157:AX157">
    <cfRule type="expression" dxfId="995" priority="5211">
      <formula>AND(I$136&lt;&gt;"",I$151=1,I$157&lt;&gt;geen)</formula>
    </cfRule>
  </conditionalFormatting>
  <conditionalFormatting sqref="I158:AX158">
    <cfRule type="expression" dxfId="994" priority="42">
      <formula>AND(I158&lt;&gt;"",ISERROR(MATCH(I158,energiedragers_geschikt_voor_TAP,0))=TRUE)</formula>
    </cfRule>
  </conditionalFormatting>
  <conditionalFormatting sqref="I158:AX160">
    <cfRule type="expression" dxfId="993" priority="80">
      <formula>OR(I$151=1,I$151="")</formula>
    </cfRule>
  </conditionalFormatting>
  <conditionalFormatting sqref="I247:BH254">
    <cfRule type="expression" dxfId="992" priority="51">
      <formula>I247=""</formula>
    </cfRule>
  </conditionalFormatting>
  <conditionalFormatting sqref="I248:BH250">
    <cfRule type="expression" dxfId="991" priority="50">
      <formula>AND(I248&lt;&gt;0,I248&lt;&gt;1)</formula>
    </cfRule>
  </conditionalFormatting>
  <conditionalFormatting sqref="I248:BH254">
    <cfRule type="expression" dxfId="990" priority="49">
      <formula>AND(I$247&lt;&gt;"",I248="")</formula>
    </cfRule>
  </conditionalFormatting>
  <conditionalFormatting sqref="I12:DT12">
    <cfRule type="cellIs" dxfId="989" priority="1" operator="equal">
      <formula>16</formula>
    </cfRule>
  </conditionalFormatting>
  <conditionalFormatting sqref="I13:EB13">
    <cfRule type="expression" dxfId="988" priority="547">
      <formula>OR(COUNTIF(woningen_gebouwen_namen,I13)&gt;1,LEN(I13)&gt;20)</formula>
    </cfRule>
  </conditionalFormatting>
  <conditionalFormatting sqref="I14:EB14">
    <cfRule type="expression" dxfId="987" priority="330">
      <formula>AND(I14&lt;&gt;"",ISERROR(MATCH(I14,gebruiksfuncties_namen,0))=TRUE)</formula>
    </cfRule>
  </conditionalFormatting>
  <conditionalFormatting sqref="I15:EB15">
    <cfRule type="expression" dxfId="986" priority="261">
      <formula>AND(I$14&lt;&gt;woning,I$14&lt;&gt;woongebouw)</formula>
    </cfRule>
    <cfRule type="expression" dxfId="985" priority="487">
      <formula>ISERROR(MATCH(I15,NulEen,0))=TRUE</formula>
    </cfRule>
  </conditionalFormatting>
  <conditionalFormatting sqref="I17:EB17">
    <cfRule type="expression" dxfId="984" priority="481">
      <formula>ISERROR(MATCH(I17,isolatiepakketten_gebouwschil_namen,0))=TRUE</formula>
    </cfRule>
  </conditionalFormatting>
  <conditionalFormatting sqref="L262:M265 N262:R266">
    <cfRule type="expression" dxfId="983" priority="404">
      <formula>L$261=""</formula>
    </cfRule>
  </conditionalFormatting>
  <conditionalFormatting sqref="L261:R261 N266:R266">
    <cfRule type="expression" dxfId="982" priority="406">
      <formula>L261=""</formula>
    </cfRule>
  </conditionalFormatting>
  <conditionalFormatting sqref="L262:R265">
    <cfRule type="expression" dxfId="981" priority="405">
      <formula>AND(L$261&lt;&gt;"",L262="")</formula>
    </cfRule>
  </conditionalFormatting>
  <conditionalFormatting sqref="O80">
    <cfRule type="expression" dxfId="980" priority="3">
      <formula>O$136=""</formula>
    </cfRule>
  </conditionalFormatting>
  <conditionalFormatting sqref="O164">
    <cfRule type="expression" dxfId="979" priority="2">
      <formula>O$79=""</formula>
    </cfRule>
  </conditionalFormatting>
  <conditionalFormatting sqref="P34:V34">
    <cfRule type="expression" dxfId="978" priority="479">
      <formula>P34=""</formula>
    </cfRule>
  </conditionalFormatting>
  <conditionalFormatting sqref="P35:V38 P44:V45">
    <cfRule type="expression" dxfId="977" priority="478">
      <formula>AND(P$34&lt;&gt;"",P35="")</formula>
    </cfRule>
  </conditionalFormatting>
  <conditionalFormatting sqref="P35:V45">
    <cfRule type="expression" dxfId="976" priority="477">
      <formula>P$34=""</formula>
    </cfRule>
  </conditionalFormatting>
  <conditionalFormatting sqref="Q80">
    <cfRule type="expression" dxfId="975" priority="4">
      <formula>Q$136=""</formula>
    </cfRule>
  </conditionalFormatting>
  <conditionalFormatting sqref="S80">
    <cfRule type="expression" dxfId="974" priority="5">
      <formula>S$136=""</formula>
    </cfRule>
  </conditionalFormatting>
  <conditionalFormatting sqref="T170:AB170">
    <cfRule type="expression" dxfId="973" priority="2898">
      <formula>T170=""</formula>
    </cfRule>
  </conditionalFormatting>
  <conditionalFormatting sqref="T171:AB171 T190:AC190">
    <cfRule type="expression" dxfId="972" priority="370">
      <formula>AND(T$170&lt;&gt;"",T171="")</formula>
    </cfRule>
  </conditionalFormatting>
  <conditionalFormatting sqref="T171:AB175 T177:AB177 T179:AB181 T183:AB184 T186:AB186 T188:AB190">
    <cfRule type="expression" dxfId="971" priority="41">
      <formula>T$170=""</formula>
    </cfRule>
  </conditionalFormatting>
  <conditionalFormatting sqref="T172:AB172">
    <cfRule type="expression" dxfId="970" priority="453">
      <formula>AND(T172&lt;&gt;"",ISERROR(MATCH(T172,geografische_niveaus_installaties,0))=TRUE)</formula>
    </cfRule>
  </conditionalFormatting>
  <conditionalFormatting sqref="T172:AB175 T177:AB177 T179:AB181 T183:AB184 T186:AB186 T188:AB189">
    <cfRule type="expression" dxfId="969" priority="525">
      <formula>T172=""</formula>
    </cfRule>
  </conditionalFormatting>
  <conditionalFormatting sqref="W340:AH345 W347:AH352 W354:AH359">
    <cfRule type="cellIs" dxfId="968" priority="367" operator="equal">
      <formula>""</formula>
    </cfRule>
  </conditionalFormatting>
  <conditionalFormatting sqref="W340:AH359">
    <cfRule type="dataBar" priority="368">
      <dataBar>
        <cfvo type="min"/>
        <cfvo type="max"/>
        <color rgb="FF638EC6"/>
      </dataBar>
      <extLst>
        <ext xmlns:x14="http://schemas.microsoft.com/office/spreadsheetml/2009/9/main" uri="{B025F937-C7B1-47D3-B67F-A62EFF666E3E}">
          <x14:id>{3350441C-EB4B-4511-8AE9-6770A6984F0A}</x14:id>
        </ext>
      </extLst>
    </cfRule>
  </conditionalFormatting>
  <conditionalFormatting sqref="W369:AH374 W376:AH381 W404:AH409">
    <cfRule type="cellIs" dxfId="967" priority="229" operator="equal">
      <formula>""</formula>
    </cfRule>
  </conditionalFormatting>
  <conditionalFormatting sqref="W369:AH381 W403:AH409">
    <cfRule type="dataBar" priority="230">
      <dataBar>
        <cfvo type="min"/>
        <cfvo type="max"/>
        <color rgb="FF638EC6"/>
      </dataBar>
      <extLst>
        <ext xmlns:x14="http://schemas.microsoft.com/office/spreadsheetml/2009/9/main" uri="{B025F937-C7B1-47D3-B67F-A62EFF666E3E}">
          <x14:id>{0FE4DBB6-E414-458F-AEEC-B2572D30EE87}</x14:id>
        </ext>
      </extLst>
    </cfRule>
  </conditionalFormatting>
  <conditionalFormatting sqref="W382:AH388">
    <cfRule type="dataBar" priority="227">
      <dataBar>
        <cfvo type="min"/>
        <cfvo type="max"/>
        <color rgb="FF638EC6"/>
      </dataBar>
      <extLst>
        <ext xmlns:x14="http://schemas.microsoft.com/office/spreadsheetml/2009/9/main" uri="{B025F937-C7B1-47D3-B67F-A62EFF666E3E}">
          <x14:id>{0D036379-A558-41C3-91F7-F50A370A1DDC}</x14:id>
        </ext>
      </extLst>
    </cfRule>
  </conditionalFormatting>
  <conditionalFormatting sqref="W383:AH388">
    <cfRule type="cellIs" dxfId="966" priority="226" operator="equal">
      <formula>""</formula>
    </cfRule>
  </conditionalFormatting>
  <conditionalFormatting sqref="W389:AH395">
    <cfRule type="dataBar" priority="225">
      <dataBar>
        <cfvo type="min"/>
        <cfvo type="max"/>
        <color rgb="FF638EC6"/>
      </dataBar>
      <extLst>
        <ext xmlns:x14="http://schemas.microsoft.com/office/spreadsheetml/2009/9/main" uri="{B025F937-C7B1-47D3-B67F-A62EFF666E3E}">
          <x14:id>{1BAB77EE-027F-4723-AAA9-894E677C7459}</x14:id>
        </ext>
      </extLst>
    </cfRule>
  </conditionalFormatting>
  <conditionalFormatting sqref="W390:AH395">
    <cfRule type="cellIs" dxfId="965" priority="224" operator="equal">
      <formula>""</formula>
    </cfRule>
  </conditionalFormatting>
  <conditionalFormatting sqref="W396:AH402">
    <cfRule type="dataBar" priority="223">
      <dataBar>
        <cfvo type="min"/>
        <cfvo type="max"/>
        <color rgb="FF638EC6"/>
      </dataBar>
      <extLst>
        <ext xmlns:x14="http://schemas.microsoft.com/office/spreadsheetml/2009/9/main" uri="{B025F937-C7B1-47D3-B67F-A62EFF666E3E}">
          <x14:id>{B7A587BA-4670-4296-A4CF-E48D804DE648}</x14:id>
        </ext>
      </extLst>
    </cfRule>
  </conditionalFormatting>
  <conditionalFormatting sqref="W397:AH402">
    <cfRule type="cellIs" dxfId="964" priority="222" operator="equal">
      <formula>""</formula>
    </cfRule>
  </conditionalFormatting>
  <conditionalFormatting sqref="W410:AH416">
    <cfRule type="dataBar" priority="221">
      <dataBar>
        <cfvo type="min"/>
        <cfvo type="max"/>
        <color rgb="FF638EC6"/>
      </dataBar>
      <extLst>
        <ext xmlns:x14="http://schemas.microsoft.com/office/spreadsheetml/2009/9/main" uri="{B025F937-C7B1-47D3-B67F-A62EFF666E3E}">
          <x14:id>{AB4E3CC1-C990-4B8F-9CAE-29DF616BEFFF}</x14:id>
        </ext>
      </extLst>
    </cfRule>
  </conditionalFormatting>
  <conditionalFormatting sqref="W411:AH416">
    <cfRule type="cellIs" dxfId="963" priority="220" operator="equal">
      <formula>""</formula>
    </cfRule>
  </conditionalFormatting>
  <conditionalFormatting sqref="W417:AH423">
    <cfRule type="dataBar" priority="219">
      <dataBar>
        <cfvo type="min"/>
        <cfvo type="max"/>
        <color rgb="FF638EC6"/>
      </dataBar>
      <extLst>
        <ext xmlns:x14="http://schemas.microsoft.com/office/spreadsheetml/2009/9/main" uri="{B025F937-C7B1-47D3-B67F-A62EFF666E3E}">
          <x14:id>{DF192E8A-7815-4662-BD8B-85F7F3BBBA7B}</x14:id>
        </ext>
      </extLst>
    </cfRule>
  </conditionalFormatting>
  <conditionalFormatting sqref="W418:AH423">
    <cfRule type="cellIs" dxfId="962" priority="218" operator="equal">
      <formula>""</formula>
    </cfRule>
  </conditionalFormatting>
  <conditionalFormatting sqref="W424:AH430">
    <cfRule type="dataBar" priority="217">
      <dataBar>
        <cfvo type="min"/>
        <cfvo type="max"/>
        <color rgb="FF638EC6"/>
      </dataBar>
      <extLst>
        <ext xmlns:x14="http://schemas.microsoft.com/office/spreadsheetml/2009/9/main" uri="{B025F937-C7B1-47D3-B67F-A62EFF666E3E}">
          <x14:id>{F33EC74E-8AF6-4267-8A89-686AE46BC0BF}</x14:id>
        </ext>
      </extLst>
    </cfRule>
  </conditionalFormatting>
  <conditionalFormatting sqref="W425:AH430">
    <cfRule type="cellIs" dxfId="961" priority="216" operator="equal">
      <formula>""</formula>
    </cfRule>
  </conditionalFormatting>
  <conditionalFormatting sqref="W439:AH441">
    <cfRule type="cellIs" dxfId="960" priority="214" operator="equal">
      <formula>""</formula>
    </cfRule>
    <cfRule type="dataBar" priority="215">
      <dataBar>
        <cfvo type="min"/>
        <cfvo type="max"/>
        <color rgb="FF638EC6"/>
      </dataBar>
      <extLst>
        <ext xmlns:x14="http://schemas.microsoft.com/office/spreadsheetml/2009/9/main" uri="{B025F937-C7B1-47D3-B67F-A62EFF666E3E}">
          <x14:id>{6F40C4A0-6A30-4018-B863-A607413DEE89}</x14:id>
        </ext>
      </extLst>
    </cfRule>
  </conditionalFormatting>
  <conditionalFormatting sqref="AK157:AL157 AR157:AS157">
    <cfRule type="expression" dxfId="959" priority="149">
      <formula>AND(AK$151=1,AK157&lt;&gt;"geen")</formula>
    </cfRule>
  </conditionalFormatting>
  <conditionalFormatting sqref="AM162:AN162">
    <cfRule type="expression" dxfId="958" priority="73">
      <formula>AM$136=""</formula>
    </cfRule>
    <cfRule type="expression" dxfId="957" priority="74">
      <formula>AND(AM$136&lt;&gt;"",AM162="")</formula>
    </cfRule>
    <cfRule type="expression" dxfId="956" priority="75">
      <formula>AND(AM$136&lt;&gt;"",AM$139=1,AM162&lt;&gt;0)</formula>
    </cfRule>
  </conditionalFormatting>
  <conditionalFormatting sqref="AM137:AO141">
    <cfRule type="expression" dxfId="955" priority="79">
      <formula>AM$136=""</formula>
    </cfRule>
  </conditionalFormatting>
  <conditionalFormatting sqref="AM138:AO138">
    <cfRule type="expression" dxfId="954" priority="88">
      <formula>AND(AM$136&lt;&gt;"",AM138&lt;&gt;"",ISERROR(MATCH(AM138,geografische_niveaus_installaties,0))=TRUE)</formula>
    </cfRule>
  </conditionalFormatting>
  <conditionalFormatting sqref="AM138:AO141">
    <cfRule type="expression" dxfId="953" priority="81">
      <formula>AND(AM$136&lt;&gt;"",AM138="")</formula>
    </cfRule>
  </conditionalFormatting>
  <conditionalFormatting sqref="AM139:AO139">
    <cfRule type="expression" dxfId="952" priority="86">
      <formula>IF(AM$138=centraal,AND(AM139&lt;&gt;0,AM139&lt;&gt;1),AM139&lt;&gt;0)</formula>
    </cfRule>
  </conditionalFormatting>
  <conditionalFormatting sqref="AM140:AO141">
    <cfRule type="expression" dxfId="951" priority="82">
      <formula>AND(AM$136&lt;&gt;"",AM$139=1,AM140&lt;&gt;0)</formula>
    </cfRule>
  </conditionalFormatting>
  <conditionalFormatting sqref="AM149:AQ149">
    <cfRule type="expression" dxfId="950" priority="89">
      <formula>AND(AM149&lt;&gt;"",ISERROR(MATCH(AM149,energiedragers_geschikt_voor_TAP,FALSE)))</formula>
    </cfRule>
  </conditionalFormatting>
  <conditionalFormatting sqref="AM154:AQ155">
    <cfRule type="expression" dxfId="949" priority="84">
      <formula>AND(AM$154&gt;0,AM$155&gt;0)</formula>
    </cfRule>
  </conditionalFormatting>
  <conditionalFormatting sqref="AM79:AS79">
    <cfRule type="expression" dxfId="948" priority="395">
      <formula>AM79=""</formula>
    </cfRule>
  </conditionalFormatting>
  <conditionalFormatting sqref="AM80:AS80">
    <cfRule type="expression" dxfId="947" priority="530">
      <formula>AND(AM$79&lt;&gt;"",AM80="")</formula>
    </cfRule>
  </conditionalFormatting>
  <conditionalFormatting sqref="AM82:AS82">
    <cfRule type="expression" dxfId="946" priority="163">
      <formula>AM$79=""</formula>
    </cfRule>
    <cfRule type="expression" dxfId="945" priority="164">
      <formula>AND(AM$79&lt;&gt;"",AM82="")</formula>
    </cfRule>
  </conditionalFormatting>
  <conditionalFormatting sqref="AM115:AS115">
    <cfRule type="expression" dxfId="944" priority="238">
      <formula>AND(AM$79&lt;&gt;"",AM115="")</formula>
    </cfRule>
  </conditionalFormatting>
  <conditionalFormatting sqref="AP157:AQ157">
    <cfRule type="expression" dxfId="943" priority="103">
      <formula>AND(AP$151=1,AP157&lt;&gt;"geen")</formula>
    </cfRule>
  </conditionalFormatting>
  <conditionalFormatting sqref="AP164:AQ164 AP136:AX136">
    <cfRule type="expression" dxfId="942" priority="114">
      <formula>AP136=""</formula>
    </cfRule>
  </conditionalFormatting>
  <conditionalFormatting sqref="AP137:AX137">
    <cfRule type="expression" dxfId="941" priority="107">
      <formula>AND(AP$136&lt;&gt;"",AP137="")</formula>
    </cfRule>
  </conditionalFormatting>
  <conditionalFormatting sqref="AP138:AX138">
    <cfRule type="expression" dxfId="940" priority="112">
      <formula>AND(AP$136&lt;&gt;"",AP138&lt;&gt;"",ISERROR(MATCH(AP138,geografische_niveaus_installaties,0))=TRUE)</formula>
    </cfRule>
  </conditionalFormatting>
  <conditionalFormatting sqref="AP138:AX141">
    <cfRule type="expression" dxfId="939" priority="104">
      <formula>AND(AP$136&lt;&gt;"",AP138="")</formula>
    </cfRule>
  </conditionalFormatting>
  <conditionalFormatting sqref="AP139:AX139">
    <cfRule type="expression" dxfId="938" priority="110">
      <formula>IF(AP$138=centraal,AND(AP139&lt;&gt;0,AP139&lt;&gt;1),AP139&lt;&gt;0)</formula>
    </cfRule>
  </conditionalFormatting>
  <conditionalFormatting sqref="AP140:AX141">
    <cfRule type="expression" dxfId="937" priority="105">
      <formula>AND(AP$136&lt;&gt;"",AP$139=1,AP140&lt;&gt;0)</formula>
    </cfRule>
  </conditionalFormatting>
  <conditionalFormatting sqref="AR164:AS164">
    <cfRule type="expression" dxfId="936" priority="2687">
      <formula>AR164=""</formula>
    </cfRule>
  </conditionalFormatting>
  <conditionalFormatting sqref="AT149:AX149">
    <cfRule type="expression" dxfId="935" priority="127">
      <formula>AND(AT149&lt;&gt;"",ISERROR(MATCH(AT149,energiedragers_geschikt_voor_TAP,FALSE)))</formula>
    </cfRule>
  </conditionalFormatting>
  <conditionalFormatting sqref="AT154:AX155">
    <cfRule type="expression" dxfId="934" priority="122">
      <formula>AND(AT$154&gt;0,AT$155&gt;0)</formula>
    </cfRule>
  </conditionalFormatting>
  <conditionalFormatting sqref="AT157:AX157">
    <cfRule type="expression" dxfId="933" priority="117">
      <formula>AND(AT$151=1,AT157&lt;&gt;"geen")</formula>
    </cfRule>
  </conditionalFormatting>
  <conditionalFormatting sqref="AT164:AX164">
    <cfRule type="expression" dxfId="932" priority="128">
      <formula>AT164=""</formula>
    </cfRule>
  </conditionalFormatting>
  <conditionalFormatting sqref="DU14:EB17 DU19:EB24">
    <cfRule type="expression" dxfId="931" priority="482">
      <formula>AND(DU$13&lt;&gt;"",DU14="")</formula>
    </cfRule>
  </conditionalFormatting>
  <conditionalFormatting sqref="DU14:EB17 DU19:EB28">
    <cfRule type="expression" dxfId="930" priority="6">
      <formula>DU$13=""</formula>
    </cfRule>
  </conditionalFormatting>
  <dataValidations xWindow="1256" yWindow="738" count="108">
    <dataValidation type="decimal" allowBlank="1" showInputMessage="1" showErrorMessage="1" sqref="N179:P179" xr:uid="{00000000-0002-0000-0A00-000002000000}">
      <formula1>0</formula1>
      <formula2>1</formula2>
    </dataValidation>
    <dataValidation type="decimal" allowBlank="1" showInputMessage="1" showErrorMessage="1" sqref="N180:S181 N186:S186 Q179:S179" xr:uid="{00000000-0002-0000-0A00-000004000000}">
      <formula1>0</formula1>
      <formula2>25</formula2>
    </dataValidation>
    <dataValidation allowBlank="1" showErrorMessage="1" sqref="K224 I214:Q214 I212:J212 I262:J264 AC230:AC231 I231:AB231 I233:AB233 AD231:AM231 AC228:AM228 AC232:AM232 AC223:AM225 I229:AM229 I235:AM240" xr:uid="{00000000-0002-0000-0A00-000008000000}"/>
    <dataValidation allowBlank="1" showInputMessage="1" showErrorMessage="1" prompt="Klik op de naam van het toestel voor meer informatie." sqref="G80 G137 G171" xr:uid="{00000000-0002-0000-0A00-00000A000000}"/>
    <dataValidation allowBlank="1" showInputMessage="1" showErrorMessage="1" promptTitle="ind WP, coll grondw, elek bijsto" prompt="individuele warmtepomp met collectieve bron op grondwater, Tsup 45-50 °C, elektrische bijstook, met regeneratie van de bron" sqref="K80" xr:uid="{D3DDC8D6-FA11-470A-9658-3FF52C63FFBB}"/>
    <dataValidation allowBlank="1" showInputMessage="1" showErrorMessage="1" promptTitle="ind WP, coll grondw, gas bijstoo" prompt="individuele warmtepomp met collectieve bron op grondwater, Tsup 45-50 °C, bijstook met gas, met regeneratie van de bron" sqref="M80" xr:uid="{C855820D-89FA-42E3-A2B9-CB24C0F4A2FB}"/>
    <dataValidation allowBlank="1" showInputMessage="1" showErrorMessage="1" promptTitle="ind WP, ind bodem, elek bijstook" prompt="individuele warmtepomp met individuele bodembron, Tsup 45-50 °C, elektrische bijstook, met regeneratie van de bron" sqref="L80" xr:uid="{5DE753EC-3456-44D1-85A9-18991CB9D77E}"/>
    <dataValidation allowBlank="1" showInputMessage="1" showErrorMessage="1" promptTitle="coll WP | grond, gas bijstook" prompt="collectieve warmtepomp met collectieve bron grondwater, Tsup 45-50 °C, bijstook met collectieve gasgestookte hulpketel, met regeneratie van de bron" sqref="R80" xr:uid="{00000000-0002-0000-0A00-00000F000000}"/>
    <dataValidation allowBlank="1" showInputMessage="1" showErrorMessage="1" promptTitle="Biomassa verbranding, tot 10 MWe" prompt="Centrale voor het verbranden van biomassa, tot een elektrisch vermogen van 10 MW" sqref="AA80 Z137" xr:uid="{00000000-0002-0000-0A00-000014000000}"/>
    <dataValidation allowBlank="1" showInputMessage="1" showErrorMessage="1" promptTitle="Biomassa verbranding, 10-50 MWe" prompt="Centrale voor het verbranden van biomassa, elektrisch vermogen van 10 tot 50 MW" sqref="AB80 AA137" xr:uid="{00000000-0002-0000-0A00-000015000000}"/>
    <dataValidation allowBlank="1" showInputMessage="1" showErrorMessage="1" promptTitle="ind WP, coll grondw, elek bijsto" prompt="individuele combi-warmtepomp met collectieve bron op grondwater, Tsup 45-50 °C, elektrische bijstook, met regeneratie van de bron" sqref="K137" xr:uid="{00000000-0002-0000-0A00-000016000000}"/>
    <dataValidation allowBlank="1" showInputMessage="1" showErrorMessage="1" promptTitle="ind WP, ind bodem, elek bijstook" prompt="individuele combi-warmtepomp met individuele bodembron, Tsup 45-50 °C, elektrische bijstook, met regeneratie van de bron" sqref="L137" xr:uid="{00000000-0002-0000-0A00-000017000000}"/>
    <dataValidation allowBlank="1" showInputMessage="1" showErrorMessage="1" promptTitle="ind WP, coll grondw, gas bijstoo" prompt="individuele combi-warmtepomp met collectieve bron op grondwater, Tsup 45-50 °C, bijstook met gas, met regeneratie van de bron" sqref="M137" xr:uid="{00000000-0002-0000-0A00-000018000000}"/>
    <dataValidation allowBlank="1" showInputMessage="1" showErrorMessage="1" promptTitle="ind WP, ind bodem, gas bijstook" prompt="individuele combi-warmtepomp met individuele bodembron, Tsup 45-50 °C, bijstook op gas, met regeneratie van de bron" sqref="N137" xr:uid="{00000000-0002-0000-0A00-000019000000}"/>
    <dataValidation allowBlank="1" showInputMessage="1" showErrorMessage="1" promptTitle="ind wp buitenlucht, elek bijstoo" prompt="individuele combi-warmtepomp, bron buitenlucht, elektrische bijstook" sqref="P137" xr:uid="{00000000-0002-0000-0A00-00001A000000}"/>
    <dataValidation allowBlank="1" showInputMessage="1" showErrorMessage="1" promptTitle="Afgifterendement" prompt="1,00 bij verwarming of_x000a_        LT-radiatoren in_x000a_        geïsoleerd gebouw_x000a_        (Rc &gt; 2,5 m2K/W);_x000a_0,90 bij HT-systemen;_x000a_0,95 in overige situaties." sqref="D86" xr:uid="{00000000-0002-0000-0A00-000028000000}"/>
    <dataValidation type="textLength" allowBlank="1" showInputMessage="1" showErrorMessage="1" errorTitle="Maximaal 65 karakters" error="Maximaal 65 karakters" sqref="F5" xr:uid="{00000000-0002-0000-0A00-000033000000}">
      <formula1>0</formula1>
      <formula2>65</formula2>
    </dataValidation>
    <dataValidation type="textLength" errorStyle="warning" allowBlank="1" showInputMessage="1" showErrorMessage="1" errorTitle="Maximaal 30 karakters" error="Maximaal 30 karakters" sqref="F3:F4" xr:uid="{00000000-0002-0000-0A00-000034000000}">
      <formula1>0</formula1>
      <formula2>30</formula2>
    </dataValidation>
    <dataValidation allowBlank="1" showInputMessage="1" showErrorMessage="1" promptTitle="Gegevensfilter (links)" prompt="Het pijltje links geeft toegang tot het gegevensfilter, waarmee informatie zichtbaar/onzichtbaar gemaakt kan worden." sqref="D550" xr:uid="{00000000-0002-0000-0A00-000032000000}"/>
    <dataValidation allowBlank="1" showInputMessage="1" showErrorMessage="1" promptTitle="ind wp buitenlucht, el. bijstook" prompt="individuele warmtepomp, bron buitenlucht, elektrische bijstook" sqref="T80 P80" xr:uid="{BBBD7C22-9B70-4C36-8EBC-0728B28237A8}"/>
    <dataValidation allowBlank="1" showInputMessage="1" showErrorMessage="1" prompt="_x000a_" sqref="E174:E175" xr:uid="{2F881783-DB4C-4160-B0D8-E79DA785B6CE}"/>
    <dataValidation allowBlank="1" showErrorMessage="1" prompt="_x000a_" sqref="E140 E173" xr:uid="{41192548-A091-41DC-B3CD-961ED33B28C1}"/>
    <dataValidation type="list" allowBlank="1" showInputMessage="1" showErrorMessage="1" sqref="T172:AB172 I81:AS81" xr:uid="{E2CE6FBB-0373-4567-A5B7-73008EDE858D}">
      <formula1>geografische_niveaus_installaties</formula1>
    </dataValidation>
    <dataValidation allowBlank="1" showInputMessage="1" showErrorMessage="1" promptTitle="alleen bij NEN7125 berekening" prompt="Biogas en groen gas, in de vorm van aangeleverde energie, mogen uitsluitend worden gewaardeerd als gebiedsmaatregel volgens NEN 7125." sqref="R222" xr:uid="{30311724-01A7-4160-BD1B-2224EBF501F4}"/>
    <dataValidation allowBlank="1" showInputMessage="1" showErrorMessage="1" promptTitle="AVI" prompt="afvalverbrandingsinstallatie" sqref="S222" xr:uid="{96CA144D-C878-449C-8FE4-3ED0A2AA5E80}"/>
    <dataValidation allowBlank="1" showInputMessage="1" showErrorMessage="1" promptTitle="bm. Activiteitenbesluit [bmA]" prompt="Biomassa voor met vaste biomassa gestookte kachels en ketels die vallen onder het Activiteitenbesluit._x000a_(NTA8800 tabel 5.2/5.3)" sqref="M222" xr:uid="{300F30B6-BD18-4C19-B40E-02F4CF5F7161}"/>
    <dataValidation allowBlank="1" showInputMessage="1" showErrorMessage="1" promptTitle="biomassa cf bijlage R [bmB]" prompt="Biomassa voor met vaste biomassa gestookte kachels en ketels die voldoen aan een minimale verbrandingskwaliteit en een maximaal emissieniveau, zoals gegeven in bijlage R._x000a_(NTA8800 tabel 5.2/5.3, bijage R)" sqref="N222" xr:uid="{F50A77FD-D6D9-4528-8613-A6B6EF5B9EE8}"/>
    <dataValidation allowBlank="1" showInputMessage="1" showErrorMessage="1" promptTitle="biomassa overig [bmC]" prompt="Biomassa voor met vaste biomassa gestookte kachels en ketels die niet voldoen aan de criteria van biomassa bmA en bmB._x000a_(NTA8800 tabel 5.2/5.3)" sqref="O222" xr:uid="{5C2635F0-EFAF-43AB-ABFD-BC750FF82636}"/>
    <dataValidation allowBlank="1" showInputMessage="1" showErrorMessage="1" promptTitle="externe warmte" prompt="De tabel geeft de primaire energiefacor en CO2-emissiecoëfficiënt van forfaitaire externe warmte._x000a__x000a_Als een kwaliteitsverklaring op basis van NEN 7125 beschikbaar is, kunnen gegevens hieruit binnen de variantberekening als 'eigen waarde' worden ingevuld." sqref="P222" xr:uid="{383A7A08-96EC-4512-9374-C14F2F237B82}"/>
    <dataValidation allowBlank="1" showInputMessage="1" showErrorMessage="1" promptTitle="externe koude" prompt="De tabel geeft de primaire energiefacor en CO2-emissiecoëfficiënt van forfaitaire externe koude_x000a__x000a_Als een kwaliteitsverklaring op basis van NEN 7125 beschikbaar is, kunnen gegevens hieruit binnen de variantberekening als 'eigen waarde' worden ingevuld." sqref="Q222" xr:uid="{CD38C398-C340-4BD0-99C0-C5EF383138F4}"/>
    <dataValidation allowBlank="1" showInputMessage="1" showErrorMessage="1" promptTitle="elektriciteit hernieuwbaar" prompt="Hernieuwbaar opgewekte elektriciteit." sqref="J211" xr:uid="{196F2A43-BF5C-4726-A2D2-0CC840FA7506}"/>
    <dataValidation allowBlank="1" showInputMessage="1" showErrorMessage="1" promptTitle="Biomassa (bmA)" prompt="Biomassa voor op een vaste biomassa gestookte kachels en ketels die vallen onder het Activiteitenbesluit" sqref="M211" xr:uid="{62CDB3D3-E90D-4380-A5AB-AF3F530FBB68}"/>
    <dataValidation allowBlank="1" showInputMessage="1" showErrorMessage="1" promptTitle="Biomassa (bmB)" prompt="Biomassa voor op een vaste biomassa gestookte kachels en ketels die voldoen aan een minimale verbrandingskwaliteit en een maximaal emissieniveau, zoals aangegeven in bijlage R." sqref="N211" xr:uid="{005A43AC-0403-497B-9B2C-DFE65C3AD82F}"/>
    <dataValidation allowBlank="1" showInputMessage="1" showErrorMessage="1" promptTitle="Biomassa (bmC)" prompt="Biomassa voor op een vaste biomassa gestookte kachels en ketels die niet aan de hierboven criteria voldoen." sqref="O211" xr:uid="{D5844B97-9D82-44F4-B49A-D6DDAF2F0730}"/>
    <dataValidation allowBlank="1" showInputMessage="1" showErrorMessage="1" promptTitle="Externe warmte of koude (forf)" prompt="Externe warmte- of koudelevering waarvoor geen kwaliteitsverklaring op basis van NEN 7125 beschikbaar is." sqref="P211" xr:uid="{E813DF6B-2350-445B-8895-22CDFE98D61D}"/>
    <dataValidation allowBlank="1" showInputMessage="1" showErrorMessage="1" promptTitle="Externe warmte/koude (kwal)" prompt="Externe warmte- of koudelevering waarvoor een kwaliteitsverklaring op basis van NEN 7125 beschikbaar is." sqref="Q211" xr:uid="{A16AD7EF-B50F-418B-88C5-81A45DA7E899}"/>
    <dataValidation allowBlank="1" showInputMessage="1" showErrorMessage="1" promptTitle="heeft toestel hernieuwbare bron?" prompt="Nodig voor bepalen bijdrage warmtepomp aan BENG-indicator hernieuwbare energie." sqref="D83" xr:uid="{1A7D99ED-06BD-4E28-8851-A423266F3082}"/>
    <dataValidation type="list" allowBlank="1" showInputMessage="1" showErrorMessage="1" sqref="AQ83:AS84 I173:S175 I248:BH250" xr:uid="{49E50999-05B7-4E62-8117-FFD65A8BA711}">
      <formula1>"0,1"</formula1>
    </dataValidation>
    <dataValidation type="decimal" showInputMessage="1" showErrorMessage="1" errorTitle="Bereik 0,1-15,0" error="De ingevulde waarde valt buiten het bereik." sqref="AP160:AX160" xr:uid="{78A938DF-F845-4E76-9487-E3B3F1BD2BB6}">
      <formula1>0.1</formula1>
      <formula2>15</formula2>
    </dataValidation>
    <dataValidation type="decimal" allowBlank="1" showInputMessage="1" showErrorMessage="1" errorTitle="Bereik 0,0-2,0" error="De ingevoerde waarde valt buiten het bereik." sqref="U223:AB223 N262:R263" xr:uid="{1A66FC1A-5649-41F1-A082-FE5C139D3624}">
      <formula1>0</formula1>
      <formula2>2</formula2>
    </dataValidation>
    <dataValidation type="decimal" allowBlank="1" showInputMessage="1" showErrorMessage="1" errorTitle="Bereik 0,1-15,0" error="De ingevoerde waarde valt buiten het bereik." sqref="AM103:AS103 T180:AB180 T186:AB186" xr:uid="{F15622FB-66E5-426F-A106-D860DDAED259}">
      <formula1>0.1</formula1>
      <formula2>15</formula2>
    </dataValidation>
    <dataValidation type="decimal" allowBlank="1" showInputMessage="1" showErrorMessage="1" errorTitle="Bereik 0,0-0,7" error="De ingevoerde waarde valt buiten het bereik." sqref="T181:AB181" xr:uid="{93FEC512-4AB2-41CB-9C0B-56F4B7C14BC1}">
      <formula1>0</formula1>
      <formula2>0.7</formula2>
    </dataValidation>
    <dataValidation type="decimal" allowBlank="1" showInputMessage="1" showErrorMessage="1" errorTitle="Bereik 0,0-0,5" error="De ingevoerde waarde valt buiten het bereik." sqref="U224:AB224 N264:R265" xr:uid="{925B59E4-B5B4-45A5-9270-4C153E0338DA}">
      <formula1>0</formula1>
      <formula2>0.5</formula2>
    </dataValidation>
    <dataValidation type="decimal" allowBlank="1" showInputMessage="1" showErrorMessage="1" errorTitle="Bereik 0,0-1,0" error="De ingevoerde waarde valt buiten het bereik." sqref="T179:AB179" xr:uid="{F7428E62-C497-4CBD-B519-0CF73175A84D}">
      <formula1>0</formula1>
      <formula2>1</formula2>
    </dataValidation>
    <dataValidation type="decimal" allowBlank="1" showInputMessage="1" showErrorMessage="1" errorTitle="Bereik 0,00-0,01" error="De ingevoerde waarde valt buiten het bereik." sqref="T188:AB188" xr:uid="{E98728CF-9368-461C-9B5D-C61A111F4E61}">
      <formula1>0</formula1>
      <formula2>0.01</formula2>
    </dataValidation>
    <dataValidation type="decimal" allowBlank="1" showInputMessage="1" showErrorMessage="1" errorTitle="Bereik 0,0-0,1" error="De ingevoerde waarde valt buiten het bereik." sqref="T189:AB189" xr:uid="{24937FF8-355D-4545-96D6-8107781F888D}">
      <formula1>0</formula1>
      <formula2>0.1</formula2>
    </dataValidation>
    <dataValidation type="list" allowBlank="1" showInputMessage="1" showErrorMessage="1" errorTitle="Bereik 0,0-1,0" error="De ingevoerde waarde valt buiten het bereik." sqref="T173:AB175" xr:uid="{D31D1193-0062-4127-8BB8-775BB9D6B1EF}">
      <formula1>"0,1"</formula1>
    </dataValidation>
    <dataValidation allowBlank="1" showInputMessage="1" showErrorMessage="1" promptTitle="Gegevensfilter en navigatie" prompt="&lt;-_x000a_Het gegevensfilter biedt de mogelijkheid om (delen van) tabellen in de UMGO te filteren._x000a__x000a_-&gt;_x000a_Navigatieknoppen naar andere tabbladen." sqref="D8" xr:uid="{19B41AF7-4152-4772-80B1-D2D9E7EE36A7}"/>
    <dataValidation type="list" allowBlank="1" showInputMessage="1" showErrorMessage="1" sqref="N172:S172 I138:AX138" xr:uid="{00000000-0002-0000-0A00-000000000000}">
      <formula1>$I$538:$K$538</formula1>
    </dataValidation>
    <dataValidation allowBlank="1" showInputMessage="1" showErrorMessage="1" promptTitle="Voorbeeldwoningen en -gebouwen" prompt="De voorbeeldgebouwen bestaan uit:_x000a_- RVO referentiewoningen nieuwbouw_x000a_   &gt;vrij L, tussenwon S, .._x000a_- Voorbeeldwoningen 2020_x000a_   &gt;type (vrij, 2/1 kap,..) _x000a_   &gt;bouwjaarklasse (92-05=1992-2005)_x000a_- Voorbeeldgebouwen utiliteit_x000a_- Door gebruiker ingevoerde gebouwen" sqref="D13" xr:uid="{1CA6AC46-007D-4A79-B903-C1FD4D1B65B8}"/>
    <dataValidation allowBlank="1" showInputMessage="1" showErrorMessage="1" promptTitle="Warmtebehoefte tapwater" prompt="De warmtebehoefte van woningen en woongebouwen is afhankelijk van de gebruiksoppervlakte van de woning. Deze warmtebehoefte wordt uitgerekend binnen de Varianten." sqref="D287" xr:uid="{FFE92F8D-2118-4BA5-9655-CD14B673D07C}"/>
    <dataValidation allowBlank="1" showInputMessage="1" showErrorMessage="1" promptTitle="aftapwarmte" prompt="Aftapwarmte van elektriciteitscentrale. Bij aftap van warmte daalt de elektriciteitsproductie. Die daling wordt gecompenseerd door het NL elektriciteitsnet. Het primair energiegebruik en de CO2 emissie van die compensatie wordt in rekening gebracht." sqref="U222:V222" xr:uid="{CD204899-04B9-4BFA-A8BD-26A66E05A52D}"/>
    <dataValidation allowBlank="1" showInputMessage="1" showErrorMessage="1" promptTitle="elektr. derving aftapwarmte" prompt="Verhouding elektriciteitsderving Δε;chp;el en jaargemiddelde thermische omzettingsgetal van WKK ε;chp;th._x000a__x000a_forfaitair 0,18 (NEN 7125:2017 formule 7.20)_x000a__x000a_NEN 7125:2017 par 7.3.4.6 WKK installaties met derving." sqref="D155 D98" xr:uid="{ADBC9DB5-F0BE-4DB4-A86F-75CC53891240}"/>
    <dataValidation allowBlank="1" showInputMessage="1" showErrorMessage="1" promptTitle="elek omzettingsgetal WKK" prompt="Het elektrische omzettingsgetal voor WKK._x000a_Voorbeelden in NTA 8800:2020 tabel 9.31._x000a__x000a_NB als hier een waarde wordt ingevuld moet de waarde in de volgende regel (over elektriciteitsderving bij WKK) nul zijn._x000a__x000a_Dat geldt omgekeerd ook." sqref="D154 D97" xr:uid="{4F6DB6C2-8A2C-4BB4-9252-E5EECB32FF0F}"/>
    <dataValidation allowBlank="1" showInputMessage="1" showErrorMessage="1" promptTitle="geografisch niveau" prompt="GEBOUW: individuele/collectieve installatie in woning of (woon)gebouw._x000a__x000a_GEBIED: collectieve installatie gedimensioneerd op warmtevraag (woon)gebouw._x000a__x000a_CENTRAAL: warmtelevering met opwekkingsrendement 1,0 en verrekening via fPdel en fPren van energiedrager" sqref="D81 D138" xr:uid="{BFDAA655-576D-4520-B89B-778BE981F31A}"/>
    <dataValidation allowBlank="1" showInputMessage="1" showErrorMessage="1" promptTitle="geografisch niveau" prompt="Er zijn alleengebouwgebonden installaties mogelijk._x000a__x000a_GEBOUW: individuele/collectieve installatie in woning of (woon)gebouw." sqref="D172" xr:uid="{7160980F-A570-4F34-B578-F1CFC46B2133}"/>
    <dataValidation allowBlank="1" showInputMessage="1" showErrorMessage="1" promptTitle="EMG verklaring" prompt="Bij geografisch niveau 'centraal': de externe warmtelevering heeft een EMG-verklaring (NEN 7125)." sqref="D82 D139" xr:uid="{07798A9B-670A-49B8-B360-497F4528AD80}"/>
    <dataValidation type="list" allowBlank="1" showInputMessage="1" showErrorMessage="1" promptTitle="bij EMG-verklaring: 0" prompt=" " sqref="I83:AP84 I140:AX141" xr:uid="{5ACEEAF3-8309-4208-A179-7E3E1206D55F}">
      <formula1>"0,1"</formula1>
    </dataValidation>
    <dataValidation type="decimal" showInputMessage="1" showErrorMessage="1" errorTitle="Bereik 0,0-0,1" error="De ingevulde waarde valt buiten het bereik." promptTitle="bij EMG-veklaring: 0,000" prompt=" " sqref="I157 AM157:AO157 I163:AX163" xr:uid="{CC7C84C8-EB3E-4BF2-9D22-A2193467AA28}">
      <formula1>0</formula1>
      <formula2>0.1</formula2>
    </dataValidation>
    <dataValidation allowBlank="1" showInputMessage="1" showErrorMessage="1" promptTitle="dekkingsgraad install. preferent" prompt="De dekkingsgraad van preferente installaties met een EMG-verklaring is altijd 100%." sqref="D94" xr:uid="{D8E01A53-876A-4CE2-B77A-223D14A8DA4E}"/>
    <dataValidation allowBlank="1" showInputMessage="1" showErrorMessage="1" promptTitle="opwekkingsrendement" prompt="Het opwekkingsrendement cf NTA 8800:2020 H9._x000a__x000a_Opwekkingsrendement installaties met een EMG-verklaring of WKK met elektriciteitsderving: 1,0._x000a__x000a_Primair (hernieuwbaar) energiegebruik wordt berekend op basis van de fPdel en de fPren van de energiedrager." sqref="D95" xr:uid="{56B2620A-DF78-4394-88EF-43763B597CEA}"/>
    <dataValidation allowBlank="1" showInputMessage="1" showErrorMessage="1" promptTitle="opwekkingsrendement" prompt="Het opwekkingsrendement cf NTA 8800:2020 13.7._x000a__x000a_Opwekkingsrendement installaties met een EMG-verklaring of WKK met elektriciteitsderving: 1,0._x000a__x000a_Primair (hernieuwbaar) energiegebruik wordt berekend op basis van de fPdel en de fPren van de energiedrager." sqref="D152" xr:uid="{3247C4CD-1D4A-409A-B742-356D91F10EBA}"/>
    <dataValidation type="list" allowBlank="1" showInputMessage="1" showErrorMessage="1" sqref="I177:AB177 I184:AB184" xr:uid="{2734E281-1A3D-4865-9DF6-B142A2446830}">
      <formula1>energiedragers_geschikt_voor_KOEL</formula1>
    </dataValidation>
    <dataValidation allowBlank="1" showInputMessage="1" showErrorMessage="1" promptTitle="dekkingsgraad install. preferent" prompt="De dekkingsgraad van preferente installaties met een EMG-verklaring is altijd 100%._x000a_Bij een booster-WP is deze afhankelijk van de COP van de booster-WP, =(COP-1)/COP. Kies ook een warmteopwekker/warmtenet." sqref="D151" xr:uid="{2ACFAE3D-CA93-482B-BFFB-EFFB779AD56E}"/>
    <dataValidation type="list" allowBlank="1" showInputMessage="1" showErrorMessage="1" sqref="I225:AB225" xr:uid="{1A48BDD9-54B2-4185-8ED8-932973FFF7D6}">
      <formula1>energiedragers_gebouwaansluiting</formula1>
    </dataValidation>
    <dataValidation type="list" allowBlank="1" showInputMessage="1" showErrorMessage="1" sqref="I228:AB228" xr:uid="{1FD6B478-F635-42E3-8EA8-367C31AFF0F2}">
      <formula1>hernieuwbare_energiebron_namen</formula1>
    </dataValidation>
    <dataValidation allowBlank="1" showInputMessage="1" showErrorMessage="1" errorTitle="Bereik 0,0-2,0" error="De ingevoerde waarde valt buiten het bereik." sqref="X222:AB222" xr:uid="{9C4C1CB5-0025-49AF-95AB-54811BFE88E7}"/>
    <dataValidation type="list" allowBlank="1" showInputMessage="1" showErrorMessage="1" sqref="AC221:AM221" xr:uid="{5DC61995-9CF6-4C98-92D6-A478CB1D9FBB}">
      <formula1>warmtenetten_NL_namen</formula1>
    </dataValidation>
    <dataValidation allowBlank="1" showInputMessage="1" showErrorMessage="1" promptTitle="Rc gemiddeld per bouwdeel" prompt="Bereken de Rc gemiddeld via de U-waarde:_x000a__x000a_Rc,gem = " sqref="D35" xr:uid="{B76A381D-B82B-47AB-AC98-106D28488BC6}"/>
    <dataValidation allowBlank="1" showInputMessage="1" showErrorMessage="1" promptTitle="ind WP, ind bodem, gas bijstook" prompt="individuele warmtepomp met individuele bodembron, Tsup 45-50 °C, bijstook op gas, met regeneratie van de bron" sqref="N80 P80" xr:uid="{58ED24A9-3CD1-46CC-9C46-41414AA01296}"/>
    <dataValidation type="list" allowBlank="1" showInputMessage="1" showErrorMessage="1" sqref="I86:AS86" xr:uid="{E239F5FF-DABC-4625-9C6B-29F5EC7DF187}">
      <mc:AlternateContent xmlns:x12ac="http://schemas.microsoft.com/office/spreadsheetml/2011/1/ac" xmlns:mc="http://schemas.openxmlformats.org/markup-compatibility/2006">
        <mc:Choice Requires="x12ac">
          <x12ac:list>"0,90","0,95","1,00"</x12ac:list>
        </mc:Choice>
        <mc:Fallback>
          <formula1>"0,90,0,95,1,00"</formula1>
        </mc:Fallback>
      </mc:AlternateContent>
    </dataValidation>
    <dataValidation type="decimal" allowBlank="1" showInputMessage="1" showErrorMessage="1" promptTitle="bij EMG-verklaring altijd 100%" prompt="Bij installaties met externe warmtelevering (geografisch niveau: 'centraal') en een EMG-verklaring is de dekkingsgraad van het preferente toestel altijd 100%." sqref="I94:AS94" xr:uid="{3DB9A9FF-2707-42DE-A191-AA66BD5DC381}">
      <formula1>0</formula1>
      <formula2>1</formula2>
    </dataValidation>
    <dataValidation type="decimal" allowBlank="1" showInputMessage="1" showErrorMessage="1" errorTitle="Bereik 0,1-15,0" error="De ingevoerde waarde valt buiten het bereik." promptTitle="bij 'centraal' altijd 1,000" prompt="Bij installaties geografisch niveau: 'centraal' is het opwekkingsrendement van het preferente toestel altijd 1,000." sqref="I95:AS95" xr:uid="{FC46EFC5-5649-4BBA-B5A1-F19F6299843F}">
      <formula1>0.1</formula1>
      <formula2>15</formula2>
    </dataValidation>
    <dataValidation type="decimal" allowBlank="1" showInputMessage="1" showErrorMessage="1" errorTitle="Bereik 0-50" error="De ingevoerde waarde valt buiten het bereik." promptTitle="bij EMG-verklaring altijd 0" prompt="Bij installaties met externe warmtelevering (geografisch niveau: 'centraal') en een EMG-verklaring is de pompenergie aquifer altijd 0." sqref="I96:AS96" xr:uid="{178A693D-2A55-4F73-8072-58FCAE701C0E}">
      <formula1>0</formula1>
      <formula2>50</formula2>
    </dataValidation>
    <dataValidation type="decimal" allowBlank="1" showInputMessage="1" showErrorMessage="1" errorTitle="Bereik 0,0-0,7" error="De ingevoerde waarde valt buiten het bereik." promptTitle="bij EMG-verklaring altijd 0,000" prompt="Bij installaties met externe warmtelevering (geografisch niveau: 'centraal') en een EMG-verklaring is het elektrische omzettingsgetal van het preferente toestel altijd 0,000." sqref="I97:AS97" xr:uid="{07736C17-7F4C-48E0-8F8A-476D7985091D}">
      <formula1>0</formula1>
      <formula2>0.7</formula2>
    </dataValidation>
    <dataValidation type="list" allowBlank="1" showInputMessage="1" showErrorMessage="1" errorTitle="Bereik ≥0,0" error="De ingevoerde waarde valt buiten het bereik." promptTitle="alleen bij 'centraal'" sqref="I82:AS82" xr:uid="{6C8C5E51-5D55-4FB5-B1C2-5C6BC753153B}">
      <formula1>"0,1"</formula1>
    </dataValidation>
    <dataValidation allowBlank="1" showInputMessage="1" showErrorMessage="1" promptTitle="bij EMG-verklaring altijd 0,00" prompt="Bij installaties met externe warmtelevering (geografisch niveau: 'centraal') en een EMG-verklaring is de elektriciteitsderving van het preferente toestel altijd 0,000." sqref="I98:AS98" xr:uid="{40728D25-2345-45BA-BC34-EEF9C2BDF0DD}"/>
    <dataValidation allowBlank="1" showInputMessage="1" showErrorMessage="1" promptTitle="dekkinsgraad pref 100: 'geen'" prompt="Als de dekkingsgraad van het preferente toestel 100% is, moet hier 'geen' worden ingevuld." sqref="I100:AS100" xr:uid="{3C4910A4-8289-4DD8-8111-33530B67284F}"/>
    <dataValidation type="decimal" allowBlank="1" showInputMessage="1" showErrorMessage="1" errorTitle="Bereik 0-100" error="De ingevoerde waarde valt buiten het bereik." promptTitle="bij EMG-verklaring: 0,0" prompt=" " sqref="I105:AS105" xr:uid="{33217118-7F3D-4A1A-BFF7-E1CC5C90BA7B}">
      <formula1>0</formula1>
      <formula2>100</formula2>
    </dataValidation>
    <dataValidation type="decimal" allowBlank="1" showInputMessage="1" showErrorMessage="1" errorTitle="Bereik 0,0-1,0" error="De ingevoerde waarde valt buiten het bereik." promptTitle="bij EMG-verklaring: 0,000" prompt=" " sqref="I106:AS107" xr:uid="{6DBCB3E3-3890-4D88-B69B-1D195EFEE122}">
      <formula1>0</formula1>
      <formula2>1</formula2>
    </dataValidation>
    <dataValidation type="decimal" operator="greaterThanOrEqual" allowBlank="1" showInputMessage="1" showErrorMessage="1" errorTitle="Bereik ≥0,0" error="De ingevoerde waarde valt buiten het bereik." promptTitle="bij EMG-verklaring: 0" prompt=" " sqref="I108:AS108" xr:uid="{56CA5FC8-F7B8-4FF2-8133-8CE712240ECB}">
      <formula1>0</formula1>
    </dataValidation>
    <dataValidation type="decimal" allowBlank="1" showInputMessage="1" showErrorMessage="1" errorTitle="Bereik 0-1" error="De ingevoerde waarde valt buiten het bereik." promptTitle="bij EMG-verklaring: 0" prompt=" " sqref="I109:AS109" xr:uid="{99DEF0EE-01F5-4D68-95FB-9B6060F16910}">
      <formula1>0</formula1>
      <formula2>1</formula2>
    </dataValidation>
    <dataValidation type="decimal" allowBlank="1" showInputMessage="1" showErrorMessage="1" errorTitle="Bereik 0-10" error="De ingevoerde waarde valt buiten het bereik." promptTitle="bij EMG-verklaring: 0,0" prompt=" " sqref="I110:AS110" xr:uid="{96DFC818-B1B1-4102-994D-F2310C35A68E}">
      <formula1>0</formula1>
      <formula2>10</formula2>
    </dataValidation>
    <dataValidation type="decimal" allowBlank="1" showInputMessage="1" showErrorMessage="1" errorTitle="Bereik 0-8760" error="De ingevoerde waarde valt buiten het bereik." promptTitle="bij EMG-verklaring: 0" prompt=" " sqref="I111:AS111" xr:uid="{A6C34AE8-081B-43DF-8358-1EC055D6C99E}">
      <formula1>0</formula1>
      <formula2>8760</formula2>
    </dataValidation>
    <dataValidation type="decimal" allowBlank="1" showInputMessage="1" showErrorMessage="1" errorTitle="Bereik 0,00-0,01" error="De ingevoerde waarde valt buiten het bereik." promptTitle="bij EMG-verklaring: 0,0000" prompt=" " sqref="I113:AS113" xr:uid="{B938E806-F0FC-45D8-8B15-9F43E0CDBAF1}">
      <formula1>0</formula1>
      <formula2>0.01</formula2>
    </dataValidation>
    <dataValidation type="decimal" allowBlank="1" showInputMessage="1" showErrorMessage="1" errorTitle="Bereik 0,0-0,1" error="De ingevoerde waarde valt buiten het bereik." promptTitle="bij EMG-verklaring: 0,000" prompt=" " sqref="I114:AS114" xr:uid="{54D1F4DD-A5C3-41CB-BDE9-8955CF67B25B}">
      <formula1>0</formula1>
      <formula2>0.1</formula2>
    </dataValidation>
    <dataValidation type="decimal" operator="greaterThanOrEqual" allowBlank="1" showInputMessage="1" showErrorMessage="1" errorTitle="Bereik 0,0-2,0" error="De ingevoerde waarde valt buiten het bereik." promptTitle="bij EMG-verklaring: 0,0" prompt=" " sqref="I88:AS89" xr:uid="{F78D557F-E2A4-42C8-A773-9E09C048145E}">
      <formula1>0</formula1>
    </dataValidation>
    <dataValidation type="decimal" operator="greaterThanOrEqual" allowBlank="1" showInputMessage="1" showErrorMessage="1" errorTitle="Bereik ≥0,0" error="De ingevoerde waarde valt buiten het bereik." promptTitle="bij EMG-verklaring: 0,0" prompt=" " sqref="I90:AS90" xr:uid="{60C06FC5-DD77-42B7-94D5-7922EF221BA8}">
      <formula1>0</formula1>
    </dataValidation>
    <dataValidation type="list" allowBlank="1" showInputMessage="1" showErrorMessage="1" sqref="I92:AS92 I101:AS101" xr:uid="{0BA5E193-2C2A-4B76-B466-B47BFBEFB36A}">
      <formula1>energiedragers_geschikt_voor_RV</formula1>
    </dataValidation>
    <dataValidation type="list" allowBlank="1" showInputMessage="1" showErrorMessage="1" sqref="I159:AX159 I150:AX150" xr:uid="{00000000-0002-0000-0A00-000001000000}">
      <formula1>energiedragers_namen</formula1>
    </dataValidation>
    <dataValidation type="decimal" allowBlank="1" showInputMessage="1" showErrorMessage="1" sqref="I143:AX143" xr:uid="{15BBED8E-0041-46BE-831A-FF14378BED1A}">
      <formula1>0.5</formula1>
      <formula2>1</formula2>
    </dataValidation>
    <dataValidation type="decimal" allowBlank="1" showInputMessage="1" showErrorMessage="1" errorTitle="Bereik 0,0-2,0" error="Ingevulde waarde valt buiten bereik." promptTitle="bij EMG-verklaring: 0,0" prompt=" " sqref="I145:AX146" xr:uid="{8A29092C-A42D-4226-9F70-7050174AB17A}">
      <formula1>0</formula1>
      <formula2>2</formula2>
    </dataValidation>
    <dataValidation type="decimal" operator="greaterThanOrEqual" allowBlank="1" showInputMessage="1" showErrorMessage="1" errorTitle="Bereik ≥0,0" error="Ingevulde waarde valt buiten bereik." promptTitle="bij EMG-verklaring: 0,0" prompt=" " sqref="I147:AX147" xr:uid="{0FAAA25F-D328-48D2-9BAE-F713D049410E}">
      <formula1>0</formula1>
    </dataValidation>
    <dataValidation type="decimal" allowBlank="1" showInputMessage="1" showErrorMessage="1" errorTitle="Bereik 0,1-15,0" error="De ingevoerde waarde valt buiten het bereik." promptTitle="bij EMG-verklaring: 100%" prompt=" " sqref="I151:N151 P151:AX151" xr:uid="{EFD90231-4F63-4E96-9CFC-A96356D00EF4}">
      <formula1>0.1</formula1>
      <formula2>15</formula2>
    </dataValidation>
    <dataValidation type="decimal" allowBlank="1" showInputMessage="1" showErrorMessage="1" errorTitle="Bereik 0,1-15,0" error="De ingevoerde waarde valt buiten het bereik." promptTitle="bij 'centraal': 1,000" prompt=" " sqref="I152:AX152" xr:uid="{11CAD9FF-8B85-4857-81F8-AC5B0607627A}">
      <formula1>0.1</formula1>
      <formula2>15</formula2>
    </dataValidation>
    <dataValidation type="decimal" showInputMessage="1" showErrorMessage="1" errorTitle="Bereik 0-50" error="De ingevulde waarde valt buiten het bereik." promptTitle="bij EMG-veklaring: 0" prompt=" " sqref="I153:AX153" xr:uid="{7E7F5BBE-57BD-44E5-9D6E-024D55EEC9A2}">
      <formula1>0</formula1>
      <formula2>50</formula2>
    </dataValidation>
    <dataValidation type="decimal" showInputMessage="1" showErrorMessage="1" errorTitle="Bereik 0,0-0,7" error="De ingevulde waarde valt buiten het bereik." promptTitle="bij EMG-veklaring: 0,000" prompt=" " sqref="I154:AX154" xr:uid="{7532409B-82A5-499A-8DA8-D63D4C84CF1D}">
      <formula1>0</formula1>
      <formula2>0.7</formula2>
    </dataValidation>
    <dataValidation type="decimal" showInputMessage="1" showErrorMessage="1" errorTitle="Bereik 0,0-0,5" error="De ingevulde waarde valt buiten het bereik." promptTitle="bij EMG-veklaring: 0,00" prompt=" " sqref="I155:AX155" xr:uid="{6ABB4136-9313-4369-94D1-BFF7EE94D83B}">
      <formula1>0</formula1>
      <formula2>0.5</formula2>
    </dataValidation>
    <dataValidation allowBlank="1" showInputMessage="1" showErrorMessage="1" promptTitle="bij EMG-veklaring: geen" prompt=" " sqref="I157:AX157" xr:uid="{8D11B1C3-8D3C-4ED8-8D03-1B3C9883641A}"/>
    <dataValidation type="decimal" showInputMessage="1" showErrorMessage="1" errorTitle="Bereik 0,00-0,01" error="De ingevulde waarde valt buiten het bereik." promptTitle="bij EMG-veklaring: 0,0000" prompt=" " sqref="I162:AX162" xr:uid="{73FA6B2A-353C-4A5F-B03A-353404CFF917}">
      <formula1>0</formula1>
      <formula2>0.01</formula2>
    </dataValidation>
    <dataValidation type="list" allowBlank="1" showInputMessage="1" showErrorMessage="1" errorTitle="Bereik ≥0,0" error="De ingevoerde waarde valt buiten het bereik." promptTitle="alleen bij 'centraal'" prompt=" _x000a_" sqref="I139:AX139" xr:uid="{1E3CF4DD-6911-4963-A5CB-CE4178BFDBCD}">
      <formula1>"0,1"</formula1>
    </dataValidation>
    <dataValidation type="list" allowBlank="1" showInputMessage="1" showErrorMessage="1" sqref="I149:AX149 I158:AX158" xr:uid="{1BE9EE0B-53D8-4A26-9211-B8BD6EE33533}">
      <formula1>energiedragers_geschikt_voor_TAP</formula1>
    </dataValidation>
    <dataValidation type="list" allowBlank="1" showInputMessage="1" showErrorMessage="1" sqref="I15:EB15" xr:uid="{00000000-0002-0000-0A00-000003000000}">
      <formula1>NulEen</formula1>
    </dataValidation>
    <dataValidation type="list" allowBlank="1" showInputMessage="1" showErrorMessage="1" sqref="I14:EB14" xr:uid="{DB9D2971-F283-4B87-8D8F-90C452C4CCF5}">
      <formula1>gebruiksfuncties_namen</formula1>
    </dataValidation>
    <dataValidation type="textLength" operator="lessThanOrEqual" allowBlank="1" showInputMessage="1" showErrorMessage="1" errorTitle="aantal karakters &gt;13" error="Het maximaal aantal karakters in de naam is 13." promptTitle="max 20 karakters in de naam" prompt="Beperk de naam van het type woning of utiliteitsgebouw tot maximaal 20 karakters ivm de leesbaarheid." sqref="I13:EB13" xr:uid="{6B233861-F685-4BE9-9537-8D3AF77BB518}">
      <formula1>20</formula1>
    </dataValidation>
    <dataValidation type="list" allowBlank="1" showInputMessage="1" showErrorMessage="1" sqref="I17:EB17" xr:uid="{03A5F0B7-0A8B-48AB-A01A-B503D53F4866}">
      <formula1>isolatiepakketten_gebouwschil_namen</formula1>
    </dataValidation>
    <dataValidation type="decimal" allowBlank="1" showInputMessage="1" showErrorMessage="1" errorTitle="Bereik 0,1-15,0" error="De ingevoerde waarde valt buiten het bereik." promptTitle="bij EMG-verklaring: 100%" prompt=" " sqref="O151" xr:uid="{05636036-F71F-488F-9A13-7F4EFBCFF062}">
      <formula1>0</formula1>
      <formula2>15</formula2>
    </dataValidation>
    <dataValidation allowBlank="1" showInputMessage="1" showErrorMessage="1" promptTitle="Renocatiestandaard utiliteit" prompt="De renovatiestandaard is een vrijwillige richtlijn voor de energieprestatie van utiliteitsgebouwen. Na 2030 wordt er een verplichte eindnorm bepaald waaraan de energieprestaties van alle gebouwen moeten voldoen in 2050." sqref="D485" xr:uid="{F204B2DC-4A43-4E2F-AC39-D0A76BD2F8F3}"/>
  </dataValidations>
  <hyperlinks>
    <hyperlink ref="J316" r:id="rId1" location="/CBS/nl/dataset/81528NED/table?ts=1554110396669" xr:uid="{7A49E362-062A-430E-9076-588BBDA2B22F}"/>
    <hyperlink ref="J317" r:id="rId2" location="/CBS/nl/dataset/82550NED/table?ts=1554109983459" xr:uid="{B2373D25-5C5F-484D-AD49-F1E0D545640D}"/>
    <hyperlink ref="K266" r:id="rId3" xr:uid="{319CD1C3-47E8-433F-B542-1B4C6F4A15AC}"/>
    <hyperlink ref="E310" r:id="rId4" xr:uid="{EBC1AB2A-F9F3-4373-A5C3-2D805704A857}"/>
    <hyperlink ref="E524" r:id="rId5" display="De energielabelgrenzen zijn overgenomen uit 'Conceptregeling bepalingsmethodiek energieprestatie en inijking energielabels'" xr:uid="{E446BB85-799C-4D9F-ABBD-05FF72EF0D2C}"/>
    <hyperlink ref="E504" r:id="rId6" xr:uid="{2448417B-2880-4C3D-9055-80C961213182}"/>
    <hyperlink ref="E490" r:id="rId7" tooltip="besluit over BENG in het Staatsblad" xr:uid="{70A41905-1DF7-4B02-B299-9BD6F53CBB9A}"/>
    <hyperlink ref="E255" r:id="rId8" tooltip="bron EMG-verklaringen" display="bron  https://bcrg.nl/nl/verklaringenregister/emg-verklaringen/?declaration_type=EMG" xr:uid="{100DE91F-9E0D-47BC-812A-3FAFB943EC11}"/>
    <hyperlink ref="L266:M266" r:id="rId9" display="Tabellenbijlage 'Klimaat- en Energieverkenning 2022', tabel 23a" xr:uid="{6EE3C1E8-F4F3-4882-BAAA-F761163224D3}"/>
    <hyperlink ref="O115" r:id="rId10" xr:uid="{009E4363-F229-4362-A315-7CEFB755D3D7}"/>
    <hyperlink ref="O164" r:id="rId11" xr:uid="{5E24B4C5-1411-49E6-A6C0-B0A0A5E03980}"/>
    <hyperlink ref="E487" r:id="rId12" tooltip="besluit over BENG in het Staatsblad" xr:uid="{D19A34BE-91F6-43A2-8795-E387EB19CF9C}"/>
  </hyperlinks>
  <printOptions horizontalCentered="1"/>
  <pageMargins left="0.27559055118110237" right="0.27559055118110237" top="0.51181102362204722" bottom="0.23622047244094491" header="0.51181102362204722" footer="0.23622047244094491"/>
  <pageSetup paperSize="9" scale="10" orientation="portrait" r:id="rId13"/>
  <headerFooter alignWithMargins="0"/>
  <ignoredErrors>
    <ignoredError sqref="T450:T451" unlockedFormula="1"/>
  </ignoredErrors>
  <drawing r:id="rId14"/>
  <legacyDrawing r:id="rId15"/>
  <extLst>
    <ext xmlns:x14="http://schemas.microsoft.com/office/spreadsheetml/2009/9/main" uri="{78C0D931-6437-407d-A8EE-F0AAD7539E65}">
      <x14:conditionalFormattings>
        <x14:conditionalFormatting xmlns:xm="http://schemas.microsoft.com/office/excel/2006/main">
          <x14:cfRule type="dataBar" id="{AE131E70-2231-4B09-9066-E04D54D89432}">
            <x14:dataBar minLength="0" maxLength="100" border="1" negativeBarBorderColorSameAsPositive="0">
              <x14:cfvo type="autoMin"/>
              <x14:cfvo type="autoMax"/>
              <x14:borderColor rgb="FF638EC6"/>
              <x14:negativeFillColor rgb="FFFF0000"/>
              <x14:negativeBorderColor rgb="FFFF0000"/>
              <x14:axisColor rgb="FF000000"/>
            </x14:dataBar>
          </x14:cfRule>
          <xm:sqref>I463:N463</xm:sqref>
        </x14:conditionalFormatting>
        <x14:conditionalFormatting xmlns:xm="http://schemas.microsoft.com/office/excel/2006/main">
          <x14:cfRule type="dataBar" id="{A59C9184-A865-4BA3-AAB5-B5725D4A50EA}">
            <x14:dataBar minLength="0" maxLength="100" border="1" negativeBarBorderColorSameAsPositive="0">
              <x14:cfvo type="autoMin"/>
              <x14:cfvo type="autoMax"/>
              <x14:borderColor rgb="FF638EC6"/>
              <x14:negativeFillColor rgb="FFFF0000"/>
              <x14:negativeBorderColor rgb="FFFF0000"/>
              <x14:axisColor rgb="FF000000"/>
            </x14:dataBar>
          </x14:cfRule>
          <xm:sqref>I360:T360</xm:sqref>
        </x14:conditionalFormatting>
        <x14:conditionalFormatting xmlns:xm="http://schemas.microsoft.com/office/excel/2006/main">
          <x14:cfRule type="dataBar" id="{A4C6C92E-ED20-46A2-8C40-9A470BE6A39C}">
            <x14:dataBar minLength="0" maxLength="100" border="1" negativeBarBorderColorSameAsPositive="0">
              <x14:cfvo type="autoMin"/>
              <x14:cfvo type="autoMax"/>
              <x14:borderColor rgb="FF638EC6"/>
              <x14:negativeFillColor rgb="FFFF0000"/>
              <x14:negativeBorderColor rgb="FFFF0000"/>
              <x14:axisColor rgb="FF000000"/>
            </x14:dataBar>
          </x14:cfRule>
          <xm:sqref>I361:T361</xm:sqref>
        </x14:conditionalFormatting>
        <x14:conditionalFormatting xmlns:xm="http://schemas.microsoft.com/office/excel/2006/main">
          <x14:cfRule type="dataBar" id="{071E6616-2F00-4EB4-B9C7-B1BA4431A46F}">
            <x14:dataBar minLength="0" maxLength="100" border="1" negativeBarBorderColorSameAsPositive="0">
              <x14:cfvo type="autoMin"/>
              <x14:cfvo type="autoMax"/>
              <x14:borderColor rgb="FF638EC6"/>
              <x14:negativeFillColor rgb="FFFF0000"/>
              <x14:negativeBorderColor rgb="FFFF0000"/>
              <x14:axisColor rgb="FF000000"/>
            </x14:dataBar>
          </x14:cfRule>
          <xm:sqref>I431:T431</xm:sqref>
        </x14:conditionalFormatting>
        <x14:conditionalFormatting xmlns:xm="http://schemas.microsoft.com/office/excel/2006/main">
          <x14:cfRule type="dataBar" id="{7F847848-86A3-4AC9-967F-061DABE7CCB3}">
            <x14:dataBar minLength="0" maxLength="100" border="1" negativeBarBorderColorSameAsPositive="0">
              <x14:cfvo type="autoMin"/>
              <x14:cfvo type="autoMax"/>
              <x14:borderColor rgb="FF638EC6"/>
              <x14:negativeFillColor rgb="FFFF0000"/>
              <x14:negativeBorderColor rgb="FFFF0000"/>
              <x14:axisColor rgb="FF000000"/>
            </x14:dataBar>
          </x14:cfRule>
          <xm:sqref>I432:T432</xm:sqref>
        </x14:conditionalFormatting>
        <x14:conditionalFormatting xmlns:xm="http://schemas.microsoft.com/office/excel/2006/main">
          <x14:cfRule type="dataBar" id="{36B87AD2-5175-4742-BA5D-82ABB13C8F73}">
            <x14:dataBar minLength="0" maxLength="100" border="1" negativeBarBorderColorSameAsPositive="0">
              <x14:cfvo type="autoMin"/>
              <x14:cfvo type="autoMax"/>
              <x14:borderColor rgb="FF638EC6"/>
              <x14:negativeFillColor rgb="FFFF0000"/>
              <x14:negativeBorderColor rgb="FFFF0000"/>
              <x14:axisColor rgb="FF000000"/>
            </x14:dataBar>
          </x14:cfRule>
          <xm:sqref>I442:T442</xm:sqref>
        </x14:conditionalFormatting>
        <x14:conditionalFormatting xmlns:xm="http://schemas.microsoft.com/office/excel/2006/main">
          <x14:cfRule type="dataBar" id="{FB54DE33-7B2F-41E0-AD4E-4364820683E4}">
            <x14:dataBar minLength="0" maxLength="100" border="1" negativeBarBorderColorSameAsPositive="0">
              <x14:cfvo type="autoMin"/>
              <x14:cfvo type="autoMax"/>
              <x14:borderColor rgb="FF638EC6"/>
              <x14:negativeFillColor rgb="FFFF0000"/>
              <x14:negativeBorderColor rgb="FFFF0000"/>
              <x14:axisColor rgb="FF000000"/>
            </x14:dataBar>
          </x14:cfRule>
          <xm:sqref>I443:T443</xm:sqref>
        </x14:conditionalFormatting>
        <x14:conditionalFormatting xmlns:xm="http://schemas.microsoft.com/office/excel/2006/main">
          <x14:cfRule type="dataBar" id="{030D5D8A-7B40-4792-A2BB-75EF26F48F80}">
            <x14:dataBar minLength="0" maxLength="100" border="1" negativeBarBorderColorSameAsPositive="0">
              <x14:cfvo type="autoMin"/>
              <x14:cfvo type="autoMax"/>
              <x14:borderColor rgb="FF638EC6"/>
              <x14:negativeFillColor rgb="FFFF0000"/>
              <x14:negativeBorderColor rgb="FFFF0000"/>
              <x14:axisColor rgb="FF000000"/>
            </x14:dataBar>
          </x14:cfRule>
          <xm:sqref>I453:T453</xm:sqref>
        </x14:conditionalFormatting>
        <x14:conditionalFormatting xmlns:xm="http://schemas.microsoft.com/office/excel/2006/main">
          <x14:cfRule type="dataBar" id="{3350441C-EB4B-4511-8AE9-6770A6984F0A}">
            <x14:dataBar minLength="0" maxLength="100" border="1" negativeBarBorderColorSameAsPositive="0">
              <x14:cfvo type="autoMin"/>
              <x14:cfvo type="autoMax"/>
              <x14:borderColor rgb="FF638EC6"/>
              <x14:negativeFillColor rgb="FFFF0000"/>
              <x14:negativeBorderColor rgb="FFFF0000"/>
              <x14:axisColor rgb="FF000000"/>
            </x14:dataBar>
          </x14:cfRule>
          <xm:sqref>W340:AH359</xm:sqref>
        </x14:conditionalFormatting>
        <x14:conditionalFormatting xmlns:xm="http://schemas.microsoft.com/office/excel/2006/main">
          <x14:cfRule type="dataBar" id="{0FE4DBB6-E414-458F-AEEC-B2572D30EE87}">
            <x14:dataBar minLength="0" maxLength="100" border="1" negativeBarBorderColorSameAsPositive="0">
              <x14:cfvo type="autoMin"/>
              <x14:cfvo type="autoMax"/>
              <x14:borderColor rgb="FF638EC6"/>
              <x14:negativeFillColor rgb="FFFF0000"/>
              <x14:negativeBorderColor rgb="FFFF0000"/>
              <x14:axisColor rgb="FF000000"/>
            </x14:dataBar>
          </x14:cfRule>
          <xm:sqref>W369:AH381 W403:AH409</xm:sqref>
        </x14:conditionalFormatting>
        <x14:conditionalFormatting xmlns:xm="http://schemas.microsoft.com/office/excel/2006/main">
          <x14:cfRule type="dataBar" id="{0D036379-A558-41C3-91F7-F50A370A1DDC}">
            <x14:dataBar minLength="0" maxLength="100" border="1" negativeBarBorderColorSameAsPositive="0">
              <x14:cfvo type="autoMin"/>
              <x14:cfvo type="autoMax"/>
              <x14:borderColor rgb="FF638EC6"/>
              <x14:negativeFillColor rgb="FFFF0000"/>
              <x14:negativeBorderColor rgb="FFFF0000"/>
              <x14:axisColor rgb="FF000000"/>
            </x14:dataBar>
          </x14:cfRule>
          <xm:sqref>W382:AH388</xm:sqref>
        </x14:conditionalFormatting>
        <x14:conditionalFormatting xmlns:xm="http://schemas.microsoft.com/office/excel/2006/main">
          <x14:cfRule type="dataBar" id="{1BAB77EE-027F-4723-AAA9-894E677C7459}">
            <x14:dataBar minLength="0" maxLength="100" border="1" negativeBarBorderColorSameAsPositive="0">
              <x14:cfvo type="autoMin"/>
              <x14:cfvo type="autoMax"/>
              <x14:borderColor rgb="FF638EC6"/>
              <x14:negativeFillColor rgb="FFFF0000"/>
              <x14:negativeBorderColor rgb="FFFF0000"/>
              <x14:axisColor rgb="FF000000"/>
            </x14:dataBar>
          </x14:cfRule>
          <xm:sqref>W389:AH395</xm:sqref>
        </x14:conditionalFormatting>
        <x14:conditionalFormatting xmlns:xm="http://schemas.microsoft.com/office/excel/2006/main">
          <x14:cfRule type="dataBar" id="{B7A587BA-4670-4296-A4CF-E48D804DE648}">
            <x14:dataBar minLength="0" maxLength="100" border="1" negativeBarBorderColorSameAsPositive="0">
              <x14:cfvo type="autoMin"/>
              <x14:cfvo type="autoMax"/>
              <x14:borderColor rgb="FF638EC6"/>
              <x14:negativeFillColor rgb="FFFF0000"/>
              <x14:negativeBorderColor rgb="FFFF0000"/>
              <x14:axisColor rgb="FF000000"/>
            </x14:dataBar>
          </x14:cfRule>
          <xm:sqref>W396:AH402</xm:sqref>
        </x14:conditionalFormatting>
        <x14:conditionalFormatting xmlns:xm="http://schemas.microsoft.com/office/excel/2006/main">
          <x14:cfRule type="dataBar" id="{AB4E3CC1-C990-4B8F-9CAE-29DF616BEFFF}">
            <x14:dataBar minLength="0" maxLength="100" border="1" negativeBarBorderColorSameAsPositive="0">
              <x14:cfvo type="autoMin"/>
              <x14:cfvo type="autoMax"/>
              <x14:borderColor rgb="FF638EC6"/>
              <x14:negativeFillColor rgb="FFFF0000"/>
              <x14:negativeBorderColor rgb="FFFF0000"/>
              <x14:axisColor rgb="FF000000"/>
            </x14:dataBar>
          </x14:cfRule>
          <xm:sqref>W410:AH416</xm:sqref>
        </x14:conditionalFormatting>
        <x14:conditionalFormatting xmlns:xm="http://schemas.microsoft.com/office/excel/2006/main">
          <x14:cfRule type="dataBar" id="{DF192E8A-7815-4662-BD8B-85F7F3BBBA7B}">
            <x14:dataBar minLength="0" maxLength="100" border="1" negativeBarBorderColorSameAsPositive="0">
              <x14:cfvo type="autoMin"/>
              <x14:cfvo type="autoMax"/>
              <x14:borderColor rgb="FF638EC6"/>
              <x14:negativeFillColor rgb="FFFF0000"/>
              <x14:negativeBorderColor rgb="FFFF0000"/>
              <x14:axisColor rgb="FF000000"/>
            </x14:dataBar>
          </x14:cfRule>
          <xm:sqref>W417:AH423</xm:sqref>
        </x14:conditionalFormatting>
        <x14:conditionalFormatting xmlns:xm="http://schemas.microsoft.com/office/excel/2006/main">
          <x14:cfRule type="dataBar" id="{F33EC74E-8AF6-4267-8A89-686AE46BC0BF}">
            <x14:dataBar minLength="0" maxLength="100" border="1" negativeBarBorderColorSameAsPositive="0">
              <x14:cfvo type="autoMin"/>
              <x14:cfvo type="autoMax"/>
              <x14:borderColor rgb="FF638EC6"/>
              <x14:negativeFillColor rgb="FFFF0000"/>
              <x14:negativeBorderColor rgb="FFFF0000"/>
              <x14:axisColor rgb="FF000000"/>
            </x14:dataBar>
          </x14:cfRule>
          <xm:sqref>W424:AH430</xm:sqref>
        </x14:conditionalFormatting>
        <x14:conditionalFormatting xmlns:xm="http://schemas.microsoft.com/office/excel/2006/main">
          <x14:cfRule type="dataBar" id="{6F40C4A0-6A30-4018-B863-A607413DEE89}">
            <x14:dataBar minLength="0" maxLength="100" border="1" negativeBarBorderColorSameAsPositive="0">
              <x14:cfvo type="autoMin"/>
              <x14:cfvo type="autoMax"/>
              <x14:borderColor rgb="FF638EC6"/>
              <x14:negativeFillColor rgb="FFFF0000"/>
              <x14:negativeBorderColor rgb="FFFF0000"/>
              <x14:axisColor rgb="FF000000"/>
            </x14:dataBar>
          </x14:cfRule>
          <xm:sqref>W439:AH441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743D9-62FD-49B1-8950-5E666D520DC7}">
  <sheetPr codeName="Blad14">
    <tabColor rgb="FF0070C0"/>
    <pageSetUpPr fitToPage="1"/>
  </sheetPr>
  <dimension ref="B1:BH27"/>
  <sheetViews>
    <sheetView showGridLines="0" showRowColHeaders="0" zoomScaleNormal="100" workbookViewId="0">
      <pane ySplit="4" topLeftCell="A5" activePane="bottomLeft" state="frozen"/>
      <selection activeCell="E8" sqref="E8"/>
      <selection pane="bottomLeft"/>
    </sheetView>
  </sheetViews>
  <sheetFormatPr defaultRowHeight="10.5" customHeight="1" x14ac:dyDescent="0.2"/>
  <cols>
    <col min="1" max="1" width="0.5703125" customWidth="1"/>
    <col min="2" max="4" width="2.7109375" customWidth="1"/>
    <col min="5" max="5" width="117.7109375" customWidth="1"/>
  </cols>
  <sheetData>
    <row r="1" spans="2:60" s="832" customFormat="1" ht="21" x14ac:dyDescent="0.2">
      <c r="B1" s="826"/>
      <c r="C1" s="826"/>
      <c r="D1" s="826"/>
      <c r="E1" s="829" t="str">
        <f>disclaimer!$E$7&amp;" - "&amp;"versie "&amp;TEXT(disclaimer!$E$8,"d mmm jjjj")</f>
        <v>Uniforme Maatlat Gebouwde Omgeving 5.04 - versie 5 apr 2023</v>
      </c>
      <c r="F1" s="830"/>
      <c r="G1" s="830"/>
      <c r="H1" s="829"/>
      <c r="I1" s="830"/>
      <c r="J1" s="828"/>
      <c r="K1" s="831"/>
      <c r="L1" s="831"/>
      <c r="M1" s="831"/>
      <c r="N1" s="831"/>
      <c r="O1" s="835"/>
      <c r="P1" s="831"/>
      <c r="Q1" s="831"/>
      <c r="R1" s="831"/>
      <c r="S1" s="831"/>
      <c r="T1" s="831"/>
      <c r="U1" s="831"/>
      <c r="V1" s="831"/>
      <c r="W1" s="831"/>
      <c r="X1" s="831"/>
      <c r="Y1" s="831"/>
      <c r="Z1" s="831"/>
      <c r="AA1" s="835"/>
      <c r="AB1" s="831"/>
      <c r="AC1" s="831"/>
      <c r="AD1" s="831"/>
      <c r="AE1" s="831"/>
      <c r="AF1" s="831"/>
      <c r="AG1" s="831"/>
      <c r="AH1" s="831"/>
      <c r="AI1" s="831"/>
      <c r="AJ1" s="831"/>
      <c r="AK1" s="831"/>
      <c r="AL1" s="831"/>
      <c r="AM1" s="835"/>
      <c r="AN1" s="831"/>
      <c r="AO1" s="831"/>
      <c r="AP1" s="831"/>
      <c r="AQ1" s="831"/>
      <c r="AR1" s="831"/>
      <c r="AS1" s="831"/>
      <c r="AT1" s="831"/>
      <c r="AU1" s="831"/>
      <c r="AV1" s="831"/>
      <c r="AW1" s="831"/>
      <c r="AX1" s="831"/>
      <c r="AY1" s="831"/>
      <c r="AZ1" s="831"/>
      <c r="BA1" s="831"/>
      <c r="BB1" s="831"/>
      <c r="BC1" s="831"/>
      <c r="BD1" s="831"/>
      <c r="BE1" s="831"/>
      <c r="BF1" s="831"/>
      <c r="BG1" s="831"/>
      <c r="BH1" s="831"/>
    </row>
    <row r="2" spans="2:60" ht="26.25" x14ac:dyDescent="0.2">
      <c r="B2" s="3"/>
      <c r="C2" s="838"/>
      <c r="D2" s="839"/>
      <c r="E2" s="68" t="s">
        <v>1058</v>
      </c>
      <c r="F2" s="3"/>
      <c r="G2" s="79"/>
      <c r="H2" s="3"/>
      <c r="I2" s="3"/>
      <c r="J2" s="3"/>
      <c r="K2" s="3"/>
      <c r="L2" s="3"/>
      <c r="M2" s="3"/>
      <c r="N2" s="3"/>
      <c r="O2" s="3"/>
      <c r="P2" s="3"/>
      <c r="Q2" s="3"/>
      <c r="R2" s="3"/>
      <c r="S2" s="3"/>
      <c r="T2" s="3"/>
    </row>
    <row r="3" spans="2:60" ht="12.75" x14ac:dyDescent="0.2">
      <c r="B3" s="15"/>
      <c r="C3" s="39"/>
      <c r="D3" s="837"/>
      <c r="E3" s="860" t="s">
        <v>1059</v>
      </c>
      <c r="F3" s="15"/>
      <c r="G3" s="15"/>
      <c r="H3" s="15"/>
      <c r="I3" s="15"/>
      <c r="J3" s="15"/>
      <c r="K3" s="15"/>
      <c r="L3" s="15"/>
      <c r="M3" s="15"/>
      <c r="N3" s="15"/>
      <c r="O3" s="15"/>
      <c r="P3" s="15"/>
      <c r="Q3" s="15"/>
      <c r="R3" s="15"/>
      <c r="S3" s="15"/>
      <c r="T3" s="15"/>
    </row>
    <row r="4" spans="2:60" ht="15.75" x14ac:dyDescent="0.2">
      <c r="B4" s="51"/>
      <c r="C4" s="40"/>
      <c r="D4" s="51"/>
      <c r="E4" s="58"/>
      <c r="F4" s="51"/>
      <c r="G4" s="51"/>
      <c r="H4" s="51"/>
      <c r="I4" s="51"/>
      <c r="J4" s="51"/>
      <c r="K4" s="51"/>
      <c r="L4" s="51"/>
      <c r="M4" s="51"/>
      <c r="N4" s="51"/>
      <c r="O4" s="51"/>
      <c r="P4" s="51"/>
      <c r="Q4" s="51"/>
      <c r="R4" s="51"/>
      <c r="S4" s="51"/>
      <c r="T4" s="51"/>
    </row>
    <row r="5" spans="2:60" ht="15.75" x14ac:dyDescent="0.2">
      <c r="B5" s="51"/>
      <c r="C5" s="41"/>
      <c r="D5" s="51"/>
      <c r="E5" s="42" t="s">
        <v>1060</v>
      </c>
      <c r="F5" s="51"/>
      <c r="G5" s="51"/>
      <c r="H5" s="51"/>
      <c r="I5" s="51"/>
      <c r="J5" s="51"/>
      <c r="K5" s="51"/>
      <c r="L5" s="51"/>
      <c r="M5" s="51"/>
      <c r="N5" s="51"/>
      <c r="O5" s="51"/>
      <c r="P5" s="51"/>
      <c r="Q5" s="51"/>
      <c r="R5" s="51"/>
      <c r="S5" s="51"/>
      <c r="T5" s="51"/>
    </row>
    <row r="6" spans="2:60" ht="15.75" x14ac:dyDescent="0.2">
      <c r="B6" s="51"/>
      <c r="C6" s="45"/>
      <c r="D6" s="51"/>
      <c r="E6" s="730" t="s">
        <v>1061</v>
      </c>
      <c r="F6" s="51"/>
      <c r="G6" s="51"/>
      <c r="H6" s="51"/>
      <c r="I6" s="51"/>
      <c r="J6" s="51"/>
      <c r="K6" s="51"/>
      <c r="L6" s="51"/>
      <c r="M6" s="51"/>
      <c r="N6" s="51"/>
      <c r="O6" s="51"/>
      <c r="P6" s="51"/>
      <c r="Q6" s="51"/>
      <c r="R6" s="51"/>
      <c r="S6" s="51"/>
      <c r="T6" s="51"/>
    </row>
    <row r="7" spans="2:60" ht="15.75" x14ac:dyDescent="0.2">
      <c r="B7" s="51"/>
      <c r="C7" s="45"/>
      <c r="D7" s="51"/>
      <c r="E7" s="731" t="s">
        <v>1062</v>
      </c>
      <c r="F7" s="51"/>
      <c r="G7" s="51"/>
      <c r="H7" s="51"/>
      <c r="I7" s="51"/>
      <c r="J7" s="51"/>
      <c r="K7" s="51"/>
      <c r="L7" s="51"/>
      <c r="M7" s="51"/>
      <c r="N7" s="51"/>
      <c r="O7" s="51"/>
      <c r="P7" s="51"/>
      <c r="Q7" s="51"/>
      <c r="R7" s="51"/>
      <c r="S7" s="51"/>
      <c r="T7" s="51"/>
    </row>
    <row r="8" spans="2:60" ht="15.75" x14ac:dyDescent="0.2">
      <c r="B8" s="51"/>
      <c r="C8" s="45"/>
      <c r="D8" s="51"/>
      <c r="E8" s="732" t="s">
        <v>1063</v>
      </c>
      <c r="F8" s="51"/>
      <c r="G8" s="51"/>
      <c r="H8" s="51"/>
      <c r="I8" s="51"/>
      <c r="J8" s="51"/>
      <c r="K8" s="51"/>
      <c r="L8" s="51"/>
      <c r="M8" s="51"/>
      <c r="N8" s="51"/>
      <c r="O8" s="51"/>
      <c r="P8" s="51"/>
      <c r="Q8" s="51"/>
      <c r="R8" s="51"/>
      <c r="S8" s="51"/>
      <c r="T8" s="51"/>
    </row>
    <row r="9" spans="2:60" ht="15.75" x14ac:dyDescent="0.2">
      <c r="B9" s="51"/>
      <c r="C9" s="45"/>
      <c r="D9" s="51"/>
      <c r="E9" s="734"/>
      <c r="F9" s="51"/>
      <c r="G9" s="51"/>
      <c r="H9" s="51"/>
      <c r="I9" s="51"/>
      <c r="J9" s="51"/>
      <c r="K9" s="51"/>
      <c r="L9" s="51"/>
      <c r="M9" s="51"/>
      <c r="N9" s="51"/>
      <c r="O9" s="51"/>
      <c r="P9" s="51"/>
      <c r="Q9" s="51"/>
      <c r="R9" s="51"/>
      <c r="S9" s="51"/>
      <c r="T9" s="51"/>
    </row>
    <row r="10" spans="2:60" ht="15.75" x14ac:dyDescent="0.2">
      <c r="B10" s="51"/>
      <c r="C10" s="45"/>
      <c r="D10" s="51"/>
      <c r="E10" s="735"/>
      <c r="F10" s="51"/>
      <c r="G10" s="51"/>
      <c r="H10" s="51"/>
      <c r="I10" s="51"/>
      <c r="J10" s="51"/>
      <c r="K10" s="51"/>
      <c r="L10" s="51"/>
      <c r="M10" s="51"/>
      <c r="N10" s="51"/>
      <c r="O10" s="51"/>
      <c r="P10" s="51"/>
      <c r="Q10" s="51"/>
      <c r="R10" s="51"/>
      <c r="S10" s="51"/>
      <c r="T10" s="51"/>
    </row>
    <row r="11" spans="2:60" ht="15.75" x14ac:dyDescent="0.2">
      <c r="B11" s="51"/>
      <c r="C11" s="45"/>
      <c r="D11" s="51"/>
      <c r="E11" s="733" t="s">
        <v>1064</v>
      </c>
      <c r="F11" s="51"/>
      <c r="G11" s="51"/>
      <c r="H11" s="51"/>
      <c r="I11" s="51"/>
      <c r="J11" s="51"/>
      <c r="K11" s="51"/>
      <c r="L11" s="51"/>
      <c r="M11" s="51"/>
      <c r="N11" s="51"/>
      <c r="O11" s="51"/>
      <c r="P11" s="51"/>
      <c r="Q11" s="51"/>
      <c r="R11" s="51"/>
      <c r="S11" s="51"/>
      <c r="T11" s="51"/>
    </row>
    <row r="12" spans="2:60" ht="15.75" x14ac:dyDescent="0.2">
      <c r="B12" s="51"/>
      <c r="C12" s="45"/>
      <c r="D12" s="51"/>
      <c r="E12" s="736"/>
      <c r="F12" s="51"/>
      <c r="G12" s="51"/>
      <c r="H12" s="51"/>
      <c r="I12" s="51"/>
      <c r="J12" s="51"/>
      <c r="K12" s="51"/>
      <c r="L12" s="51"/>
      <c r="M12" s="51"/>
      <c r="N12" s="51"/>
      <c r="O12" s="51"/>
      <c r="P12" s="51"/>
      <c r="Q12" s="51"/>
      <c r="R12" s="51"/>
      <c r="S12" s="51"/>
      <c r="T12" s="51"/>
    </row>
    <row r="13" spans="2:60" ht="15.75" x14ac:dyDescent="0.2">
      <c r="B13" s="51"/>
      <c r="C13" s="45"/>
      <c r="D13" s="51"/>
      <c r="E13" s="737"/>
      <c r="F13" s="51"/>
      <c r="G13" s="51"/>
      <c r="H13" s="51"/>
      <c r="I13" s="51"/>
      <c r="J13" s="51"/>
      <c r="K13" s="51"/>
      <c r="L13" s="51"/>
      <c r="M13" s="51"/>
      <c r="N13" s="51"/>
      <c r="O13" s="51"/>
      <c r="P13" s="51"/>
      <c r="Q13" s="51"/>
      <c r="R13" s="51"/>
      <c r="S13" s="51"/>
      <c r="T13" s="51"/>
    </row>
    <row r="14" spans="2:60" ht="15.75" x14ac:dyDescent="0.2">
      <c r="B14" s="51"/>
      <c r="C14" s="51"/>
      <c r="D14" s="51"/>
      <c r="E14" s="51"/>
      <c r="F14" s="51"/>
      <c r="G14" s="51"/>
      <c r="H14" s="51"/>
      <c r="I14" s="51"/>
      <c r="J14" s="51"/>
      <c r="K14" s="51"/>
      <c r="L14" s="51"/>
      <c r="M14" s="51"/>
      <c r="N14" s="51"/>
      <c r="O14" s="51"/>
      <c r="P14" s="51"/>
      <c r="Q14" s="51"/>
      <c r="R14" s="51"/>
      <c r="S14" s="51"/>
      <c r="T14" s="51"/>
    </row>
    <row r="15" spans="2:60" ht="15.75" x14ac:dyDescent="0.2">
      <c r="B15" s="51"/>
      <c r="C15" s="41"/>
      <c r="D15" s="51"/>
      <c r="E15" s="42" t="s">
        <v>421</v>
      </c>
      <c r="F15" s="51"/>
      <c r="G15" s="51"/>
      <c r="H15" s="51"/>
      <c r="I15" s="51"/>
      <c r="J15" s="51"/>
      <c r="K15" s="51"/>
      <c r="L15" s="51"/>
      <c r="M15" s="51"/>
      <c r="N15" s="51"/>
      <c r="O15" s="51"/>
      <c r="P15" s="51"/>
      <c r="Q15" s="51"/>
      <c r="R15" s="51"/>
      <c r="S15" s="51"/>
      <c r="T15" s="51"/>
    </row>
    <row r="16" spans="2:60" ht="78.75" x14ac:dyDescent="0.2">
      <c r="B16" s="51"/>
      <c r="C16" s="43"/>
      <c r="D16" s="51"/>
      <c r="E16" s="44" t="s">
        <v>1065</v>
      </c>
      <c r="F16" s="51"/>
      <c r="G16" s="51"/>
      <c r="H16" s="51"/>
      <c r="I16" s="51"/>
      <c r="J16" s="51"/>
      <c r="K16" s="51"/>
      <c r="L16" s="51"/>
      <c r="M16" s="51"/>
      <c r="N16" s="51"/>
      <c r="O16" s="51"/>
      <c r="P16" s="51"/>
      <c r="Q16" s="51"/>
      <c r="R16" s="51"/>
      <c r="S16" s="51"/>
      <c r="T16" s="51"/>
    </row>
    <row r="17" spans="2:20" ht="15.75" x14ac:dyDescent="0.2">
      <c r="B17" s="51"/>
      <c r="C17" s="51"/>
      <c r="D17" s="51"/>
      <c r="E17" s="51"/>
      <c r="F17" s="51"/>
      <c r="G17" s="51"/>
      <c r="H17" s="51"/>
      <c r="I17" s="51"/>
      <c r="J17" s="51"/>
      <c r="K17" s="51"/>
      <c r="L17" s="51"/>
      <c r="M17" s="51"/>
      <c r="N17" s="51"/>
      <c r="O17" s="51"/>
      <c r="P17" s="51"/>
      <c r="Q17" s="51"/>
      <c r="R17" s="51"/>
      <c r="S17" s="51"/>
      <c r="T17" s="51"/>
    </row>
    <row r="18" spans="2:20" ht="15.75" x14ac:dyDescent="0.2">
      <c r="B18" s="51"/>
      <c r="C18" s="41"/>
      <c r="D18" s="51"/>
      <c r="E18" s="42" t="s">
        <v>1066</v>
      </c>
      <c r="F18" s="51"/>
      <c r="G18" s="51"/>
      <c r="H18" s="51"/>
      <c r="I18" s="51"/>
      <c r="J18" s="51"/>
      <c r="K18" s="51"/>
      <c r="L18" s="51"/>
      <c r="M18" s="51"/>
      <c r="N18" s="51"/>
      <c r="O18" s="51"/>
      <c r="P18" s="51"/>
      <c r="Q18" s="51"/>
      <c r="R18" s="51"/>
      <c r="S18" s="51"/>
      <c r="T18" s="51"/>
    </row>
    <row r="19" spans="2:20" ht="409.5" x14ac:dyDescent="0.2">
      <c r="B19" s="51"/>
      <c r="C19" s="45"/>
      <c r="D19" s="51"/>
      <c r="E19" s="48" t="s">
        <v>1067</v>
      </c>
      <c r="F19" s="51"/>
      <c r="G19" s="51"/>
      <c r="H19" s="51"/>
      <c r="I19" s="51"/>
      <c r="J19" s="51"/>
      <c r="K19" s="51"/>
      <c r="L19" s="51"/>
      <c r="M19" s="51"/>
      <c r="N19" s="51"/>
      <c r="O19" s="51"/>
      <c r="P19" s="51"/>
      <c r="Q19" s="51"/>
      <c r="R19" s="51"/>
      <c r="S19" s="51"/>
      <c r="T19" s="51"/>
    </row>
    <row r="20" spans="2:20" ht="204.75" x14ac:dyDescent="0.2">
      <c r="B20" s="51"/>
      <c r="C20" s="51"/>
      <c r="D20" s="51"/>
      <c r="E20" s="48" t="s">
        <v>1068</v>
      </c>
      <c r="F20" s="51"/>
      <c r="G20" s="51"/>
      <c r="H20" s="51"/>
      <c r="I20" s="51"/>
      <c r="J20" s="51"/>
      <c r="K20" s="51"/>
      <c r="L20" s="51"/>
      <c r="M20" s="51"/>
      <c r="N20" s="51"/>
      <c r="O20" s="51"/>
      <c r="P20" s="51"/>
      <c r="Q20" s="51"/>
      <c r="R20" s="51"/>
      <c r="S20" s="51"/>
      <c r="T20" s="51"/>
    </row>
    <row r="21" spans="2:20" ht="15.75" x14ac:dyDescent="0.2">
      <c r="B21" s="51"/>
      <c r="C21" s="51"/>
      <c r="D21" s="51"/>
      <c r="E21" s="51"/>
      <c r="F21" s="51"/>
      <c r="G21" s="51"/>
      <c r="H21" s="51"/>
      <c r="I21" s="51"/>
      <c r="J21" s="51"/>
      <c r="K21" s="51"/>
      <c r="L21" s="51"/>
      <c r="M21" s="51"/>
      <c r="N21" s="51"/>
      <c r="O21" s="51"/>
      <c r="P21" s="51"/>
      <c r="Q21" s="51"/>
      <c r="R21" s="51"/>
      <c r="S21" s="51"/>
      <c r="T21" s="51"/>
    </row>
    <row r="22" spans="2:20" ht="15.75" x14ac:dyDescent="0.2">
      <c r="B22" s="51"/>
      <c r="C22" s="41"/>
      <c r="D22" s="51"/>
      <c r="E22" s="42" t="s">
        <v>1069</v>
      </c>
      <c r="F22" s="51"/>
      <c r="G22" s="51"/>
      <c r="H22" s="51"/>
      <c r="I22" s="51"/>
      <c r="J22" s="51"/>
      <c r="K22" s="51"/>
      <c r="L22" s="51"/>
      <c r="M22" s="51"/>
      <c r="N22" s="51"/>
      <c r="O22" s="51"/>
      <c r="P22" s="51"/>
      <c r="Q22" s="51"/>
      <c r="R22" s="51"/>
      <c r="S22" s="51"/>
      <c r="T22" s="51"/>
    </row>
    <row r="23" spans="2:20" ht="204.75" x14ac:dyDescent="0.2">
      <c r="B23" s="51"/>
      <c r="C23" s="46"/>
      <c r="D23" s="51"/>
      <c r="E23" s="44" t="s">
        <v>1070</v>
      </c>
      <c r="F23" s="51"/>
      <c r="G23" s="51"/>
      <c r="H23" s="51"/>
      <c r="I23" s="51"/>
      <c r="J23" s="51"/>
      <c r="K23" s="51"/>
      <c r="L23" s="51"/>
      <c r="M23" s="51"/>
      <c r="N23" s="51"/>
      <c r="O23" s="51"/>
      <c r="P23" s="51"/>
      <c r="Q23" s="51"/>
      <c r="R23" s="51"/>
      <c r="S23" s="51"/>
      <c r="T23" s="51"/>
    </row>
    <row r="24" spans="2:20" ht="15.75" x14ac:dyDescent="0.2">
      <c r="B24" s="51"/>
      <c r="C24" s="47"/>
      <c r="D24" s="51"/>
      <c r="E24" s="52"/>
      <c r="F24" s="51"/>
      <c r="G24" s="51"/>
      <c r="H24" s="51"/>
      <c r="I24" s="51"/>
      <c r="J24" s="51"/>
      <c r="K24" s="51"/>
      <c r="L24" s="51"/>
      <c r="M24" s="51"/>
      <c r="N24" s="51"/>
      <c r="O24" s="51"/>
      <c r="P24" s="51"/>
      <c r="Q24" s="51"/>
      <c r="R24" s="51"/>
      <c r="S24" s="51"/>
      <c r="T24" s="51"/>
    </row>
    <row r="25" spans="2:20" ht="15.75" x14ac:dyDescent="0.2">
      <c r="B25" s="51"/>
      <c r="C25" s="49"/>
      <c r="D25" s="51"/>
      <c r="E25" s="42" t="s">
        <v>420</v>
      </c>
      <c r="F25" s="51"/>
      <c r="G25" s="51"/>
      <c r="H25" s="51"/>
      <c r="I25" s="51"/>
      <c r="J25" s="51"/>
      <c r="K25" s="51"/>
      <c r="L25" s="51"/>
      <c r="M25" s="51"/>
      <c r="N25" s="51"/>
      <c r="O25" s="51"/>
      <c r="P25" s="51"/>
      <c r="Q25" s="51"/>
      <c r="R25" s="51"/>
      <c r="S25" s="51"/>
      <c r="T25" s="51"/>
    </row>
    <row r="26" spans="2:20" ht="157.5" x14ac:dyDescent="0.2">
      <c r="B26" s="51"/>
      <c r="C26" s="51"/>
      <c r="D26" s="51"/>
      <c r="E26" s="48" t="s">
        <v>1071</v>
      </c>
      <c r="F26" s="51"/>
      <c r="G26" s="51"/>
      <c r="H26" s="51"/>
      <c r="I26" s="51"/>
      <c r="J26" s="51"/>
      <c r="K26" s="51"/>
      <c r="L26" s="51"/>
      <c r="M26" s="51"/>
      <c r="N26" s="51"/>
      <c r="O26" s="51"/>
      <c r="P26" s="51"/>
      <c r="Q26" s="51"/>
      <c r="R26" s="51"/>
      <c r="S26" s="51"/>
      <c r="T26" s="51"/>
    </row>
    <row r="27" spans="2:20" ht="15.75" x14ac:dyDescent="0.2">
      <c r="B27" s="51"/>
      <c r="C27" s="40"/>
      <c r="D27" s="51"/>
      <c r="E27" s="40"/>
      <c r="F27" s="51"/>
      <c r="G27" s="51"/>
      <c r="H27" s="51"/>
      <c r="I27" s="51"/>
      <c r="J27" s="51"/>
      <c r="K27" s="51"/>
      <c r="L27" s="51"/>
      <c r="M27" s="51"/>
      <c r="N27" s="51"/>
      <c r="O27" s="51"/>
      <c r="P27" s="51"/>
      <c r="Q27" s="51"/>
      <c r="R27" s="51"/>
      <c r="S27" s="51"/>
      <c r="T27" s="51"/>
    </row>
  </sheetData>
  <sheetProtection algorithmName="SHA-512" hashValue="n6KhIyH7eGW/iKmuZkhwqOFWvTvSVGix5CET8ahXuuvtNTokICVBDdeJcaVNP6BZCYTKHn92ri9mLYBxep1Dhg==" saltValue="sB3BChW8F1/OU9nru65Qbw==" spinCount="100000" sheet="1" objects="1" scenarios="1" formatColumns="0" autoFilter="0"/>
  <pageMargins left="0.25" right="0.25" top="0.75" bottom="0.75" header="0.3" footer="0.3"/>
  <pageSetup paperSize="9" scale="17" fitToHeight="0" orientation="portrait" r:id="rId1"/>
  <rowBreaks count="1" manualBreakCount="1">
    <brk id="24" min="2" max="1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C3EB8-836C-4C5F-919C-DECC3BE16CEC}">
  <sheetPr codeName="Blad12">
    <tabColor theme="6" tint="0.39997558519241921"/>
  </sheetPr>
  <dimension ref="A2:AM17"/>
  <sheetViews>
    <sheetView showRowColHeaders="0" zoomScaleNormal="100" workbookViewId="0">
      <selection activeCell="E4" sqref="E4:F4"/>
    </sheetView>
  </sheetViews>
  <sheetFormatPr defaultColWidth="9.140625" defaultRowHeight="15" x14ac:dyDescent="0.2"/>
  <cols>
    <col min="1" max="1" width="2" style="878" customWidth="1"/>
    <col min="2" max="2" width="11.7109375" customWidth="1"/>
    <col min="3" max="3" width="2" style="878" customWidth="1"/>
    <col min="4" max="11" width="11.7109375" customWidth="1"/>
    <col min="12" max="12" width="6.7109375" customWidth="1"/>
    <col min="13" max="13" width="15.5703125" customWidth="1"/>
    <col min="14" max="14" width="2" style="878" customWidth="1"/>
    <col min="15" max="20" width="15.5703125" customWidth="1"/>
    <col min="21" max="21" width="6.7109375" customWidth="1"/>
    <col min="22" max="30" width="11.7109375" customWidth="1"/>
    <col min="31" max="31" width="6.7109375" customWidth="1"/>
    <col min="32" max="38" width="15.5703125" customWidth="1"/>
    <col min="39" max="39" width="6.7109375" customWidth="1"/>
  </cols>
  <sheetData>
    <row r="2" spans="1:39" ht="21" customHeight="1" x14ac:dyDescent="0.2">
      <c r="B2" s="1093" t="s">
        <v>1072</v>
      </c>
      <c r="C2" s="1093"/>
      <c r="D2" s="1093"/>
      <c r="E2" s="1093"/>
      <c r="F2" s="1093"/>
      <c r="G2" s="1093"/>
      <c r="H2" s="1093"/>
      <c r="I2" s="1093"/>
      <c r="J2" s="1093"/>
      <c r="K2" s="1093"/>
      <c r="M2" s="1093" t="s">
        <v>1073</v>
      </c>
      <c r="N2" s="1093"/>
      <c r="O2" s="1093"/>
      <c r="P2" s="1093"/>
      <c r="Q2" s="1093"/>
      <c r="R2" s="1093"/>
      <c r="S2" s="1093"/>
      <c r="T2" s="1093"/>
      <c r="V2" s="1094" t="s">
        <v>1074</v>
      </c>
      <c r="W2" s="1094"/>
      <c r="X2" s="1094"/>
      <c r="Y2" s="1094"/>
      <c r="Z2" s="1094"/>
      <c r="AA2" s="1094"/>
      <c r="AB2" s="1094"/>
      <c r="AC2" s="1094"/>
      <c r="AD2" s="1094"/>
      <c r="AF2" s="1094" t="s">
        <v>1075</v>
      </c>
      <c r="AG2" s="1094"/>
      <c r="AH2" s="1094"/>
      <c r="AI2" s="1094"/>
      <c r="AJ2" s="1094"/>
      <c r="AK2" s="1094"/>
      <c r="AL2" s="1094"/>
    </row>
    <row r="4" spans="1:39" ht="15" customHeight="1" x14ac:dyDescent="0.2">
      <c r="B4" s="359" t="s">
        <v>124</v>
      </c>
      <c r="C4" s="359"/>
      <c r="D4" s="359"/>
      <c r="E4" s="1089" t="s">
        <v>463</v>
      </c>
      <c r="F4" s="1089"/>
      <c r="G4" s="359"/>
      <c r="H4" s="359" t="s">
        <v>145</v>
      </c>
      <c r="I4" s="359"/>
      <c r="J4" s="1089" t="s">
        <v>539</v>
      </c>
      <c r="K4" s="1089"/>
      <c r="M4" s="220" t="s">
        <v>124</v>
      </c>
      <c r="N4" s="220"/>
      <c r="O4" s="1089" t="s">
        <v>463</v>
      </c>
      <c r="P4" s="1089"/>
      <c r="Q4" s="207"/>
      <c r="R4" s="884" t="s">
        <v>1076</v>
      </c>
      <c r="S4" s="1090" t="s">
        <v>1077</v>
      </c>
      <c r="T4" s="1091"/>
      <c r="V4" s="220" t="s">
        <v>124</v>
      </c>
      <c r="W4" s="220"/>
      <c r="X4" s="1089" t="s">
        <v>463</v>
      </c>
      <c r="Y4" s="1089"/>
      <c r="Z4" s="207"/>
      <c r="AA4" s="220" t="s">
        <v>145</v>
      </c>
      <c r="AB4" s="207"/>
      <c r="AC4" s="1089" t="s">
        <v>539</v>
      </c>
      <c r="AD4" s="1089"/>
      <c r="AF4" s="220" t="s">
        <v>124</v>
      </c>
      <c r="AG4" s="1089" t="s">
        <v>463</v>
      </c>
      <c r="AH4" s="1089"/>
      <c r="AI4" s="890"/>
      <c r="AJ4" s="220" t="s">
        <v>1078</v>
      </c>
      <c r="AK4" s="207"/>
      <c r="AL4" s="900" t="s">
        <v>506</v>
      </c>
    </row>
    <row r="5" spans="1:39" x14ac:dyDescent="0.2">
      <c r="V5" s="220" t="s">
        <v>1079</v>
      </c>
      <c r="W5" s="220"/>
      <c r="X5" s="1095">
        <v>120</v>
      </c>
      <c r="Y5" s="1095"/>
      <c r="Z5" s="207"/>
      <c r="AA5" s="220" t="s">
        <v>1080</v>
      </c>
      <c r="AB5" s="207"/>
      <c r="AC5" s="1096">
        <v>0.15</v>
      </c>
      <c r="AD5" s="1096"/>
      <c r="AF5" s="220" t="s">
        <v>1079</v>
      </c>
      <c r="AG5" s="1095">
        <v>120</v>
      </c>
      <c r="AH5" s="1095"/>
      <c r="AI5" s="207"/>
      <c r="AJ5" s="220" t="s">
        <v>1080</v>
      </c>
      <c r="AK5" s="207"/>
      <c r="AL5" s="902">
        <v>0.15</v>
      </c>
    </row>
    <row r="6" spans="1:39" x14ac:dyDescent="0.2">
      <c r="B6" s="881" t="s">
        <v>1081</v>
      </c>
      <c r="D6" s="1092" t="s">
        <v>1082</v>
      </c>
      <c r="E6" s="1092"/>
      <c r="F6" s="1092"/>
      <c r="G6" s="1092"/>
      <c r="H6" s="1092"/>
      <c r="I6" s="1092"/>
      <c r="J6" s="1092"/>
      <c r="K6" s="1092"/>
      <c r="M6" s="881" t="s">
        <v>1081</v>
      </c>
      <c r="O6" s="1092" t="s">
        <v>1083</v>
      </c>
      <c r="P6" s="1092"/>
      <c r="Q6" s="1092"/>
      <c r="R6" s="1092"/>
      <c r="S6" s="1092"/>
      <c r="T6" s="1092"/>
      <c r="V6" s="881" t="s">
        <v>1081</v>
      </c>
      <c r="W6" s="1092" t="s">
        <v>1084</v>
      </c>
      <c r="X6" s="1092"/>
      <c r="Y6" s="1092"/>
      <c r="Z6" s="1092"/>
      <c r="AA6" s="1092"/>
      <c r="AB6" s="1092"/>
      <c r="AC6" s="1092"/>
      <c r="AD6" s="1092"/>
      <c r="AF6" s="881" t="s">
        <v>1081</v>
      </c>
      <c r="AG6" s="1092" t="s">
        <v>1083</v>
      </c>
      <c r="AH6" s="1092"/>
      <c r="AI6" s="1092"/>
      <c r="AJ6" s="1092"/>
      <c r="AK6" s="1092"/>
      <c r="AL6" s="1092"/>
    </row>
    <row r="7" spans="1:39" s="38" customFormat="1" x14ac:dyDescent="0.2">
      <c r="A7" s="875"/>
      <c r="B7" s="882"/>
      <c r="C7" s="875"/>
      <c r="D7" s="476">
        <v>2.6500000000000004</v>
      </c>
      <c r="E7" s="476">
        <v>1.35</v>
      </c>
      <c r="F7" s="476">
        <v>0.95000000000000007</v>
      </c>
      <c r="G7" s="476">
        <v>0.75</v>
      </c>
      <c r="H7" s="476">
        <v>0.5</v>
      </c>
      <c r="I7" s="476">
        <v>0.45</v>
      </c>
      <c r="J7" s="476">
        <v>0.4</v>
      </c>
      <c r="K7" s="476">
        <v>0.3</v>
      </c>
      <c r="M7" s="882"/>
      <c r="N7" s="875"/>
      <c r="O7" s="880">
        <f t="shared" ref="O7:T7" si="0">INDEX($D$7:$K$7,MATCH($S$4,$D$9:$K$9,0))</f>
        <v>0.4</v>
      </c>
      <c r="P7" s="880">
        <f t="shared" si="0"/>
        <v>0.4</v>
      </c>
      <c r="Q7" s="880">
        <f t="shared" si="0"/>
        <v>0.4</v>
      </c>
      <c r="R7" s="880">
        <f t="shared" si="0"/>
        <v>0.4</v>
      </c>
      <c r="S7" s="880">
        <f t="shared" si="0"/>
        <v>0.4</v>
      </c>
      <c r="T7" s="880">
        <f t="shared" si="0"/>
        <v>0.4</v>
      </c>
      <c r="V7" s="882"/>
      <c r="W7" s="476">
        <v>2.6500000000000004</v>
      </c>
      <c r="X7" s="476">
        <v>1.35</v>
      </c>
      <c r="Y7" s="476">
        <v>0.95000000000000007</v>
      </c>
      <c r="Z7" s="476">
        <v>0.75</v>
      </c>
      <c r="AA7" s="476">
        <v>0.5</v>
      </c>
      <c r="AB7" s="476">
        <v>0.45</v>
      </c>
      <c r="AC7" s="476">
        <v>0.4</v>
      </c>
      <c r="AD7" s="476">
        <v>0.3</v>
      </c>
      <c r="AF7" s="882"/>
      <c r="AG7" s="880">
        <f t="shared" ref="AG7:AL7" si="1">INDEX($W$7:$AD$7,MATCH($AL$4,$W$9:$AD$9,0))</f>
        <v>2.6500000000000004</v>
      </c>
      <c r="AH7" s="880">
        <f t="shared" si="1"/>
        <v>2.6500000000000004</v>
      </c>
      <c r="AI7" s="880">
        <f t="shared" si="1"/>
        <v>2.6500000000000004</v>
      </c>
      <c r="AJ7" s="880">
        <f t="shared" si="1"/>
        <v>2.6500000000000004</v>
      </c>
      <c r="AK7" s="880">
        <f t="shared" si="1"/>
        <v>2.6500000000000004</v>
      </c>
      <c r="AL7" s="880">
        <f t="shared" si="1"/>
        <v>2.6500000000000004</v>
      </c>
    </row>
    <row r="8" spans="1:39" x14ac:dyDescent="0.2">
      <c r="B8" s="882"/>
      <c r="D8" s="1088" t="s">
        <v>1076</v>
      </c>
      <c r="E8" s="1088"/>
      <c r="F8" s="1088"/>
      <c r="G8" s="1088"/>
      <c r="H8" s="1088"/>
      <c r="I8" s="1088"/>
      <c r="J8" s="1088"/>
      <c r="K8" s="1088"/>
      <c r="M8" s="882"/>
      <c r="O8" s="1088" t="s">
        <v>1085</v>
      </c>
      <c r="P8" s="1088"/>
      <c r="Q8" s="1088"/>
      <c r="R8" s="1088"/>
      <c r="S8" s="1088"/>
      <c r="T8" s="1088"/>
      <c r="V8" s="882"/>
      <c r="W8" s="1088" t="s">
        <v>1076</v>
      </c>
      <c r="X8" s="1088"/>
      <c r="Y8" s="1088"/>
      <c r="Z8" s="1088"/>
      <c r="AA8" s="1088"/>
      <c r="AB8" s="1088"/>
      <c r="AC8" s="1088"/>
      <c r="AD8" s="1088"/>
      <c r="AE8" s="879"/>
      <c r="AF8" s="882"/>
      <c r="AG8" s="1088" t="s">
        <v>1085</v>
      </c>
      <c r="AH8" s="1088"/>
      <c r="AI8" s="1088"/>
      <c r="AJ8" s="1088"/>
      <c r="AK8" s="1088"/>
      <c r="AL8" s="1088"/>
      <c r="AM8" s="879"/>
    </row>
    <row r="9" spans="1:39" x14ac:dyDescent="0.2">
      <c r="B9" s="882"/>
      <c r="D9" s="217" t="s">
        <v>506</v>
      </c>
      <c r="E9" s="217" t="s">
        <v>505</v>
      </c>
      <c r="F9" s="217" t="s">
        <v>504</v>
      </c>
      <c r="G9" s="217" t="s">
        <v>503</v>
      </c>
      <c r="H9" s="217" t="s">
        <v>502</v>
      </c>
      <c r="I9" s="217" t="s">
        <v>1086</v>
      </c>
      <c r="J9" s="217" t="s">
        <v>1077</v>
      </c>
      <c r="K9" s="217" t="s">
        <v>1087</v>
      </c>
      <c r="M9" s="882"/>
      <c r="O9" s="217" t="str">
        <f>INDEX(ventilatiesystemen_namen,1)</f>
        <v>natuurlijk (A)</v>
      </c>
      <c r="P9" s="217" t="str">
        <f>INDEX(ventilatiesystemen_namen,2)</f>
        <v>mech (B1)</v>
      </c>
      <c r="Q9" s="217" t="str">
        <f>INDEX(ventilatiesystemen_namen,3)</f>
        <v>mech (C1)</v>
      </c>
      <c r="R9" s="217" t="str">
        <f>INDEX(ventilatiesystemen_namen,4)</f>
        <v>mech - CO2 (C4c)</v>
      </c>
      <c r="S9" s="217" t="str">
        <f>INDEX(ventilatiesystemen_namen,5)</f>
        <v>balans (D1)</v>
      </c>
      <c r="T9" s="217" t="str">
        <f>INDEX(ventilatiesystemen_namen,6)</f>
        <v>balans CO2 (D5a)</v>
      </c>
      <c r="V9" s="882"/>
      <c r="W9" s="217" t="s">
        <v>506</v>
      </c>
      <c r="X9" s="217" t="s">
        <v>505</v>
      </c>
      <c r="Y9" s="217" t="s">
        <v>504</v>
      </c>
      <c r="Z9" s="217" t="s">
        <v>503</v>
      </c>
      <c r="AA9" s="217" t="s">
        <v>502</v>
      </c>
      <c r="AB9" s="217" t="s">
        <v>1086</v>
      </c>
      <c r="AC9" s="217" t="s">
        <v>1077</v>
      </c>
      <c r="AD9" s="217" t="s">
        <v>1087</v>
      </c>
      <c r="AF9" s="882"/>
      <c r="AG9" s="217" t="str">
        <f>INDEX(ventilatiesystemen_namen,1)</f>
        <v>natuurlijk (A)</v>
      </c>
      <c r="AH9" s="217" t="str">
        <f>INDEX(ventilatiesystemen_namen,2)</f>
        <v>mech (B1)</v>
      </c>
      <c r="AI9" s="217" t="str">
        <f>INDEX(ventilatiesystemen_namen,3)</f>
        <v>mech (C1)</v>
      </c>
      <c r="AJ9" s="217" t="str">
        <f>INDEX(ventilatiesystemen_namen,4)</f>
        <v>mech - CO2 (C4c)</v>
      </c>
      <c r="AK9" s="217" t="str">
        <f>INDEX(ventilatiesystemen_namen,5)</f>
        <v>balans (D1)</v>
      </c>
      <c r="AL9" s="217" t="str">
        <f>INDEX(ventilatiesystemen_namen,6)</f>
        <v>balans CO2 (D5a)</v>
      </c>
      <c r="AM9" s="879"/>
    </row>
    <row r="10" spans="1:39" x14ac:dyDescent="0.2">
      <c r="B10" s="882" t="s">
        <v>1088</v>
      </c>
      <c r="D10" s="1088" t="s">
        <v>1089</v>
      </c>
      <c r="E10" s="1088"/>
      <c r="F10" s="1088"/>
      <c r="G10" s="1088"/>
      <c r="H10" s="1088"/>
      <c r="I10" s="1088"/>
      <c r="J10" s="1088"/>
      <c r="K10" s="1088"/>
      <c r="M10" s="882" t="s">
        <v>1088</v>
      </c>
      <c r="O10" s="1088" t="s">
        <v>1089</v>
      </c>
      <c r="P10" s="1088"/>
      <c r="Q10" s="1088"/>
      <c r="R10" s="1088"/>
      <c r="S10" s="1088"/>
      <c r="T10" s="1088"/>
      <c r="V10" s="882" t="s">
        <v>1088</v>
      </c>
      <c r="W10" s="1088" t="s">
        <v>1090</v>
      </c>
      <c r="X10" s="1088"/>
      <c r="Y10" s="1088"/>
      <c r="Z10" s="1088"/>
      <c r="AA10" s="1088"/>
      <c r="AB10" s="1088"/>
      <c r="AC10" s="1088"/>
      <c r="AD10" s="1088"/>
      <c r="AE10" s="879"/>
      <c r="AF10" s="882" t="s">
        <v>1088</v>
      </c>
      <c r="AG10" s="1088" t="s">
        <v>1090</v>
      </c>
      <c r="AH10" s="1088"/>
      <c r="AI10" s="1088"/>
      <c r="AJ10" s="1088"/>
      <c r="AK10" s="1088"/>
      <c r="AL10" s="1088"/>
      <c r="AM10" s="879"/>
    </row>
    <row r="11" spans="1:39" x14ac:dyDescent="0.2">
      <c r="B11" s="883">
        <v>0.5</v>
      </c>
      <c r="D11" s="347">
        <f t="shared" ref="D11:K16" ca="1" si="2">MAX(warmtebehoefte_verwarming_ondergrens,
VLOOKUP($J$4,warmtebehoefte_verwarming_snijpunt,MATCH($E$4,warmtebehoefte_verwarming_gebruiksfuncties,0),FALSE)+
VLOOKUP($J$4,warmtebehoefte_verwarming_C,MATCH($E$4,warmtebehoefte_verwarming_gebruiksfuncties,0),FALSE)*
D$7*$B11^VLOOKUP($J$4,warmtebehoefte_verwarming_n,MATCH($E$4,warmtebehoefte_verwarming_gebruiksfuncties,0),FALSE))</f>
        <v>89.15100874480251</v>
      </c>
      <c r="E11" s="347">
        <f t="shared" ca="1" si="2"/>
        <v>60.662411384115579</v>
      </c>
      <c r="F11" s="347">
        <f t="shared" ca="1" si="2"/>
        <v>51.896689119288837</v>
      </c>
      <c r="G11" s="347">
        <f t="shared" ca="1" si="2"/>
        <v>47.513827986875455</v>
      </c>
      <c r="H11" s="347">
        <f t="shared" ca="1" si="2"/>
        <v>42.035251571358742</v>
      </c>
      <c r="I11" s="347">
        <f t="shared" ca="1" si="2"/>
        <v>40.939536288255397</v>
      </c>
      <c r="J11" s="347">
        <f t="shared" ca="1" si="2"/>
        <v>39.843821005152051</v>
      </c>
      <c r="K11" s="347">
        <f t="shared" ca="1" si="2"/>
        <v>37.652390438945368</v>
      </c>
      <c r="M11" s="883">
        <v>0.5</v>
      </c>
      <c r="O11" s="347">
        <f t="shared" ref="O11:T16" ca="1" si="3">MAX(warmtebehoefte_verwarming_ondergrens,
VLOOKUP(O$9,warmtebehoefte_verwarming_snijpunt,MATCH($O$4,warmtebehoefte_verwarming_gebruiksfuncties,0),FALSE)+
VLOOKUP(O$9,warmtebehoefte_verwarming_C,MATCH($O$4,warmtebehoefte_verwarming_gebruiksfuncties,0),FALSE)*
O$7*$M11^VLOOKUP(O$9,warmtebehoefte_verwarming_n,MATCH($O$4,warmtebehoefte_verwarming_gebruiksfuncties,0),FALSE))</f>
        <v>49.485924786830481</v>
      </c>
      <c r="P11" s="347">
        <f t="shared" ca="1" si="3"/>
        <v>37.97676217981931</v>
      </c>
      <c r="Q11" s="347">
        <f t="shared" ca="1" si="3"/>
        <v>39.843821005152051</v>
      </c>
      <c r="R11" s="347">
        <f t="shared" ca="1" si="3"/>
        <v>25.62247169820418</v>
      </c>
      <c r="S11" s="347">
        <f t="shared" ca="1" si="3"/>
        <v>21.260691585284953</v>
      </c>
      <c r="T11" s="347">
        <f t="shared" ca="1" si="3"/>
        <v>10.611009942577299</v>
      </c>
      <c r="V11" s="883">
        <v>0.5</v>
      </c>
      <c r="W11" s="901">
        <f t="shared" ref="W11:AD16" ca="1" si="4">MAX(koudebehoefte_koeling_ondergrens,
VLOOKUP($AC$4,koudebehoefte_snijpunt,MATCH($X$4,warmtebehoefte_verwarming_gebruiksfuncties,0),FALSE)
+ VLOOKUP($AC$4,koudebehoefte_C1,MATCH($X$4,warmtebehoefte_verwarming_gebruiksfuncties,0),FALSE)*
   $X$5^VLOOKUP($AC$4,koudebehoefte_n1,MATCH($X$4,warmtebehoefte_verwarming_gebruiksfuncties,0),FALSE)
+ VLOOKUP($AC$4,koudebehoefte_C2,MATCH($X$4,warmtebehoefte_verwarming_gebruiksfuncties,0),FALSE)*
   $V11^VLOOKUP($AC$4,koudebehoefte_n2,MATCH($X$4,warmtebehoefte_verwarming_gebruiksfuncties,0),FALSE)
+ VLOOKUP($AC$4,koudebehoefte_C3,MATCH($X$4,warmtebehoefte_verwarming_gebruiksfuncties,0),FALSE)*
   W$7^VLOOKUP($AC$4,koudebehoefte_n3,MATCH($X$4,warmtebehoefte_verwarming_gebruiksfuncties,0),FALSE)
+ VLOOKUP($AC$4,koudebehoefte_C4,MATCH($X$4,warmtebehoefte_verwarming_gebruiksfuncties,0),FALSE)*
   $AC$5^VLOOKUP($AC$4,koudebehoefte_n4,MATCH($X$4,warmtebehoefte_verwarming_gebruiksfuncties,0),FALSE)
)</f>
        <v>2.9537705092682414</v>
      </c>
      <c r="X11" s="901">
        <f t="shared" ca="1" si="4"/>
        <v>3.6383355998234643</v>
      </c>
      <c r="Y11" s="901">
        <f t="shared" ca="1" si="4"/>
        <v>3.7062866093229783</v>
      </c>
      <c r="Z11" s="901">
        <f t="shared" ca="1" si="4"/>
        <v>3.7247474107185097</v>
      </c>
      <c r="AA11" s="901">
        <f t="shared" ca="1" si="4"/>
        <v>3.7373319122438797</v>
      </c>
      <c r="AB11" s="901">
        <f t="shared" ca="1" si="4"/>
        <v>3.7387678701021434</v>
      </c>
      <c r="AC11" s="901">
        <f t="shared" ca="1" si="4"/>
        <v>3.739917696136251</v>
      </c>
      <c r="AD11" s="901">
        <f t="shared" ca="1" si="4"/>
        <v>3.7414861224316232</v>
      </c>
      <c r="AF11" s="883">
        <v>0.5</v>
      </c>
      <c r="AG11" s="901">
        <f t="shared" ref="AG11:AL16" ca="1" si="5">MAX(koudebehoefte_koeling_ondergrens,
VLOOKUP(AG$9,koudebehoefte_snijpunt,MATCH($AG$4,warmtebehoefte_verwarming_gebruiksfuncties,0),FALSE)
+ VLOOKUP(AG$9,koudebehoefte_C1,MATCH($AG$4,warmtebehoefte_verwarming_gebruiksfuncties,0),FALSE)*
   $AG$5^VLOOKUP(AG$9,koudebehoefte_n1,MATCH($AG$4,warmtebehoefte_verwarming_gebruiksfuncties,0),FALSE)
+ VLOOKUP(AG$9,koudebehoefte_C2,MATCH($AG$4,warmtebehoefte_verwarming_gebruiksfuncties,0),FALSE)*
   $V11^VLOOKUP(AG$9,koudebehoefte_n2,MATCH($AG$4,warmtebehoefte_verwarming_gebruiksfuncties,0),FALSE)
+ VLOOKUP(AG$9,koudebehoefte_C3,MATCH($AG$4,warmtebehoefte_verwarming_gebruiksfuncties,0),FALSE)*
   AG$7^VLOOKUP(AG$9,koudebehoefte_n3,MATCH($AG$4,warmtebehoefte_verwarming_gebruiksfuncties,0),FALSE)
+ VLOOKUP(AG$9,koudebehoefte_C4,MATCH($AG$4,warmtebehoefte_verwarming_gebruiksfuncties,0),FALSE)*
   $AL$5^VLOOKUP(AG$9,koudebehoefte_n4,MATCH($AG$4,warmtebehoefte_verwarming_gebruiksfuncties,0),FALSE)
)</f>
        <v>2.7027419778148101</v>
      </c>
      <c r="AH11" s="901">
        <f t="shared" ca="1" si="5"/>
        <v>3.1183392552545239</v>
      </c>
      <c r="AI11" s="901">
        <f t="shared" ca="1" si="5"/>
        <v>2.9537705092682414</v>
      </c>
      <c r="AJ11" s="901">
        <f t="shared" ca="1" si="5"/>
        <v>3.9567331698566779</v>
      </c>
      <c r="AK11" s="901">
        <f t="shared" ca="1" si="5"/>
        <v>4.6389284198216103</v>
      </c>
      <c r="AL11" s="901">
        <f t="shared" ca="1" si="5"/>
        <v>4.6319335388284024</v>
      </c>
      <c r="AM11" s="879"/>
    </row>
    <row r="12" spans="1:39" x14ac:dyDescent="0.2">
      <c r="B12" s="883">
        <f>B11+0.25</f>
        <v>0.75</v>
      </c>
      <c r="D12" s="347">
        <f t="shared" ca="1" si="2"/>
        <v>118.54137884428442</v>
      </c>
      <c r="E12" s="347">
        <f t="shared" ca="1" si="2"/>
        <v>75.634864076304481</v>
      </c>
      <c r="F12" s="347">
        <f t="shared" ca="1" si="2"/>
        <v>62.432859532310658</v>
      </c>
      <c r="G12" s="347">
        <f t="shared" ca="1" si="2"/>
        <v>55.83185726031374</v>
      </c>
      <c r="H12" s="347">
        <f t="shared" ca="1" si="2"/>
        <v>47.580604420317599</v>
      </c>
      <c r="I12" s="347">
        <f t="shared" ca="1" si="2"/>
        <v>45.930353852318362</v>
      </c>
      <c r="J12" s="347">
        <f t="shared" ca="1" si="2"/>
        <v>44.280103284319139</v>
      </c>
      <c r="K12" s="347">
        <f t="shared" ca="1" si="2"/>
        <v>40.97960214832068</v>
      </c>
      <c r="M12" s="883">
        <f>M11+0.25</f>
        <v>0.75</v>
      </c>
      <c r="O12" s="347">
        <f t="shared" ca="1" si="3"/>
        <v>53.772494307420523</v>
      </c>
      <c r="P12" s="347">
        <f t="shared" ca="1" si="3"/>
        <v>42.352494237923658</v>
      </c>
      <c r="Q12" s="347">
        <f t="shared" ca="1" si="3"/>
        <v>44.280103284319139</v>
      </c>
      <c r="R12" s="347">
        <f t="shared" ca="1" si="3"/>
        <v>30.077323346734275</v>
      </c>
      <c r="S12" s="347">
        <f t="shared" ca="1" si="3"/>
        <v>25.700479002657318</v>
      </c>
      <c r="T12" s="347">
        <f t="shared" ca="1" si="3"/>
        <v>15.051965027624883</v>
      </c>
      <c r="V12" s="883">
        <f>V11+0.25</f>
        <v>0.75</v>
      </c>
      <c r="W12" s="901">
        <f t="shared" ca="1" si="4"/>
        <v>2.3383337922436045</v>
      </c>
      <c r="X12" s="901">
        <f t="shared" ca="1" si="4"/>
        <v>3.0228988827988275</v>
      </c>
      <c r="Y12" s="901">
        <f t="shared" ca="1" si="4"/>
        <v>3.0908498922983414</v>
      </c>
      <c r="Z12" s="901">
        <f t="shared" ca="1" si="4"/>
        <v>3.1093106936938728</v>
      </c>
      <c r="AA12" s="901">
        <f t="shared" ca="1" si="4"/>
        <v>3.1218951952192429</v>
      </c>
      <c r="AB12" s="901">
        <f t="shared" ca="1" si="4"/>
        <v>3.1233311530775065</v>
      </c>
      <c r="AC12" s="901">
        <f t="shared" ca="1" si="4"/>
        <v>3.1244809791116142</v>
      </c>
      <c r="AD12" s="901">
        <f t="shared" ca="1" si="4"/>
        <v>3.1260494054069863</v>
      </c>
      <c r="AF12" s="883">
        <f>AF11+0.25</f>
        <v>0.75</v>
      </c>
      <c r="AG12" s="901">
        <f t="shared" ca="1" si="5"/>
        <v>2.1313914134889522</v>
      </c>
      <c r="AH12" s="901">
        <f t="shared" ca="1" si="5"/>
        <v>2.4019595270763041</v>
      </c>
      <c r="AI12" s="901">
        <f t="shared" ca="1" si="5"/>
        <v>2.3383337922436045</v>
      </c>
      <c r="AJ12" s="901">
        <f t="shared" ca="1" si="5"/>
        <v>3.0792987889974786</v>
      </c>
      <c r="AK12" s="901">
        <f t="shared" ca="1" si="5"/>
        <v>3.2907806046646613</v>
      </c>
      <c r="AL12" s="901">
        <f t="shared" ca="1" si="5"/>
        <v>3.3993632228659578</v>
      </c>
      <c r="AM12" s="879"/>
    </row>
    <row r="13" spans="1:39" x14ac:dyDescent="0.2">
      <c r="B13" s="883">
        <f>B12+0.25</f>
        <v>1</v>
      </c>
      <c r="D13" s="347">
        <f t="shared" ca="1" si="2"/>
        <v>148.03177681423065</v>
      </c>
      <c r="E13" s="347">
        <f t="shared" ca="1" si="2"/>
        <v>90.65827436288086</v>
      </c>
      <c r="F13" s="347">
        <f t="shared" ca="1" si="2"/>
        <v>73.004888993234772</v>
      </c>
      <c r="G13" s="347">
        <f t="shared" ca="1" si="2"/>
        <v>64.178196308411714</v>
      </c>
      <c r="H13" s="347">
        <f t="shared" ca="1" si="2"/>
        <v>53.144830452382919</v>
      </c>
      <c r="I13" s="347">
        <f t="shared" ca="1" si="2"/>
        <v>50.938157281177155</v>
      </c>
      <c r="J13" s="347">
        <f t="shared" ca="1" si="2"/>
        <v>48.73148410997139</v>
      </c>
      <c r="K13" s="347">
        <f t="shared" ca="1" si="2"/>
        <v>44.318137767559875</v>
      </c>
      <c r="M13" s="883">
        <f>M12+0.25</f>
        <v>1</v>
      </c>
      <c r="O13" s="347">
        <f t="shared" ca="1" si="3"/>
        <v>57.804299026147447</v>
      </c>
      <c r="P13" s="347">
        <f t="shared" ca="1" si="3"/>
        <v>46.496322316514735</v>
      </c>
      <c r="Q13" s="347">
        <f t="shared" ca="1" si="3"/>
        <v>48.73148410997139</v>
      </c>
      <c r="R13" s="347">
        <f t="shared" ca="1" si="3"/>
        <v>34.593114092947417</v>
      </c>
      <c r="S13" s="347">
        <f t="shared" ca="1" si="3"/>
        <v>30.231658547783045</v>
      </c>
      <c r="T13" s="347">
        <f t="shared" ca="1" si="3"/>
        <v>19.286323368866817</v>
      </c>
      <c r="V13" s="883">
        <f>V12+0.25</f>
        <v>1</v>
      </c>
      <c r="W13" s="901">
        <f t="shared" ca="1" si="4"/>
        <v>1.7673198383288771</v>
      </c>
      <c r="X13" s="901">
        <f t="shared" ca="1" si="4"/>
        <v>2.4518849288840991</v>
      </c>
      <c r="Y13" s="901">
        <f t="shared" ca="1" si="4"/>
        <v>2.5198359383836131</v>
      </c>
      <c r="Z13" s="901">
        <f t="shared" ca="1" si="4"/>
        <v>2.5382967397791445</v>
      </c>
      <c r="AA13" s="901">
        <f t="shared" ca="1" si="4"/>
        <v>2.5508812413045145</v>
      </c>
      <c r="AB13" s="901">
        <f t="shared" ca="1" si="4"/>
        <v>2.5523171991627782</v>
      </c>
      <c r="AC13" s="901">
        <f t="shared" ca="1" si="4"/>
        <v>2.5534670251968858</v>
      </c>
      <c r="AD13" s="901">
        <f t="shared" ca="1" si="4"/>
        <v>2.555035451492258</v>
      </c>
      <c r="AF13" s="883">
        <f>AF12+0.25</f>
        <v>1</v>
      </c>
      <c r="AG13" s="901">
        <f t="shared" ca="1" si="5"/>
        <v>1.6030876901010025</v>
      </c>
      <c r="AH13" s="901">
        <f t="shared" ca="1" si="5"/>
        <v>1.7507685721123494</v>
      </c>
      <c r="AI13" s="901">
        <f t="shared" ca="1" si="5"/>
        <v>1.7673198383288771</v>
      </c>
      <c r="AJ13" s="901">
        <f t="shared" ca="1" si="5"/>
        <v>2.3085269904511119</v>
      </c>
      <c r="AK13" s="901">
        <f t="shared" ca="1" si="5"/>
        <v>2.1658838187809089</v>
      </c>
      <c r="AL13" s="901">
        <f t="shared" ca="1" si="5"/>
        <v>2.3884199046151053</v>
      </c>
    </row>
    <row r="14" spans="1:39" x14ac:dyDescent="0.2">
      <c r="B14" s="883">
        <v>1.5</v>
      </c>
      <c r="D14" s="347">
        <f t="shared" ca="1" si="2"/>
        <v>207.22136939401938</v>
      </c>
      <c r="E14" s="347">
        <f t="shared" ca="1" si="2"/>
        <v>120.81146303560342</v>
      </c>
      <c r="F14" s="347">
        <f t="shared" ca="1" si="2"/>
        <v>94.223799540706196</v>
      </c>
      <c r="G14" s="347">
        <f t="shared" ca="1" si="2"/>
        <v>80.929967793257589</v>
      </c>
      <c r="H14" s="347">
        <f t="shared" ca="1" si="2"/>
        <v>64.312678108946827</v>
      </c>
      <c r="I14" s="347">
        <f t="shared" ca="1" si="2"/>
        <v>60.989220172084671</v>
      </c>
      <c r="J14" s="347">
        <f t="shared" ca="1" si="2"/>
        <v>57.665762235222523</v>
      </c>
      <c r="K14" s="347">
        <f t="shared" ca="1" si="2"/>
        <v>51.01884636149822</v>
      </c>
      <c r="M14" s="883">
        <v>1.5</v>
      </c>
      <c r="O14" s="347">
        <f t="shared" ca="1" si="3"/>
        <v>65.371834545413492</v>
      </c>
      <c r="P14" s="347">
        <f t="shared" ca="1" si="3"/>
        <v>54.329102107848016</v>
      </c>
      <c r="Q14" s="347">
        <f t="shared" ca="1" si="3"/>
        <v>57.665762235222523</v>
      </c>
      <c r="R14" s="347">
        <f t="shared" ca="1" si="3"/>
        <v>43.753303244058145</v>
      </c>
      <c r="S14" s="347">
        <f t="shared" ca="1" si="3"/>
        <v>39.488311283830889</v>
      </c>
      <c r="T14" s="347">
        <f t="shared" ca="1" si="3"/>
        <v>27.346826984034479</v>
      </c>
      <c r="V14" s="883">
        <v>1.5</v>
      </c>
      <c r="W14" s="901">
        <f t="shared" ca="1" si="4"/>
        <v>1</v>
      </c>
      <c r="X14" s="901">
        <f t="shared" ca="1" si="4"/>
        <v>1.3950995417799472</v>
      </c>
      <c r="Y14" s="901">
        <f t="shared" ca="1" si="4"/>
        <v>1.463050551279462</v>
      </c>
      <c r="Z14" s="901">
        <f t="shared" ca="1" si="4"/>
        <v>1.4815113526749943</v>
      </c>
      <c r="AA14" s="901">
        <f t="shared" ca="1" si="4"/>
        <v>1.4940958542003635</v>
      </c>
      <c r="AB14" s="901">
        <f t="shared" ca="1" si="4"/>
        <v>1.4955318120586263</v>
      </c>
      <c r="AC14" s="901">
        <f t="shared" ca="1" si="4"/>
        <v>1.4966816380927348</v>
      </c>
      <c r="AD14" s="901">
        <f t="shared" ca="1" si="4"/>
        <v>1.4982500643881078</v>
      </c>
      <c r="AF14" s="883">
        <v>1.5</v>
      </c>
      <c r="AG14" s="901">
        <f t="shared" ca="1" si="5"/>
        <v>1</v>
      </c>
      <c r="AH14" s="901">
        <f t="shared" ca="1" si="5"/>
        <v>1</v>
      </c>
      <c r="AI14" s="901">
        <f t="shared" ca="1" si="5"/>
        <v>1</v>
      </c>
      <c r="AJ14" s="901">
        <f t="shared" ca="1" si="5"/>
        <v>1</v>
      </c>
      <c r="AK14" s="901">
        <f t="shared" ca="1" si="5"/>
        <v>1</v>
      </c>
      <c r="AL14" s="901">
        <f t="shared" ca="1" si="5"/>
        <v>1</v>
      </c>
    </row>
    <row r="15" spans="1:39" x14ac:dyDescent="0.2">
      <c r="B15" s="883">
        <v>2</v>
      </c>
      <c r="D15" s="347">
        <f t="shared" ca="1" si="2"/>
        <v>266.61240921245684</v>
      </c>
      <c r="E15" s="347">
        <f t="shared" ca="1" si="2"/>
        <v>151.06727577329798</v>
      </c>
      <c r="F15" s="347">
        <f t="shared" ca="1" si="2"/>
        <v>115.51492702278756</v>
      </c>
      <c r="G15" s="347">
        <f t="shared" ca="1" si="2"/>
        <v>97.738752647532351</v>
      </c>
      <c r="H15" s="347">
        <f t="shared" ca="1" si="2"/>
        <v>75.518534678463325</v>
      </c>
      <c r="I15" s="347">
        <f t="shared" ca="1" si="2"/>
        <v>71.074491084649523</v>
      </c>
      <c r="J15" s="347">
        <f t="shared" ca="1" si="2"/>
        <v>66.630447490835721</v>
      </c>
      <c r="K15" s="347">
        <f t="shared" ca="1" si="2"/>
        <v>57.742360303208116</v>
      </c>
      <c r="M15" s="883">
        <v>2</v>
      </c>
      <c r="O15" s="347">
        <f t="shared" ca="1" si="3"/>
        <v>72.489606756771607</v>
      </c>
      <c r="P15" s="347">
        <f t="shared" ca="1" si="3"/>
        <v>61.74676214775662</v>
      </c>
      <c r="Q15" s="347">
        <f t="shared" ca="1" si="3"/>
        <v>66.630447490835721</v>
      </c>
      <c r="R15" s="347">
        <f t="shared" ca="1" si="3"/>
        <v>53.038797052992635</v>
      </c>
      <c r="S15" s="347">
        <f t="shared" ca="1" si="3"/>
        <v>48.935510347865325</v>
      </c>
      <c r="T15" s="347">
        <f t="shared" ca="1" si="3"/>
        <v>35.032349594342591</v>
      </c>
      <c r="V15" s="883">
        <v>2</v>
      </c>
      <c r="W15" s="901">
        <f t="shared" ca="1" si="4"/>
        <v>1</v>
      </c>
      <c r="X15" s="901">
        <f t="shared" ca="1" si="4"/>
        <v>1</v>
      </c>
      <c r="Y15" s="901">
        <f t="shared" ca="1" si="4"/>
        <v>1</v>
      </c>
      <c r="Z15" s="901">
        <f t="shared" ca="1" si="4"/>
        <v>1</v>
      </c>
      <c r="AA15" s="901">
        <f t="shared" ca="1" si="4"/>
        <v>1</v>
      </c>
      <c r="AB15" s="901">
        <f t="shared" ca="1" si="4"/>
        <v>1</v>
      </c>
      <c r="AC15" s="901">
        <f t="shared" ca="1" si="4"/>
        <v>1</v>
      </c>
      <c r="AD15" s="901">
        <f t="shared" ca="1" si="4"/>
        <v>1</v>
      </c>
      <c r="AF15" s="883">
        <v>2</v>
      </c>
      <c r="AG15" s="901">
        <f t="shared" ca="1" si="5"/>
        <v>1</v>
      </c>
      <c r="AH15" s="901">
        <f t="shared" ca="1" si="5"/>
        <v>1</v>
      </c>
      <c r="AI15" s="901">
        <f t="shared" ca="1" si="5"/>
        <v>1</v>
      </c>
      <c r="AJ15" s="901">
        <f t="shared" ca="1" si="5"/>
        <v>1</v>
      </c>
      <c r="AK15" s="901">
        <f t="shared" ca="1" si="5"/>
        <v>1</v>
      </c>
      <c r="AL15" s="901">
        <f t="shared" ca="1" si="5"/>
        <v>1</v>
      </c>
    </row>
    <row r="16" spans="1:39" x14ac:dyDescent="0.2">
      <c r="B16" s="883">
        <v>2.5</v>
      </c>
      <c r="D16" s="347">
        <f t="shared" ca="1" si="2"/>
        <v>326.15369490534545</v>
      </c>
      <c r="E16" s="347">
        <f t="shared" ca="1" si="2"/>
        <v>181.39962886212803</v>
      </c>
      <c r="F16" s="347">
        <f t="shared" ca="1" si="2"/>
        <v>136.85991623344574</v>
      </c>
      <c r="G16" s="347">
        <f t="shared" ca="1" si="2"/>
        <v>114.59005991910459</v>
      </c>
      <c r="H16" s="347">
        <f t="shared" ca="1" si="2"/>
        <v>86.752739526178161</v>
      </c>
      <c r="I16" s="347">
        <f t="shared" ca="1" si="2"/>
        <v>81.185275447592872</v>
      </c>
      <c r="J16" s="347">
        <f t="shared" ca="1" si="2"/>
        <v>75.617811369007597</v>
      </c>
      <c r="K16" s="347">
        <f t="shared" ca="1" si="2"/>
        <v>64.48288321183702</v>
      </c>
      <c r="M16" s="883">
        <v>2.5</v>
      </c>
      <c r="O16" s="347">
        <f t="shared" ca="1" si="3"/>
        <v>79.290606764107537</v>
      </c>
      <c r="P16" s="347">
        <f t="shared" ca="1" si="3"/>
        <v>68.870276876620153</v>
      </c>
      <c r="Q16" s="347">
        <f t="shared" ca="1" si="3"/>
        <v>75.617811369007597</v>
      </c>
      <c r="R16" s="347">
        <f t="shared" ca="1" si="3"/>
        <v>62.418593438769491</v>
      </c>
      <c r="S16" s="347">
        <f t="shared" ca="1" si="3"/>
        <v>58.526975758716247</v>
      </c>
      <c r="T16" s="347">
        <f t="shared" ca="1" si="3"/>
        <v>42.450558206495309</v>
      </c>
      <c r="V16" s="883">
        <v>2.5</v>
      </c>
      <c r="W16" s="901">
        <f t="shared" ca="1" si="4"/>
        <v>1</v>
      </c>
      <c r="X16" s="901">
        <f t="shared" ca="1" si="4"/>
        <v>1</v>
      </c>
      <c r="Y16" s="901">
        <f t="shared" ca="1" si="4"/>
        <v>1</v>
      </c>
      <c r="Z16" s="901">
        <f t="shared" ca="1" si="4"/>
        <v>1</v>
      </c>
      <c r="AA16" s="901">
        <f t="shared" ca="1" si="4"/>
        <v>1</v>
      </c>
      <c r="AB16" s="901">
        <f t="shared" ca="1" si="4"/>
        <v>1</v>
      </c>
      <c r="AC16" s="901">
        <f t="shared" ca="1" si="4"/>
        <v>1</v>
      </c>
      <c r="AD16" s="901">
        <f t="shared" ca="1" si="4"/>
        <v>1</v>
      </c>
      <c r="AF16" s="883">
        <v>2.5</v>
      </c>
      <c r="AG16" s="901">
        <f t="shared" ca="1" si="5"/>
        <v>1</v>
      </c>
      <c r="AH16" s="901">
        <f t="shared" ca="1" si="5"/>
        <v>1</v>
      </c>
      <c r="AI16" s="901">
        <f t="shared" ca="1" si="5"/>
        <v>1</v>
      </c>
      <c r="AJ16" s="901">
        <f t="shared" ca="1" si="5"/>
        <v>1</v>
      </c>
      <c r="AK16" s="901">
        <f t="shared" ca="1" si="5"/>
        <v>1</v>
      </c>
      <c r="AL16" s="901">
        <f t="shared" ca="1" si="5"/>
        <v>1</v>
      </c>
    </row>
    <row r="17" spans="31:39" x14ac:dyDescent="0.2">
      <c r="AE17" s="879"/>
      <c r="AM17" s="879"/>
    </row>
  </sheetData>
  <sheetProtection algorithmName="SHA-512" hashValue="yFjE8GC+uD6bGu9HI6q2QjyNSUDzfAyL162aJd/Eelmej2Fztkd68he0T21KGDjmpME0RQgk14YsYr+PSYSuVg==" saltValue="DJc27c9UIimodHwKBOEW3g==" spinCount="100000" sheet="1" objects="1" scenarios="1" formatColumns="0" selectLockedCells="1" autoFilter="0"/>
  <mergeCells count="26">
    <mergeCell ref="AG8:AL8"/>
    <mergeCell ref="AG6:AL6"/>
    <mergeCell ref="B2:K2"/>
    <mergeCell ref="M2:T2"/>
    <mergeCell ref="AG10:AL10"/>
    <mergeCell ref="W8:AD8"/>
    <mergeCell ref="W6:AD6"/>
    <mergeCell ref="W10:AD10"/>
    <mergeCell ref="AF2:AL2"/>
    <mergeCell ref="AG4:AH4"/>
    <mergeCell ref="AG5:AH5"/>
    <mergeCell ref="X4:Y4"/>
    <mergeCell ref="AC4:AD4"/>
    <mergeCell ref="X5:Y5"/>
    <mergeCell ref="AC5:AD5"/>
    <mergeCell ref="V2:AD2"/>
    <mergeCell ref="O10:T10"/>
    <mergeCell ref="O4:P4"/>
    <mergeCell ref="S4:T4"/>
    <mergeCell ref="J4:K4"/>
    <mergeCell ref="E4:F4"/>
    <mergeCell ref="O6:T6"/>
    <mergeCell ref="O8:T8"/>
    <mergeCell ref="D10:K10"/>
    <mergeCell ref="D8:K8"/>
    <mergeCell ref="D6:K6"/>
  </mergeCells>
  <dataValidations count="5">
    <dataValidation type="decimal" operator="greaterThanOrEqual" allowBlank="1" showInputMessage="1" showErrorMessage="1" sqref="X5 AG5" xr:uid="{E3F6B050-99BD-48CE-BD5F-794E3A392A0E}">
      <formula1>20</formula1>
    </dataValidation>
    <dataValidation type="decimal" allowBlank="1" showInputMessage="1" showErrorMessage="1" sqref="AC5 AL5" xr:uid="{C292D8FC-3655-49D4-B723-3763E2D81279}">
      <formula1>0.05</formula1>
      <formula2>0.5</formula2>
    </dataValidation>
    <dataValidation type="list" allowBlank="1" showInputMessage="1" showErrorMessage="1" sqref="E4 O4 X4 AG4" xr:uid="{2C40FEB7-B545-4E21-B577-7C4908FFB2FD}">
      <formula1>gebruiksfuncties_namen</formula1>
    </dataValidation>
    <dataValidation type="list" allowBlank="1" showInputMessage="1" showErrorMessage="1" sqref="J4 AC4" xr:uid="{F72F76DF-9436-4E5B-8AA9-86D9ADF6F874}">
      <formula1>ventilatiesystemen_namen</formula1>
    </dataValidation>
    <dataValidation type="list" allowBlank="1" showInputMessage="1" showErrorMessage="1" sqref="S4:T4 AL4" xr:uid="{8B6DB1A0-3650-4D5F-BA3E-B9F51B5F0E6C}">
      <formula1>$D$9:$K$9</formula1>
    </dataValidation>
  </dataValidations>
  <pageMargins left="0.7" right="0.7" top="0.75" bottom="0.75" header="0.3" footer="0.3"/>
  <pageSetup paperSize="9"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0">
    <tabColor rgb="FF0070C0"/>
    <outlinePr showOutlineSymbols="0"/>
    <pageSetUpPr fitToPage="1"/>
  </sheetPr>
  <dimension ref="B1:BH39"/>
  <sheetViews>
    <sheetView showGridLines="0" showRowColHeaders="0" zoomScaleNormal="100" workbookViewId="0">
      <pane ySplit="4" topLeftCell="A5" activePane="bottomLeft" state="frozen"/>
      <selection activeCell="E8" sqref="E8"/>
      <selection pane="bottomLeft"/>
    </sheetView>
  </sheetViews>
  <sheetFormatPr defaultRowHeight="12.75" x14ac:dyDescent="0.2"/>
  <cols>
    <col min="1" max="1" width="0.5703125" customWidth="1"/>
    <col min="2" max="4" width="2.7109375" customWidth="1"/>
    <col min="5" max="5" width="104" style="451" customWidth="1"/>
  </cols>
  <sheetData>
    <row r="1" spans="2:60" s="832" customFormat="1" ht="21" x14ac:dyDescent="0.2">
      <c r="B1" s="826"/>
      <c r="C1" s="826"/>
      <c r="D1" s="826"/>
      <c r="E1" s="829" t="str">
        <f>disclaimer!$E$7&amp;" - "&amp;"versie "&amp;TEXT(disclaimer!$E$8,"d mmm jjjj")</f>
        <v>Uniforme Maatlat Gebouwde Omgeving 5.04 - versie 5 apr 2023</v>
      </c>
      <c r="F1" s="830"/>
      <c r="G1" s="830"/>
      <c r="H1" s="829"/>
      <c r="I1" s="830"/>
      <c r="J1" s="828"/>
      <c r="K1" s="831"/>
      <c r="L1" s="831"/>
      <c r="M1" s="831"/>
      <c r="N1" s="831"/>
      <c r="O1" s="835"/>
      <c r="P1" s="831"/>
      <c r="Q1" s="831"/>
      <c r="R1" s="831"/>
      <c r="S1" s="831"/>
      <c r="T1" s="831"/>
      <c r="U1" s="831"/>
      <c r="V1" s="831"/>
      <c r="W1" s="831"/>
      <c r="X1" s="831"/>
      <c r="Y1" s="831"/>
      <c r="Z1" s="831"/>
      <c r="AA1" s="835"/>
      <c r="AB1" s="831"/>
      <c r="AC1" s="831"/>
      <c r="AD1" s="831"/>
      <c r="AE1" s="831"/>
      <c r="AF1" s="831"/>
      <c r="AG1" s="831"/>
      <c r="AH1" s="831"/>
      <c r="AI1" s="831"/>
      <c r="AJ1" s="831"/>
      <c r="AK1" s="831"/>
      <c r="AL1" s="831"/>
      <c r="AM1" s="835"/>
      <c r="AN1" s="831"/>
      <c r="AO1" s="831"/>
      <c r="AP1" s="831"/>
      <c r="AQ1" s="831"/>
      <c r="AR1" s="831"/>
      <c r="AS1" s="831"/>
      <c r="AT1" s="831"/>
      <c r="AU1" s="831"/>
      <c r="AV1" s="831"/>
      <c r="AW1" s="831"/>
      <c r="AX1" s="831"/>
      <c r="AY1" s="831"/>
      <c r="AZ1" s="831"/>
      <c r="BA1" s="831"/>
      <c r="BB1" s="831"/>
      <c r="BC1" s="831"/>
      <c r="BD1" s="831"/>
      <c r="BE1" s="831"/>
      <c r="BF1" s="831"/>
      <c r="BG1" s="831"/>
      <c r="BH1" s="831"/>
    </row>
    <row r="2" spans="2:60" ht="23.25" x14ac:dyDescent="0.2">
      <c r="B2" s="3"/>
      <c r="C2" s="664"/>
      <c r="D2" s="3"/>
      <c r="E2" s="642" t="s">
        <v>23</v>
      </c>
      <c r="F2" s="3"/>
    </row>
    <row r="3" spans="2:60" ht="19.5" x14ac:dyDescent="0.2">
      <c r="B3" s="3"/>
      <c r="C3" s="379"/>
      <c r="D3" s="612"/>
      <c r="E3" s="667"/>
      <c r="F3" s="652"/>
      <c r="G3" s="33"/>
      <c r="H3" s="33"/>
      <c r="I3" s="33"/>
      <c r="J3" s="81"/>
      <c r="K3" s="78"/>
      <c r="L3" s="78"/>
      <c r="M3" s="33"/>
      <c r="N3" s="33"/>
      <c r="O3" s="33"/>
      <c r="P3" s="33"/>
      <c r="Q3" s="33"/>
      <c r="R3" s="33"/>
      <c r="S3" s="33"/>
      <c r="T3" s="4"/>
      <c r="U3" s="4"/>
    </row>
    <row r="4" spans="2:60" s="614" customFormat="1" ht="9" customHeight="1" x14ac:dyDescent="0.2">
      <c r="B4" s="644"/>
      <c r="C4" s="644"/>
      <c r="D4" s="613"/>
      <c r="E4" s="613"/>
      <c r="F4" s="645"/>
      <c r="G4" s="645"/>
      <c r="H4" s="645"/>
      <c r="I4" s="645"/>
      <c r="J4" s="646"/>
      <c r="K4" s="646"/>
      <c r="L4" s="646"/>
      <c r="M4" s="645"/>
      <c r="N4" s="645"/>
      <c r="O4" s="645"/>
      <c r="P4" s="645"/>
      <c r="Q4" s="645"/>
      <c r="R4" s="645"/>
      <c r="S4" s="645"/>
      <c r="T4" s="613"/>
      <c r="U4" s="613"/>
    </row>
    <row r="5" spans="2:60" ht="15.75" x14ac:dyDescent="0.2">
      <c r="B5" s="51"/>
      <c r="C5" s="41"/>
      <c r="D5" s="51"/>
      <c r="E5" s="663" t="s">
        <v>24</v>
      </c>
      <c r="F5" s="51"/>
    </row>
    <row r="6" spans="2:60" ht="242.25" x14ac:dyDescent="0.2">
      <c r="B6" s="51"/>
      <c r="C6" s="43"/>
      <c r="D6" s="51"/>
      <c r="E6" s="665" t="s">
        <v>25</v>
      </c>
      <c r="F6" s="51"/>
    </row>
    <row r="7" spans="2:60" ht="15.75" x14ac:dyDescent="0.2">
      <c r="B7" s="51"/>
      <c r="C7" s="43"/>
      <c r="D7" s="51"/>
      <c r="E7" s="669" t="s">
        <v>26</v>
      </c>
      <c r="F7" s="51"/>
      <c r="G7" s="276"/>
    </row>
    <row r="8" spans="2:60" ht="15.75" x14ac:dyDescent="0.2">
      <c r="B8" s="51"/>
      <c r="C8" s="51"/>
      <c r="D8" s="51"/>
      <c r="E8" s="450"/>
      <c r="F8" s="51"/>
    </row>
    <row r="9" spans="2:60" ht="15.75" x14ac:dyDescent="0.2">
      <c r="B9" s="51"/>
      <c r="C9" s="41"/>
      <c r="D9" s="51"/>
      <c r="E9" s="663" t="s">
        <v>27</v>
      </c>
      <c r="F9" s="51"/>
      <c r="G9" s="490"/>
    </row>
    <row r="10" spans="2:60" ht="76.5" x14ac:dyDescent="0.2">
      <c r="B10" s="52"/>
      <c r="C10" s="47"/>
      <c r="D10" s="52"/>
      <c r="E10" s="665" t="s">
        <v>28</v>
      </c>
      <c r="F10" s="52"/>
    </row>
    <row r="11" spans="2:60" ht="15.75" x14ac:dyDescent="0.2">
      <c r="B11" s="51"/>
      <c r="C11" s="51"/>
      <c r="D11" s="51"/>
      <c r="E11" s="450"/>
      <c r="F11" s="51"/>
    </row>
    <row r="12" spans="2:60" ht="15.75" x14ac:dyDescent="0.2">
      <c r="B12" s="51"/>
      <c r="C12" s="41"/>
      <c r="D12" s="51"/>
      <c r="E12" s="663" t="s">
        <v>29</v>
      </c>
      <c r="F12" s="51"/>
      <c r="G12" s="490"/>
    </row>
    <row r="13" spans="2:60" ht="178.5" x14ac:dyDescent="0.2">
      <c r="B13" s="52"/>
      <c r="C13" s="47"/>
      <c r="D13" s="52"/>
      <c r="E13" s="666" t="s">
        <v>30</v>
      </c>
      <c r="F13" s="52"/>
    </row>
    <row r="14" spans="2:60" ht="15.75" x14ac:dyDescent="0.2">
      <c r="B14" s="51"/>
      <c r="C14" s="51"/>
      <c r="D14" s="51"/>
      <c r="E14" s="450"/>
      <c r="F14" s="51"/>
    </row>
    <row r="15" spans="2:60" ht="15.75" x14ac:dyDescent="0.2">
      <c r="B15" s="51"/>
      <c r="C15" s="41"/>
      <c r="D15" s="51"/>
      <c r="E15" s="663" t="s">
        <v>31</v>
      </c>
      <c r="F15" s="51"/>
      <c r="G15" s="490"/>
    </row>
    <row r="16" spans="2:60" ht="15.75" x14ac:dyDescent="0.2">
      <c r="B16" s="52"/>
      <c r="C16" s="47"/>
      <c r="D16" s="52"/>
      <c r="E16" s="665" t="s">
        <v>32</v>
      </c>
      <c r="F16" s="52"/>
    </row>
    <row r="17" spans="2:7" ht="15.75" x14ac:dyDescent="0.2">
      <c r="B17" s="52"/>
      <c r="C17" s="47"/>
      <c r="D17" s="52"/>
      <c r="E17" s="742" t="s">
        <v>33</v>
      </c>
      <c r="F17" s="52"/>
    </row>
    <row r="18" spans="2:7" ht="15.75" x14ac:dyDescent="0.2">
      <c r="B18" s="52"/>
      <c r="C18" s="47"/>
      <c r="D18" s="52"/>
      <c r="E18" s="743" t="s">
        <v>34</v>
      </c>
      <c r="F18" s="52"/>
    </row>
    <row r="19" spans="2:7" ht="15.75" x14ac:dyDescent="0.2">
      <c r="B19" s="52"/>
      <c r="C19" s="47"/>
      <c r="D19" s="52"/>
      <c r="E19" s="744" t="s">
        <v>35</v>
      </c>
      <c r="F19" s="52"/>
    </row>
    <row r="20" spans="2:7" ht="15.75" x14ac:dyDescent="0.2">
      <c r="B20" s="52"/>
      <c r="C20" s="47"/>
      <c r="D20" s="52"/>
      <c r="E20" s="745" t="s">
        <v>36</v>
      </c>
      <c r="F20" s="52"/>
    </row>
    <row r="21" spans="2:7" ht="15.75" x14ac:dyDescent="0.2">
      <c r="B21" s="51"/>
      <c r="C21" s="51"/>
      <c r="D21" s="51"/>
      <c r="E21" s="450"/>
      <c r="F21" s="51"/>
    </row>
    <row r="22" spans="2:7" ht="15.75" x14ac:dyDescent="0.2">
      <c r="B22" s="51"/>
      <c r="C22" s="41"/>
      <c r="D22" s="51"/>
      <c r="E22" s="663" t="s">
        <v>37</v>
      </c>
      <c r="F22" s="51"/>
      <c r="G22" s="490"/>
    </row>
    <row r="23" spans="2:7" ht="76.5" x14ac:dyDescent="0.2">
      <c r="B23" s="52"/>
      <c r="C23" s="47"/>
      <c r="D23" s="52"/>
      <c r="E23" s="665" t="s">
        <v>38</v>
      </c>
      <c r="F23" s="52"/>
    </row>
    <row r="24" spans="2:7" ht="15.75" x14ac:dyDescent="0.2">
      <c r="B24" s="51"/>
      <c r="C24" s="51"/>
      <c r="D24" s="51"/>
      <c r="E24" s="450"/>
      <c r="F24" s="51"/>
    </row>
    <row r="25" spans="2:7" ht="15.75" x14ac:dyDescent="0.2">
      <c r="B25" s="51"/>
      <c r="C25" s="41"/>
      <c r="D25" s="51"/>
      <c r="E25" s="663" t="s">
        <v>39</v>
      </c>
      <c r="F25" s="51"/>
    </row>
    <row r="26" spans="2:7" ht="242.25" x14ac:dyDescent="0.2">
      <c r="B26" s="51"/>
      <c r="C26" s="47"/>
      <c r="D26" s="51"/>
      <c r="E26" s="665" t="s">
        <v>40</v>
      </c>
      <c r="F26" s="51"/>
    </row>
    <row r="27" spans="2:7" ht="15.75" x14ac:dyDescent="0.2">
      <c r="B27" s="51"/>
      <c r="C27" s="51"/>
      <c r="D27" s="51"/>
      <c r="E27" s="450"/>
      <c r="F27" s="51"/>
    </row>
    <row r="28" spans="2:7" ht="15.75" x14ac:dyDescent="0.2">
      <c r="B28" s="51"/>
      <c r="C28" s="50"/>
      <c r="D28" s="51"/>
      <c r="E28" s="663" t="s">
        <v>41</v>
      </c>
      <c r="F28" s="51"/>
    </row>
    <row r="29" spans="2:7" ht="51" x14ac:dyDescent="0.2">
      <c r="B29" s="51"/>
      <c r="C29" s="49"/>
      <c r="D29" s="51"/>
      <c r="E29" s="665" t="s">
        <v>42</v>
      </c>
      <c r="F29" s="51"/>
    </row>
    <row r="30" spans="2:7" ht="15.75" x14ac:dyDescent="0.2">
      <c r="B30" s="51"/>
      <c r="C30" s="51"/>
      <c r="D30" s="51"/>
      <c r="E30" s="450"/>
      <c r="F30" s="51"/>
    </row>
    <row r="31" spans="2:7" ht="15.75" x14ac:dyDescent="0.2">
      <c r="B31" s="51"/>
      <c r="C31" s="50"/>
      <c r="D31" s="51"/>
      <c r="E31" s="663" t="s">
        <v>43</v>
      </c>
      <c r="F31" s="51"/>
    </row>
    <row r="32" spans="2:7" ht="38.25" x14ac:dyDescent="0.2">
      <c r="B32" s="51"/>
      <c r="C32" s="49"/>
      <c r="D32" s="51"/>
      <c r="E32" s="665" t="s">
        <v>44</v>
      </c>
      <c r="F32" s="51"/>
    </row>
    <row r="33" spans="2:7" ht="63.75" x14ac:dyDescent="0.2">
      <c r="B33" s="51"/>
      <c r="C33" s="49"/>
      <c r="D33" s="51"/>
      <c r="E33" s="665" t="s">
        <v>45</v>
      </c>
      <c r="F33" s="51"/>
    </row>
    <row r="34" spans="2:7" ht="15.75" x14ac:dyDescent="0.2">
      <c r="B34" s="51"/>
      <c r="C34" s="40"/>
      <c r="D34" s="51"/>
      <c r="E34" s="450"/>
      <c r="F34" s="51"/>
    </row>
    <row r="35" spans="2:7" ht="15.75" x14ac:dyDescent="0.2">
      <c r="B35" s="51"/>
      <c r="C35" s="50"/>
      <c r="D35" s="51"/>
      <c r="E35" s="663" t="s">
        <v>46</v>
      </c>
      <c r="F35" s="51"/>
    </row>
    <row r="36" spans="2:7" ht="38.25" x14ac:dyDescent="0.2">
      <c r="B36" s="51"/>
      <c r="C36" s="49"/>
      <c r="D36" s="51"/>
      <c r="E36" s="665" t="s">
        <v>47</v>
      </c>
      <c r="F36" s="51"/>
    </row>
    <row r="37" spans="2:7" ht="15.75" x14ac:dyDescent="0.2">
      <c r="B37" s="51"/>
      <c r="C37" s="40"/>
      <c r="D37" s="51"/>
      <c r="E37" s="450"/>
      <c r="F37" s="51"/>
    </row>
    <row r="38" spans="2:7" ht="15.75" x14ac:dyDescent="0.2">
      <c r="B38" s="51"/>
      <c r="C38" s="41"/>
      <c r="D38" s="51"/>
      <c r="E38" s="663" t="s">
        <v>48</v>
      </c>
      <c r="F38" s="51"/>
      <c r="G38" s="490"/>
    </row>
    <row r="39" spans="2:7" ht="38.25" x14ac:dyDescent="0.2">
      <c r="B39" s="51"/>
      <c r="C39" s="49"/>
      <c r="D39" s="51"/>
      <c r="E39" s="665" t="s">
        <v>49</v>
      </c>
      <c r="F39" s="51"/>
    </row>
  </sheetData>
  <sheetProtection algorithmName="SHA-512" hashValue="LRvN9sT/gfk3z31PD2tCYDY6GHz3KAji41qGvxjbzwqZWpZG45wBhidZnAblrPUFVVpnbaWwfO6+5CsJUUeKRw==" saltValue="6ccPVodGIr4RTCZo7Un98Q==" spinCount="100000" sheet="1" objects="1" scenarios="1" formatColumns="0" autoFilter="0"/>
  <phoneticPr fontId="4" type="noConversion"/>
  <hyperlinks>
    <hyperlink ref="E7" r:id="rId1" display="&gt;&gt; Protocol Uniforme Maatlat Gebouwde Omgeving (UMGO) voor de warmtevoorziening in de woning- en utiliteitsbouw - versie 4.3.1 d.d. 19 juni 2019" xr:uid="{A1A8C231-69DE-400F-BB3A-2FF5DA8C3C05}"/>
  </hyperlinks>
  <pageMargins left="0.25" right="0.25" top="0.75" bottom="0.75" header="0.3" footer="0.3"/>
  <pageSetup paperSize="9" scale="91" fitToHeight="0" orientation="portrait" r:id="rId2"/>
  <rowBreaks count="2" manualBreakCount="2">
    <brk id="24" min="2" max="2" man="1"/>
    <brk id="30" min="2" max="2"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91CDE-CC8F-4275-81BF-B5F9CB14A7EE}">
  <sheetPr codeName="Blad2">
    <tabColor theme="6" tint="0.59999389629810485"/>
    <outlinePr showOutlineSymbols="0"/>
    <pageSetUpPr fitToPage="1"/>
  </sheetPr>
  <dimension ref="A1:BH70"/>
  <sheetViews>
    <sheetView showGridLines="0" showRowColHeaders="0" zoomScaleNormal="100" workbookViewId="0">
      <pane xSplit="8" ySplit="9" topLeftCell="I10" activePane="bottomRight" state="frozen"/>
      <selection pane="topRight" activeCell="I1" sqref="I1"/>
      <selection pane="bottomLeft" activeCell="A10" sqref="A10"/>
      <selection pane="bottomRight" activeCell="F3" sqref="F3:G3"/>
    </sheetView>
  </sheetViews>
  <sheetFormatPr defaultRowHeight="15.75" x14ac:dyDescent="0.2"/>
  <cols>
    <col min="1" max="1" width="0.5703125" style="615" customWidth="1"/>
    <col min="2" max="3" width="2.7109375" customWidth="1"/>
    <col min="4" max="4" width="2.7109375" style="878" customWidth="1"/>
    <col min="5" max="6" width="31.5703125" customWidth="1"/>
    <col min="7" max="7" width="20.7109375" customWidth="1"/>
    <col min="8" max="9" width="0.28515625" customWidth="1"/>
    <col min="10" max="10" width="15.7109375" customWidth="1"/>
    <col min="11" max="11" width="0.28515625" customWidth="1"/>
    <col min="12" max="20" width="15.7109375" customWidth="1"/>
    <col min="21" max="21" width="1" customWidth="1"/>
  </cols>
  <sheetData>
    <row r="1" spans="1:60" s="832" customFormat="1" ht="21" x14ac:dyDescent="0.2">
      <c r="A1" s="826"/>
      <c r="B1" s="826"/>
      <c r="C1" s="826"/>
      <c r="D1" s="867"/>
      <c r="E1" s="829" t="str">
        <f>disclaimer!$E$7&amp;" - "&amp;"versie "&amp;TEXT(disclaimer!$E$8,"d mmm jjjj")</f>
        <v>Uniforme Maatlat Gebouwde Omgeving 5.04 - versie 5 apr 2023</v>
      </c>
      <c r="F1" s="830"/>
      <c r="G1" s="830"/>
      <c r="H1" s="829"/>
      <c r="I1" s="830"/>
      <c r="J1" s="828"/>
      <c r="K1" s="831"/>
      <c r="L1" s="831"/>
      <c r="M1" s="831"/>
      <c r="N1" s="831"/>
      <c r="O1" s="835"/>
      <c r="P1" s="831"/>
      <c r="Q1" s="831"/>
      <c r="R1" s="831"/>
      <c r="S1" s="831"/>
      <c r="T1" s="831"/>
      <c r="U1" s="831"/>
      <c r="V1" s="831"/>
      <c r="W1" s="831"/>
      <c r="X1" s="831"/>
      <c r="Y1" s="831"/>
      <c r="Z1" s="831"/>
      <c r="AA1" s="835"/>
      <c r="AB1" s="831"/>
      <c r="AC1" s="831"/>
      <c r="AD1" s="831"/>
      <c r="AE1" s="831"/>
      <c r="AF1" s="831"/>
      <c r="AG1" s="831"/>
      <c r="AH1" s="831"/>
      <c r="AI1" s="831"/>
      <c r="AJ1" s="831"/>
      <c r="AK1" s="831"/>
      <c r="AL1" s="831"/>
      <c r="AM1" s="835"/>
      <c r="AN1" s="831"/>
      <c r="AO1" s="831"/>
      <c r="AP1" s="831"/>
      <c r="AQ1" s="831"/>
      <c r="AR1" s="831"/>
      <c r="AS1" s="831"/>
      <c r="AT1" s="831"/>
      <c r="AU1" s="831"/>
      <c r="AV1" s="831"/>
      <c r="AW1" s="831"/>
      <c r="AX1" s="831"/>
      <c r="AY1" s="831"/>
      <c r="AZ1" s="831"/>
      <c r="BA1" s="831"/>
      <c r="BB1" s="831"/>
      <c r="BC1" s="831"/>
      <c r="BD1" s="831"/>
      <c r="BE1" s="831"/>
      <c r="BF1" s="831"/>
      <c r="BG1" s="831"/>
      <c r="BH1" s="831"/>
    </row>
    <row r="2" spans="1:60" ht="23.25" x14ac:dyDescent="0.2">
      <c r="B2" s="69"/>
      <c r="C2" s="69"/>
      <c r="D2" s="754" t="s">
        <v>50</v>
      </c>
      <c r="E2" s="642" t="s">
        <v>51</v>
      </c>
      <c r="F2" s="4"/>
      <c r="G2" s="790" t="str">
        <f>IF(ISERROR(SUM(J11:J12))=TRUE,"controleer invoer","")</f>
        <v/>
      </c>
      <c r="H2" s="4"/>
      <c r="I2" s="9"/>
      <c r="J2" s="73"/>
      <c r="K2" s="73"/>
      <c r="L2" s="73"/>
      <c r="M2" s="73"/>
      <c r="N2" s="73"/>
      <c r="O2" s="72"/>
      <c r="P2" s="71"/>
      <c r="Q2" s="71"/>
      <c r="R2" s="71"/>
      <c r="S2" s="71"/>
      <c r="T2" s="71"/>
      <c r="U2" s="71"/>
    </row>
    <row r="3" spans="1:60" ht="15.75" customHeight="1" x14ac:dyDescent="0.2">
      <c r="B3" s="35"/>
      <c r="C3" s="35"/>
      <c r="D3" s="36"/>
      <c r="E3" s="864" t="s">
        <v>52</v>
      </c>
      <c r="F3" s="1061"/>
      <c r="G3" s="1062"/>
      <c r="H3" s="5"/>
      <c r="I3" s="16"/>
      <c r="J3" s="74"/>
      <c r="K3" s="74"/>
      <c r="L3" s="74"/>
      <c r="M3" s="74"/>
      <c r="N3" s="74"/>
      <c r="O3" s="74"/>
      <c r="P3" s="74"/>
      <c r="Q3" s="74"/>
      <c r="R3" s="74"/>
      <c r="S3" s="74"/>
      <c r="T3" s="74"/>
      <c r="U3" s="74"/>
    </row>
    <row r="4" spans="1:60" ht="15.75" customHeight="1" x14ac:dyDescent="0.2">
      <c r="B4" s="1063" t="s">
        <v>53</v>
      </c>
      <c r="C4" s="34"/>
      <c r="D4" s="70"/>
      <c r="E4" s="865" t="s">
        <v>54</v>
      </c>
      <c r="F4" s="1064"/>
      <c r="G4" s="1065"/>
      <c r="H4" s="4"/>
      <c r="I4" s="9"/>
      <c r="J4" s="71"/>
      <c r="K4" s="71"/>
      <c r="L4" s="71"/>
      <c r="M4" s="71"/>
      <c r="N4" s="71"/>
      <c r="O4" s="71"/>
      <c r="P4" s="71"/>
      <c r="Q4" s="71"/>
      <c r="R4" s="71"/>
      <c r="S4" s="71"/>
      <c r="T4" s="71"/>
      <c r="U4" s="71"/>
    </row>
    <row r="5" spans="1:60" ht="15.75" customHeight="1" x14ac:dyDescent="0.2">
      <c r="B5" s="1063"/>
      <c r="C5" s="34"/>
      <c r="D5" s="36"/>
      <c r="E5" s="866" t="s">
        <v>55</v>
      </c>
      <c r="F5" s="1066"/>
      <c r="G5" s="1067"/>
      <c r="H5" s="4"/>
      <c r="I5" s="9"/>
      <c r="J5" s="71"/>
      <c r="K5" s="71"/>
      <c r="L5" s="71"/>
      <c r="M5" s="71"/>
      <c r="N5" s="71"/>
      <c r="O5" s="71"/>
      <c r="P5" s="71"/>
      <c r="Q5" s="71"/>
      <c r="R5" s="71"/>
      <c r="S5" s="71"/>
      <c r="T5" s="71"/>
      <c r="U5" s="71"/>
    </row>
    <row r="6" spans="1:60" s="614" customFormat="1" ht="9" customHeight="1" x14ac:dyDescent="0.2">
      <c r="A6" s="660"/>
      <c r="B6" s="1063"/>
      <c r="C6" s="613"/>
      <c r="D6" s="874"/>
      <c r="E6" s="645"/>
      <c r="F6" s="645"/>
      <c r="G6" s="645"/>
      <c r="H6" s="645"/>
      <c r="I6" s="646"/>
      <c r="J6" s="646"/>
      <c r="K6" s="646"/>
      <c r="L6" s="645"/>
      <c r="M6" s="645"/>
      <c r="N6" s="645"/>
      <c r="O6" s="645"/>
      <c r="P6" s="645"/>
      <c r="Q6" s="645"/>
      <c r="R6" s="645"/>
      <c r="S6" s="645"/>
      <c r="T6" s="613"/>
      <c r="U6" s="613"/>
    </row>
    <row r="7" spans="1:60" ht="19.5" x14ac:dyDescent="0.2">
      <c r="A7" s="668"/>
      <c r="B7" s="379"/>
      <c r="C7" s="612"/>
      <c r="D7" s="748" t="s">
        <v>50</v>
      </c>
      <c r="E7" s="652"/>
      <c r="F7" s="33"/>
      <c r="G7" s="33"/>
      <c r="H7" s="33"/>
      <c r="I7" s="81"/>
      <c r="J7" s="78"/>
      <c r="K7" s="78"/>
      <c r="L7" s="33"/>
      <c r="M7" s="33"/>
      <c r="N7" s="33"/>
      <c r="O7" s="33"/>
      <c r="P7" s="33"/>
      <c r="Q7" s="33"/>
      <c r="R7" s="33"/>
      <c r="S7" s="33"/>
      <c r="T7" s="4"/>
      <c r="U7" s="4"/>
    </row>
    <row r="8" spans="1:60" s="614" customFormat="1" ht="9" customHeight="1" x14ac:dyDescent="0.2">
      <c r="A8" s="660"/>
      <c r="B8" s="644"/>
      <c r="C8" s="613"/>
      <c r="D8" s="874"/>
      <c r="E8" s="645"/>
      <c r="F8" s="645"/>
      <c r="G8" s="645"/>
      <c r="H8" s="645"/>
      <c r="I8" s="646"/>
      <c r="J8" s="646"/>
      <c r="K8" s="646"/>
      <c r="L8" s="645"/>
      <c r="M8" s="645"/>
      <c r="N8" s="645"/>
      <c r="O8" s="645"/>
      <c r="P8" s="645"/>
      <c r="Q8" s="645"/>
      <c r="R8" s="645"/>
      <c r="S8" s="645"/>
      <c r="T8" s="613"/>
      <c r="U8" s="613"/>
    </row>
    <row r="9" spans="1:60" ht="21" x14ac:dyDescent="0.2">
      <c r="B9" s="659" t="s">
        <v>56</v>
      </c>
      <c r="C9" s="38"/>
      <c r="D9" s="875"/>
      <c r="E9" s="253" t="s">
        <v>57</v>
      </c>
      <c r="F9" s="1060"/>
      <c r="G9" s="1060"/>
      <c r="H9" s="80"/>
      <c r="I9" s="76"/>
      <c r="J9" s="318" t="s">
        <v>58</v>
      </c>
      <c r="K9" s="76"/>
      <c r="L9" s="440" t="s">
        <v>59</v>
      </c>
      <c r="M9" s="440" t="s">
        <v>60</v>
      </c>
    </row>
    <row r="10" spans="1:60" ht="18.75" x14ac:dyDescent="0.2">
      <c r="B10" s="659" t="s">
        <v>56</v>
      </c>
      <c r="C10" s="475"/>
      <c r="D10" s="876" t="s">
        <v>61</v>
      </c>
      <c r="E10" s="236" t="s">
        <v>62</v>
      </c>
      <c r="F10" s="236"/>
      <c r="G10" s="236"/>
      <c r="H10" s="89"/>
      <c r="I10" s="236"/>
      <c r="J10" s="236"/>
      <c r="K10" s="236"/>
      <c r="L10" s="236"/>
      <c r="M10" s="236"/>
      <c r="N10" s="236"/>
      <c r="O10" s="236"/>
      <c r="P10" s="236"/>
      <c r="Q10" s="236"/>
      <c r="R10" s="236"/>
      <c r="S10" s="236"/>
      <c r="T10" s="236"/>
      <c r="U10" s="236"/>
      <c r="V10" s="236"/>
      <c r="W10" s="236"/>
      <c r="X10" s="236"/>
      <c r="Y10" s="236"/>
      <c r="Z10" s="236"/>
      <c r="AA10" s="236"/>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38"/>
      <c r="BC10" s="38"/>
      <c r="BD10" s="274"/>
    </row>
    <row r="11" spans="1:60" s="38" customFormat="1" x14ac:dyDescent="0.2">
      <c r="A11" s="615"/>
      <c r="B11" s="659" t="s">
        <v>56</v>
      </c>
      <c r="D11" s="875"/>
      <c r="E11" s="182" t="s">
        <v>63</v>
      </c>
      <c r="F11" s="182"/>
      <c r="G11" s="183" t="s">
        <v>64</v>
      </c>
      <c r="H11" s="76"/>
      <c r="I11" s="474"/>
      <c r="J11" s="230">
        <f>SUM(K11:U11)</f>
        <v>0</v>
      </c>
      <c r="K11" s="474"/>
      <c r="L11" s="465">
        <f>J22+J36+J50+J64</f>
        <v>0</v>
      </c>
      <c r="M11" s="465">
        <f>J23+J37+J51+J65</f>
        <v>0</v>
      </c>
    </row>
    <row r="12" spans="1:60" s="38" customFormat="1" x14ac:dyDescent="0.2">
      <c r="A12" s="615"/>
      <c r="B12" s="659" t="s">
        <v>56</v>
      </c>
      <c r="D12" s="875"/>
      <c r="E12" s="182" t="s">
        <v>65</v>
      </c>
      <c r="F12" s="182"/>
      <c r="G12" s="183" t="s">
        <v>66</v>
      </c>
      <c r="H12" s="76"/>
      <c r="I12" s="474"/>
      <c r="J12" s="230">
        <f>SUM(K12:U12)</f>
        <v>0</v>
      </c>
      <c r="K12" s="474"/>
      <c r="L12" s="465">
        <f>SUMPRODUCT(K22:U22,$K$24:$U$24)+SUMPRODUCT(K36:U36,$K$38:$U$38)+SUMPRODUCT(K50:U50,$K$52:$U$52)+SUMPRODUCT(K64:U64,$K$66:$U$66)</f>
        <v>0</v>
      </c>
      <c r="M12" s="465">
        <f>SUMPRODUCT(K23:U23,$K$24:$U$24)+SUMPRODUCT(K37:U37,$K$38:$U$38)+SUMPRODUCT(K51:U51,$K$52:$U$52)+SUMPRODUCT(K65:U65,$K$66:$U$66)</f>
        <v>0</v>
      </c>
    </row>
    <row r="13" spans="1:60" x14ac:dyDescent="0.2">
      <c r="B13" s="659" t="s">
        <v>56</v>
      </c>
      <c r="C13" s="38"/>
      <c r="D13" s="875"/>
      <c r="E13" s="38"/>
      <c r="F13" s="38"/>
      <c r="G13" s="38"/>
      <c r="H13" s="38"/>
      <c r="I13" s="38"/>
      <c r="J13" s="75"/>
      <c r="K13" s="38"/>
      <c r="L13" s="75"/>
      <c r="M13" s="75"/>
      <c r="N13" s="75"/>
      <c r="O13" s="75"/>
      <c r="P13" s="75"/>
      <c r="Q13" s="75"/>
      <c r="R13" s="75"/>
      <c r="S13" s="75"/>
      <c r="T13" s="75"/>
      <c r="U13" s="75"/>
    </row>
    <row r="14" spans="1:60" x14ac:dyDescent="0.2">
      <c r="B14" s="659" t="s">
        <v>67</v>
      </c>
      <c r="C14" s="38"/>
      <c r="D14" s="875"/>
      <c r="E14" s="38"/>
      <c r="F14" s="38"/>
      <c r="G14" s="38"/>
      <c r="H14" s="38"/>
      <c r="I14" s="38"/>
      <c r="J14" s="75"/>
      <c r="K14" s="38"/>
      <c r="L14" s="75"/>
      <c r="M14" s="75"/>
      <c r="N14" s="75"/>
      <c r="O14" s="75"/>
      <c r="P14" s="75"/>
      <c r="Q14" s="75"/>
      <c r="R14" s="75"/>
      <c r="S14" s="75"/>
      <c r="T14" s="75"/>
      <c r="U14" s="75"/>
    </row>
    <row r="15" spans="1:60" ht="21" x14ac:dyDescent="0.2">
      <c r="B15" s="659" t="s">
        <v>67</v>
      </c>
      <c r="C15" s="38"/>
      <c r="D15" s="875"/>
      <c r="E15" s="253" t="s">
        <v>67</v>
      </c>
      <c r="F15" s="1060"/>
      <c r="G15" s="1060"/>
      <c r="H15" s="80"/>
      <c r="I15" s="76"/>
      <c r="J15" s="318" t="s">
        <v>58</v>
      </c>
      <c r="K15" s="76"/>
      <c r="L15" s="440">
        <f ca="1">OFFSET(L15,0,-1)+1</f>
        <v>1</v>
      </c>
      <c r="M15" s="440">
        <f t="shared" ref="M15:T15" ca="1" si="0">OFFSET(M15,0,-1)+1</f>
        <v>2</v>
      </c>
      <c r="N15" s="440">
        <f t="shared" ca="1" si="0"/>
        <v>3</v>
      </c>
      <c r="O15" s="440">
        <f t="shared" ca="1" si="0"/>
        <v>4</v>
      </c>
      <c r="P15" s="440">
        <f t="shared" ca="1" si="0"/>
        <v>5</v>
      </c>
      <c r="Q15" s="440">
        <f t="shared" ca="1" si="0"/>
        <v>6</v>
      </c>
      <c r="R15" s="440">
        <f t="shared" ca="1" si="0"/>
        <v>7</v>
      </c>
      <c r="S15" s="440">
        <f t="shared" ca="1" si="0"/>
        <v>8</v>
      </c>
      <c r="T15" s="440">
        <f t="shared" ca="1" si="0"/>
        <v>9</v>
      </c>
      <c r="U15" s="76"/>
    </row>
    <row r="16" spans="1:60" ht="18.75" x14ac:dyDescent="0.2">
      <c r="B16" s="659" t="s">
        <v>67</v>
      </c>
      <c r="C16" s="475"/>
      <c r="D16" s="876" t="s">
        <v>61</v>
      </c>
      <c r="E16" s="236" t="s">
        <v>68</v>
      </c>
      <c r="F16" s="236"/>
      <c r="G16" s="236"/>
      <c r="H16" s="89"/>
      <c r="I16" s="236"/>
      <c r="J16" s="236"/>
      <c r="K16" s="236"/>
      <c r="L16" s="236"/>
      <c r="M16" s="236"/>
      <c r="N16" s="236"/>
      <c r="O16" s="236"/>
      <c r="P16" s="236"/>
      <c r="Q16" s="236"/>
      <c r="R16" s="236"/>
      <c r="S16" s="236"/>
      <c r="T16" s="236"/>
      <c r="U16" s="236"/>
      <c r="V16" s="236"/>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38"/>
      <c r="BC16" s="38"/>
      <c r="BD16" s="274"/>
    </row>
    <row r="17" spans="1:56" s="2" customFormat="1" x14ac:dyDescent="0.2">
      <c r="A17" s="616"/>
      <c r="B17" s="659" t="s">
        <v>67</v>
      </c>
      <c r="D17" s="877"/>
      <c r="E17" s="220" t="s">
        <v>69</v>
      </c>
      <c r="F17" s="220"/>
      <c r="G17" s="221" t="s">
        <v>70</v>
      </c>
      <c r="H17" s="4"/>
      <c r="I17" s="478"/>
      <c r="J17" s="634"/>
      <c r="K17" s="478"/>
      <c r="L17" s="1059"/>
      <c r="M17" s="1059"/>
      <c r="N17" s="1059"/>
      <c r="O17" s="1059"/>
      <c r="P17" s="1059"/>
      <c r="Q17" s="1059"/>
      <c r="R17" s="1059"/>
      <c r="S17" s="1059"/>
      <c r="T17" s="1059"/>
      <c r="U17" s="635"/>
    </row>
    <row r="18" spans="1:56" s="2" customFormat="1" x14ac:dyDescent="0.2">
      <c r="A18" s="616"/>
      <c r="B18" s="659" t="s">
        <v>67</v>
      </c>
      <c r="D18" s="751" t="s">
        <v>50</v>
      </c>
      <c r="E18" s="220" t="s">
        <v>71</v>
      </c>
      <c r="F18" s="220"/>
      <c r="G18" s="221" t="s">
        <v>70</v>
      </c>
      <c r="H18" s="4"/>
      <c r="I18" s="478"/>
      <c r="J18" s="634"/>
      <c r="K18" s="478"/>
      <c r="L18" s="559"/>
      <c r="M18" s="559"/>
      <c r="N18" s="559"/>
      <c r="O18" s="559"/>
      <c r="P18" s="559"/>
      <c r="Q18" s="559"/>
      <c r="R18" s="559"/>
      <c r="S18" s="559"/>
      <c r="T18" s="559"/>
      <c r="U18" s="635"/>
    </row>
    <row r="19" spans="1:56" s="2" customFormat="1" x14ac:dyDescent="0.2">
      <c r="A19" s="616"/>
      <c r="B19" s="659"/>
      <c r="D19" s="877"/>
      <c r="E19" s="317" t="s">
        <v>73</v>
      </c>
      <c r="F19" s="220"/>
      <c r="G19" s="221" t="s">
        <v>70</v>
      </c>
      <c r="H19" s="4"/>
      <c r="I19" s="478"/>
      <c r="J19" s="634"/>
      <c r="K19" s="478"/>
      <c r="L19" s="702" t="str">
        <f>IF(L18="","",INDEX(bibliotheek!$H$14:$EC$14,MATCH(L18,woningen_gebouwen_namen,0)))</f>
        <v/>
      </c>
      <c r="M19" s="702" t="str">
        <f>IF(M18="","",INDEX(bibliotheek!$H$14:$EC$14,MATCH(M18,woningen_gebouwen_namen,0)))</f>
        <v/>
      </c>
      <c r="N19" s="702" t="str">
        <f>IF(N18="","",INDEX(bibliotheek!$H$14:$EC$14,MATCH(N18,woningen_gebouwen_namen,0)))</f>
        <v/>
      </c>
      <c r="O19" s="702" t="str">
        <f>IF(O18="","",INDEX(bibliotheek!$H$14:$EC$14,MATCH(O18,woningen_gebouwen_namen,0)))</f>
        <v/>
      </c>
      <c r="P19" s="702" t="str">
        <f>IF(P18="","",INDEX(bibliotheek!$H$14:$EC$14,MATCH(P18,woningen_gebouwen_namen,0)))</f>
        <v/>
      </c>
      <c r="Q19" s="702" t="str">
        <f>IF(Q18="","",INDEX(bibliotheek!$H$14:$EC$14,MATCH(Q18,woningen_gebouwen_namen,0)))</f>
        <v/>
      </c>
      <c r="R19" s="702" t="str">
        <f>IF(R18="","",INDEX(bibliotheek!$H$14:$EC$14,MATCH(R18,woningen_gebouwen_namen,0)))</f>
        <v/>
      </c>
      <c r="S19" s="702" t="str">
        <f>IF(S18="","",INDEX(bibliotheek!$H$14:$EC$14,MATCH(S18,woningen_gebouwen_namen,0)))</f>
        <v/>
      </c>
      <c r="T19" s="702" t="str">
        <f>IF(T18="","",INDEX(bibliotheek!$H$14:$EC$14,MATCH(T18,woningen_gebouwen_namen,0)))</f>
        <v/>
      </c>
      <c r="U19" s="635"/>
    </row>
    <row r="20" spans="1:56" s="2" customFormat="1" x14ac:dyDescent="0.2">
      <c r="A20" s="616"/>
      <c r="B20" s="659" t="s">
        <v>67</v>
      </c>
      <c r="D20" s="877"/>
      <c r="E20" s="412" t="s">
        <v>74</v>
      </c>
      <c r="F20" s="220"/>
      <c r="G20" s="221" t="s">
        <v>70</v>
      </c>
      <c r="H20" s="4"/>
      <c r="I20" s="478"/>
      <c r="J20" s="634"/>
      <c r="K20" s="478"/>
      <c r="L20" s="701"/>
      <c r="M20" s="701"/>
      <c r="N20" s="701"/>
      <c r="O20" s="701"/>
      <c r="P20" s="701"/>
      <c r="Q20" s="701"/>
      <c r="R20" s="701"/>
      <c r="S20" s="701"/>
      <c r="T20" s="701"/>
      <c r="U20" s="635"/>
    </row>
    <row r="21" spans="1:56" s="2" customFormat="1" x14ac:dyDescent="0.2">
      <c r="A21" s="616"/>
      <c r="B21" s="659" t="s">
        <v>67</v>
      </c>
      <c r="D21" s="877"/>
      <c r="E21" s="220" t="s">
        <v>75</v>
      </c>
      <c r="F21" s="220"/>
      <c r="G21" s="221" t="s">
        <v>64</v>
      </c>
      <c r="H21" s="4"/>
      <c r="I21" s="13"/>
      <c r="J21" s="230">
        <f>J22+J23</f>
        <v>0</v>
      </c>
      <c r="K21" s="478"/>
      <c r="L21" s="329"/>
      <c r="M21" s="329"/>
      <c r="N21" s="329"/>
      <c r="O21" s="329"/>
      <c r="P21" s="329"/>
      <c r="Q21" s="329"/>
      <c r="R21" s="329"/>
      <c r="S21" s="329"/>
      <c r="T21" s="329"/>
      <c r="U21" s="479"/>
    </row>
    <row r="22" spans="1:56" s="2" customFormat="1" x14ac:dyDescent="0.2">
      <c r="A22" s="616"/>
      <c r="B22" s="659" t="s">
        <v>67</v>
      </c>
      <c r="D22" s="877"/>
      <c r="E22" s="316" t="s">
        <v>76</v>
      </c>
      <c r="F22" s="316"/>
      <c r="G22" s="354" t="s">
        <v>77</v>
      </c>
      <c r="H22" s="4"/>
      <c r="I22" s="13"/>
      <c r="J22" s="230">
        <f>SUM(K22:U22)</f>
        <v>0</v>
      </c>
      <c r="K22" s="478"/>
      <c r="L22" s="636" t="str">
        <f>IF(L18="","",IF(OR(HLOOKUP(L18,woningen_gebouwen_gegevens,ROWS(bibliotheek!$E$13:$E$14),FALSE)=woning,HLOOKUP(L18,woningen_gebouwen_gegevens,ROWS(bibliotheek!$E$13:$E$14),FALSE)=woongebouw),L21,0))</f>
        <v/>
      </c>
      <c r="M22" s="636" t="str">
        <f>IF(M18="","",IF(OR(HLOOKUP(M18,woningen_gebouwen_gegevens,ROWS(bibliotheek!$E$13:$E$14),FALSE)=woning,HLOOKUP(M18,woningen_gebouwen_gegevens,ROWS(bibliotheek!$E$13:$E$14),FALSE)=woongebouw),M21,0))</f>
        <v/>
      </c>
      <c r="N22" s="636" t="str">
        <f>IF(N18="","",IF(OR(HLOOKUP(N18,woningen_gebouwen_gegevens,ROWS(bibliotheek!$E$13:$E$14),FALSE)=woning,HLOOKUP(N18,woningen_gebouwen_gegevens,ROWS(bibliotheek!$E$13:$E$14),FALSE)=woongebouw),N21,0))</f>
        <v/>
      </c>
      <c r="O22" s="636" t="str">
        <f>IF(O18="","",IF(OR(HLOOKUP(O18,woningen_gebouwen_gegevens,ROWS(bibliotheek!$E$13:$E$14),FALSE)=woning,HLOOKUP(O18,woningen_gebouwen_gegevens,ROWS(bibliotheek!$E$13:$E$14),FALSE)=woongebouw),O21,0))</f>
        <v/>
      </c>
      <c r="P22" s="636" t="str">
        <f>IF(P18="","",IF(OR(HLOOKUP(P18,woningen_gebouwen_gegevens,ROWS(bibliotheek!$E$13:$E$14),FALSE)=woning,HLOOKUP(P18,woningen_gebouwen_gegevens,ROWS(bibliotheek!$E$13:$E$14),FALSE)=woongebouw),P21,0))</f>
        <v/>
      </c>
      <c r="Q22" s="636" t="str">
        <f>IF(Q18="","",IF(OR(HLOOKUP(Q18,woningen_gebouwen_gegevens,ROWS(bibliotheek!$E$13:$E$14),FALSE)=woning,HLOOKUP(Q18,woningen_gebouwen_gegevens,ROWS(bibliotheek!$E$13:$E$14),FALSE)=woongebouw),Q21,0))</f>
        <v/>
      </c>
      <c r="R22" s="636" t="str">
        <f>IF(R18="","",IF(OR(HLOOKUP(R18,woningen_gebouwen_gegevens,ROWS(bibliotheek!$E$13:$E$14),FALSE)=woning,HLOOKUP(R18,woningen_gebouwen_gegevens,ROWS(bibliotheek!$E$13:$E$14),FALSE)=woongebouw),R21,0))</f>
        <v/>
      </c>
      <c r="S22" s="636" t="str">
        <f>IF(S18="","",IF(OR(HLOOKUP(S18,woningen_gebouwen_gegevens,ROWS(bibliotheek!$E$13:$E$14),FALSE)=woning,HLOOKUP(S18,woningen_gebouwen_gegevens,ROWS(bibliotheek!$E$13:$E$14),FALSE)=woongebouw),S21,0))</f>
        <v/>
      </c>
      <c r="T22" s="636" t="str">
        <f>IF(T18="","",IF(OR(HLOOKUP(T18,woningen_gebouwen_gegevens,ROWS(bibliotheek!$E$13:$E$14),FALSE)=woning,HLOOKUP(T18,woningen_gebouwen_gegevens,ROWS(bibliotheek!$E$13:$E$14),FALSE)=woongebouw),T21,0))</f>
        <v/>
      </c>
      <c r="U22" s="479"/>
    </row>
    <row r="23" spans="1:56" s="2" customFormat="1" x14ac:dyDescent="0.2">
      <c r="A23" s="616"/>
      <c r="B23" s="659" t="s">
        <v>67</v>
      </c>
      <c r="D23" s="877"/>
      <c r="E23" s="316" t="s">
        <v>78</v>
      </c>
      <c r="F23" s="316"/>
      <c r="G23" s="354" t="s">
        <v>79</v>
      </c>
      <c r="H23" s="4"/>
      <c r="I23" s="13"/>
      <c r="J23" s="230">
        <f>SUM(K23:U23)</f>
        <v>0</v>
      </c>
      <c r="K23" s="478"/>
      <c r="L23" s="466" t="str">
        <f>IF(L18="","""",L21-L22)</f>
        <v>"</v>
      </c>
      <c r="M23" s="466" t="str">
        <f t="shared" ref="M23:T23" si="1">IF(M18="","""",M21-M22)</f>
        <v>"</v>
      </c>
      <c r="N23" s="466" t="str">
        <f t="shared" si="1"/>
        <v>"</v>
      </c>
      <c r="O23" s="466" t="str">
        <f t="shared" si="1"/>
        <v>"</v>
      </c>
      <c r="P23" s="466" t="str">
        <f t="shared" si="1"/>
        <v>"</v>
      </c>
      <c r="Q23" s="466" t="str">
        <f t="shared" si="1"/>
        <v>"</v>
      </c>
      <c r="R23" s="466" t="str">
        <f t="shared" si="1"/>
        <v>"</v>
      </c>
      <c r="S23" s="466" t="str">
        <f>IF(S18="","""",S21-S22)</f>
        <v>"</v>
      </c>
      <c r="T23" s="466" t="str">
        <f t="shared" si="1"/>
        <v>"</v>
      </c>
      <c r="U23" s="479"/>
    </row>
    <row r="24" spans="1:56" s="2" customFormat="1" x14ac:dyDescent="0.2">
      <c r="A24" s="616"/>
      <c r="B24" s="659" t="s">
        <v>67</v>
      </c>
      <c r="D24" s="877"/>
      <c r="E24" s="316" t="s">
        <v>80</v>
      </c>
      <c r="F24" s="316"/>
      <c r="G24" s="354" t="s">
        <v>81</v>
      </c>
      <c r="J24" s="229">
        <f>SUMPRODUCT(K21:U21,K24:U24)</f>
        <v>0</v>
      </c>
      <c r="L24" s="452" t="str">
        <f>IF(L18="","",IF(L25&lt;&gt;"",L25,HLOOKUP(L18,woningen_gebouwen_gegevens,ROWS(bibliotheek!$E$13:$E$16),FALSE)))</f>
        <v/>
      </c>
      <c r="M24" s="452" t="str">
        <f>IF(M18="","",IF(M25&lt;&gt;"",M25,HLOOKUP(M18,woningen_gebouwen_gegevens,ROWS(bibliotheek!$E$13:$E$16),FALSE)))</f>
        <v/>
      </c>
      <c r="N24" s="452" t="str">
        <f>IF(N18="","",IF(N25&lt;&gt;"",N25,HLOOKUP(N18,woningen_gebouwen_gegevens,ROWS(bibliotheek!$E$13:$E$16),FALSE)))</f>
        <v/>
      </c>
      <c r="O24" s="452" t="str">
        <f>IF(O18="","",IF(O25&lt;&gt;"",O25,HLOOKUP(O18,woningen_gebouwen_gegevens,ROWS(bibliotheek!$E$13:$E$16),FALSE)))</f>
        <v/>
      </c>
      <c r="P24" s="452" t="str">
        <f>IF(P18="","",IF(P25&lt;&gt;"",P25,HLOOKUP(P18,woningen_gebouwen_gegevens,ROWS(bibliotheek!$E$13:$E$16),FALSE)))</f>
        <v/>
      </c>
      <c r="Q24" s="452" t="str">
        <f>IF(Q18="","",IF(Q25&lt;&gt;"",Q25,HLOOKUP(Q18,woningen_gebouwen_gegevens,ROWS(bibliotheek!$E$13:$E$16),FALSE)))</f>
        <v/>
      </c>
      <c r="R24" s="452" t="str">
        <f>IF(R18="","",IF(R25&lt;&gt;"",R25,HLOOKUP(R18,woningen_gebouwen_gegevens,ROWS(bibliotheek!$E$13:$E$16),FALSE)))</f>
        <v/>
      </c>
      <c r="S24" s="452" t="str">
        <f>IF(S18="","",IF(S25&lt;&gt;"",S25,HLOOKUP(S18,woningen_gebouwen_gegevens,ROWS(bibliotheek!$E$13:$E$16),FALSE)))</f>
        <v/>
      </c>
      <c r="T24" s="452" t="str">
        <f>IF(T18="","",IF(T25&lt;&gt;"",T25,HLOOKUP(T18,woningen_gebouwen_gegevens,ROWS(bibliotheek!$E$13:$E$16),FALSE)))</f>
        <v/>
      </c>
      <c r="U24" s="441"/>
    </row>
    <row r="25" spans="1:56" s="2" customFormat="1" x14ac:dyDescent="0.2">
      <c r="A25" s="616"/>
      <c r="B25" s="659" t="s">
        <v>67</v>
      </c>
      <c r="D25" s="877"/>
      <c r="E25" s="412" t="s">
        <v>82</v>
      </c>
      <c r="F25" s="317"/>
      <c r="G25" s="355"/>
      <c r="J25" s="239"/>
      <c r="L25" s="159"/>
      <c r="M25" s="159"/>
      <c r="N25" s="159"/>
      <c r="O25" s="159"/>
      <c r="P25" s="159"/>
      <c r="Q25" s="159"/>
      <c r="R25" s="159"/>
      <c r="S25" s="159"/>
      <c r="T25" s="159"/>
      <c r="U25" s="441"/>
    </row>
    <row r="26" spans="1:56" s="2" customFormat="1" x14ac:dyDescent="0.2">
      <c r="A26" s="616"/>
      <c r="B26" s="659" t="s">
        <v>67</v>
      </c>
      <c r="D26" s="877"/>
      <c r="E26" s="442" t="s">
        <v>83</v>
      </c>
      <c r="F26" s="220"/>
      <c r="G26" s="464" t="s">
        <v>81</v>
      </c>
      <c r="H26" s="4"/>
      <c r="I26" s="478"/>
      <c r="J26" s="230">
        <f>SUMPRODUCT(K21:U21,K26:U26)</f>
        <v>0</v>
      </c>
      <c r="K26" s="478"/>
      <c r="L26" s="272" t="str">
        <f>IF(L18="","",L24*HLOOKUP(L18,woningen_gebouwen_gegevens,ROWS(bibliotheek!$E$13:$E$26),FALSE))</f>
        <v/>
      </c>
      <c r="M26" s="272" t="str">
        <f>IF(M18="","",M24*HLOOKUP(M18,woningen_gebouwen_gegevens,ROWS(bibliotheek!$E$13:$E$26),FALSE))</f>
        <v/>
      </c>
      <c r="N26" s="272" t="str">
        <f>IF(N18="","",N24*HLOOKUP(N18,woningen_gebouwen_gegevens,ROWS(bibliotheek!$E$13:$E$26),FALSE))</f>
        <v/>
      </c>
      <c r="O26" s="272" t="str">
        <f>IF(O18="","",O24*HLOOKUP(O18,woningen_gebouwen_gegevens,ROWS(bibliotheek!$E$13:$E$26),FALSE))</f>
        <v/>
      </c>
      <c r="P26" s="272" t="str">
        <f>IF(P18="","",P24*HLOOKUP(P18,woningen_gebouwen_gegevens,ROWS(bibliotheek!$E$13:$E$26),FALSE))</f>
        <v/>
      </c>
      <c r="Q26" s="272" t="str">
        <f>IF(Q18="","",Q24*HLOOKUP(Q18,woningen_gebouwen_gegevens,ROWS(bibliotheek!$E$13:$E$26),FALSE))</f>
        <v/>
      </c>
      <c r="R26" s="272" t="str">
        <f>IF(R18="","",R24*HLOOKUP(R18,woningen_gebouwen_gegevens,ROWS(bibliotheek!$E$13:$E$26),FALSE))</f>
        <v/>
      </c>
      <c r="S26" s="272" t="str">
        <f>IF(S18="","",S24*HLOOKUP(S18,woningen_gebouwen_gegevens,ROWS(bibliotheek!$E$13:$E$26),FALSE))</f>
        <v/>
      </c>
      <c r="T26" s="272" t="str">
        <f>IF(T18="","",T24*HLOOKUP(T18,woningen_gebouwen_gegevens,ROWS(bibliotheek!$E$13:$E$26),FALSE))</f>
        <v/>
      </c>
      <c r="U26" s="443"/>
    </row>
    <row r="27" spans="1:56" x14ac:dyDescent="0.2">
      <c r="B27" s="659" t="s">
        <v>67</v>
      </c>
      <c r="C27" s="38"/>
      <c r="D27" s="875"/>
      <c r="E27" s="38"/>
      <c r="F27" s="38"/>
      <c r="G27" s="38"/>
      <c r="H27" s="38"/>
      <c r="I27" s="38"/>
      <c r="J27" s="75"/>
      <c r="K27" s="38"/>
      <c r="L27" s="75"/>
      <c r="M27" s="75"/>
      <c r="N27" s="75"/>
      <c r="O27" s="75"/>
      <c r="P27" s="75"/>
      <c r="Q27" s="75"/>
      <c r="R27" s="75"/>
      <c r="S27" s="75"/>
      <c r="T27" s="75"/>
      <c r="U27" s="75"/>
    </row>
    <row r="28" spans="1:56" x14ac:dyDescent="0.2">
      <c r="B28" s="659" t="s">
        <v>84</v>
      </c>
      <c r="C28" s="38"/>
      <c r="D28" s="875"/>
      <c r="E28" s="38"/>
      <c r="F28" s="38"/>
      <c r="G28" s="38"/>
      <c r="H28" s="38"/>
      <c r="I28" s="38"/>
      <c r="J28" s="75"/>
      <c r="K28" s="38"/>
      <c r="L28" s="75"/>
      <c r="M28" s="75"/>
      <c r="N28" s="75"/>
      <c r="O28" s="75"/>
      <c r="P28" s="75"/>
      <c r="Q28" s="75"/>
      <c r="R28" s="75"/>
      <c r="S28" s="75"/>
      <c r="T28" s="75"/>
      <c r="U28" s="75"/>
    </row>
    <row r="29" spans="1:56" ht="21" x14ac:dyDescent="0.2">
      <c r="B29" s="659" t="s">
        <v>84</v>
      </c>
      <c r="C29" s="38"/>
      <c r="D29" s="875"/>
      <c r="E29" s="253" t="s">
        <v>84</v>
      </c>
      <c r="F29" s="1060"/>
      <c r="G29" s="1060"/>
      <c r="H29" s="80"/>
      <c r="I29" s="76"/>
      <c r="J29" s="318" t="str">
        <f>$J$15</f>
        <v>totaal</v>
      </c>
      <c r="K29" s="76"/>
      <c r="L29" s="440">
        <f ca="1">OFFSET(L29,0,-1)+1</f>
        <v>1</v>
      </c>
      <c r="M29" s="440">
        <f t="shared" ref="M29:T29" ca="1" si="2">OFFSET(M29,0,-1)+1</f>
        <v>2</v>
      </c>
      <c r="N29" s="440">
        <f t="shared" ca="1" si="2"/>
        <v>3</v>
      </c>
      <c r="O29" s="440">
        <f t="shared" ca="1" si="2"/>
        <v>4</v>
      </c>
      <c r="P29" s="440">
        <f t="shared" ca="1" si="2"/>
        <v>5</v>
      </c>
      <c r="Q29" s="440">
        <f t="shared" ca="1" si="2"/>
        <v>6</v>
      </c>
      <c r="R29" s="440">
        <f t="shared" ca="1" si="2"/>
        <v>7</v>
      </c>
      <c r="S29" s="440">
        <f t="shared" ca="1" si="2"/>
        <v>8</v>
      </c>
      <c r="T29" s="440">
        <f t="shared" ca="1" si="2"/>
        <v>9</v>
      </c>
      <c r="U29" s="76"/>
    </row>
    <row r="30" spans="1:56" ht="18.75" x14ac:dyDescent="0.2">
      <c r="B30" s="659" t="s">
        <v>84</v>
      </c>
      <c r="C30" s="475"/>
      <c r="D30" s="876"/>
      <c r="E30" s="236" t="s">
        <v>68</v>
      </c>
      <c r="F30" s="236"/>
      <c r="G30" s="236"/>
      <c r="H30" s="89"/>
      <c r="I30" s="236"/>
      <c r="J30" s="236"/>
      <c r="K30" s="236"/>
      <c r="L30" s="236"/>
      <c r="M30" s="236"/>
      <c r="N30" s="236"/>
      <c r="O30" s="236"/>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38"/>
      <c r="BC30" s="38"/>
      <c r="BD30" s="274"/>
    </row>
    <row r="31" spans="1:56" s="2" customFormat="1" ht="15.75" customHeight="1" x14ac:dyDescent="0.2">
      <c r="A31" s="616"/>
      <c r="B31" s="659" t="s">
        <v>84</v>
      </c>
      <c r="D31" s="877"/>
      <c r="E31" s="220" t="s">
        <v>69</v>
      </c>
      <c r="F31" s="220"/>
      <c r="G31" s="221" t="s">
        <v>70</v>
      </c>
      <c r="H31" s="4"/>
      <c r="I31" s="478"/>
      <c r="J31" s="634"/>
      <c r="K31" s="478"/>
      <c r="L31" s="1059"/>
      <c r="M31" s="1059"/>
      <c r="N31" s="1059"/>
      <c r="O31" s="1059"/>
      <c r="P31" s="1059"/>
      <c r="Q31" s="1059"/>
      <c r="R31" s="1059"/>
      <c r="S31" s="1059"/>
      <c r="T31" s="1059"/>
      <c r="U31" s="635"/>
    </row>
    <row r="32" spans="1:56" s="2" customFormat="1" x14ac:dyDescent="0.2">
      <c r="A32" s="616"/>
      <c r="B32" s="659" t="s">
        <v>84</v>
      </c>
      <c r="D32" s="751" t="s">
        <v>50</v>
      </c>
      <c r="E32" s="220" t="s">
        <v>71</v>
      </c>
      <c r="F32" s="220"/>
      <c r="G32" s="221" t="s">
        <v>70</v>
      </c>
      <c r="H32" s="4"/>
      <c r="I32" s="478"/>
      <c r="J32" s="634"/>
      <c r="K32" s="478"/>
      <c r="L32" s="559"/>
      <c r="M32" s="559"/>
      <c r="N32" s="559"/>
      <c r="O32" s="559"/>
      <c r="P32" s="559"/>
      <c r="Q32" s="559"/>
      <c r="R32" s="559"/>
      <c r="S32" s="559"/>
      <c r="T32" s="559"/>
      <c r="U32" s="635"/>
    </row>
    <row r="33" spans="1:56" s="2" customFormat="1" x14ac:dyDescent="0.2">
      <c r="A33" s="616"/>
      <c r="B33" s="659"/>
      <c r="D33" s="877"/>
      <c r="E33" s="317" t="s">
        <v>73</v>
      </c>
      <c r="F33" s="220"/>
      <c r="G33" s="221" t="s">
        <v>70</v>
      </c>
      <c r="H33" s="4"/>
      <c r="I33" s="478"/>
      <c r="J33" s="634"/>
      <c r="K33" s="478"/>
      <c r="L33" s="702" t="str">
        <f>IF(L32="","",INDEX(bibliotheek!$H$14:$EC$14,MATCH(L32,woningen_gebouwen_namen,0)))</f>
        <v/>
      </c>
      <c r="M33" s="702" t="str">
        <f>IF(M32="","",INDEX(bibliotheek!$H$14:$EC$14,MATCH(M32,woningen_gebouwen_namen,0)))</f>
        <v/>
      </c>
      <c r="N33" s="702" t="str">
        <f>IF(N32="","",INDEX(bibliotheek!$H$14:$EC$14,MATCH(N32,woningen_gebouwen_namen,0)))</f>
        <v/>
      </c>
      <c r="O33" s="702" t="str">
        <f>IF(O32="","",INDEX(bibliotheek!$H$14:$EC$14,MATCH(O32,woningen_gebouwen_namen,0)))</f>
        <v/>
      </c>
      <c r="P33" s="702" t="str">
        <f>IF(P32="","",INDEX(bibliotheek!$H$14:$EC$14,MATCH(P32,woningen_gebouwen_namen,0)))</f>
        <v/>
      </c>
      <c r="Q33" s="702" t="str">
        <f>IF(Q32="","",INDEX(bibliotheek!$H$14:$EC$14,MATCH(Q32,woningen_gebouwen_namen,0)))</f>
        <v/>
      </c>
      <c r="R33" s="702" t="str">
        <f>IF(R32="","",INDEX(bibliotheek!$H$14:$EC$14,MATCH(R32,woningen_gebouwen_namen,0)))</f>
        <v/>
      </c>
      <c r="S33" s="702" t="str">
        <f>IF(S32="","",INDEX(bibliotheek!$H$14:$EC$14,MATCH(S32,woningen_gebouwen_namen,0)))</f>
        <v/>
      </c>
      <c r="T33" s="702" t="str">
        <f>IF(T32="","",INDEX(bibliotheek!$H$14:$EC$14,MATCH(T32,woningen_gebouwen_namen,0)))</f>
        <v/>
      </c>
      <c r="U33" s="635"/>
    </row>
    <row r="34" spans="1:56" s="2" customFormat="1" x14ac:dyDescent="0.2">
      <c r="A34" s="616"/>
      <c r="B34" s="659" t="s">
        <v>84</v>
      </c>
      <c r="D34" s="877"/>
      <c r="E34" s="412" t="s">
        <v>74</v>
      </c>
      <c r="F34" s="220"/>
      <c r="G34" s="221" t="s">
        <v>70</v>
      </c>
      <c r="H34" s="4"/>
      <c r="I34" s="478"/>
      <c r="J34" s="634"/>
      <c r="K34" s="478"/>
      <c r="L34" s="701"/>
      <c r="M34" s="701"/>
      <c r="N34" s="701"/>
      <c r="O34" s="701"/>
      <c r="P34" s="701"/>
      <c r="Q34" s="701"/>
      <c r="R34" s="701"/>
      <c r="S34" s="701"/>
      <c r="T34" s="701"/>
      <c r="U34" s="635"/>
    </row>
    <row r="35" spans="1:56" s="2" customFormat="1" x14ac:dyDescent="0.2">
      <c r="A35" s="616"/>
      <c r="B35" s="659" t="s">
        <v>84</v>
      </c>
      <c r="D35" s="877"/>
      <c r="E35" s="220" t="s">
        <v>75</v>
      </c>
      <c r="F35" s="220"/>
      <c r="G35" s="221" t="s">
        <v>64</v>
      </c>
      <c r="H35" s="4"/>
      <c r="I35" s="13"/>
      <c r="J35" s="230">
        <f>J36+J37</f>
        <v>0</v>
      </c>
      <c r="K35" s="478"/>
      <c r="L35" s="329"/>
      <c r="M35" s="329"/>
      <c r="N35" s="329"/>
      <c r="O35" s="329"/>
      <c r="P35" s="329"/>
      <c r="Q35" s="329"/>
      <c r="R35" s="329"/>
      <c r="S35" s="329"/>
      <c r="T35" s="329"/>
      <c r="U35" s="479"/>
    </row>
    <row r="36" spans="1:56" s="2" customFormat="1" x14ac:dyDescent="0.2">
      <c r="A36" s="616"/>
      <c r="B36" s="659" t="s">
        <v>84</v>
      </c>
      <c r="D36" s="877"/>
      <c r="E36" s="316" t="s">
        <v>76</v>
      </c>
      <c r="F36" s="316"/>
      <c r="G36" s="354" t="s">
        <v>77</v>
      </c>
      <c r="H36" s="4"/>
      <c r="I36" s="13"/>
      <c r="J36" s="230">
        <f>SUM(K36:U36)</f>
        <v>0</v>
      </c>
      <c r="K36" s="478"/>
      <c r="L36" s="636" t="str">
        <f>IF(L32="","",IF(OR(HLOOKUP(L32,woningen_gebouwen_gegevens,ROWS(bibliotheek!$E$13:$E$14),FALSE)=woning,HLOOKUP(L32,woningen_gebouwen_gegevens,ROWS(bibliotheek!$E$13:$E$14),FALSE)=woongebouw),L35,0))</f>
        <v/>
      </c>
      <c r="M36" s="636" t="str">
        <f>IF(M32="","",IF(OR(HLOOKUP(M32,woningen_gebouwen_gegevens,ROWS(bibliotheek!$E$13:$E$14),FALSE)=woning,HLOOKUP(M32,woningen_gebouwen_gegevens,ROWS(bibliotheek!$E$13:$E$14),FALSE)=woongebouw),M35,0))</f>
        <v/>
      </c>
      <c r="N36" s="636" t="str">
        <f>IF(N32="","",IF(OR(HLOOKUP(N32,woningen_gebouwen_gegevens,ROWS(bibliotheek!$E$13:$E$14),FALSE)=woning,HLOOKUP(N32,woningen_gebouwen_gegevens,ROWS(bibliotheek!$E$13:$E$14),FALSE)=woongebouw),N35,0))</f>
        <v/>
      </c>
      <c r="O36" s="636" t="str">
        <f>IF(O32="","",IF(OR(HLOOKUP(O32,woningen_gebouwen_gegevens,ROWS(bibliotheek!$E$13:$E$14),FALSE)=woning,HLOOKUP(O32,woningen_gebouwen_gegevens,ROWS(bibliotheek!$E$13:$E$14),FALSE)=woongebouw),O35,0))</f>
        <v/>
      </c>
      <c r="P36" s="636" t="str">
        <f>IF(P32="","",IF(OR(HLOOKUP(P32,woningen_gebouwen_gegevens,ROWS(bibliotheek!$E$13:$E$14),FALSE)=woning,HLOOKUP(P32,woningen_gebouwen_gegevens,ROWS(bibliotheek!$E$13:$E$14),FALSE)=woongebouw),P35,0))</f>
        <v/>
      </c>
      <c r="Q36" s="636" t="str">
        <f>IF(Q32="","",IF(OR(HLOOKUP(Q32,woningen_gebouwen_gegevens,ROWS(bibliotheek!$E$13:$E$14),FALSE)=woning,HLOOKUP(Q32,woningen_gebouwen_gegevens,ROWS(bibliotheek!$E$13:$E$14),FALSE)=woongebouw),Q35,0))</f>
        <v/>
      </c>
      <c r="R36" s="636" t="str">
        <f>IF(R32="","",IF(OR(HLOOKUP(R32,woningen_gebouwen_gegevens,ROWS(bibliotheek!$E$13:$E$14),FALSE)=woning,HLOOKUP(R32,woningen_gebouwen_gegevens,ROWS(bibliotheek!$E$13:$E$14),FALSE)=woongebouw),R35,0))</f>
        <v/>
      </c>
      <c r="S36" s="636" t="str">
        <f>IF(S32="","",IF(OR(HLOOKUP(S32,woningen_gebouwen_gegevens,ROWS(bibliotheek!$E$13:$E$14),FALSE)=woning,HLOOKUP(S32,woningen_gebouwen_gegevens,ROWS(bibliotheek!$E$13:$E$14),FALSE)=woongebouw),S35,0))</f>
        <v/>
      </c>
      <c r="T36" s="636" t="str">
        <f>IF(T32="","",IF(OR(HLOOKUP(T32,woningen_gebouwen_gegevens,ROWS(bibliotheek!$E$13:$E$14),FALSE)=woning,HLOOKUP(T32,woningen_gebouwen_gegevens,ROWS(bibliotheek!$E$13:$E$14),FALSE)=woongebouw),T35,0))</f>
        <v/>
      </c>
      <c r="U36" s="479"/>
    </row>
    <row r="37" spans="1:56" s="2" customFormat="1" x14ac:dyDescent="0.2">
      <c r="A37" s="616"/>
      <c r="B37" s="659" t="s">
        <v>84</v>
      </c>
      <c r="D37" s="877"/>
      <c r="E37" s="316" t="s">
        <v>78</v>
      </c>
      <c r="F37" s="316"/>
      <c r="G37" s="354" t="s">
        <v>79</v>
      </c>
      <c r="H37" s="4"/>
      <c r="I37" s="13"/>
      <c r="J37" s="230">
        <f>SUM(K37:U37)</f>
        <v>0</v>
      </c>
      <c r="K37" s="478"/>
      <c r="L37" s="466" t="str">
        <f t="shared" ref="L37:T37" si="3">IF(L32="","""",L35-L36)</f>
        <v>"</v>
      </c>
      <c r="M37" s="466" t="str">
        <f t="shared" si="3"/>
        <v>"</v>
      </c>
      <c r="N37" s="466" t="str">
        <f t="shared" si="3"/>
        <v>"</v>
      </c>
      <c r="O37" s="466" t="str">
        <f t="shared" si="3"/>
        <v>"</v>
      </c>
      <c r="P37" s="466" t="str">
        <f t="shared" si="3"/>
        <v>"</v>
      </c>
      <c r="Q37" s="466" t="str">
        <f t="shared" si="3"/>
        <v>"</v>
      </c>
      <c r="R37" s="466" t="str">
        <f t="shared" si="3"/>
        <v>"</v>
      </c>
      <c r="S37" s="466" t="str">
        <f t="shared" si="3"/>
        <v>"</v>
      </c>
      <c r="T37" s="466" t="str">
        <f t="shared" si="3"/>
        <v>"</v>
      </c>
      <c r="U37" s="479"/>
    </row>
    <row r="38" spans="1:56" s="2" customFormat="1" x14ac:dyDescent="0.2">
      <c r="A38" s="616"/>
      <c r="B38" s="659" t="s">
        <v>84</v>
      </c>
      <c r="D38" s="877"/>
      <c r="E38" s="316" t="s">
        <v>80</v>
      </c>
      <c r="F38" s="316"/>
      <c r="G38" s="354" t="s">
        <v>81</v>
      </c>
      <c r="J38" s="229">
        <f>SUMPRODUCT(K35:U35,K38:U38)</f>
        <v>0</v>
      </c>
      <c r="L38" s="452" t="str">
        <f>IF(L32="","",IF(L39&lt;&gt;"",L39,HLOOKUP(L32,woningen_gebouwen_gegevens,ROWS(bibliotheek!$E$13:$E$16),FALSE)))</f>
        <v/>
      </c>
      <c r="M38" s="452" t="str">
        <f>IF(M32="","",IF(M39&lt;&gt;"",M39,HLOOKUP(M32,woningen_gebouwen_gegevens,ROWS(bibliotheek!$E$13:$E$16),FALSE)))</f>
        <v/>
      </c>
      <c r="N38" s="452" t="str">
        <f>IF(N32="","",IF(N39&lt;&gt;"",N39,HLOOKUP(N32,woningen_gebouwen_gegevens,ROWS(bibliotheek!$E$13:$E$16),FALSE)))</f>
        <v/>
      </c>
      <c r="O38" s="452" t="str">
        <f>IF(O32="","",IF(O39&lt;&gt;"",O39,HLOOKUP(O32,woningen_gebouwen_gegevens,ROWS(bibliotheek!$E$13:$E$16),FALSE)))</f>
        <v/>
      </c>
      <c r="P38" s="452" t="str">
        <f>IF(P32="","",IF(P39&lt;&gt;"",P39,HLOOKUP(P32,woningen_gebouwen_gegevens,ROWS(bibliotheek!$E$13:$E$16),FALSE)))</f>
        <v/>
      </c>
      <c r="Q38" s="452" t="str">
        <f>IF(Q32="","",IF(Q39&lt;&gt;"",Q39,HLOOKUP(Q32,woningen_gebouwen_gegevens,ROWS(bibliotheek!$E$13:$E$16),FALSE)))</f>
        <v/>
      </c>
      <c r="R38" s="452" t="str">
        <f>IF(R32="","",IF(R39&lt;&gt;"",R39,HLOOKUP(R32,woningen_gebouwen_gegevens,ROWS(bibliotheek!$E$13:$E$16),FALSE)))</f>
        <v/>
      </c>
      <c r="S38" s="452" t="str">
        <f>IF(S32="","",IF(S39&lt;&gt;"",S39,HLOOKUP(S32,woningen_gebouwen_gegevens,ROWS(bibliotheek!$E$13:$E$16),FALSE)))</f>
        <v/>
      </c>
      <c r="T38" s="452" t="str">
        <f>IF(T32="","",IF(T39&lt;&gt;"",T39,HLOOKUP(T32,woningen_gebouwen_gegevens,ROWS(bibliotheek!$E$13:$E$16),FALSE)))</f>
        <v/>
      </c>
      <c r="U38" s="441"/>
    </row>
    <row r="39" spans="1:56" s="2" customFormat="1" x14ac:dyDescent="0.2">
      <c r="A39" s="616"/>
      <c r="B39" s="659" t="s">
        <v>84</v>
      </c>
      <c r="D39" s="877"/>
      <c r="E39" s="412" t="s">
        <v>82</v>
      </c>
      <c r="F39" s="317"/>
      <c r="G39" s="355"/>
      <c r="J39" s="239"/>
      <c r="L39" s="159"/>
      <c r="M39" s="159"/>
      <c r="N39" s="159"/>
      <c r="O39" s="159"/>
      <c r="P39" s="159"/>
      <c r="Q39" s="159"/>
      <c r="R39" s="159"/>
      <c r="S39" s="159"/>
      <c r="T39" s="159"/>
      <c r="U39" s="441"/>
    </row>
    <row r="40" spans="1:56" s="2" customFormat="1" x14ac:dyDescent="0.2">
      <c r="A40" s="616"/>
      <c r="B40" s="659" t="s">
        <v>84</v>
      </c>
      <c r="D40" s="877"/>
      <c r="E40" s="442" t="s">
        <v>83</v>
      </c>
      <c r="F40" s="220"/>
      <c r="G40" s="464" t="s">
        <v>81</v>
      </c>
      <c r="H40" s="4"/>
      <c r="I40" s="478"/>
      <c r="J40" s="230">
        <f>SUMPRODUCT(K35:U35,K40:U40)</f>
        <v>0</v>
      </c>
      <c r="K40" s="478"/>
      <c r="L40" s="272" t="str">
        <f>IF(L32="","",L38*HLOOKUP(L32,woningen_gebouwen_gegevens,ROWS(bibliotheek!$E$13:$E$26),FALSE))</f>
        <v/>
      </c>
      <c r="M40" s="272" t="str">
        <f>IF(M32="","",M38*HLOOKUP(M32,woningen_gebouwen_gegevens,ROWS(bibliotheek!$E$13:$E$26),FALSE))</f>
        <v/>
      </c>
      <c r="N40" s="272" t="str">
        <f>IF(N32="","",N38*HLOOKUP(N32,woningen_gebouwen_gegevens,ROWS(bibliotheek!$E$13:$E$26),FALSE))</f>
        <v/>
      </c>
      <c r="O40" s="272" t="str">
        <f>IF(O32="","",O38*HLOOKUP(O32,woningen_gebouwen_gegevens,ROWS(bibliotheek!$E$13:$E$26),FALSE))</f>
        <v/>
      </c>
      <c r="P40" s="272" t="str">
        <f>IF(P32="","",P38*HLOOKUP(P32,woningen_gebouwen_gegevens,ROWS(bibliotheek!$E$13:$E$26),FALSE))</f>
        <v/>
      </c>
      <c r="Q40" s="272" t="str">
        <f>IF(Q32="","",Q38*HLOOKUP(Q32,woningen_gebouwen_gegevens,ROWS(bibliotheek!$E$13:$E$26),FALSE))</f>
        <v/>
      </c>
      <c r="R40" s="272" t="str">
        <f>IF(R32="","",R38*HLOOKUP(R32,woningen_gebouwen_gegevens,ROWS(bibliotheek!$E$13:$E$26),FALSE))</f>
        <v/>
      </c>
      <c r="S40" s="272" t="str">
        <f>IF(S32="","",S38*HLOOKUP(S32,woningen_gebouwen_gegevens,ROWS(bibliotheek!$E$13:$E$26),FALSE))</f>
        <v/>
      </c>
      <c r="T40" s="272" t="str">
        <f>IF(T32="","",T38*HLOOKUP(T32,woningen_gebouwen_gegevens,ROWS(bibliotheek!$E$13:$E$26),FALSE))</f>
        <v/>
      </c>
      <c r="U40" s="443"/>
    </row>
    <row r="41" spans="1:56" x14ac:dyDescent="0.2">
      <c r="B41" s="659" t="s">
        <v>84</v>
      </c>
      <c r="C41" s="38"/>
      <c r="D41" s="875"/>
      <c r="E41" s="38"/>
      <c r="F41" s="38"/>
      <c r="G41" s="38"/>
      <c r="H41" s="38"/>
      <c r="I41" s="38"/>
      <c r="J41" s="75"/>
      <c r="K41" s="38"/>
      <c r="L41" s="75"/>
      <c r="M41" s="75"/>
      <c r="N41" s="75"/>
      <c r="O41" s="75"/>
      <c r="P41" s="75"/>
      <c r="Q41" s="75"/>
      <c r="R41" s="75"/>
      <c r="S41" s="75"/>
      <c r="T41" s="75"/>
      <c r="U41" s="75"/>
    </row>
    <row r="42" spans="1:56" x14ac:dyDescent="0.2">
      <c r="B42" s="659" t="s">
        <v>85</v>
      </c>
      <c r="C42" s="38"/>
      <c r="D42" s="875"/>
      <c r="E42" s="38"/>
      <c r="F42" s="38"/>
      <c r="G42" s="38"/>
      <c r="H42" s="38"/>
      <c r="I42" s="38"/>
      <c r="J42" s="75"/>
      <c r="K42" s="38"/>
      <c r="L42" s="75"/>
      <c r="M42" s="75"/>
      <c r="N42" s="75"/>
      <c r="O42" s="75"/>
      <c r="P42" s="75"/>
      <c r="Q42" s="75"/>
      <c r="R42" s="75"/>
      <c r="S42" s="75"/>
      <c r="T42" s="75"/>
      <c r="U42" s="75"/>
    </row>
    <row r="43" spans="1:56" ht="21" x14ac:dyDescent="0.2">
      <c r="B43" s="659" t="s">
        <v>85</v>
      </c>
      <c r="C43" s="38"/>
      <c r="D43" s="875"/>
      <c r="E43" s="253" t="s">
        <v>85</v>
      </c>
      <c r="F43" s="1060"/>
      <c r="G43" s="1060"/>
      <c r="H43" s="80"/>
      <c r="I43" s="76"/>
      <c r="J43" s="318" t="str">
        <f>$J$15</f>
        <v>totaal</v>
      </c>
      <c r="K43" s="76"/>
      <c r="L43" s="440">
        <f ca="1">OFFSET(L43,0,-1)+1</f>
        <v>1</v>
      </c>
      <c r="M43" s="440">
        <f t="shared" ref="M43:T43" ca="1" si="4">OFFSET(M43,0,-1)+1</f>
        <v>2</v>
      </c>
      <c r="N43" s="440">
        <f t="shared" ca="1" si="4"/>
        <v>3</v>
      </c>
      <c r="O43" s="440">
        <f t="shared" ca="1" si="4"/>
        <v>4</v>
      </c>
      <c r="P43" s="440">
        <f t="shared" ca="1" si="4"/>
        <v>5</v>
      </c>
      <c r="Q43" s="440">
        <f t="shared" ca="1" si="4"/>
        <v>6</v>
      </c>
      <c r="R43" s="440">
        <f t="shared" ca="1" si="4"/>
        <v>7</v>
      </c>
      <c r="S43" s="440">
        <f t="shared" ca="1" si="4"/>
        <v>8</v>
      </c>
      <c r="T43" s="440">
        <f t="shared" ca="1" si="4"/>
        <v>9</v>
      </c>
      <c r="U43" s="76"/>
    </row>
    <row r="44" spans="1:56" ht="18.75" x14ac:dyDescent="0.2">
      <c r="B44" s="659" t="s">
        <v>85</v>
      </c>
      <c r="C44" s="475"/>
      <c r="D44" s="876"/>
      <c r="E44" s="236" t="s">
        <v>68</v>
      </c>
      <c r="F44" s="236"/>
      <c r="G44" s="236"/>
      <c r="H44" s="89"/>
      <c r="I44" s="236"/>
      <c r="J44" s="236"/>
      <c r="K44" s="236"/>
      <c r="L44" s="236"/>
      <c r="M44" s="236"/>
      <c r="N44" s="236"/>
      <c r="O44" s="236"/>
      <c r="P44" s="236"/>
      <c r="Q44" s="236"/>
      <c r="R44" s="236"/>
      <c r="S44" s="236"/>
      <c r="T44" s="236"/>
      <c r="U44" s="236"/>
      <c r="V44" s="236"/>
      <c r="W44" s="236"/>
      <c r="X44" s="236"/>
      <c r="Y44" s="236"/>
      <c r="Z44" s="236"/>
      <c r="AA44" s="236"/>
      <c r="AB44" s="236"/>
      <c r="AC44" s="236"/>
      <c r="AD44" s="236"/>
      <c r="AE44" s="236"/>
      <c r="AF44" s="236"/>
      <c r="AG44" s="236"/>
      <c r="AH44" s="236"/>
      <c r="AI44" s="236"/>
      <c r="AJ44" s="236"/>
      <c r="AK44" s="236"/>
      <c r="AL44" s="236"/>
      <c r="AM44" s="236"/>
      <c r="AN44" s="236"/>
      <c r="AO44" s="236"/>
      <c r="AP44" s="236"/>
      <c r="AQ44" s="236"/>
      <c r="AR44" s="236"/>
      <c r="AS44" s="236"/>
      <c r="AT44" s="236"/>
      <c r="AU44" s="236"/>
      <c r="AV44" s="236"/>
      <c r="AW44" s="236"/>
      <c r="AX44" s="236"/>
      <c r="AY44" s="236"/>
      <c r="AZ44" s="236"/>
      <c r="BA44" s="236"/>
      <c r="BB44" s="38"/>
      <c r="BC44" s="38"/>
      <c r="BD44" s="274"/>
    </row>
    <row r="45" spans="1:56" s="2" customFormat="1" ht="15.75" customHeight="1" x14ac:dyDescent="0.2">
      <c r="A45" s="616"/>
      <c r="B45" s="659" t="s">
        <v>85</v>
      </c>
      <c r="D45" s="877"/>
      <c r="E45" s="220" t="s">
        <v>69</v>
      </c>
      <c r="F45" s="220"/>
      <c r="G45" s="221" t="s">
        <v>70</v>
      </c>
      <c r="H45" s="4"/>
      <c r="I45" s="478"/>
      <c r="J45" s="634"/>
      <c r="K45" s="478"/>
      <c r="L45" s="1059"/>
      <c r="M45" s="1059"/>
      <c r="N45" s="1059"/>
      <c r="O45" s="1059"/>
      <c r="P45" s="1059"/>
      <c r="Q45" s="1059"/>
      <c r="R45" s="1059"/>
      <c r="S45" s="1059"/>
      <c r="T45" s="1059"/>
      <c r="U45" s="635"/>
    </row>
    <row r="46" spans="1:56" s="2" customFormat="1" x14ac:dyDescent="0.2">
      <c r="A46" s="616"/>
      <c r="B46" s="659" t="s">
        <v>85</v>
      </c>
      <c r="D46" s="751" t="s">
        <v>50</v>
      </c>
      <c r="E46" s="220" t="s">
        <v>71</v>
      </c>
      <c r="F46" s="220"/>
      <c r="G46" s="221" t="s">
        <v>70</v>
      </c>
      <c r="H46" s="4"/>
      <c r="I46" s="478"/>
      <c r="J46" s="634"/>
      <c r="K46" s="478"/>
      <c r="L46" s="559"/>
      <c r="M46" s="559"/>
      <c r="N46" s="559"/>
      <c r="O46" s="559"/>
      <c r="P46" s="559"/>
      <c r="Q46" s="559"/>
      <c r="R46" s="559"/>
      <c r="S46" s="559"/>
      <c r="T46" s="559"/>
      <c r="U46" s="635"/>
    </row>
    <row r="47" spans="1:56" s="2" customFormat="1" x14ac:dyDescent="0.2">
      <c r="A47" s="616"/>
      <c r="B47" s="659"/>
      <c r="D47" s="877"/>
      <c r="E47" s="317" t="s">
        <v>73</v>
      </c>
      <c r="F47" s="220"/>
      <c r="G47" s="221" t="s">
        <v>70</v>
      </c>
      <c r="H47" s="4"/>
      <c r="I47" s="478"/>
      <c r="J47" s="634"/>
      <c r="K47" s="478"/>
      <c r="L47" s="702" t="str">
        <f>IF(L46="","",INDEX(bibliotheek!$H$14:$EC$14,MATCH(L46,woningen_gebouwen_namen,0)))</f>
        <v/>
      </c>
      <c r="M47" s="702" t="str">
        <f>IF(M46="","",INDEX(bibliotheek!$H$14:$EC$14,MATCH(M46,woningen_gebouwen_namen,0)))</f>
        <v/>
      </c>
      <c r="N47" s="702" t="str">
        <f>IF(N46="","",INDEX(bibliotheek!$H$14:$EC$14,MATCH(N46,woningen_gebouwen_namen,0)))</f>
        <v/>
      </c>
      <c r="O47" s="702" t="str">
        <f>IF(O46="","",INDEX(bibliotheek!$H$14:$EC$14,MATCH(O46,woningen_gebouwen_namen,0)))</f>
        <v/>
      </c>
      <c r="P47" s="702" t="str">
        <f>IF(P46="","",INDEX(bibliotheek!$H$14:$EC$14,MATCH(P46,woningen_gebouwen_namen,0)))</f>
        <v/>
      </c>
      <c r="Q47" s="702" t="str">
        <f>IF(Q46="","",INDEX(bibliotheek!$H$14:$EC$14,MATCH(Q46,woningen_gebouwen_namen,0)))</f>
        <v/>
      </c>
      <c r="R47" s="702" t="str">
        <f>IF(R46="","",INDEX(bibliotheek!$H$14:$EC$14,MATCH(R46,woningen_gebouwen_namen,0)))</f>
        <v/>
      </c>
      <c r="S47" s="702" t="str">
        <f>IF(S46="","",INDEX(bibliotheek!$H$14:$EC$14,MATCH(S46,woningen_gebouwen_namen,0)))</f>
        <v/>
      </c>
      <c r="T47" s="702" t="str">
        <f>IF(T46="","",INDEX(bibliotheek!$H$14:$EC$14,MATCH(T46,woningen_gebouwen_namen,0)))</f>
        <v/>
      </c>
      <c r="U47" s="635"/>
    </row>
    <row r="48" spans="1:56" s="2" customFormat="1" x14ac:dyDescent="0.2">
      <c r="A48" s="616"/>
      <c r="B48" s="659" t="s">
        <v>85</v>
      </c>
      <c r="D48" s="877"/>
      <c r="E48" s="412" t="s">
        <v>74</v>
      </c>
      <c r="F48" s="220"/>
      <c r="G48" s="221" t="s">
        <v>70</v>
      </c>
      <c r="H48" s="4"/>
      <c r="I48" s="478"/>
      <c r="J48" s="634"/>
      <c r="K48" s="478"/>
      <c r="L48" s="701"/>
      <c r="M48" s="701"/>
      <c r="N48" s="701"/>
      <c r="O48" s="701"/>
      <c r="P48" s="701"/>
      <c r="Q48" s="701"/>
      <c r="R48" s="701"/>
      <c r="S48" s="701"/>
      <c r="T48" s="701"/>
      <c r="U48" s="635"/>
    </row>
    <row r="49" spans="1:56" s="2" customFormat="1" x14ac:dyDescent="0.2">
      <c r="A49" s="616"/>
      <c r="B49" s="659" t="s">
        <v>85</v>
      </c>
      <c r="D49" s="877"/>
      <c r="E49" s="220" t="s">
        <v>75</v>
      </c>
      <c r="F49" s="220"/>
      <c r="G49" s="221" t="s">
        <v>64</v>
      </c>
      <c r="H49" s="4"/>
      <c r="I49" s="13"/>
      <c r="J49" s="230">
        <f>J50+J51</f>
        <v>0</v>
      </c>
      <c r="K49" s="478"/>
      <c r="L49" s="329"/>
      <c r="M49" s="329"/>
      <c r="N49" s="329"/>
      <c r="O49" s="329"/>
      <c r="P49" s="329"/>
      <c r="Q49" s="329"/>
      <c r="R49" s="329"/>
      <c r="S49" s="329"/>
      <c r="T49" s="329"/>
      <c r="U49" s="479"/>
    </row>
    <row r="50" spans="1:56" s="2" customFormat="1" x14ac:dyDescent="0.2">
      <c r="A50" s="616"/>
      <c r="B50" s="659" t="s">
        <v>85</v>
      </c>
      <c r="D50" s="877"/>
      <c r="E50" s="316" t="s">
        <v>76</v>
      </c>
      <c r="F50" s="316"/>
      <c r="G50" s="354" t="s">
        <v>77</v>
      </c>
      <c r="H50" s="4"/>
      <c r="I50" s="13"/>
      <c r="J50" s="230">
        <f>SUM(K50:U50)</f>
        <v>0</v>
      </c>
      <c r="K50" s="478"/>
      <c r="L50" s="636" t="str">
        <f>IF(L46="","",IF(OR(HLOOKUP(L46,woningen_gebouwen_gegevens,ROWS(bibliotheek!$E$13:$E$14),FALSE)=woning,HLOOKUP(L46,woningen_gebouwen_gegevens,ROWS(bibliotheek!$E$13:$E$14),FALSE)=woongebouw),L49,0))</f>
        <v/>
      </c>
      <c r="M50" s="636" t="str">
        <f>IF(M46="","",IF(OR(HLOOKUP(M46,woningen_gebouwen_gegevens,ROWS(bibliotheek!$E$13:$E$14),FALSE)=woning,HLOOKUP(M46,woningen_gebouwen_gegevens,ROWS(bibliotheek!$E$13:$E$14),FALSE)=woongebouw),M49,0))</f>
        <v/>
      </c>
      <c r="N50" s="636" t="str">
        <f>IF(N46="","",IF(OR(HLOOKUP(N46,woningen_gebouwen_gegevens,ROWS(bibliotheek!$E$13:$E$14),FALSE)=woning,HLOOKUP(N46,woningen_gebouwen_gegevens,ROWS(bibliotheek!$E$13:$E$14),FALSE)=woongebouw),N49,0))</f>
        <v/>
      </c>
      <c r="O50" s="636" t="str">
        <f>IF(O46="","",IF(OR(HLOOKUP(O46,woningen_gebouwen_gegevens,ROWS(bibliotheek!$E$13:$E$14),FALSE)=woning,HLOOKUP(O46,woningen_gebouwen_gegevens,ROWS(bibliotheek!$E$13:$E$14),FALSE)=woongebouw),O49,0))</f>
        <v/>
      </c>
      <c r="P50" s="636" t="str">
        <f>IF(P46="","",IF(OR(HLOOKUP(P46,woningen_gebouwen_gegevens,ROWS(bibliotheek!$E$13:$E$14),FALSE)=woning,HLOOKUP(P46,woningen_gebouwen_gegevens,ROWS(bibliotheek!$E$13:$E$14),FALSE)=woongebouw),P49,0))</f>
        <v/>
      </c>
      <c r="Q50" s="636" t="str">
        <f>IF(Q46="","",IF(OR(HLOOKUP(Q46,woningen_gebouwen_gegevens,ROWS(bibliotheek!$E$13:$E$14),FALSE)=woning,HLOOKUP(Q46,woningen_gebouwen_gegevens,ROWS(bibliotheek!$E$13:$E$14),FALSE)=woongebouw),Q49,0))</f>
        <v/>
      </c>
      <c r="R50" s="636" t="str">
        <f>IF(R46="","",IF(OR(HLOOKUP(R46,woningen_gebouwen_gegevens,ROWS(bibliotheek!$E$13:$E$14),FALSE)=woning,HLOOKUP(R46,woningen_gebouwen_gegevens,ROWS(bibliotheek!$E$13:$E$14),FALSE)=woongebouw),R49,0))</f>
        <v/>
      </c>
      <c r="S50" s="636" t="str">
        <f>IF(S46="","",IF(OR(HLOOKUP(S46,woningen_gebouwen_gegevens,ROWS(bibliotheek!$E$13:$E$14),FALSE)=woning,HLOOKUP(S46,woningen_gebouwen_gegevens,ROWS(bibliotheek!$E$13:$E$14),FALSE)=woongebouw),S49,0))</f>
        <v/>
      </c>
      <c r="T50" s="636" t="str">
        <f>IF(T46="","",IF(OR(HLOOKUP(T46,woningen_gebouwen_gegevens,ROWS(bibliotheek!$E$13:$E$14),FALSE)=woning,HLOOKUP(T46,woningen_gebouwen_gegevens,ROWS(bibliotheek!$E$13:$E$14),FALSE)=woongebouw),T49,0))</f>
        <v/>
      </c>
      <c r="U50" s="479"/>
    </row>
    <row r="51" spans="1:56" s="2" customFormat="1" x14ac:dyDescent="0.2">
      <c r="A51" s="616"/>
      <c r="B51" s="659" t="s">
        <v>85</v>
      </c>
      <c r="D51" s="877"/>
      <c r="E51" s="316" t="s">
        <v>78</v>
      </c>
      <c r="F51" s="316"/>
      <c r="G51" s="354" t="s">
        <v>79</v>
      </c>
      <c r="H51" s="4"/>
      <c r="I51" s="13"/>
      <c r="J51" s="230">
        <f>SUM(K51:U51)</f>
        <v>0</v>
      </c>
      <c r="K51" s="478"/>
      <c r="L51" s="466" t="str">
        <f t="shared" ref="L51:T51" si="5">IF(L46="","""",L49-L50)</f>
        <v>"</v>
      </c>
      <c r="M51" s="466" t="str">
        <f t="shared" si="5"/>
        <v>"</v>
      </c>
      <c r="N51" s="466" t="str">
        <f t="shared" si="5"/>
        <v>"</v>
      </c>
      <c r="O51" s="466" t="str">
        <f t="shared" si="5"/>
        <v>"</v>
      </c>
      <c r="P51" s="466" t="str">
        <f t="shared" si="5"/>
        <v>"</v>
      </c>
      <c r="Q51" s="466" t="str">
        <f t="shared" si="5"/>
        <v>"</v>
      </c>
      <c r="R51" s="466" t="str">
        <f t="shared" si="5"/>
        <v>"</v>
      </c>
      <c r="S51" s="466" t="str">
        <f t="shared" si="5"/>
        <v>"</v>
      </c>
      <c r="T51" s="466" t="str">
        <f t="shared" si="5"/>
        <v>"</v>
      </c>
      <c r="U51" s="479"/>
    </row>
    <row r="52" spans="1:56" s="2" customFormat="1" x14ac:dyDescent="0.2">
      <c r="A52" s="616"/>
      <c r="B52" s="659" t="s">
        <v>85</v>
      </c>
      <c r="D52" s="877"/>
      <c r="E52" s="316" t="s">
        <v>80</v>
      </c>
      <c r="F52" s="316"/>
      <c r="G52" s="354" t="s">
        <v>81</v>
      </c>
      <c r="J52" s="229">
        <f>SUMPRODUCT(K49:U49,K52:U52)</f>
        <v>0</v>
      </c>
      <c r="L52" s="452" t="str">
        <f>IF(L46="","",IF(L53&lt;&gt;"",L53,HLOOKUP(L46,woningen_gebouwen_gegevens,ROWS(bibliotheek!$E$13:$E$16),FALSE)))</f>
        <v/>
      </c>
      <c r="M52" s="452" t="str">
        <f>IF(M46="","",IF(M53&lt;&gt;"",M53,HLOOKUP(M46,woningen_gebouwen_gegevens,ROWS(bibliotheek!$E$13:$E$16),FALSE)))</f>
        <v/>
      </c>
      <c r="N52" s="452" t="str">
        <f>IF(N46="","",IF(N53&lt;&gt;"",N53,HLOOKUP(N46,woningen_gebouwen_gegevens,ROWS(bibliotheek!$E$13:$E$16),FALSE)))</f>
        <v/>
      </c>
      <c r="O52" s="452" t="str">
        <f>IF(O46="","",IF(O53&lt;&gt;"",O53,HLOOKUP(O46,woningen_gebouwen_gegevens,ROWS(bibliotheek!$E$13:$E$16),FALSE)))</f>
        <v/>
      </c>
      <c r="P52" s="452" t="str">
        <f>IF(P46="","",IF(P53&lt;&gt;"",P53,HLOOKUP(P46,woningen_gebouwen_gegevens,ROWS(bibliotheek!$E$13:$E$16),FALSE)))</f>
        <v/>
      </c>
      <c r="Q52" s="452" t="str">
        <f>IF(Q46="","",IF(Q53&lt;&gt;"",Q53,HLOOKUP(Q46,woningen_gebouwen_gegevens,ROWS(bibliotheek!$E$13:$E$16),FALSE)))</f>
        <v/>
      </c>
      <c r="R52" s="452" t="str">
        <f>IF(R46="","",IF(R53&lt;&gt;"",R53,HLOOKUP(R46,woningen_gebouwen_gegevens,ROWS(bibliotheek!$E$13:$E$16),FALSE)))</f>
        <v/>
      </c>
      <c r="S52" s="452" t="str">
        <f>IF(S46="","",IF(S53&lt;&gt;"",S53,HLOOKUP(S46,woningen_gebouwen_gegevens,ROWS(bibliotheek!$E$13:$E$16),FALSE)))</f>
        <v/>
      </c>
      <c r="T52" s="452" t="str">
        <f>IF(T46="","",IF(T53&lt;&gt;"",T53,HLOOKUP(T46,woningen_gebouwen_gegevens,ROWS(bibliotheek!$E$13:$E$16),FALSE)))</f>
        <v/>
      </c>
      <c r="U52" s="441"/>
    </row>
    <row r="53" spans="1:56" s="2" customFormat="1" x14ac:dyDescent="0.2">
      <c r="A53" s="616"/>
      <c r="B53" s="659" t="s">
        <v>85</v>
      </c>
      <c r="D53" s="877"/>
      <c r="E53" s="412" t="s">
        <v>82</v>
      </c>
      <c r="F53" s="317"/>
      <c r="G53" s="355"/>
      <c r="J53" s="239"/>
      <c r="L53" s="159"/>
      <c r="M53" s="159"/>
      <c r="N53" s="159"/>
      <c r="O53" s="159"/>
      <c r="P53" s="159"/>
      <c r="Q53" s="159"/>
      <c r="R53" s="159"/>
      <c r="S53" s="159"/>
      <c r="T53" s="159"/>
      <c r="U53" s="441"/>
    </row>
    <row r="54" spans="1:56" s="2" customFormat="1" x14ac:dyDescent="0.2">
      <c r="A54" s="616"/>
      <c r="B54" s="659" t="s">
        <v>85</v>
      </c>
      <c r="D54" s="877"/>
      <c r="E54" s="442" t="s">
        <v>83</v>
      </c>
      <c r="F54" s="220"/>
      <c r="G54" s="464" t="s">
        <v>81</v>
      </c>
      <c r="H54" s="4"/>
      <c r="I54" s="478"/>
      <c r="J54" s="230">
        <f>SUMPRODUCT(K49:U49,K54:U54)</f>
        <v>0</v>
      </c>
      <c r="K54" s="478"/>
      <c r="L54" s="272" t="str">
        <f>IF(L46="","",L52*HLOOKUP(L46,woningen_gebouwen_gegevens,ROWS(bibliotheek!$E$13:$E$26),FALSE))</f>
        <v/>
      </c>
      <c r="M54" s="272" t="str">
        <f>IF(M46="","",M52*HLOOKUP(M46,woningen_gebouwen_gegevens,ROWS(bibliotheek!$E$13:$E$26),FALSE))</f>
        <v/>
      </c>
      <c r="N54" s="272" t="str">
        <f>IF(N46="","",N52*HLOOKUP(N46,woningen_gebouwen_gegevens,ROWS(bibliotheek!$E$13:$E$26),FALSE))</f>
        <v/>
      </c>
      <c r="O54" s="272" t="str">
        <f>IF(O46="","",O52*HLOOKUP(O46,woningen_gebouwen_gegevens,ROWS(bibliotheek!$E$13:$E$26),FALSE))</f>
        <v/>
      </c>
      <c r="P54" s="272" t="str">
        <f>IF(P46="","",P52*HLOOKUP(P46,woningen_gebouwen_gegevens,ROWS(bibliotheek!$E$13:$E$26),FALSE))</f>
        <v/>
      </c>
      <c r="Q54" s="272" t="str">
        <f>IF(Q46="","",Q52*HLOOKUP(Q46,woningen_gebouwen_gegevens,ROWS(bibliotheek!$E$13:$E$26),FALSE))</f>
        <v/>
      </c>
      <c r="R54" s="272" t="str">
        <f>IF(R46="","",R52*HLOOKUP(R46,woningen_gebouwen_gegevens,ROWS(bibliotheek!$E$13:$E$26),FALSE))</f>
        <v/>
      </c>
      <c r="S54" s="272" t="str">
        <f>IF(S46="","",S52*HLOOKUP(S46,woningen_gebouwen_gegevens,ROWS(bibliotheek!$E$13:$E$26),FALSE))</f>
        <v/>
      </c>
      <c r="T54" s="272" t="str">
        <f>IF(T46="","",T52*HLOOKUP(T46,woningen_gebouwen_gegevens,ROWS(bibliotheek!$E$13:$E$26),FALSE))</f>
        <v/>
      </c>
      <c r="U54" s="443"/>
    </row>
    <row r="55" spans="1:56" x14ac:dyDescent="0.2">
      <c r="B55" s="659" t="s">
        <v>85</v>
      </c>
      <c r="C55" s="38"/>
      <c r="D55" s="875"/>
      <c r="E55" s="38"/>
      <c r="F55" s="38"/>
      <c r="G55" s="38"/>
      <c r="H55" s="38"/>
      <c r="I55" s="38"/>
      <c r="J55" s="75"/>
      <c r="K55" s="38"/>
      <c r="L55" s="75"/>
      <c r="M55" s="75"/>
      <c r="N55" s="75"/>
      <c r="O55" s="75"/>
      <c r="P55" s="75"/>
      <c r="Q55" s="75"/>
      <c r="R55" s="75"/>
      <c r="S55" s="75"/>
      <c r="T55" s="75"/>
      <c r="U55" s="75"/>
    </row>
    <row r="56" spans="1:56" x14ac:dyDescent="0.2">
      <c r="B56" s="659" t="s">
        <v>86</v>
      </c>
      <c r="C56" s="38"/>
      <c r="D56" s="875"/>
      <c r="E56" s="38"/>
      <c r="F56" s="38"/>
      <c r="G56" s="38"/>
      <c r="H56" s="38"/>
      <c r="I56" s="38"/>
      <c r="J56" s="75"/>
      <c r="K56" s="38"/>
      <c r="L56" s="75"/>
      <c r="M56" s="75"/>
      <c r="N56" s="75"/>
      <c r="O56" s="75"/>
      <c r="P56" s="75"/>
      <c r="Q56" s="75"/>
      <c r="R56" s="75"/>
      <c r="S56" s="75"/>
      <c r="T56" s="75"/>
      <c r="U56" s="75"/>
    </row>
    <row r="57" spans="1:56" ht="21" x14ac:dyDescent="0.2">
      <c r="B57" s="659" t="s">
        <v>86</v>
      </c>
      <c r="C57" s="38"/>
      <c r="D57" s="875"/>
      <c r="E57" s="253" t="s">
        <v>86</v>
      </c>
      <c r="F57" s="1060"/>
      <c r="G57" s="1060"/>
      <c r="H57" s="80"/>
      <c r="I57" s="76"/>
      <c r="J57" s="318" t="str">
        <f>$J$15</f>
        <v>totaal</v>
      </c>
      <c r="K57" s="76"/>
      <c r="L57" s="440">
        <f ca="1">OFFSET(L57,0,-1)+1</f>
        <v>1</v>
      </c>
      <c r="M57" s="440">
        <f t="shared" ref="M57:T57" ca="1" si="6">OFFSET(M57,0,-1)+1</f>
        <v>2</v>
      </c>
      <c r="N57" s="440">
        <f t="shared" ca="1" si="6"/>
        <v>3</v>
      </c>
      <c r="O57" s="440">
        <f t="shared" ca="1" si="6"/>
        <v>4</v>
      </c>
      <c r="P57" s="440">
        <f t="shared" ca="1" si="6"/>
        <v>5</v>
      </c>
      <c r="Q57" s="440">
        <f t="shared" ca="1" si="6"/>
        <v>6</v>
      </c>
      <c r="R57" s="440">
        <f t="shared" ca="1" si="6"/>
        <v>7</v>
      </c>
      <c r="S57" s="440">
        <f t="shared" ca="1" si="6"/>
        <v>8</v>
      </c>
      <c r="T57" s="440">
        <f t="shared" ca="1" si="6"/>
        <v>9</v>
      </c>
      <c r="U57" s="76"/>
    </row>
    <row r="58" spans="1:56" ht="18.75" x14ac:dyDescent="0.2">
      <c r="B58" s="659" t="s">
        <v>86</v>
      </c>
      <c r="C58" s="475"/>
      <c r="D58" s="876"/>
      <c r="E58" s="236" t="s">
        <v>68</v>
      </c>
      <c r="F58" s="236"/>
      <c r="G58" s="236"/>
      <c r="H58" s="89"/>
      <c r="I58" s="236"/>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236"/>
      <c r="AT58" s="236"/>
      <c r="AU58" s="236"/>
      <c r="AV58" s="236"/>
      <c r="AW58" s="236"/>
      <c r="AX58" s="236"/>
      <c r="AY58" s="236"/>
      <c r="AZ58" s="236"/>
      <c r="BA58" s="236"/>
      <c r="BB58" s="38"/>
      <c r="BC58" s="38"/>
      <c r="BD58" s="274"/>
    </row>
    <row r="59" spans="1:56" s="2" customFormat="1" ht="15.75" customHeight="1" x14ac:dyDescent="0.2">
      <c r="A59" s="616"/>
      <c r="B59" s="659" t="s">
        <v>86</v>
      </c>
      <c r="D59" s="877"/>
      <c r="E59" s="220" t="s">
        <v>69</v>
      </c>
      <c r="F59" s="220"/>
      <c r="G59" s="221" t="s">
        <v>70</v>
      </c>
      <c r="H59" s="4"/>
      <c r="I59" s="478"/>
      <c r="J59" s="634"/>
      <c r="K59" s="478"/>
      <c r="L59" s="1059"/>
      <c r="M59" s="1059"/>
      <c r="N59" s="1059"/>
      <c r="O59" s="1059"/>
      <c r="P59" s="1059"/>
      <c r="Q59" s="1059"/>
      <c r="R59" s="1059"/>
      <c r="S59" s="1059"/>
      <c r="T59" s="1059"/>
      <c r="U59" s="635"/>
    </row>
    <row r="60" spans="1:56" s="2" customFormat="1" x14ac:dyDescent="0.2">
      <c r="A60" s="616"/>
      <c r="B60" s="659" t="s">
        <v>86</v>
      </c>
      <c r="D60" s="751" t="s">
        <v>50</v>
      </c>
      <c r="E60" s="220" t="s">
        <v>71</v>
      </c>
      <c r="F60" s="220"/>
      <c r="G60" s="221" t="s">
        <v>70</v>
      </c>
      <c r="H60" s="4"/>
      <c r="I60" s="478"/>
      <c r="J60" s="634"/>
      <c r="K60" s="478"/>
      <c r="L60" s="559"/>
      <c r="M60" s="559"/>
      <c r="N60" s="559"/>
      <c r="O60" s="559"/>
      <c r="P60" s="559"/>
      <c r="Q60" s="559"/>
      <c r="R60" s="559"/>
      <c r="S60" s="559"/>
      <c r="T60" s="559"/>
      <c r="U60" s="635"/>
    </row>
    <row r="61" spans="1:56" s="2" customFormat="1" x14ac:dyDescent="0.2">
      <c r="A61" s="616"/>
      <c r="B61" s="659"/>
      <c r="D61" s="877"/>
      <c r="E61" s="317" t="s">
        <v>73</v>
      </c>
      <c r="F61" s="220"/>
      <c r="G61" s="221" t="s">
        <v>70</v>
      </c>
      <c r="H61" s="4"/>
      <c r="I61" s="478"/>
      <c r="J61" s="634"/>
      <c r="K61" s="478"/>
      <c r="L61" s="702" t="str">
        <f>IF(L60="","",INDEX(bibliotheek!$H$14:$EC$14,MATCH(L60,woningen_gebouwen_namen,0)))</f>
        <v/>
      </c>
      <c r="M61" s="702" t="str">
        <f>IF(M60="","",INDEX(bibliotheek!$H$14:$EC$14,MATCH(M60,woningen_gebouwen_namen,0)))</f>
        <v/>
      </c>
      <c r="N61" s="702" t="str">
        <f>IF(N60="","",INDEX(bibliotheek!$H$14:$EC$14,MATCH(N60,woningen_gebouwen_namen,0)))</f>
        <v/>
      </c>
      <c r="O61" s="702" t="str">
        <f>IF(O60="","",INDEX(bibliotheek!$H$14:$EC$14,MATCH(O60,woningen_gebouwen_namen,0)))</f>
        <v/>
      </c>
      <c r="P61" s="702" t="str">
        <f>IF(P60="","",INDEX(bibliotheek!$H$14:$EC$14,MATCH(P60,woningen_gebouwen_namen,0)))</f>
        <v/>
      </c>
      <c r="Q61" s="702" t="str">
        <f>IF(Q60="","",INDEX(bibliotheek!$H$14:$EC$14,MATCH(Q60,woningen_gebouwen_namen,0)))</f>
        <v/>
      </c>
      <c r="R61" s="702" t="str">
        <f>IF(R60="","",INDEX(bibliotheek!$H$14:$EC$14,MATCH(R60,woningen_gebouwen_namen,0)))</f>
        <v/>
      </c>
      <c r="S61" s="702" t="str">
        <f>IF(S60="","",INDEX(bibliotheek!$H$14:$EC$14,MATCH(S60,woningen_gebouwen_namen,0)))</f>
        <v/>
      </c>
      <c r="T61" s="702" t="str">
        <f>IF(T60="","",INDEX(bibliotheek!$H$14:$EC$14,MATCH(T60,woningen_gebouwen_namen,0)))</f>
        <v/>
      </c>
      <c r="U61" s="635"/>
    </row>
    <row r="62" spans="1:56" s="2" customFormat="1" x14ac:dyDescent="0.2">
      <c r="A62" s="616"/>
      <c r="B62" s="659" t="s">
        <v>86</v>
      </c>
      <c r="D62" s="877"/>
      <c r="E62" s="412" t="s">
        <v>74</v>
      </c>
      <c r="F62" s="220"/>
      <c r="G62" s="221" t="s">
        <v>70</v>
      </c>
      <c r="H62" s="4"/>
      <c r="I62" s="478"/>
      <c r="J62" s="634"/>
      <c r="K62" s="478"/>
      <c r="L62" s="701"/>
      <c r="M62" s="701"/>
      <c r="N62" s="701"/>
      <c r="O62" s="701"/>
      <c r="P62" s="701"/>
      <c r="Q62" s="701"/>
      <c r="R62" s="701"/>
      <c r="S62" s="701"/>
      <c r="T62" s="701"/>
      <c r="U62" s="635"/>
    </row>
    <row r="63" spans="1:56" s="2" customFormat="1" x14ac:dyDescent="0.2">
      <c r="A63" s="616"/>
      <c r="B63" s="659" t="s">
        <v>86</v>
      </c>
      <c r="D63" s="877"/>
      <c r="E63" s="220" t="s">
        <v>75</v>
      </c>
      <c r="F63" s="220"/>
      <c r="G63" s="221" t="s">
        <v>64</v>
      </c>
      <c r="H63" s="4"/>
      <c r="I63" s="13"/>
      <c r="J63" s="230">
        <f>J64+J65</f>
        <v>0</v>
      </c>
      <c r="K63" s="478"/>
      <c r="L63" s="329"/>
      <c r="M63" s="329"/>
      <c r="N63" s="329"/>
      <c r="O63" s="329"/>
      <c r="P63" s="329"/>
      <c r="Q63" s="329"/>
      <c r="R63" s="329"/>
      <c r="S63" s="329"/>
      <c r="T63" s="329"/>
      <c r="U63" s="479"/>
    </row>
    <row r="64" spans="1:56" s="2" customFormat="1" x14ac:dyDescent="0.2">
      <c r="A64" s="616"/>
      <c r="B64" s="659" t="s">
        <v>86</v>
      </c>
      <c r="D64" s="877"/>
      <c r="E64" s="316" t="s">
        <v>76</v>
      </c>
      <c r="F64" s="316"/>
      <c r="G64" s="354" t="s">
        <v>77</v>
      </c>
      <c r="H64" s="4"/>
      <c r="I64" s="13"/>
      <c r="J64" s="230">
        <f>SUM(K64:U64)</f>
        <v>0</v>
      </c>
      <c r="K64" s="478"/>
      <c r="L64" s="636" t="str">
        <f>IF(L60="","",IF(OR(HLOOKUP(L60,woningen_gebouwen_gegevens,ROWS(bibliotheek!$E$13:$E$14),FALSE)=woning,HLOOKUP(L60,woningen_gebouwen_gegevens,ROWS(bibliotheek!$E$13:$E$14),FALSE)=woongebouw),L63,0))</f>
        <v/>
      </c>
      <c r="M64" s="636" t="str">
        <f>IF(M60="","",IF(OR(HLOOKUP(M60,woningen_gebouwen_gegevens,ROWS(bibliotheek!$E$13:$E$14),FALSE)=woning,HLOOKUP(M60,woningen_gebouwen_gegevens,ROWS(bibliotheek!$E$13:$E$14),FALSE)=woongebouw),M63,0))</f>
        <v/>
      </c>
      <c r="N64" s="636" t="str">
        <f>IF(N60="","",IF(OR(HLOOKUP(N60,woningen_gebouwen_gegevens,ROWS(bibliotheek!$E$13:$E$14),FALSE)=woning,HLOOKUP(N60,woningen_gebouwen_gegevens,ROWS(bibliotheek!$E$13:$E$14),FALSE)=woongebouw),N63,0))</f>
        <v/>
      </c>
      <c r="O64" s="636" t="str">
        <f>IF(O60="","",IF(OR(HLOOKUP(O60,woningen_gebouwen_gegevens,ROWS(bibliotheek!$E$13:$E$14),FALSE)=woning,HLOOKUP(O60,woningen_gebouwen_gegevens,ROWS(bibliotheek!$E$13:$E$14),FALSE)=woongebouw),O63,0))</f>
        <v/>
      </c>
      <c r="P64" s="636" t="str">
        <f>IF(P60="","",IF(OR(HLOOKUP(P60,woningen_gebouwen_gegevens,ROWS(bibliotheek!$E$13:$E$14),FALSE)=woning,HLOOKUP(P60,woningen_gebouwen_gegevens,ROWS(bibliotheek!$E$13:$E$14),FALSE)=woongebouw),P63,0))</f>
        <v/>
      </c>
      <c r="Q64" s="636" t="str">
        <f>IF(Q60="","",IF(OR(HLOOKUP(Q60,woningen_gebouwen_gegevens,ROWS(bibliotheek!$E$13:$E$14),FALSE)=woning,HLOOKUP(Q60,woningen_gebouwen_gegevens,ROWS(bibliotheek!$E$13:$E$14),FALSE)=woongebouw),Q63,0))</f>
        <v/>
      </c>
      <c r="R64" s="636" t="str">
        <f>IF(R60="","",IF(OR(HLOOKUP(R60,woningen_gebouwen_gegevens,ROWS(bibliotheek!$E$13:$E$14),FALSE)=woning,HLOOKUP(R60,woningen_gebouwen_gegevens,ROWS(bibliotheek!$E$13:$E$14),FALSE)=woongebouw),R63,0))</f>
        <v/>
      </c>
      <c r="S64" s="636" t="str">
        <f>IF(S60="","",IF(OR(HLOOKUP(S60,woningen_gebouwen_gegevens,ROWS(bibliotheek!$E$13:$E$14),FALSE)=woning,HLOOKUP(S60,woningen_gebouwen_gegevens,ROWS(bibliotheek!$E$13:$E$14),FALSE)=woongebouw),S63,0))</f>
        <v/>
      </c>
      <c r="T64" s="636" t="str">
        <f>IF(T60="","",IF(OR(HLOOKUP(T60,woningen_gebouwen_gegevens,ROWS(bibliotheek!$E$13:$E$14),FALSE)=woning,HLOOKUP(T60,woningen_gebouwen_gegevens,ROWS(bibliotheek!$E$13:$E$14),FALSE)=woongebouw),T63,0))</f>
        <v/>
      </c>
      <c r="U64" s="479"/>
    </row>
    <row r="65" spans="1:21" s="2" customFormat="1" x14ac:dyDescent="0.2">
      <c r="A65" s="616"/>
      <c r="B65" s="659" t="s">
        <v>86</v>
      </c>
      <c r="D65" s="877"/>
      <c r="E65" s="316" t="s">
        <v>78</v>
      </c>
      <c r="F65" s="316"/>
      <c r="G65" s="354" t="s">
        <v>79</v>
      </c>
      <c r="H65" s="4"/>
      <c r="I65" s="13"/>
      <c r="J65" s="230">
        <f>SUM(K65:U65)</f>
        <v>0</v>
      </c>
      <c r="K65" s="478"/>
      <c r="L65" s="466" t="str">
        <f t="shared" ref="L65:T65" si="7">IF(L60="","""",L63-L64)</f>
        <v>"</v>
      </c>
      <c r="M65" s="466" t="str">
        <f t="shared" si="7"/>
        <v>"</v>
      </c>
      <c r="N65" s="466" t="str">
        <f t="shared" si="7"/>
        <v>"</v>
      </c>
      <c r="O65" s="466" t="str">
        <f t="shared" si="7"/>
        <v>"</v>
      </c>
      <c r="P65" s="466" t="str">
        <f t="shared" si="7"/>
        <v>"</v>
      </c>
      <c r="Q65" s="466" t="str">
        <f t="shared" si="7"/>
        <v>"</v>
      </c>
      <c r="R65" s="466" t="str">
        <f t="shared" si="7"/>
        <v>"</v>
      </c>
      <c r="S65" s="466" t="str">
        <f t="shared" si="7"/>
        <v>"</v>
      </c>
      <c r="T65" s="466" t="str">
        <f t="shared" si="7"/>
        <v>"</v>
      </c>
      <c r="U65" s="479"/>
    </row>
    <row r="66" spans="1:21" s="2" customFormat="1" x14ac:dyDescent="0.2">
      <c r="A66" s="616"/>
      <c r="B66" s="659" t="s">
        <v>86</v>
      </c>
      <c r="D66" s="877"/>
      <c r="E66" s="316" t="s">
        <v>80</v>
      </c>
      <c r="F66" s="316"/>
      <c r="G66" s="354" t="s">
        <v>81</v>
      </c>
      <c r="J66" s="229">
        <f>SUMPRODUCT(K63:U63,K66:U66)</f>
        <v>0</v>
      </c>
      <c r="L66" s="452" t="str">
        <f>IF(L60="","",IF(L67&lt;&gt;"",L67,HLOOKUP(L60,woningen_gebouwen_gegevens,ROWS(bibliotheek!$E$13:$E$16),FALSE)))</f>
        <v/>
      </c>
      <c r="M66" s="452" t="str">
        <f>IF(M60="","",IF(M67&lt;&gt;"",M67,HLOOKUP(M60,woningen_gebouwen_gegevens,ROWS(bibliotheek!$E$13:$E$16),FALSE)))</f>
        <v/>
      </c>
      <c r="N66" s="452" t="str">
        <f>IF(N60="","",IF(N67&lt;&gt;"",N67,HLOOKUP(N60,woningen_gebouwen_gegevens,ROWS(bibliotheek!$E$13:$E$16),FALSE)))</f>
        <v/>
      </c>
      <c r="O66" s="452" t="str">
        <f>IF(O60="","",IF(O67&lt;&gt;"",O67,HLOOKUP(O60,woningen_gebouwen_gegevens,ROWS(bibliotheek!$E$13:$E$16),FALSE)))</f>
        <v/>
      </c>
      <c r="P66" s="452" t="str">
        <f>IF(P60="","",IF(P67&lt;&gt;"",P67,HLOOKUP(P60,woningen_gebouwen_gegevens,ROWS(bibliotheek!$E$13:$E$16),FALSE)))</f>
        <v/>
      </c>
      <c r="Q66" s="452" t="str">
        <f>IF(Q60="","",IF(Q67&lt;&gt;"",Q67,HLOOKUP(Q60,woningen_gebouwen_gegevens,ROWS(bibliotheek!$E$13:$E$16),FALSE)))</f>
        <v/>
      </c>
      <c r="R66" s="452" t="str">
        <f>IF(R60="","",IF(R67&lt;&gt;"",R67,HLOOKUP(R60,woningen_gebouwen_gegevens,ROWS(bibliotheek!$E$13:$E$16),FALSE)))</f>
        <v/>
      </c>
      <c r="S66" s="452" t="str">
        <f>IF(S60="","",IF(S67&lt;&gt;"",S67,HLOOKUP(S60,woningen_gebouwen_gegevens,ROWS(bibliotheek!$E$13:$E$16),FALSE)))</f>
        <v/>
      </c>
      <c r="T66" s="452" t="str">
        <f>IF(T60="","",IF(T67&lt;&gt;"",T67,HLOOKUP(T60,woningen_gebouwen_gegevens,ROWS(bibliotheek!$E$13:$E$16),FALSE)))</f>
        <v/>
      </c>
      <c r="U66" s="441"/>
    </row>
    <row r="67" spans="1:21" s="2" customFormat="1" x14ac:dyDescent="0.2">
      <c r="A67" s="616"/>
      <c r="B67" s="659" t="s">
        <v>86</v>
      </c>
      <c r="D67" s="877"/>
      <c r="E67" s="412" t="s">
        <v>82</v>
      </c>
      <c r="F67" s="317"/>
      <c r="G67" s="355"/>
      <c r="J67" s="239"/>
      <c r="L67" s="159"/>
      <c r="M67" s="159"/>
      <c r="N67" s="159"/>
      <c r="O67" s="159"/>
      <c r="P67" s="159"/>
      <c r="Q67" s="159"/>
      <c r="R67" s="159"/>
      <c r="S67" s="159"/>
      <c r="T67" s="159"/>
      <c r="U67" s="441"/>
    </row>
    <row r="68" spans="1:21" s="2" customFormat="1" x14ac:dyDescent="0.2">
      <c r="A68" s="616"/>
      <c r="B68" s="659" t="s">
        <v>86</v>
      </c>
      <c r="D68" s="877"/>
      <c r="E68" s="442" t="s">
        <v>83</v>
      </c>
      <c r="F68" s="220"/>
      <c r="G68" s="464" t="s">
        <v>81</v>
      </c>
      <c r="H68" s="4"/>
      <c r="I68" s="478"/>
      <c r="J68" s="230">
        <f>SUMPRODUCT(K63:U63,K68:U68)</f>
        <v>0</v>
      </c>
      <c r="K68" s="478"/>
      <c r="L68" s="272" t="str">
        <f>IF(L60="","",L66*HLOOKUP(L60,woningen_gebouwen_gegevens,ROWS(bibliotheek!$E$13:$E$26),FALSE))</f>
        <v/>
      </c>
      <c r="M68" s="272" t="str">
        <f>IF(M60="","",M66*HLOOKUP(M60,woningen_gebouwen_gegevens,ROWS(bibliotheek!$E$13:$E$26),FALSE))</f>
        <v/>
      </c>
      <c r="N68" s="272" t="str">
        <f>IF(N60="","",N66*HLOOKUP(N60,woningen_gebouwen_gegevens,ROWS(bibliotheek!$E$13:$E$26),FALSE))</f>
        <v/>
      </c>
      <c r="O68" s="272" t="str">
        <f>IF(O60="","",O66*HLOOKUP(O60,woningen_gebouwen_gegevens,ROWS(bibliotheek!$E$13:$E$26),FALSE))</f>
        <v/>
      </c>
      <c r="P68" s="272" t="str">
        <f>IF(P60="","",P66*HLOOKUP(P60,woningen_gebouwen_gegevens,ROWS(bibliotheek!$E$13:$E$26),FALSE))</f>
        <v/>
      </c>
      <c r="Q68" s="272" t="str">
        <f>IF(Q60="","",Q66*HLOOKUP(Q60,woningen_gebouwen_gegevens,ROWS(bibliotheek!$E$13:$E$26),FALSE))</f>
        <v/>
      </c>
      <c r="R68" s="272" t="str">
        <f>IF(R60="","",R66*HLOOKUP(R60,woningen_gebouwen_gegevens,ROWS(bibliotheek!$E$13:$E$26),FALSE))</f>
        <v/>
      </c>
      <c r="S68" s="272" t="str">
        <f>IF(S60="","",S66*HLOOKUP(S60,woningen_gebouwen_gegevens,ROWS(bibliotheek!$E$13:$E$26),FALSE))</f>
        <v/>
      </c>
      <c r="T68" s="272" t="str">
        <f>IF(T60="","",T66*HLOOKUP(T60,woningen_gebouwen_gegevens,ROWS(bibliotheek!$E$13:$E$26),FALSE))</f>
        <v/>
      </c>
      <c r="U68" s="443"/>
    </row>
    <row r="69" spans="1:21" x14ac:dyDescent="0.2">
      <c r="B69" s="659" t="s">
        <v>86</v>
      </c>
    </row>
    <row r="70" spans="1:21" ht="21" x14ac:dyDescent="0.2">
      <c r="A70" s="648"/>
      <c r="B70" s="492" t="s">
        <v>87</v>
      </c>
      <c r="C70" s="656" t="s">
        <v>88</v>
      </c>
      <c r="D70" s="752" t="s">
        <v>89</v>
      </c>
      <c r="E70" s="553" t="s">
        <v>87</v>
      </c>
      <c r="F70" s="553" t="s">
        <v>87</v>
      </c>
      <c r="G70" s="553" t="s">
        <v>87</v>
      </c>
      <c r="H70" s="553" t="s">
        <v>87</v>
      </c>
      <c r="I70" s="553" t="s">
        <v>87</v>
      </c>
      <c r="J70" s="553" t="s">
        <v>87</v>
      </c>
      <c r="K70" s="553" t="s">
        <v>87</v>
      </c>
      <c r="L70" s="553" t="s">
        <v>87</v>
      </c>
      <c r="M70" s="553" t="s">
        <v>87</v>
      </c>
      <c r="N70" s="553" t="s">
        <v>87</v>
      </c>
      <c r="O70" s="553" t="s">
        <v>87</v>
      </c>
      <c r="P70" s="553" t="s">
        <v>87</v>
      </c>
      <c r="Q70" s="553" t="s">
        <v>87</v>
      </c>
      <c r="R70" s="553" t="s">
        <v>87</v>
      </c>
      <c r="S70" s="553" t="s">
        <v>87</v>
      </c>
      <c r="T70" s="553" t="s">
        <v>87</v>
      </c>
    </row>
  </sheetData>
  <sheetProtection algorithmName="SHA-512" hashValue="TYigFu6kKftpjq+rIceJHVNxPIkMCVsAeN9wFfrdGijyVkMXcFp8oiKIgWFd2GO1kT9wahsLO9WVykEgphTQCQ==" saltValue="0ACWNtuoRud9GxH/j6n89A==" spinCount="100000" sheet="1" objects="1" scenarios="1" formatColumns="0" autoFilter="0"/>
  <autoFilter ref="B7:B70" xr:uid="{18FFC9CE-6F07-49A1-A37C-715ECAC0CC7F}"/>
  <mergeCells count="13">
    <mergeCell ref="F3:G3"/>
    <mergeCell ref="F15:G15"/>
    <mergeCell ref="F29:G29"/>
    <mergeCell ref="B4:B6"/>
    <mergeCell ref="L17:T17"/>
    <mergeCell ref="F4:G4"/>
    <mergeCell ref="F5:G5"/>
    <mergeCell ref="L31:T31"/>
    <mergeCell ref="L45:T45"/>
    <mergeCell ref="L59:T59"/>
    <mergeCell ref="F9:G9"/>
    <mergeCell ref="F43:G43"/>
    <mergeCell ref="F57:G57"/>
  </mergeCells>
  <conditionalFormatting sqref="T35 T49 T63 L21:T21">
    <cfRule type="expression" dxfId="1185" priority="2413">
      <formula>L18=""</formula>
    </cfRule>
  </conditionalFormatting>
  <conditionalFormatting sqref="L25:R25 T25 T39 T53 T67">
    <cfRule type="expression" dxfId="1184" priority="261">
      <formula>L18=""</formula>
    </cfRule>
    <cfRule type="expression" dxfId="1183" priority="262">
      <formula>AND(L18&lt;&gt;"",L25="")</formula>
    </cfRule>
  </conditionalFormatting>
  <conditionalFormatting sqref="L18:T18">
    <cfRule type="expression" dxfId="1182" priority="258">
      <formula>AND(L18&lt;&gt;"",ISERROR(MATCH(L18,woningen_gebouwen_namen,0))=TRUE)</formula>
    </cfRule>
    <cfRule type="expression" dxfId="1181" priority="259">
      <formula>L18=""</formula>
    </cfRule>
  </conditionalFormatting>
  <conditionalFormatting sqref="L20:R20 T20 T34 T48 T62">
    <cfRule type="expression" dxfId="1180" priority="256">
      <formula>L18=""</formula>
    </cfRule>
    <cfRule type="expression" dxfId="1179" priority="257">
      <formula>AND(L18&lt;&gt;"",L20="")</formula>
    </cfRule>
  </conditionalFormatting>
  <conditionalFormatting sqref="L17">
    <cfRule type="expression" dxfId="1178" priority="237">
      <formula>L17=""</formula>
    </cfRule>
  </conditionalFormatting>
  <conditionalFormatting sqref="F3:F5">
    <cfRule type="expression" dxfId="1177" priority="149">
      <formula>F3=""</formula>
    </cfRule>
  </conditionalFormatting>
  <conditionalFormatting sqref="L23:R23 T23 T37 T51 T65">
    <cfRule type="expression" dxfId="1176" priority="148">
      <formula>L18=""</formula>
    </cfRule>
  </conditionalFormatting>
  <conditionalFormatting sqref="L22:R22 T22">
    <cfRule type="expression" dxfId="1175" priority="138">
      <formula>L22=""</formula>
    </cfRule>
  </conditionalFormatting>
  <conditionalFormatting sqref="L24:R24 T24">
    <cfRule type="expression" dxfId="1174" priority="137">
      <formula>L24=""</formula>
    </cfRule>
  </conditionalFormatting>
  <conditionalFormatting sqref="L26:R26 T26">
    <cfRule type="expression" dxfId="1173" priority="136">
      <formula>L26=""</formula>
    </cfRule>
  </conditionalFormatting>
  <conditionalFormatting sqref="L39:R39">
    <cfRule type="expression" dxfId="1172" priority="133">
      <formula>L32=""</formula>
    </cfRule>
    <cfRule type="expression" dxfId="1171" priority="134">
      <formula>AND(L32&lt;&gt;"",L39="")</formula>
    </cfRule>
  </conditionalFormatting>
  <conditionalFormatting sqref="L34:R34">
    <cfRule type="expression" dxfId="1170" priority="129">
      <formula>L32=""</formula>
    </cfRule>
    <cfRule type="expression" dxfId="1169" priority="130">
      <formula>AND(L32&lt;&gt;"",L34="")</formula>
    </cfRule>
  </conditionalFormatting>
  <conditionalFormatting sqref="L37:R37">
    <cfRule type="expression" dxfId="1168" priority="126">
      <formula>L32=""</formula>
    </cfRule>
  </conditionalFormatting>
  <conditionalFormatting sqref="L36:R36 T36">
    <cfRule type="expression" dxfId="1167" priority="125">
      <formula>L36=""</formula>
    </cfRule>
  </conditionalFormatting>
  <conditionalFormatting sqref="L38:R38 T38">
    <cfRule type="expression" dxfId="1166" priority="124">
      <formula>L38=""</formula>
    </cfRule>
  </conditionalFormatting>
  <conditionalFormatting sqref="L40:R40 T40">
    <cfRule type="expression" dxfId="1165" priority="123">
      <formula>L40=""</formula>
    </cfRule>
  </conditionalFormatting>
  <conditionalFormatting sqref="L53:R53">
    <cfRule type="expression" dxfId="1164" priority="120">
      <formula>L46=""</formula>
    </cfRule>
    <cfRule type="expression" dxfId="1163" priority="121">
      <formula>AND(L46&lt;&gt;"",L53="")</formula>
    </cfRule>
  </conditionalFormatting>
  <conditionalFormatting sqref="L48:R48">
    <cfRule type="expression" dxfId="1162" priority="116">
      <formula>L46=""</formula>
    </cfRule>
    <cfRule type="expression" dxfId="1161" priority="117">
      <formula>AND(L46&lt;&gt;"",L48="")</formula>
    </cfRule>
  </conditionalFormatting>
  <conditionalFormatting sqref="L51:R51">
    <cfRule type="expression" dxfId="1160" priority="113">
      <formula>L46=""</formula>
    </cfRule>
  </conditionalFormatting>
  <conditionalFormatting sqref="L50:R50 T50">
    <cfRule type="expression" dxfId="1159" priority="112">
      <formula>L50=""</formula>
    </cfRule>
  </conditionalFormatting>
  <conditionalFormatting sqref="L52:R52 T52">
    <cfRule type="expression" dxfId="1158" priority="111">
      <formula>L52=""</formula>
    </cfRule>
  </conditionalFormatting>
  <conditionalFormatting sqref="L54:R54 T54">
    <cfRule type="expression" dxfId="1157" priority="110">
      <formula>L54=""</formula>
    </cfRule>
  </conditionalFormatting>
  <conditionalFormatting sqref="L67:R67">
    <cfRule type="expression" dxfId="1156" priority="95">
      <formula>L60=""</formula>
    </cfRule>
    <cfRule type="expression" dxfId="1155" priority="96">
      <formula>AND(L60&lt;&gt;"",L67="")</formula>
    </cfRule>
  </conditionalFormatting>
  <conditionalFormatting sqref="L62:R62">
    <cfRule type="expression" dxfId="1154" priority="91">
      <formula>L60=""</formula>
    </cfRule>
    <cfRule type="expression" dxfId="1153" priority="92">
      <formula>AND(L60&lt;&gt;"",L62="")</formula>
    </cfRule>
  </conditionalFormatting>
  <conditionalFormatting sqref="L65:R65">
    <cfRule type="expression" dxfId="1152" priority="88">
      <formula>L60=""</formula>
    </cfRule>
  </conditionalFormatting>
  <conditionalFormatting sqref="L64:R64 T64">
    <cfRule type="expression" dxfId="1151" priority="87">
      <formula>L64=""</formula>
    </cfRule>
  </conditionalFormatting>
  <conditionalFormatting sqref="L66:R66 T66">
    <cfRule type="expression" dxfId="1150" priority="86">
      <formula>L66=""</formula>
    </cfRule>
  </conditionalFormatting>
  <conditionalFormatting sqref="L68:R68 T68">
    <cfRule type="expression" dxfId="1149" priority="85">
      <formula>L68=""</formula>
    </cfRule>
  </conditionalFormatting>
  <conditionalFormatting sqref="B70:C70">
    <cfRule type="expression" dxfId="1148" priority="78">
      <formula>B70=""</formula>
    </cfRule>
  </conditionalFormatting>
  <conditionalFormatting sqref="L31">
    <cfRule type="expression" dxfId="1147" priority="77">
      <formula>L31=""</formula>
    </cfRule>
  </conditionalFormatting>
  <conditionalFormatting sqref="L45">
    <cfRule type="expression" dxfId="1146" priority="75">
      <formula>L45=""</formula>
    </cfRule>
  </conditionalFormatting>
  <conditionalFormatting sqref="L59">
    <cfRule type="expression" dxfId="1145" priority="73">
      <formula>L59=""</formula>
    </cfRule>
  </conditionalFormatting>
  <conditionalFormatting sqref="S21">
    <cfRule type="expression" dxfId="1144" priority="71">
      <formula>S18=""</formula>
    </cfRule>
  </conditionalFormatting>
  <conditionalFormatting sqref="S25">
    <cfRule type="expression" dxfId="1143" priority="69">
      <formula>S18=""</formula>
    </cfRule>
    <cfRule type="expression" dxfId="1142" priority="70">
      <formula>AND(S18&lt;&gt;"",S25="")</formula>
    </cfRule>
  </conditionalFormatting>
  <conditionalFormatting sqref="S18">
    <cfRule type="expression" dxfId="1141" priority="67">
      <formula>AND(S18&lt;&gt;"",ISERROR(MATCH(S18,woningen_gebouwen_namen,0))=TRUE)</formula>
    </cfRule>
    <cfRule type="expression" dxfId="1140" priority="68">
      <formula>S18=""</formula>
    </cfRule>
  </conditionalFormatting>
  <conditionalFormatting sqref="S20">
    <cfRule type="expression" dxfId="1139" priority="65">
      <formula>S18=""</formula>
    </cfRule>
    <cfRule type="expression" dxfId="1138" priority="66">
      <formula>AND(S18&lt;&gt;"",S20="")</formula>
    </cfRule>
  </conditionalFormatting>
  <conditionalFormatting sqref="S23">
    <cfRule type="expression" dxfId="1137" priority="64">
      <formula>S18=""</formula>
    </cfRule>
  </conditionalFormatting>
  <conditionalFormatting sqref="S22">
    <cfRule type="expression" dxfId="1136" priority="63">
      <formula>S22=""</formula>
    </cfRule>
  </conditionalFormatting>
  <conditionalFormatting sqref="S24">
    <cfRule type="expression" dxfId="1135" priority="62">
      <formula>S24=""</formula>
    </cfRule>
  </conditionalFormatting>
  <conditionalFormatting sqref="S26">
    <cfRule type="expression" dxfId="1134" priority="61">
      <formula>S26=""</formula>
    </cfRule>
  </conditionalFormatting>
  <conditionalFormatting sqref="S39">
    <cfRule type="expression" dxfId="1133" priority="58">
      <formula>S32=""</formula>
    </cfRule>
    <cfRule type="expression" dxfId="1132" priority="59">
      <formula>AND(S32&lt;&gt;"",S39="")</formula>
    </cfRule>
  </conditionalFormatting>
  <conditionalFormatting sqref="S34">
    <cfRule type="expression" dxfId="1131" priority="54">
      <formula>S32=""</formula>
    </cfRule>
    <cfRule type="expression" dxfId="1130" priority="55">
      <formula>AND(S32&lt;&gt;"",S34="")</formula>
    </cfRule>
  </conditionalFormatting>
  <conditionalFormatting sqref="S37">
    <cfRule type="expression" dxfId="1129" priority="53">
      <formula>S32=""</formula>
    </cfRule>
  </conditionalFormatting>
  <conditionalFormatting sqref="S36">
    <cfRule type="expression" dxfId="1128" priority="52">
      <formula>S36=""</formula>
    </cfRule>
  </conditionalFormatting>
  <conditionalFormatting sqref="S38">
    <cfRule type="expression" dxfId="1127" priority="51">
      <formula>S38=""</formula>
    </cfRule>
  </conditionalFormatting>
  <conditionalFormatting sqref="S40">
    <cfRule type="expression" dxfId="1126" priority="50">
      <formula>S40=""</formula>
    </cfRule>
  </conditionalFormatting>
  <conditionalFormatting sqref="S53">
    <cfRule type="expression" dxfId="1125" priority="47">
      <formula>S46=""</formula>
    </cfRule>
    <cfRule type="expression" dxfId="1124" priority="48">
      <formula>AND(S46&lt;&gt;"",S53="")</formula>
    </cfRule>
  </conditionalFormatting>
  <conditionalFormatting sqref="S48">
    <cfRule type="expression" dxfId="1123" priority="43">
      <formula>S46=""</formula>
    </cfRule>
    <cfRule type="expression" dxfId="1122" priority="44">
      <formula>AND(S46&lt;&gt;"",S48="")</formula>
    </cfRule>
  </conditionalFormatting>
  <conditionalFormatting sqref="S51">
    <cfRule type="expression" dxfId="1121" priority="42">
      <formula>S46=""</formula>
    </cfRule>
  </conditionalFormatting>
  <conditionalFormatting sqref="S50">
    <cfRule type="expression" dxfId="1120" priority="41">
      <formula>S50=""</formula>
    </cfRule>
  </conditionalFormatting>
  <conditionalFormatting sqref="S52">
    <cfRule type="expression" dxfId="1119" priority="40">
      <formula>S52=""</formula>
    </cfRule>
  </conditionalFormatting>
  <conditionalFormatting sqref="S54">
    <cfRule type="expression" dxfId="1118" priority="39">
      <formula>S54=""</formula>
    </cfRule>
  </conditionalFormatting>
  <conditionalFormatting sqref="S67">
    <cfRule type="expression" dxfId="1117" priority="36">
      <formula>S60=""</formula>
    </cfRule>
    <cfRule type="expression" dxfId="1116" priority="37">
      <formula>AND(S60&lt;&gt;"",S67="")</formula>
    </cfRule>
  </conditionalFormatting>
  <conditionalFormatting sqref="S62">
    <cfRule type="expression" dxfId="1115" priority="32">
      <formula>S60=""</formula>
    </cfRule>
    <cfRule type="expression" dxfId="1114" priority="33">
      <formula>AND(S60&lt;&gt;"",S62="")</formula>
    </cfRule>
  </conditionalFormatting>
  <conditionalFormatting sqref="S65">
    <cfRule type="expression" dxfId="1113" priority="31">
      <formula>S60=""</formula>
    </cfRule>
  </conditionalFormatting>
  <conditionalFormatting sqref="S64">
    <cfRule type="expression" dxfId="1112" priority="30">
      <formula>S64=""</formula>
    </cfRule>
  </conditionalFormatting>
  <conditionalFormatting sqref="S66">
    <cfRule type="expression" dxfId="1111" priority="29">
      <formula>S66=""</formula>
    </cfRule>
  </conditionalFormatting>
  <conditionalFormatting sqref="S68">
    <cfRule type="expression" dxfId="1110" priority="28">
      <formula>S68=""</formula>
    </cfRule>
  </conditionalFormatting>
  <conditionalFormatting sqref="L21:T21">
    <cfRule type="expression" dxfId="1109" priority="27">
      <formula>AND(L18&lt;&gt;"",L21="")</formula>
    </cfRule>
  </conditionalFormatting>
  <conditionalFormatting sqref="L35:R35">
    <cfRule type="expression" dxfId="1108" priority="26">
      <formula>L32=""</formula>
    </cfRule>
  </conditionalFormatting>
  <conditionalFormatting sqref="S35">
    <cfRule type="expression" dxfId="1107" priority="25">
      <formula>S32=""</formula>
    </cfRule>
  </conditionalFormatting>
  <conditionalFormatting sqref="L35:T35">
    <cfRule type="expression" dxfId="1106" priority="24">
      <formula>AND(L32&lt;&gt;"",L35="")</formula>
    </cfRule>
  </conditionalFormatting>
  <conditionalFormatting sqref="L49:R49">
    <cfRule type="expression" dxfId="1105" priority="23">
      <formula>L46=""</formula>
    </cfRule>
  </conditionalFormatting>
  <conditionalFormatting sqref="S49">
    <cfRule type="expression" dxfId="1104" priority="22">
      <formula>S46=""</formula>
    </cfRule>
  </conditionalFormatting>
  <conditionalFormatting sqref="L49:T49">
    <cfRule type="expression" dxfId="1103" priority="21">
      <formula>AND(L46&lt;&gt;"",L49="")</formula>
    </cfRule>
  </conditionalFormatting>
  <conditionalFormatting sqref="L63:R63">
    <cfRule type="expression" dxfId="1102" priority="20">
      <formula>L60=""</formula>
    </cfRule>
  </conditionalFormatting>
  <conditionalFormatting sqref="S63">
    <cfRule type="expression" dxfId="1101" priority="19">
      <formula>S60=""</formula>
    </cfRule>
  </conditionalFormatting>
  <conditionalFormatting sqref="L63:T63">
    <cfRule type="expression" dxfId="1100" priority="18">
      <formula>AND(L60&lt;&gt;"",L63="")</formula>
    </cfRule>
  </conditionalFormatting>
  <conditionalFormatting sqref="L19:T19">
    <cfRule type="expression" dxfId="1099" priority="17">
      <formula>L18=""</formula>
    </cfRule>
  </conditionalFormatting>
  <conditionalFormatting sqref="L33:T33">
    <cfRule type="expression" dxfId="1098" priority="16">
      <formula>L32=""</formula>
    </cfRule>
  </conditionalFormatting>
  <conditionalFormatting sqref="L47:T47">
    <cfRule type="expression" dxfId="1097" priority="15">
      <formula>L46=""</formula>
    </cfRule>
  </conditionalFormatting>
  <conditionalFormatting sqref="L61:T61">
    <cfRule type="expression" dxfId="1096" priority="14">
      <formula>L60=""</formula>
    </cfRule>
  </conditionalFormatting>
  <conditionalFormatting sqref="G2">
    <cfRule type="expression" dxfId="1095" priority="13">
      <formula>ISERROR(SUM($J$11:$J$12))=TRUE</formula>
    </cfRule>
  </conditionalFormatting>
  <conditionalFormatting sqref="L32:R32 T32">
    <cfRule type="expression" dxfId="1094" priority="11">
      <formula>AND(L32&lt;&gt;"",ISERROR(MATCH(L32,woningen_gebouwen_namen,0))=TRUE)</formula>
    </cfRule>
    <cfRule type="expression" dxfId="1093" priority="12">
      <formula>L32=""</formula>
    </cfRule>
  </conditionalFormatting>
  <conditionalFormatting sqref="S32">
    <cfRule type="expression" dxfId="1092" priority="9">
      <formula>AND(S32&lt;&gt;"",ISERROR(MATCH(S32,woningen_gebouwen_namen,0))=TRUE)</formula>
    </cfRule>
    <cfRule type="expression" dxfId="1091" priority="10">
      <formula>S32=""</formula>
    </cfRule>
  </conditionalFormatting>
  <conditionalFormatting sqref="L46:R46 T46">
    <cfRule type="expression" dxfId="1090" priority="7">
      <formula>AND(L46&lt;&gt;"",ISERROR(MATCH(L46,woningen_gebouwen_namen,0))=TRUE)</formula>
    </cfRule>
    <cfRule type="expression" dxfId="1089" priority="8">
      <formula>L46=""</formula>
    </cfRule>
  </conditionalFormatting>
  <conditionalFormatting sqref="S46">
    <cfRule type="expression" dxfId="1088" priority="5">
      <formula>AND(S46&lt;&gt;"",ISERROR(MATCH(S46,woningen_gebouwen_namen,0))=TRUE)</formula>
    </cfRule>
    <cfRule type="expression" dxfId="1087" priority="6">
      <formula>S46=""</formula>
    </cfRule>
  </conditionalFormatting>
  <conditionalFormatting sqref="L60:R60 T60">
    <cfRule type="expression" dxfId="1086" priority="3">
      <formula>AND(L60&lt;&gt;"",ISERROR(MATCH(L60,woningen_gebouwen_namen,0))=TRUE)</formula>
    </cfRule>
    <cfRule type="expression" dxfId="1085" priority="4">
      <formula>L60=""</formula>
    </cfRule>
  </conditionalFormatting>
  <conditionalFormatting sqref="S60">
    <cfRule type="expression" dxfId="1084" priority="1">
      <formula>AND(S60&lt;&gt;"",ISERROR(MATCH(S60,woningen_gebouwen_namen,0))=TRUE)</formula>
    </cfRule>
    <cfRule type="expression" dxfId="1083" priority="2">
      <formula>S60=""</formula>
    </cfRule>
  </conditionalFormatting>
  <dataValidations count="8">
    <dataValidation type="textLength" errorStyle="warning" allowBlank="1" showInputMessage="1" showErrorMessage="1" errorTitle="Maximaal 65 karakters" error="Maximaal 65 karakters" sqref="F5" xr:uid="{E43991F4-1CE5-4D59-9BD6-7B823E1CE537}">
      <formula1>0</formula1>
      <formula2>65</formula2>
    </dataValidation>
    <dataValidation type="textLength" errorStyle="warning" allowBlank="1" showInputMessage="1" showErrorMessage="1" errorTitle="Maximaal 30 karakters" error="Maximaal 30 karakters" sqref="F3" xr:uid="{29C98048-4C2A-47DF-AA2A-613D1AEF4819}">
      <formula1>0</formula1>
      <formula2>30</formula2>
    </dataValidation>
    <dataValidation allowBlank="1" showInputMessage="1" showErrorMessage="1" promptTitle="Invoer kenmerken gebouwen" prompt="Op dit tabblad worden aantallen en geometrische kenmerken van de woningen, woongebouwen en/of utiliteitsgebouwen ingevoerd._x000a__x000a_De energetische kenmerken worden ingevoerd voor de referentie (tabblad 'referentie') en varianten daarop (tabblad 'variant x')." sqref="D2:D3" xr:uid="{634EAEF5-4149-4801-ACAC-3D7BF2FDE41D}"/>
    <dataValidation type="decimal" operator="greaterThanOrEqual" allowBlank="1" showInputMessage="1" showErrorMessage="1" sqref="L65:T68 L63:T63 L49:T49 L35:T35 L23:T26 L37:T40 L51:T54 L21:T21" xr:uid="{999E6106-0095-4B84-A10D-32E2461AFDC6}">
      <formula1>0</formula1>
    </dataValidation>
    <dataValidation type="list" allowBlank="1" showInputMessage="1" showErrorMessage="1" sqref="L32:T32 L46:T46 L60:T60 L18:T18" xr:uid="{F89DE403-C942-4AEB-9989-5D3221A1FEB8}">
      <formula1>woningen_gebouwen_namen</formula1>
    </dataValidation>
    <dataValidation allowBlank="1" showInputMessage="1" showErrorMessage="1" promptTitle="Gegevensfilter en navigatie" prompt="&lt;-_x000a_Het gegevensfilter biedt de mogelijkheid om (delen van) tabellen in de UMGO te filteren._x000a__x000a_-&gt;_x000a_Navigatieknoppen naar andere tabbladen." sqref="D7" xr:uid="{34A873A8-7BE9-4CC3-B1D1-3FDB63023865}"/>
    <dataValidation type="textLength" errorStyle="warning" allowBlank="1" showInputMessage="1" showErrorMessage="1" errorTitle="Maximaal 30 karakters" error="Maximaal 30 karakters" sqref="F4" xr:uid="{434D77DE-8141-4CCD-A518-1FB44DF7FE09}">
      <formula1>0</formula1>
      <formula2>50</formula2>
    </dataValidation>
    <dataValidation allowBlank="1" showInputMessage="1" showErrorMessage="1" promptTitle="woningen|utiliteitsgebouwen" prompt="De te kiezen typen RVO woningen en utiliteitsgebouwen:_x000a_- BENG referentiewoningen;_x000a_- BENG utiliteitsgebouwen;_x000a_- Voorbeeldwoningen_x000a_   bestaande bouw 2020_x000a_   (in de lijst de woningtypen_x000a_   met een bouwjaarklasse)" sqref="D18 D32 D46 D60" xr:uid="{586E4DFD-6BB3-4B5E-B8F0-DF718311E2EE}"/>
  </dataValidations>
  <pageMargins left="0.75" right="0.75" top="1" bottom="1" header="0.5" footer="0.5"/>
  <pageSetup paperSize="9" scale="56" orientation="landscape" horizontalDpi="4294967293" verticalDpi="4294967293"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DA1F1-0416-462C-B532-30E342FC77A1}">
  <sheetPr codeName="Blad7" filterMode="1">
    <tabColor theme="6" tint="0.39997558519241921"/>
    <outlinePr showOutlineSymbols="0"/>
    <pageSetUpPr fitToPage="1"/>
  </sheetPr>
  <dimension ref="A1:BH320"/>
  <sheetViews>
    <sheetView showGridLines="0" showRowColHeaders="0" zoomScaleNormal="100" workbookViewId="0">
      <pane xSplit="11" ySplit="15" topLeftCell="L16" activePane="bottomRight" state="frozen"/>
      <selection pane="topRight" activeCell="L1" sqref="L1"/>
      <selection pane="bottomLeft" activeCell="A16" sqref="A16"/>
      <selection pane="bottomRight" activeCell="H3" sqref="H3"/>
    </sheetView>
  </sheetViews>
  <sheetFormatPr defaultRowHeight="15.75" x14ac:dyDescent="0.2"/>
  <cols>
    <col min="1" max="1" width="0.5703125" style="651" customWidth="1"/>
    <col min="2" max="3" width="2.7109375" style="61" customWidth="1"/>
    <col min="4" max="4" width="2.7109375" style="233" customWidth="1"/>
    <col min="5" max="5" width="26.7109375" customWidth="1"/>
    <col min="6" max="7" width="17.7109375" customWidth="1"/>
    <col min="8" max="8" width="21.7109375" customWidth="1"/>
    <col min="9" max="9" width="0.28515625" customWidth="1"/>
    <col min="10" max="10" width="15.7109375" customWidth="1"/>
    <col min="11" max="12" width="0.85546875" customWidth="1"/>
    <col min="13" max="13" width="15.7109375" customWidth="1"/>
    <col min="14" max="14" width="0.28515625" customWidth="1"/>
    <col min="15" max="23" width="12.7109375" customWidth="1"/>
    <col min="24" max="24" width="1.7109375" customWidth="1"/>
    <col min="25" max="25" width="15.7109375" customWidth="1"/>
    <col min="26" max="26" width="0.28515625" customWidth="1"/>
    <col min="27" max="35" width="12.7109375" customWidth="1"/>
    <col min="36" max="36" width="1.7109375" customWidth="1"/>
    <col min="37" max="37" width="15.7109375" customWidth="1"/>
    <col min="38" max="38" width="0.28515625" customWidth="1"/>
    <col min="39" max="47" width="12.7109375" customWidth="1"/>
    <col min="48" max="48" width="1.7109375" customWidth="1"/>
    <col min="49" max="49" width="15.7109375" customWidth="1"/>
    <col min="50" max="50" width="0.28515625" customWidth="1"/>
    <col min="51" max="59" width="12.7109375" customWidth="1"/>
    <col min="60" max="60" width="1.140625" customWidth="1"/>
    <col min="61" max="65" width="9.140625" customWidth="1"/>
  </cols>
  <sheetData>
    <row r="1" spans="1:60" s="832" customFormat="1" ht="21" x14ac:dyDescent="0.2">
      <c r="A1" s="826"/>
      <c r="B1" s="826"/>
      <c r="C1" s="826"/>
      <c r="D1" s="827"/>
      <c r="E1" s="829" t="str">
        <f>disclaimer!$E$7&amp;" - "&amp;"versie "&amp;TEXT(disclaimer!$E$8,"d mmm jjjj")</f>
        <v>Uniforme Maatlat Gebouwde Omgeving 5.04 - versie 5 apr 2023</v>
      </c>
      <c r="F1" s="830"/>
      <c r="G1" s="830"/>
      <c r="H1" s="829"/>
      <c r="I1" s="830"/>
      <c r="J1" s="828"/>
      <c r="K1" s="831"/>
      <c r="L1" s="831"/>
      <c r="M1" s="831"/>
      <c r="N1" s="831"/>
      <c r="O1" s="835"/>
      <c r="P1" s="831"/>
      <c r="Q1" s="831"/>
      <c r="R1" s="831"/>
      <c r="S1" s="831"/>
      <c r="T1" s="831"/>
      <c r="U1" s="831"/>
      <c r="V1" s="831"/>
      <c r="W1" s="831"/>
      <c r="X1" s="831"/>
      <c r="Y1" s="831"/>
      <c r="Z1" s="831"/>
      <c r="AA1" s="835"/>
      <c r="AB1" s="831"/>
      <c r="AC1" s="831"/>
      <c r="AD1" s="831"/>
      <c r="AE1" s="831"/>
      <c r="AF1" s="831"/>
      <c r="AG1" s="831"/>
      <c r="AH1" s="831"/>
      <c r="AI1" s="831"/>
      <c r="AJ1" s="831"/>
      <c r="AK1" s="831"/>
      <c r="AL1" s="831"/>
      <c r="AM1" s="835"/>
      <c r="AN1" s="831"/>
      <c r="AO1" s="831"/>
      <c r="AP1" s="831"/>
      <c r="AQ1" s="831"/>
      <c r="AR1" s="831"/>
      <c r="AS1" s="831"/>
      <c r="AT1" s="831"/>
      <c r="AU1" s="831"/>
      <c r="AV1" s="831"/>
      <c r="AW1" s="831"/>
      <c r="AX1" s="831"/>
      <c r="AY1" s="831"/>
      <c r="AZ1" s="831"/>
      <c r="BA1" s="831"/>
      <c r="BB1" s="831"/>
      <c r="BC1" s="831"/>
      <c r="BD1" s="831"/>
      <c r="BE1" s="831"/>
      <c r="BF1" s="831"/>
      <c r="BG1" s="831"/>
      <c r="BH1" s="831"/>
    </row>
    <row r="2" spans="1:60" s="922" customFormat="1" ht="23.25" x14ac:dyDescent="0.35">
      <c r="A2" s="917"/>
      <c r="B2" s="918"/>
      <c r="C2" s="918"/>
      <c r="D2" s="919"/>
      <c r="E2" s="920" t="str">
        <f ca="1">IFERROR(MID(CELL("bestandsnaam",A1),SEARCH("]",CELL("bestandsnaam",A1),1)+1,99),"bestand nog niet opgeslagen")</f>
        <v>variant 1</v>
      </c>
      <c r="F2" s="921" t="str">
        <f>IF('woningen|utiliteit'!$G$2&lt;&gt;"","Controleer invoer gebouwen",IF(J50&lt;&gt;"OK","NB  Energiemaatregelen niet correct/volledig ingevuld",IF(J80&lt;&gt;"OK","NB  Vul alle installaties in","")))</f>
        <v/>
      </c>
      <c r="G2" s="921"/>
      <c r="H2" s="976"/>
      <c r="I2" s="850"/>
      <c r="J2" s="923"/>
      <c r="K2" s="903"/>
      <c r="L2" s="903"/>
      <c r="M2" s="926" t="s">
        <v>90</v>
      </c>
      <c r="N2" s="925"/>
      <c r="O2" s="940" t="s">
        <v>91</v>
      </c>
      <c r="P2" s="924"/>
      <c r="Q2" s="924"/>
      <c r="R2" s="924"/>
      <c r="S2" s="924"/>
      <c r="T2" s="924"/>
      <c r="U2" s="924"/>
      <c r="V2" s="924"/>
      <c r="W2" s="924"/>
      <c r="X2" s="924"/>
      <c r="Y2" s="926" t="s">
        <v>90</v>
      </c>
      <c r="Z2" s="925"/>
      <c r="AA2" s="940" t="s">
        <v>91</v>
      </c>
      <c r="AB2" s="924"/>
      <c r="AC2" s="924"/>
      <c r="AD2" s="924"/>
      <c r="AE2" s="924"/>
      <c r="AF2" s="924"/>
      <c r="AG2" s="924"/>
      <c r="AH2" s="924"/>
      <c r="AI2" s="924"/>
      <c r="AJ2" s="924"/>
      <c r="AK2" s="926" t="s">
        <v>90</v>
      </c>
      <c r="AL2" s="925"/>
      <c r="AM2" s="940" t="s">
        <v>91</v>
      </c>
      <c r="AN2" s="924"/>
      <c r="AO2" s="924"/>
      <c r="AP2" s="924"/>
      <c r="AQ2" s="924"/>
      <c r="AR2" s="924"/>
      <c r="AS2" s="924"/>
      <c r="AT2" s="924"/>
      <c r="AU2" s="924"/>
      <c r="AV2" s="924"/>
      <c r="AW2" s="926" t="s">
        <v>90</v>
      </c>
      <c r="AX2" s="925"/>
      <c r="AY2" s="940" t="s">
        <v>91</v>
      </c>
      <c r="AZ2" s="924"/>
      <c r="BA2" s="924"/>
      <c r="BB2" s="924"/>
      <c r="BC2" s="924"/>
      <c r="BD2" s="924"/>
      <c r="BE2" s="924"/>
      <c r="BF2" s="924"/>
      <c r="BG2" s="924"/>
      <c r="BH2" s="256"/>
    </row>
    <row r="3" spans="1:60" x14ac:dyDescent="0.2">
      <c r="A3" s="649"/>
      <c r="B3" s="491"/>
      <c r="C3" s="491"/>
      <c r="D3" s="747"/>
      <c r="E3" s="1068" t="str">
        <f>"project: "&amp;IF('woningen|utiliteit'!$F$3="","",'woningen|utiliteit'!$F$3)</f>
        <v xml:space="preserve">project: </v>
      </c>
      <c r="F3" s="1069"/>
      <c r="G3" s="853" t="s">
        <v>92</v>
      </c>
      <c r="H3" s="854"/>
      <c r="I3" s="90"/>
      <c r="K3" s="903"/>
      <c r="L3" s="903"/>
      <c r="M3" s="904" t="s">
        <v>93</v>
      </c>
      <c r="N3" s="905"/>
      <c r="O3" s="941" t="str">
        <f>IF(M24=0,"-",O101&amp;IF(O105=1,"","   |  "&amp;O131))</f>
        <v>-</v>
      </c>
      <c r="P3" s="906"/>
      <c r="Q3" s="907"/>
      <c r="R3" s="907"/>
      <c r="S3" s="907"/>
      <c r="T3" s="907"/>
      <c r="U3" s="907"/>
      <c r="V3" s="907"/>
      <c r="W3" s="907"/>
      <c r="X3" s="91"/>
      <c r="Y3" s="904" t="s">
        <v>93</v>
      </c>
      <c r="Z3" s="905"/>
      <c r="AA3" s="941" t="str">
        <f>IF(Y24=0,"-",AA101&amp;IF(AA105=1,"","   |  "&amp;AA131))</f>
        <v>-</v>
      </c>
      <c r="AB3" s="906"/>
      <c r="AC3" s="907"/>
      <c r="AD3" s="907"/>
      <c r="AE3" s="907"/>
      <c r="AF3" s="907"/>
      <c r="AG3" s="907"/>
      <c r="AH3" s="907"/>
      <c r="AI3" s="907"/>
      <c r="AJ3" s="91"/>
      <c r="AK3" s="904" t="s">
        <v>93</v>
      </c>
      <c r="AL3" s="905"/>
      <c r="AM3" s="941" t="str">
        <f>IF(AK24=0,"-",AM101&amp;IF(AM105=1,"","   |  "&amp;AM131))</f>
        <v>-</v>
      </c>
      <c r="AN3" s="906"/>
      <c r="AO3" s="907"/>
      <c r="AP3" s="907"/>
      <c r="AQ3" s="907"/>
      <c r="AR3" s="907"/>
      <c r="AS3" s="907"/>
      <c r="AT3" s="907"/>
      <c r="AU3" s="907"/>
      <c r="AV3" s="91"/>
      <c r="AW3" s="904" t="s">
        <v>93</v>
      </c>
      <c r="AX3" s="905"/>
      <c r="AY3" s="941" t="str">
        <f>IF(AW24=0,"-",AY101&amp;IF(AY105=1,"","   |  "&amp;AY131))</f>
        <v>-</v>
      </c>
      <c r="AZ3" s="906"/>
      <c r="BA3" s="907"/>
      <c r="BB3" s="907"/>
      <c r="BC3" s="907"/>
      <c r="BD3" s="907"/>
      <c r="BE3" s="907"/>
      <c r="BF3" s="907"/>
      <c r="BG3" s="907"/>
      <c r="BH3" s="256"/>
    </row>
    <row r="4" spans="1:60" x14ac:dyDescent="0.2">
      <c r="A4" s="649"/>
      <c r="B4" s="491"/>
      <c r="C4" s="491"/>
      <c r="D4" s="747"/>
      <c r="E4" s="855" t="s">
        <v>94</v>
      </c>
      <c r="F4" s="1070"/>
      <c r="G4" s="1070"/>
      <c r="H4" s="1071"/>
      <c r="I4" s="90"/>
      <c r="K4" s="903"/>
      <c r="L4" s="903"/>
      <c r="M4" s="908" t="s">
        <v>95</v>
      </c>
      <c r="N4" s="905"/>
      <c r="O4" s="942" t="str">
        <f>IF(M24=0,"-",P101&amp;IF(P105=1,"","   |  "&amp;P131))</f>
        <v>-</v>
      </c>
      <c r="P4" s="909"/>
      <c r="Q4" s="910"/>
      <c r="R4" s="907"/>
      <c r="S4" s="907"/>
      <c r="T4" s="907"/>
      <c r="U4" s="907"/>
      <c r="V4" s="907"/>
      <c r="W4" s="907"/>
      <c r="X4" s="91"/>
      <c r="Y4" s="908" t="s">
        <v>95</v>
      </c>
      <c r="Z4" s="905"/>
      <c r="AA4" s="942" t="str">
        <f>IF(Y24=0,"-",AB101&amp;IF(AB105=1,"","   |  "&amp;AB131))</f>
        <v>-</v>
      </c>
      <c r="AB4" s="909"/>
      <c r="AC4" s="910"/>
      <c r="AD4" s="907"/>
      <c r="AE4" s="907"/>
      <c r="AF4" s="907"/>
      <c r="AG4" s="907"/>
      <c r="AH4" s="907"/>
      <c r="AI4" s="907"/>
      <c r="AJ4" s="91"/>
      <c r="AK4" s="908" t="s">
        <v>95</v>
      </c>
      <c r="AL4" s="905"/>
      <c r="AM4" s="942" t="str">
        <f>IF(AK24=0,"-",AN101&amp;IF(AN105=1,"","   |  "&amp;AN131))</f>
        <v>-</v>
      </c>
      <c r="AN4" s="909"/>
      <c r="AO4" s="910"/>
      <c r="AP4" s="907"/>
      <c r="AQ4" s="907"/>
      <c r="AR4" s="907"/>
      <c r="AS4" s="907"/>
      <c r="AT4" s="907"/>
      <c r="AU4" s="907"/>
      <c r="AV4" s="91"/>
      <c r="AW4" s="908" t="s">
        <v>95</v>
      </c>
      <c r="AX4" s="905"/>
      <c r="AY4" s="942" t="str">
        <f>IF(AW24=0,"-",AZ101&amp;IF(AZ105=1,"","   |  "&amp;AZ131))</f>
        <v>-</v>
      </c>
      <c r="AZ4" s="909"/>
      <c r="BA4" s="910"/>
      <c r="BB4" s="907"/>
      <c r="BC4" s="907"/>
      <c r="BD4" s="907"/>
      <c r="BE4" s="907"/>
      <c r="BF4" s="907"/>
      <c r="BG4" s="907"/>
      <c r="BH4" s="256"/>
    </row>
    <row r="5" spans="1:60" x14ac:dyDescent="0.2">
      <c r="A5" s="649"/>
      <c r="B5" s="1072" t="s">
        <v>96</v>
      </c>
      <c r="C5" s="1072" t="s">
        <v>97</v>
      </c>
      <c r="D5" s="747"/>
      <c r="E5" s="855" t="s">
        <v>98</v>
      </c>
      <c r="F5" s="977" t="s">
        <v>99</v>
      </c>
      <c r="G5" s="978">
        <f>HLOOKUP($F$5,bibliotheek!$E$261:$R$264,ROWS(bibliotheek!$E$261:$E$262),FALSE)</f>
        <v>1.45</v>
      </c>
      <c r="H5" s="979">
        <f>HLOOKUP($F$5,bibliotheek!$E$261:$R$264,ROWS(bibliotheek!$E$261:$E$264),FALSE)</f>
        <v>0.34</v>
      </c>
      <c r="I5" s="90"/>
      <c r="J5" s="834"/>
      <c r="K5" s="91"/>
      <c r="L5" s="91"/>
      <c r="M5" s="904" t="s">
        <v>100</v>
      </c>
      <c r="N5" s="905"/>
      <c r="O5" s="941" t="str">
        <f>IF(M24=0,"-",Q101&amp;IF(Q105=1,"","   |  "&amp;Q131))</f>
        <v>-</v>
      </c>
      <c r="P5" s="907"/>
      <c r="Q5" s="907"/>
      <c r="R5" s="907"/>
      <c r="S5" s="907"/>
      <c r="T5" s="907"/>
      <c r="U5" s="907"/>
      <c r="V5" s="907"/>
      <c r="W5" s="907"/>
      <c r="X5" s="91"/>
      <c r="Y5" s="904" t="s">
        <v>100</v>
      </c>
      <c r="Z5" s="905"/>
      <c r="AA5" s="941" t="str">
        <f>IF(Y24=0,"-",AC101&amp;IF(AC105=1,"","   |  "&amp;AC131))</f>
        <v>-</v>
      </c>
      <c r="AB5" s="907"/>
      <c r="AC5" s="907"/>
      <c r="AD5" s="907"/>
      <c r="AE5" s="907"/>
      <c r="AF5" s="907"/>
      <c r="AG5" s="907"/>
      <c r="AH5" s="907"/>
      <c r="AI5" s="907"/>
      <c r="AJ5" s="91"/>
      <c r="AK5" s="904" t="s">
        <v>100</v>
      </c>
      <c r="AL5" s="905"/>
      <c r="AM5" s="941" t="str">
        <f>IF(AK24=0,"-",AO101&amp;IF(AO105=1,"","   |  "&amp;AO131))</f>
        <v>-</v>
      </c>
      <c r="AN5" s="907"/>
      <c r="AO5" s="907"/>
      <c r="AP5" s="907"/>
      <c r="AQ5" s="907"/>
      <c r="AR5" s="907"/>
      <c r="AS5" s="907"/>
      <c r="AT5" s="907"/>
      <c r="AU5" s="907"/>
      <c r="AV5" s="91"/>
      <c r="AW5" s="904" t="s">
        <v>100</v>
      </c>
      <c r="AX5" s="905"/>
      <c r="AY5" s="941" t="str">
        <f>IF(AW24=0,"-",BA101&amp;IF(BA105=1,"","   |  "&amp;BA131))</f>
        <v>-</v>
      </c>
      <c r="AZ5" s="907"/>
      <c r="BA5" s="907"/>
      <c r="BB5" s="907"/>
      <c r="BC5" s="907"/>
      <c r="BD5" s="907"/>
      <c r="BE5" s="907"/>
      <c r="BF5" s="907"/>
      <c r="BG5" s="907"/>
      <c r="BH5" s="256"/>
    </row>
    <row r="6" spans="1:60" x14ac:dyDescent="0.2">
      <c r="A6" s="649"/>
      <c r="B6" s="1072"/>
      <c r="C6" s="1072"/>
      <c r="D6" s="748" t="s">
        <v>50</v>
      </c>
      <c r="E6" s="856" t="s">
        <v>101</v>
      </c>
      <c r="F6" s="857"/>
      <c r="G6" s="1034" t="b">
        <v>0</v>
      </c>
      <c r="H6" s="980" t="str">
        <f>IF(G6=TRUE,"(energieprestatie ongeldig)","")</f>
        <v/>
      </c>
      <c r="I6" s="90"/>
      <c r="J6" s="834"/>
      <c r="K6" s="834"/>
      <c r="L6" s="834"/>
      <c r="M6" s="834"/>
      <c r="N6" s="834"/>
      <c r="O6" s="834"/>
      <c r="P6" s="834"/>
      <c r="Q6" s="834"/>
      <c r="R6" s="834"/>
      <c r="S6" s="834"/>
      <c r="T6" s="834"/>
      <c r="U6" s="834"/>
      <c r="V6" s="834"/>
      <c r="W6" s="834"/>
      <c r="X6" s="834"/>
      <c r="Y6" s="834"/>
      <c r="Z6" s="834"/>
      <c r="AA6" s="834"/>
      <c r="AB6" s="834"/>
      <c r="AC6" s="834"/>
      <c r="AD6" s="834"/>
      <c r="AE6" s="834"/>
      <c r="AF6" s="834"/>
      <c r="AG6" s="834"/>
      <c r="AH6" s="834"/>
      <c r="AI6" s="834"/>
      <c r="AJ6" s="834"/>
      <c r="AK6" s="834"/>
      <c r="AL6" s="834"/>
      <c r="AM6" s="834"/>
      <c r="AN6" s="834"/>
      <c r="AO6" s="834"/>
      <c r="AP6" s="834"/>
      <c r="AQ6" s="834"/>
      <c r="AR6" s="834"/>
      <c r="AS6" s="834"/>
      <c r="AT6" s="834"/>
      <c r="AU6" s="834"/>
      <c r="AV6" s="834"/>
      <c r="AW6" s="834"/>
      <c r="AX6" s="834"/>
      <c r="AY6" s="834"/>
      <c r="AZ6" s="834"/>
      <c r="BA6" s="834"/>
      <c r="BB6" s="834"/>
      <c r="BC6" s="834"/>
      <c r="BD6" s="834"/>
      <c r="BE6" s="834"/>
      <c r="BF6" s="834"/>
      <c r="BG6" s="834"/>
      <c r="BH6" s="256"/>
    </row>
    <row r="7" spans="1:60" s="914" customFormat="1" x14ac:dyDescent="0.2">
      <c r="A7" s="987"/>
      <c r="B7" s="1072"/>
      <c r="C7" s="1072"/>
      <c r="D7" s="911"/>
      <c r="E7" s="912"/>
      <c r="F7" s="912"/>
      <c r="G7" s="912"/>
      <c r="H7" s="912"/>
      <c r="I7" s="912"/>
      <c r="J7" s="913"/>
      <c r="K7" s="913"/>
      <c r="L7" s="913"/>
      <c r="M7" s="912"/>
      <c r="N7" s="912"/>
      <c r="O7" s="1035"/>
      <c r="P7" s="912"/>
      <c r="Q7" s="912"/>
      <c r="R7" s="912"/>
      <c r="S7" s="912"/>
      <c r="T7" s="911"/>
      <c r="U7" s="911"/>
      <c r="V7" s="911"/>
    </row>
    <row r="8" spans="1:60" ht="21" x14ac:dyDescent="0.35">
      <c r="A8" s="649"/>
      <c r="B8" s="658"/>
      <c r="C8" s="658"/>
      <c r="D8" s="748" t="s">
        <v>50</v>
      </c>
      <c r="E8" s="848"/>
      <c r="F8" s="1"/>
      <c r="G8" s="1"/>
      <c r="H8" s="1"/>
      <c r="I8" s="2"/>
      <c r="J8" s="849" t="s">
        <v>102</v>
      </c>
      <c r="K8" s="850"/>
      <c r="L8" s="850"/>
      <c r="M8" s="849" t="s">
        <v>67</v>
      </c>
      <c r="N8" s="851"/>
      <c r="O8" s="943" t="str">
        <f>IF(M24=0,"[geen gebouwgegevens ingevoerd]",IF('woningen|utiliteit'!$L$17="","[geen naam locatie ingevoerd]",'woningen|utiliteit'!$L$17))</f>
        <v>[geen gebouwgegevens ingevoerd]</v>
      </c>
      <c r="P8" s="851"/>
      <c r="Q8" s="851"/>
      <c r="R8" s="851"/>
      <c r="S8" s="851"/>
      <c r="T8" s="852"/>
      <c r="U8" s="852"/>
      <c r="V8" s="851"/>
      <c r="W8" s="851"/>
      <c r="X8" s="850"/>
      <c r="Y8" s="849" t="s">
        <v>84</v>
      </c>
      <c r="Z8" s="851"/>
      <c r="AA8" s="943" t="str">
        <f>IF(Y24=0,"[geen gebouwgegevens ingevoerd]",IF('woningen|utiliteit'!$L$31="","[geen naam locatie ingevoerd]",'woningen|utiliteit'!$L$31))</f>
        <v>[geen gebouwgegevens ingevoerd]</v>
      </c>
      <c r="AB8" s="851"/>
      <c r="AC8" s="851"/>
      <c r="AD8" s="851"/>
      <c r="AE8" s="851"/>
      <c r="AF8" s="852"/>
      <c r="AG8" s="852"/>
      <c r="AH8" s="851"/>
      <c r="AI8" s="851"/>
      <c r="AJ8" s="850"/>
      <c r="AK8" s="849" t="s">
        <v>85</v>
      </c>
      <c r="AL8" s="851"/>
      <c r="AM8" s="943" t="str">
        <f>IF(AK24=0,"[geen gebouwgegevens ingevoerd]",IF('woningen|utiliteit'!$L$45="","[geen naam locatie ingevoerd]",'woningen|utiliteit'!$L$45))</f>
        <v>[geen gebouwgegevens ingevoerd]</v>
      </c>
      <c r="AN8" s="851"/>
      <c r="AO8" s="851"/>
      <c r="AP8" s="851"/>
      <c r="AQ8" s="851"/>
      <c r="AR8" s="852"/>
      <c r="AS8" s="852"/>
      <c r="AT8" s="851"/>
      <c r="AU8" s="851"/>
      <c r="AV8" s="850"/>
      <c r="AW8" s="849" t="s">
        <v>86</v>
      </c>
      <c r="AX8" s="851"/>
      <c r="AY8" s="943" t="str">
        <f>IF(AW24=0,"[geen gebouwgegevens ingevoerd]",IF('woningen|utiliteit'!$L$59="","[geen naam locatie ingevoerd]",'woningen|utiliteit'!$L$59))</f>
        <v>[geen gebouwgegevens ingevoerd]</v>
      </c>
      <c r="AZ8" s="218"/>
      <c r="BA8" s="218"/>
      <c r="BB8" s="218"/>
      <c r="BC8" s="218"/>
      <c r="BD8" s="219"/>
      <c r="BE8" s="219"/>
      <c r="BF8" s="218"/>
      <c r="BG8" s="218"/>
      <c r="BH8" s="1"/>
    </row>
    <row r="9" spans="1:60" s="682" customFormat="1" ht="5.25" x14ac:dyDescent="0.2">
      <c r="A9" s="678"/>
      <c r="B9" s="841" t="s">
        <v>103</v>
      </c>
      <c r="C9" s="657" t="s">
        <v>104</v>
      </c>
      <c r="D9" s="679"/>
      <c r="E9" s="680"/>
      <c r="F9" s="680"/>
      <c r="G9" s="680"/>
      <c r="H9" s="680"/>
      <c r="I9" s="680"/>
      <c r="J9" s="681"/>
      <c r="K9" s="681"/>
      <c r="L9" s="681"/>
      <c r="M9" s="680"/>
      <c r="N9" s="680"/>
      <c r="O9" s="680"/>
      <c r="P9" s="680"/>
      <c r="Q9" s="680"/>
      <c r="R9" s="680"/>
      <c r="S9" s="680"/>
      <c r="T9" s="679"/>
      <c r="U9" s="679"/>
      <c r="V9" s="679"/>
    </row>
    <row r="10" spans="1:60" ht="21" x14ac:dyDescent="0.2">
      <c r="A10" s="648"/>
      <c r="B10" s="739" t="s">
        <v>103</v>
      </c>
      <c r="C10" s="656" t="s">
        <v>104</v>
      </c>
      <c r="D10" s="748" t="s">
        <v>50</v>
      </c>
      <c r="E10" s="670" t="s">
        <v>105</v>
      </c>
      <c r="F10" s="670"/>
      <c r="G10" s="670"/>
      <c r="H10" s="670"/>
      <c r="I10" s="88"/>
      <c r="J10" s="241" t="s">
        <v>58</v>
      </c>
      <c r="K10" s="142"/>
      <c r="L10" s="142"/>
      <c r="M10" s="216" t="s">
        <v>58</v>
      </c>
      <c r="N10" s="222"/>
      <c r="O10" s="217" t="s">
        <v>93</v>
      </c>
      <c r="P10" s="217" t="s">
        <v>95</v>
      </c>
      <c r="Q10" s="217" t="s">
        <v>106</v>
      </c>
      <c r="R10" s="217" t="s">
        <v>107</v>
      </c>
      <c r="S10" s="217" t="s">
        <v>108</v>
      </c>
      <c r="T10" s="217" t="s">
        <v>109</v>
      </c>
      <c r="U10" s="217" t="s">
        <v>110</v>
      </c>
      <c r="V10" s="217" t="s">
        <v>111</v>
      </c>
      <c r="W10" s="217" t="s">
        <v>112</v>
      </c>
      <c r="X10" s="214"/>
      <c r="Y10" s="216" t="s">
        <v>58</v>
      </c>
      <c r="Z10" s="222"/>
      <c r="AA10" s="217" t="str">
        <f>$O$10</f>
        <v>verwarming</v>
      </c>
      <c r="AB10" s="217" t="str">
        <f>$P$10</f>
        <v>koeling</v>
      </c>
      <c r="AC10" s="217" t="str">
        <f>$Q$10</f>
        <v>tapwater</v>
      </c>
      <c r="AD10" s="217" t="str">
        <f>$R$10</f>
        <v>verlichting</v>
      </c>
      <c r="AE10" s="217" t="str">
        <f>$S$10</f>
        <v>ventilatoren</v>
      </c>
      <c r="AF10" s="217" t="str">
        <f>$T$10</f>
        <v>kookgas</v>
      </c>
      <c r="AG10" s="217" t="str">
        <f>$U$10</f>
        <v>overig elektra</v>
      </c>
      <c r="AH10" s="217" t="str">
        <f>$V$10</f>
        <v>mobiliteit</v>
      </c>
      <c r="AI10" s="217" t="str">
        <f>$W$10</f>
        <v>zonnepanelen</v>
      </c>
      <c r="AJ10" s="214"/>
      <c r="AK10" s="216" t="s">
        <v>58</v>
      </c>
      <c r="AL10" s="222"/>
      <c r="AM10" s="217" t="str">
        <f>$O$10</f>
        <v>verwarming</v>
      </c>
      <c r="AN10" s="217" t="str">
        <f>$P$10</f>
        <v>koeling</v>
      </c>
      <c r="AO10" s="217" t="str">
        <f>$Q$10</f>
        <v>tapwater</v>
      </c>
      <c r="AP10" s="217" t="str">
        <f>$R$10</f>
        <v>verlichting</v>
      </c>
      <c r="AQ10" s="217" t="str">
        <f>$S$10</f>
        <v>ventilatoren</v>
      </c>
      <c r="AR10" s="217" t="str">
        <f>$T$10</f>
        <v>kookgas</v>
      </c>
      <c r="AS10" s="217" t="str">
        <f>$U$10</f>
        <v>overig elektra</v>
      </c>
      <c r="AT10" s="217" t="str">
        <f>$V$10</f>
        <v>mobiliteit</v>
      </c>
      <c r="AU10" s="217" t="str">
        <f>$W$10</f>
        <v>zonnepanelen</v>
      </c>
      <c r="AV10" s="214"/>
      <c r="AW10" s="216" t="s">
        <v>58</v>
      </c>
      <c r="AX10" s="222"/>
      <c r="AY10" s="217" t="str">
        <f>$O$10</f>
        <v>verwarming</v>
      </c>
      <c r="AZ10" s="217" t="str">
        <f>$P$10</f>
        <v>koeling</v>
      </c>
      <c r="BA10" s="217" t="str">
        <f>$Q$10</f>
        <v>tapwater</v>
      </c>
      <c r="BB10" s="217" t="str">
        <f>$R$10</f>
        <v>verlichting</v>
      </c>
      <c r="BC10" s="217" t="str">
        <f>$S$10</f>
        <v>ventilatoren</v>
      </c>
      <c r="BD10" s="217" t="str">
        <f>$T$10</f>
        <v>kookgas</v>
      </c>
      <c r="BE10" s="217" t="str">
        <f>$U$10</f>
        <v>overig elektra</v>
      </c>
      <c r="BF10" s="217" t="str">
        <f>$V$10</f>
        <v>mobiliteit</v>
      </c>
      <c r="BG10" s="217" t="str">
        <f>$W$10</f>
        <v>zonnepanelen</v>
      </c>
      <c r="BH10" s="1"/>
    </row>
    <row r="11" spans="1:60" s="682" customFormat="1" ht="5.25" x14ac:dyDescent="0.2">
      <c r="A11" s="678"/>
      <c r="B11" s="841" t="s">
        <v>103</v>
      </c>
      <c r="C11" s="841" t="s">
        <v>104</v>
      </c>
      <c r="D11" s="679"/>
      <c r="E11" s="680"/>
      <c r="F11" s="680"/>
      <c r="G11" s="680"/>
      <c r="H11" s="680"/>
      <c r="I11" s="680"/>
      <c r="J11" s="681"/>
      <c r="K11" s="681"/>
      <c r="L11" s="681"/>
      <c r="M11" s="680"/>
      <c r="N11" s="680"/>
      <c r="O11" s="680"/>
      <c r="P11" s="680"/>
      <c r="Q11" s="680"/>
      <c r="R11" s="680"/>
      <c r="S11" s="680"/>
      <c r="T11" s="679"/>
      <c r="U11" s="679"/>
      <c r="V11" s="679"/>
    </row>
    <row r="12" spans="1:60" x14ac:dyDescent="0.2">
      <c r="A12" s="648"/>
      <c r="B12" s="739" t="s">
        <v>103</v>
      </c>
      <c r="C12" s="656" t="s">
        <v>113</v>
      </c>
      <c r="D12" s="747"/>
      <c r="E12" s="220" t="s">
        <v>114</v>
      </c>
      <c r="F12" s="220"/>
      <c r="G12" s="220"/>
      <c r="H12" s="221" t="s">
        <v>115</v>
      </c>
      <c r="I12" s="94"/>
      <c r="J12" s="243">
        <f>M12+Y12+AK12+AW12</f>
        <v>0</v>
      </c>
      <c r="K12" s="294"/>
      <c r="L12" s="294"/>
      <c r="M12" s="243">
        <f>SUM(N12:X12)</f>
        <v>0</v>
      </c>
      <c r="N12" s="95"/>
      <c r="O12" s="207">
        <f>O117+O142+O159-O177</f>
        <v>0</v>
      </c>
      <c r="P12" s="207">
        <f t="shared" ref="P12:W12" si="0">P117+P142+P159-P177</f>
        <v>0</v>
      </c>
      <c r="Q12" s="207">
        <f t="shared" si="0"/>
        <v>0</v>
      </c>
      <c r="R12" s="207">
        <f t="shared" si="0"/>
        <v>0</v>
      </c>
      <c r="S12" s="207">
        <f t="shared" si="0"/>
        <v>0</v>
      </c>
      <c r="T12" s="207">
        <f t="shared" si="0"/>
        <v>0</v>
      </c>
      <c r="U12" s="207">
        <f>U117+U142+U159-U177</f>
        <v>0</v>
      </c>
      <c r="V12" s="207">
        <f t="shared" si="0"/>
        <v>0</v>
      </c>
      <c r="W12" s="207">
        <f t="shared" si="0"/>
        <v>0</v>
      </c>
      <c r="X12" s="324"/>
      <c r="Y12" s="243">
        <f>SUM(Z12:AJ12)</f>
        <v>0</v>
      </c>
      <c r="Z12" s="95"/>
      <c r="AA12" s="207">
        <f t="shared" ref="AA12:AI12" si="1">AA117+AA142+AA159-AA177</f>
        <v>0</v>
      </c>
      <c r="AB12" s="207">
        <f t="shared" si="1"/>
        <v>0</v>
      </c>
      <c r="AC12" s="207">
        <f t="shared" si="1"/>
        <v>0</v>
      </c>
      <c r="AD12" s="207">
        <f t="shared" si="1"/>
        <v>0</v>
      </c>
      <c r="AE12" s="207">
        <f t="shared" si="1"/>
        <v>0</v>
      </c>
      <c r="AF12" s="207">
        <f t="shared" si="1"/>
        <v>0</v>
      </c>
      <c r="AG12" s="207">
        <f t="shared" si="1"/>
        <v>0</v>
      </c>
      <c r="AH12" s="207">
        <f t="shared" si="1"/>
        <v>0</v>
      </c>
      <c r="AI12" s="207">
        <f t="shared" si="1"/>
        <v>0</v>
      </c>
      <c r="AJ12" s="324"/>
      <c r="AK12" s="243">
        <f>SUM(AL12:AV12)</f>
        <v>0</v>
      </c>
      <c r="AL12" s="95"/>
      <c r="AM12" s="207">
        <f t="shared" ref="AM12:AU12" si="2">AM117+AM142+AM159-AM177</f>
        <v>0</v>
      </c>
      <c r="AN12" s="207">
        <f t="shared" si="2"/>
        <v>0</v>
      </c>
      <c r="AO12" s="207">
        <f t="shared" si="2"/>
        <v>0</v>
      </c>
      <c r="AP12" s="207">
        <f t="shared" si="2"/>
        <v>0</v>
      </c>
      <c r="AQ12" s="207">
        <f t="shared" si="2"/>
        <v>0</v>
      </c>
      <c r="AR12" s="207">
        <f t="shared" si="2"/>
        <v>0</v>
      </c>
      <c r="AS12" s="207">
        <f t="shared" si="2"/>
        <v>0</v>
      </c>
      <c r="AT12" s="207">
        <f t="shared" si="2"/>
        <v>0</v>
      </c>
      <c r="AU12" s="207">
        <f t="shared" si="2"/>
        <v>0</v>
      </c>
      <c r="AV12" s="324"/>
      <c r="AW12" s="243">
        <f>SUM(AX12:BH12)</f>
        <v>0</v>
      </c>
      <c r="AX12" s="95"/>
      <c r="AY12" s="207">
        <f t="shared" ref="AY12:BG12" si="3">AY117+AY142+AY159-AY177</f>
        <v>0</v>
      </c>
      <c r="AZ12" s="207">
        <f t="shared" si="3"/>
        <v>0</v>
      </c>
      <c r="BA12" s="207">
        <f t="shared" si="3"/>
        <v>0</v>
      </c>
      <c r="BB12" s="207">
        <f t="shared" si="3"/>
        <v>0</v>
      </c>
      <c r="BC12" s="207">
        <f t="shared" si="3"/>
        <v>0</v>
      </c>
      <c r="BD12" s="207">
        <f t="shared" si="3"/>
        <v>0</v>
      </c>
      <c r="BE12" s="207">
        <f t="shared" si="3"/>
        <v>0</v>
      </c>
      <c r="BF12" s="207">
        <f t="shared" si="3"/>
        <v>0</v>
      </c>
      <c r="BG12" s="207">
        <f t="shared" si="3"/>
        <v>0</v>
      </c>
      <c r="BH12" s="255"/>
    </row>
    <row r="13" spans="1:60" x14ac:dyDescent="0.2">
      <c r="A13" s="648"/>
      <c r="B13" s="739" t="s">
        <v>103</v>
      </c>
      <c r="C13" s="656" t="s">
        <v>113</v>
      </c>
      <c r="D13" s="747"/>
      <c r="E13" s="220" t="s">
        <v>116</v>
      </c>
      <c r="F13" s="220"/>
      <c r="G13" s="220"/>
      <c r="H13" s="221" t="s">
        <v>117</v>
      </c>
      <c r="I13" s="94"/>
      <c r="J13" s="243">
        <f>M13+Y13+AK13+AW13</f>
        <v>0</v>
      </c>
      <c r="K13" s="294"/>
      <c r="L13" s="294"/>
      <c r="M13" s="243">
        <f>SUM(N13:X13)</f>
        <v>0</v>
      </c>
      <c r="N13" s="95"/>
      <c r="O13" s="207">
        <f t="shared" ref="O13:V13" si="4">O121+O146+O162</f>
        <v>0</v>
      </c>
      <c r="P13" s="207">
        <f t="shared" si="4"/>
        <v>0</v>
      </c>
      <c r="Q13" s="207">
        <f t="shared" si="4"/>
        <v>0</v>
      </c>
      <c r="R13" s="207">
        <f t="shared" si="4"/>
        <v>0</v>
      </c>
      <c r="S13" s="207">
        <f t="shared" si="4"/>
        <v>0</v>
      </c>
      <c r="T13" s="207">
        <f t="shared" si="4"/>
        <v>0</v>
      </c>
      <c r="U13" s="207">
        <f t="shared" si="4"/>
        <v>0</v>
      </c>
      <c r="V13" s="207">
        <f t="shared" si="4"/>
        <v>0</v>
      </c>
      <c r="W13" s="207">
        <f>W121+W146+W162-W181</f>
        <v>0</v>
      </c>
      <c r="X13" s="324"/>
      <c r="Y13" s="243">
        <f>SUM(Z13:AJ13)</f>
        <v>0</v>
      </c>
      <c r="Z13" s="95"/>
      <c r="AA13" s="207">
        <f t="shared" ref="AA13:AH13" si="5">AA121+AA146+AA162</f>
        <v>0</v>
      </c>
      <c r="AB13" s="207">
        <f t="shared" si="5"/>
        <v>0</v>
      </c>
      <c r="AC13" s="207">
        <f t="shared" si="5"/>
        <v>0</v>
      </c>
      <c r="AD13" s="207">
        <f t="shared" si="5"/>
        <v>0</v>
      </c>
      <c r="AE13" s="207">
        <f t="shared" si="5"/>
        <v>0</v>
      </c>
      <c r="AF13" s="207">
        <f t="shared" si="5"/>
        <v>0</v>
      </c>
      <c r="AG13" s="207">
        <f t="shared" si="5"/>
        <v>0</v>
      </c>
      <c r="AH13" s="207">
        <f t="shared" si="5"/>
        <v>0</v>
      </c>
      <c r="AI13" s="207">
        <f>AI121+AI146+AI162-AI181</f>
        <v>0</v>
      </c>
      <c r="AJ13" s="324"/>
      <c r="AK13" s="243">
        <f>SUM(AL13:AV13)</f>
        <v>0</v>
      </c>
      <c r="AL13" s="95"/>
      <c r="AM13" s="207">
        <f t="shared" ref="AM13:AT13" si="6">AM121+AM146+AM162</f>
        <v>0</v>
      </c>
      <c r="AN13" s="207">
        <f t="shared" si="6"/>
        <v>0</v>
      </c>
      <c r="AO13" s="207">
        <f t="shared" si="6"/>
        <v>0</v>
      </c>
      <c r="AP13" s="207">
        <f t="shared" si="6"/>
        <v>0</v>
      </c>
      <c r="AQ13" s="207">
        <f t="shared" si="6"/>
        <v>0</v>
      </c>
      <c r="AR13" s="207">
        <f t="shared" si="6"/>
        <v>0</v>
      </c>
      <c r="AS13" s="207">
        <f t="shared" si="6"/>
        <v>0</v>
      </c>
      <c r="AT13" s="207">
        <f t="shared" si="6"/>
        <v>0</v>
      </c>
      <c r="AU13" s="207">
        <f>AU121+AU146+AU162-AU181</f>
        <v>0</v>
      </c>
      <c r="AV13" s="324"/>
      <c r="AW13" s="243">
        <f>SUM(AX13:BH13)</f>
        <v>0</v>
      </c>
      <c r="AX13" s="95"/>
      <c r="AY13" s="207">
        <f t="shared" ref="AY13:BF13" si="7">AY121+AY146+AY162</f>
        <v>0</v>
      </c>
      <c r="AZ13" s="207">
        <f t="shared" si="7"/>
        <v>0</v>
      </c>
      <c r="BA13" s="207">
        <f t="shared" si="7"/>
        <v>0</v>
      </c>
      <c r="BB13" s="207">
        <f t="shared" si="7"/>
        <v>0</v>
      </c>
      <c r="BC13" s="207">
        <f t="shared" si="7"/>
        <v>0</v>
      </c>
      <c r="BD13" s="207">
        <f t="shared" si="7"/>
        <v>0</v>
      </c>
      <c r="BE13" s="207">
        <f t="shared" si="7"/>
        <v>0</v>
      </c>
      <c r="BF13" s="207">
        <f t="shared" si="7"/>
        <v>0</v>
      </c>
      <c r="BG13" s="207">
        <f>BG121+BG146+BG162-BG181</f>
        <v>0</v>
      </c>
      <c r="BH13" s="255"/>
    </row>
    <row r="14" spans="1:60" x14ac:dyDescent="0.2">
      <c r="A14" s="648"/>
      <c r="B14" s="739" t="s">
        <v>103</v>
      </c>
      <c r="C14" s="656" t="s">
        <v>113</v>
      </c>
      <c r="D14" s="747"/>
      <c r="E14" s="220" t="s">
        <v>118</v>
      </c>
      <c r="F14" s="220"/>
      <c r="G14" s="220"/>
      <c r="H14" s="221" t="s">
        <v>119</v>
      </c>
      <c r="I14" s="94"/>
      <c r="J14" s="243">
        <f>M14+Y14+AK14+AW14</f>
        <v>0</v>
      </c>
      <c r="K14" s="294"/>
      <c r="L14" s="294"/>
      <c r="M14" s="243">
        <f>SUM(N14:X14)</f>
        <v>0</v>
      </c>
      <c r="N14" s="95"/>
      <c r="O14" s="207">
        <f t="shared" ref="O14:W14" si="8">O186*O29/1000</f>
        <v>0</v>
      </c>
      <c r="P14" s="207">
        <f t="shared" si="8"/>
        <v>0</v>
      </c>
      <c r="Q14" s="207">
        <f t="shared" si="8"/>
        <v>0</v>
      </c>
      <c r="R14" s="207">
        <f t="shared" si="8"/>
        <v>0</v>
      </c>
      <c r="S14" s="207">
        <f t="shared" si="8"/>
        <v>0</v>
      </c>
      <c r="T14" s="207">
        <f t="shared" si="8"/>
        <v>0</v>
      </c>
      <c r="U14" s="207">
        <f t="shared" si="8"/>
        <v>0</v>
      </c>
      <c r="V14" s="207">
        <f t="shared" si="8"/>
        <v>0</v>
      </c>
      <c r="W14" s="207">
        <f t="shared" si="8"/>
        <v>0</v>
      </c>
      <c r="X14" s="324"/>
      <c r="Y14" s="243">
        <f>SUM(Z14:AJ14)</f>
        <v>0</v>
      </c>
      <c r="Z14" s="95"/>
      <c r="AA14" s="207">
        <f t="shared" ref="AA14:AI14" si="9">AA186*AA29/1000</f>
        <v>0</v>
      </c>
      <c r="AB14" s="207">
        <f t="shared" si="9"/>
        <v>0</v>
      </c>
      <c r="AC14" s="207">
        <f t="shared" si="9"/>
        <v>0</v>
      </c>
      <c r="AD14" s="207">
        <f t="shared" si="9"/>
        <v>0</v>
      </c>
      <c r="AE14" s="207">
        <f t="shared" si="9"/>
        <v>0</v>
      </c>
      <c r="AF14" s="207">
        <f t="shared" si="9"/>
        <v>0</v>
      </c>
      <c r="AG14" s="207">
        <f t="shared" si="9"/>
        <v>0</v>
      </c>
      <c r="AH14" s="207">
        <f t="shared" si="9"/>
        <v>0</v>
      </c>
      <c r="AI14" s="207">
        <f t="shared" si="9"/>
        <v>0</v>
      </c>
      <c r="AJ14" s="324"/>
      <c r="AK14" s="243">
        <f>SUM(AL14:AV14)</f>
        <v>0</v>
      </c>
      <c r="AL14" s="95"/>
      <c r="AM14" s="207">
        <f t="shared" ref="AM14:AU14" si="10">AM186*AM29/1000</f>
        <v>0</v>
      </c>
      <c r="AN14" s="207">
        <f t="shared" si="10"/>
        <v>0</v>
      </c>
      <c r="AO14" s="207">
        <f t="shared" si="10"/>
        <v>0</v>
      </c>
      <c r="AP14" s="207">
        <f t="shared" si="10"/>
        <v>0</v>
      </c>
      <c r="AQ14" s="207">
        <f t="shared" si="10"/>
        <v>0</v>
      </c>
      <c r="AR14" s="207">
        <f t="shared" si="10"/>
        <v>0</v>
      </c>
      <c r="AS14" s="207">
        <f t="shared" si="10"/>
        <v>0</v>
      </c>
      <c r="AT14" s="207">
        <f t="shared" si="10"/>
        <v>0</v>
      </c>
      <c r="AU14" s="207">
        <f t="shared" si="10"/>
        <v>0</v>
      </c>
      <c r="AV14" s="324"/>
      <c r="AW14" s="243">
        <f>SUM(AX14:BH14)</f>
        <v>0</v>
      </c>
      <c r="AX14" s="95"/>
      <c r="AY14" s="207">
        <f t="shared" ref="AY14:BG14" si="11">AY186*AY29/1000</f>
        <v>0</v>
      </c>
      <c r="AZ14" s="207">
        <f t="shared" si="11"/>
        <v>0</v>
      </c>
      <c r="BA14" s="207">
        <f t="shared" si="11"/>
        <v>0</v>
      </c>
      <c r="BB14" s="207">
        <f t="shared" si="11"/>
        <v>0</v>
      </c>
      <c r="BC14" s="207">
        <f t="shared" si="11"/>
        <v>0</v>
      </c>
      <c r="BD14" s="207">
        <f t="shared" si="11"/>
        <v>0</v>
      </c>
      <c r="BE14" s="207">
        <f t="shared" si="11"/>
        <v>0</v>
      </c>
      <c r="BF14" s="207">
        <f t="shared" si="11"/>
        <v>0</v>
      </c>
      <c r="BG14" s="207">
        <f t="shared" si="11"/>
        <v>0</v>
      </c>
      <c r="BH14" s="257"/>
    </row>
    <row r="15" spans="1:60" s="847" customFormat="1" ht="5.25" x14ac:dyDescent="0.2">
      <c r="A15" s="842"/>
      <c r="B15" s="843" t="s">
        <v>103</v>
      </c>
      <c r="C15" s="841" t="s">
        <v>113</v>
      </c>
      <c r="D15" s="756"/>
      <c r="E15" s="844"/>
      <c r="F15" s="844"/>
      <c r="G15" s="844"/>
      <c r="H15" s="845"/>
      <c r="I15" s="844"/>
      <c r="J15" s="846"/>
      <c r="K15" s="844"/>
      <c r="L15" s="844"/>
      <c r="M15" s="846"/>
      <c r="N15" s="844"/>
      <c r="O15" s="846"/>
      <c r="P15" s="846"/>
      <c r="Q15" s="846"/>
      <c r="R15" s="846"/>
      <c r="S15" s="846"/>
      <c r="T15" s="846"/>
      <c r="U15" s="846"/>
      <c r="V15" s="846"/>
      <c r="W15" s="846"/>
      <c r="X15" s="846"/>
      <c r="Y15" s="846"/>
      <c r="Z15" s="844"/>
      <c r="AA15" s="846"/>
      <c r="AB15" s="846"/>
      <c r="AC15" s="846"/>
      <c r="AD15" s="846"/>
      <c r="AE15" s="846"/>
      <c r="AF15" s="846"/>
      <c r="AG15" s="846"/>
      <c r="AH15" s="846"/>
      <c r="AI15" s="846"/>
      <c r="AJ15" s="846"/>
      <c r="AK15" s="846"/>
      <c r="AL15" s="844"/>
      <c r="AM15" s="846"/>
      <c r="AN15" s="846"/>
      <c r="AO15" s="846"/>
      <c r="AP15" s="846"/>
      <c r="AQ15" s="846"/>
      <c r="AR15" s="846"/>
      <c r="AS15" s="846"/>
      <c r="AT15" s="846"/>
      <c r="AU15" s="846"/>
      <c r="AV15" s="846"/>
      <c r="AW15" s="846"/>
      <c r="AX15" s="844"/>
      <c r="AY15" s="846"/>
      <c r="AZ15" s="846"/>
      <c r="BA15" s="846"/>
      <c r="BB15" s="846"/>
      <c r="BC15" s="846"/>
      <c r="BD15" s="846"/>
      <c r="BE15" s="846"/>
      <c r="BF15" s="846"/>
      <c r="BG15" s="846"/>
      <c r="BH15" s="846"/>
    </row>
    <row r="16" spans="1:60" x14ac:dyDescent="0.2">
      <c r="A16" s="653"/>
      <c r="B16" s="739" t="s">
        <v>120</v>
      </c>
      <c r="C16" s="739" t="s">
        <v>104</v>
      </c>
      <c r="D16" s="747"/>
      <c r="E16" s="90"/>
      <c r="F16" s="90"/>
      <c r="G16" s="90"/>
      <c r="H16" s="96"/>
      <c r="I16" s="90"/>
      <c r="J16" s="93"/>
      <c r="K16" s="90"/>
      <c r="L16" s="90"/>
      <c r="M16" s="93"/>
      <c r="N16" s="90"/>
      <c r="O16" s="93"/>
      <c r="P16" s="93"/>
      <c r="Q16" s="93"/>
      <c r="R16" s="93"/>
      <c r="S16" s="93"/>
      <c r="T16" s="93"/>
      <c r="U16" s="93"/>
      <c r="V16" s="93"/>
      <c r="W16" s="93"/>
      <c r="X16" s="93"/>
      <c r="Y16" s="93"/>
      <c r="Z16" s="90"/>
      <c r="AA16" s="93"/>
      <c r="AB16" s="93"/>
      <c r="AC16" s="93"/>
      <c r="AD16" s="93"/>
      <c r="AE16" s="93"/>
      <c r="AF16" s="93"/>
      <c r="AG16" s="93"/>
      <c r="AH16" s="93"/>
      <c r="AI16" s="93"/>
      <c r="AJ16" s="93"/>
      <c r="AK16" s="93"/>
      <c r="AL16" s="90"/>
      <c r="AM16" s="93"/>
      <c r="AN16" s="93"/>
      <c r="AO16" s="93"/>
      <c r="AP16" s="93"/>
      <c r="AQ16" s="93"/>
      <c r="AR16" s="93"/>
      <c r="AS16" s="93"/>
      <c r="AT16" s="93"/>
      <c r="AU16" s="93"/>
      <c r="AV16" s="93"/>
      <c r="AW16" s="93"/>
      <c r="AX16" s="90"/>
      <c r="AY16" s="93"/>
      <c r="AZ16" s="93"/>
      <c r="BA16" s="93"/>
      <c r="BB16" s="93"/>
      <c r="BC16" s="93"/>
      <c r="BD16" s="93"/>
      <c r="BE16" s="93"/>
      <c r="BF16" s="93"/>
      <c r="BG16" s="93"/>
      <c r="BH16" s="1"/>
    </row>
    <row r="17" spans="1:60" s="2" customFormat="1" ht="21" x14ac:dyDescent="0.2">
      <c r="A17" s="649"/>
      <c r="B17" s="739" t="s">
        <v>120</v>
      </c>
      <c r="C17" s="739" t="s">
        <v>104</v>
      </c>
      <c r="D17" s="748" t="s">
        <v>50</v>
      </c>
      <c r="E17" s="253" t="s">
        <v>121</v>
      </c>
      <c r="F17" s="253"/>
      <c r="G17" s="253"/>
      <c r="H17" s="253"/>
      <c r="I17" s="146"/>
      <c r="J17" s="318" t="str">
        <f>J$10</f>
        <v>totaal</v>
      </c>
      <c r="K17" s="142"/>
      <c r="L17" s="142"/>
      <c r="M17" s="319" t="str">
        <f>M$10</f>
        <v>totaal</v>
      </c>
      <c r="N17" s="234"/>
      <c r="O17" s="320" t="str">
        <f>IF(O19="","",O19)</f>
        <v/>
      </c>
      <c r="P17" s="320" t="str">
        <f t="shared" ref="P17:W17" si="12">IF(P19="","",P19)</f>
        <v/>
      </c>
      <c r="Q17" s="320" t="str">
        <f t="shared" si="12"/>
        <v/>
      </c>
      <c r="R17" s="320" t="str">
        <f t="shared" si="12"/>
        <v/>
      </c>
      <c r="S17" s="320" t="str">
        <f t="shared" si="12"/>
        <v/>
      </c>
      <c r="T17" s="320" t="str">
        <f>IF(T19="","",T19)</f>
        <v/>
      </c>
      <c r="U17" s="320" t="str">
        <f t="shared" si="12"/>
        <v/>
      </c>
      <c r="V17" s="320" t="str">
        <f t="shared" si="12"/>
        <v/>
      </c>
      <c r="W17" s="320" t="str">
        <f t="shared" si="12"/>
        <v/>
      </c>
      <c r="X17" s="214"/>
      <c r="Y17" s="319" t="str">
        <f>Y$10</f>
        <v>totaal</v>
      </c>
      <c r="Z17" s="234"/>
      <c r="AA17" s="320" t="str">
        <f>IF(AA19="","",AA19)</f>
        <v/>
      </c>
      <c r="AB17" s="320" t="str">
        <f t="shared" ref="AB17:AI17" si="13">IF(AB19="","",AB19)</f>
        <v/>
      </c>
      <c r="AC17" s="320" t="str">
        <f t="shared" si="13"/>
        <v/>
      </c>
      <c r="AD17" s="320" t="str">
        <f t="shared" si="13"/>
        <v/>
      </c>
      <c r="AE17" s="320" t="str">
        <f t="shared" si="13"/>
        <v/>
      </c>
      <c r="AF17" s="320" t="str">
        <f>IF(AF19="","",AF19)</f>
        <v/>
      </c>
      <c r="AG17" s="320" t="str">
        <f t="shared" si="13"/>
        <v/>
      </c>
      <c r="AH17" s="320" t="str">
        <f t="shared" si="13"/>
        <v/>
      </c>
      <c r="AI17" s="320" t="str">
        <f t="shared" si="13"/>
        <v/>
      </c>
      <c r="AJ17" s="214"/>
      <c r="AK17" s="319" t="str">
        <f>AK$10</f>
        <v>totaal</v>
      </c>
      <c r="AL17" s="234"/>
      <c r="AM17" s="320" t="str">
        <f>IF(AM19="","",AM19)</f>
        <v/>
      </c>
      <c r="AN17" s="320" t="str">
        <f t="shared" ref="AN17:AU17" si="14">IF(AN19="","",AN19)</f>
        <v/>
      </c>
      <c r="AO17" s="320" t="str">
        <f t="shared" si="14"/>
        <v/>
      </c>
      <c r="AP17" s="320" t="str">
        <f t="shared" si="14"/>
        <v/>
      </c>
      <c r="AQ17" s="320" t="str">
        <f t="shared" si="14"/>
        <v/>
      </c>
      <c r="AR17" s="320" t="str">
        <f>IF(AR19="","",AR19)</f>
        <v/>
      </c>
      <c r="AS17" s="320" t="str">
        <f t="shared" si="14"/>
        <v/>
      </c>
      <c r="AT17" s="320" t="str">
        <f t="shared" si="14"/>
        <v/>
      </c>
      <c r="AU17" s="320" t="str">
        <f t="shared" si="14"/>
        <v/>
      </c>
      <c r="AV17" s="214"/>
      <c r="AW17" s="319" t="str">
        <f>AW$10</f>
        <v>totaal</v>
      </c>
      <c r="AX17" s="234"/>
      <c r="AY17" s="320" t="str">
        <f>IF(AY19="","",AY19)</f>
        <v/>
      </c>
      <c r="AZ17" s="320" t="str">
        <f t="shared" ref="AZ17:BG17" si="15">IF(AZ19="","",AZ19)</f>
        <v/>
      </c>
      <c r="BA17" s="320" t="str">
        <f t="shared" si="15"/>
        <v/>
      </c>
      <c r="BB17" s="320" t="str">
        <f t="shared" si="15"/>
        <v/>
      </c>
      <c r="BC17" s="320" t="str">
        <f t="shared" si="15"/>
        <v/>
      </c>
      <c r="BD17" s="320" t="str">
        <f>IF(BD19="","",BD19)</f>
        <v/>
      </c>
      <c r="BE17" s="320" t="str">
        <f t="shared" si="15"/>
        <v/>
      </c>
      <c r="BF17" s="320" t="str">
        <f t="shared" si="15"/>
        <v/>
      </c>
      <c r="BG17" s="320" t="str">
        <f t="shared" si="15"/>
        <v/>
      </c>
      <c r="BH17" s="1"/>
    </row>
    <row r="18" spans="1:60" ht="18.75" x14ac:dyDescent="0.2">
      <c r="A18" s="648"/>
      <c r="B18" s="739" t="s">
        <v>120</v>
      </c>
      <c r="C18" s="739" t="s">
        <v>104</v>
      </c>
      <c r="D18" s="747"/>
      <c r="E18" s="236" t="s">
        <v>122</v>
      </c>
      <c r="F18" s="236"/>
      <c r="G18" s="236"/>
      <c r="H18" s="89"/>
      <c r="I18" s="236"/>
      <c r="J18" s="236"/>
      <c r="K18" s="236"/>
      <c r="L18" s="236"/>
      <c r="M18" s="236"/>
      <c r="N18" s="236"/>
      <c r="O18" s="236"/>
      <c r="P18" s="236"/>
      <c r="Q18" s="236"/>
      <c r="R18" s="236"/>
      <c r="S18" s="236"/>
      <c r="T18" s="236"/>
      <c r="U18" s="236"/>
      <c r="V18" s="236"/>
      <c r="W18" s="236"/>
      <c r="X18" s="236"/>
      <c r="Y18" s="236"/>
      <c r="Z18" s="236"/>
      <c r="AA18" s="236"/>
      <c r="AB18" s="791"/>
      <c r="AC18" s="236"/>
      <c r="AD18" s="236"/>
      <c r="AE18" s="236"/>
      <c r="AF18" s="236"/>
      <c r="AG18" s="236"/>
      <c r="AH18" s="236"/>
      <c r="AI18" s="236"/>
      <c r="AJ18" s="236"/>
      <c r="AK18" s="236"/>
      <c r="AL18" s="236"/>
      <c r="AM18" s="236"/>
      <c r="AN18" s="791"/>
      <c r="AO18" s="791"/>
      <c r="AP18" s="236"/>
      <c r="AQ18" s="236"/>
      <c r="AR18" s="236"/>
      <c r="AS18" s="236"/>
      <c r="AT18" s="236"/>
      <c r="AU18" s="236"/>
      <c r="AV18" s="236"/>
      <c r="AW18" s="236"/>
      <c r="AX18" s="236"/>
      <c r="AY18" s="236"/>
      <c r="AZ18" s="236"/>
      <c r="BA18" s="236"/>
      <c r="BB18" s="236"/>
      <c r="BC18" s="236"/>
      <c r="BD18" s="236"/>
      <c r="BE18" s="236"/>
      <c r="BF18" s="236"/>
      <c r="BG18" s="236"/>
      <c r="BH18" s="38"/>
    </row>
    <row r="19" spans="1:60" x14ac:dyDescent="0.2">
      <c r="A19" s="648"/>
      <c r="B19" s="739" t="s">
        <v>120</v>
      </c>
      <c r="C19" s="656" t="s">
        <v>113</v>
      </c>
      <c r="D19" s="747"/>
      <c r="E19" s="220" t="s">
        <v>122</v>
      </c>
      <c r="F19" s="182"/>
      <c r="G19" s="182"/>
      <c r="H19" s="183" t="s">
        <v>70</v>
      </c>
      <c r="I19" s="235"/>
      <c r="J19" s="224"/>
      <c r="K19" s="232"/>
      <c r="L19" s="232"/>
      <c r="M19" s="224"/>
      <c r="N19" s="99"/>
      <c r="O19" s="453" t="str">
        <f>IF('woningen|utiliteit'!L18="","",'woningen|utiliteit'!L18)</f>
        <v/>
      </c>
      <c r="P19" s="453" t="str">
        <f>IF('woningen|utiliteit'!M18="","",'woningen|utiliteit'!M18)</f>
        <v/>
      </c>
      <c r="Q19" s="453" t="str">
        <f>IF('woningen|utiliteit'!N18="","",'woningen|utiliteit'!N18)</f>
        <v/>
      </c>
      <c r="R19" s="453" t="str">
        <f>IF('woningen|utiliteit'!O18="","",'woningen|utiliteit'!O18)</f>
        <v/>
      </c>
      <c r="S19" s="453" t="str">
        <f>IF('woningen|utiliteit'!P18="","",'woningen|utiliteit'!P18)</f>
        <v/>
      </c>
      <c r="T19" s="453" t="str">
        <f>IF('woningen|utiliteit'!Q18="","",'woningen|utiliteit'!Q18)</f>
        <v/>
      </c>
      <c r="U19" s="453" t="str">
        <f>IF('woningen|utiliteit'!R18="","",'woningen|utiliteit'!R18)</f>
        <v/>
      </c>
      <c r="V19" s="453" t="str">
        <f>IF('woningen|utiliteit'!S18="","",'woningen|utiliteit'!S18)</f>
        <v/>
      </c>
      <c r="W19" s="453" t="str">
        <f>IF('woningen|utiliteit'!T18="","",'woningen|utiliteit'!T18)</f>
        <v/>
      </c>
      <c r="X19" s="98"/>
      <c r="Y19" s="224"/>
      <c r="Z19" s="99"/>
      <c r="AA19" s="453" t="str">
        <f>IF('woningen|utiliteit'!L32="","",'woningen|utiliteit'!L32)</f>
        <v/>
      </c>
      <c r="AB19" s="453" t="str">
        <f>IF('woningen|utiliteit'!M32="","",'woningen|utiliteit'!M32)</f>
        <v/>
      </c>
      <c r="AC19" s="453" t="str">
        <f>IF('woningen|utiliteit'!N32="","",'woningen|utiliteit'!N32)</f>
        <v/>
      </c>
      <c r="AD19" s="453" t="str">
        <f>IF('woningen|utiliteit'!O32="","",'woningen|utiliteit'!O32)</f>
        <v/>
      </c>
      <c r="AE19" s="453" t="str">
        <f>IF('woningen|utiliteit'!P32="","",'woningen|utiliteit'!P32)</f>
        <v/>
      </c>
      <c r="AF19" s="453" t="str">
        <f>IF('woningen|utiliteit'!Q32="","",'woningen|utiliteit'!Q32)</f>
        <v/>
      </c>
      <c r="AG19" s="453" t="str">
        <f>IF('woningen|utiliteit'!R32="","",'woningen|utiliteit'!R32)</f>
        <v/>
      </c>
      <c r="AH19" s="453" t="str">
        <f>IF('woningen|utiliteit'!S32="","",'woningen|utiliteit'!S32)</f>
        <v/>
      </c>
      <c r="AI19" s="453" t="str">
        <f>IF('woningen|utiliteit'!T32="","",'woningen|utiliteit'!T32)</f>
        <v/>
      </c>
      <c r="AJ19" s="98"/>
      <c r="AK19" s="224"/>
      <c r="AL19" s="99"/>
      <c r="AM19" s="453" t="str">
        <f>IF('woningen|utiliteit'!L46="","",'woningen|utiliteit'!L46)</f>
        <v/>
      </c>
      <c r="AN19" s="453" t="str">
        <f>IF('woningen|utiliteit'!M46="","",'woningen|utiliteit'!M46)</f>
        <v/>
      </c>
      <c r="AO19" s="453" t="str">
        <f>IF('woningen|utiliteit'!N46="","",'woningen|utiliteit'!N46)</f>
        <v/>
      </c>
      <c r="AP19" s="453" t="str">
        <f>IF('woningen|utiliteit'!O46="","",'woningen|utiliteit'!O46)</f>
        <v/>
      </c>
      <c r="AQ19" s="453" t="str">
        <f>IF('woningen|utiliteit'!P46="","",'woningen|utiliteit'!P46)</f>
        <v/>
      </c>
      <c r="AR19" s="453" t="str">
        <f>IF('woningen|utiliteit'!Q46="","",'woningen|utiliteit'!Q46)</f>
        <v/>
      </c>
      <c r="AS19" s="453" t="str">
        <f>IF('woningen|utiliteit'!R46="","",'woningen|utiliteit'!R46)</f>
        <v/>
      </c>
      <c r="AT19" s="453" t="str">
        <f>IF('woningen|utiliteit'!S46="","",'woningen|utiliteit'!S46)</f>
        <v/>
      </c>
      <c r="AU19" s="453" t="str">
        <f>IF('woningen|utiliteit'!T46="","",'woningen|utiliteit'!T46)</f>
        <v/>
      </c>
      <c r="AV19" s="98"/>
      <c r="AW19" s="224"/>
      <c r="AX19" s="99"/>
      <c r="AY19" s="453" t="str">
        <f>IF('woningen|utiliteit'!L60="","",'woningen|utiliteit'!L60)</f>
        <v/>
      </c>
      <c r="AZ19" s="453" t="str">
        <f>IF('woningen|utiliteit'!M60="","",'woningen|utiliteit'!M60)</f>
        <v/>
      </c>
      <c r="BA19" s="453" t="str">
        <f>IF('woningen|utiliteit'!N60="","",'woningen|utiliteit'!N60)</f>
        <v/>
      </c>
      <c r="BB19" s="453" t="str">
        <f>IF('woningen|utiliteit'!O60="","",'woningen|utiliteit'!O60)</f>
        <v/>
      </c>
      <c r="BC19" s="453" t="str">
        <f>IF('woningen|utiliteit'!P60="","",'woningen|utiliteit'!P60)</f>
        <v/>
      </c>
      <c r="BD19" s="453" t="str">
        <f>IF('woningen|utiliteit'!Q60="","",'woningen|utiliteit'!Q60)</f>
        <v/>
      </c>
      <c r="BE19" s="453" t="str">
        <f>IF('woningen|utiliteit'!R60="","",'woningen|utiliteit'!R60)</f>
        <v/>
      </c>
      <c r="BF19" s="453" t="str">
        <f>IF('woningen|utiliteit'!S60="","",'woningen|utiliteit'!S60)</f>
        <v/>
      </c>
      <c r="BG19" s="453" t="str">
        <f>IF('woningen|utiliteit'!T60="","",'woningen|utiliteit'!T60)</f>
        <v/>
      </c>
      <c r="BH19" s="258"/>
    </row>
    <row r="20" spans="1:60" x14ac:dyDescent="0.2">
      <c r="A20" s="648"/>
      <c r="B20" s="739" t="s">
        <v>120</v>
      </c>
      <c r="C20" s="656" t="s">
        <v>113</v>
      </c>
      <c r="D20" s="747"/>
      <c r="E20" s="317" t="s">
        <v>123</v>
      </c>
      <c r="F20" s="286"/>
      <c r="G20" s="286"/>
      <c r="H20" s="360" t="s">
        <v>70</v>
      </c>
      <c r="I20" s="716"/>
      <c r="J20" s="226"/>
      <c r="K20" s="232"/>
      <c r="L20" s="232"/>
      <c r="M20" s="226"/>
      <c r="N20" s="106"/>
      <c r="O20" s="637" t="str">
        <f>IF('woningen|utiliteit'!L20="","",'woningen|utiliteit'!L20)</f>
        <v/>
      </c>
      <c r="P20" s="637" t="str">
        <f>IF('woningen|utiliteit'!M20="","",'woningen|utiliteit'!M20)</f>
        <v/>
      </c>
      <c r="Q20" s="637" t="str">
        <f>IF('woningen|utiliteit'!N20="","",'woningen|utiliteit'!N20)</f>
        <v/>
      </c>
      <c r="R20" s="637" t="str">
        <f>IF('woningen|utiliteit'!O20="","",'woningen|utiliteit'!O20)</f>
        <v/>
      </c>
      <c r="S20" s="637" t="str">
        <f>IF('woningen|utiliteit'!P20="","",'woningen|utiliteit'!P20)</f>
        <v/>
      </c>
      <c r="T20" s="637" t="str">
        <f>IF('woningen|utiliteit'!Q20="","",'woningen|utiliteit'!Q20)</f>
        <v/>
      </c>
      <c r="U20" s="637" t="str">
        <f>IF('woningen|utiliteit'!R20="","",'woningen|utiliteit'!R20)</f>
        <v/>
      </c>
      <c r="V20" s="637" t="str">
        <f>IF('woningen|utiliteit'!S20="","",'woningen|utiliteit'!S20)</f>
        <v/>
      </c>
      <c r="W20" s="637" t="str">
        <f>IF('woningen|utiliteit'!T20="","",'woningen|utiliteit'!T20)</f>
        <v/>
      </c>
      <c r="X20" s="98"/>
      <c r="Y20" s="226"/>
      <c r="Z20" s="106"/>
      <c r="AA20" s="637" t="str">
        <f>IF('woningen|utiliteit'!L34="","",'woningen|utiliteit'!L34)</f>
        <v/>
      </c>
      <c r="AB20" s="637" t="str">
        <f>IF('woningen|utiliteit'!M34="","",'woningen|utiliteit'!M34)</f>
        <v/>
      </c>
      <c r="AC20" s="637" t="str">
        <f>IF('woningen|utiliteit'!N34="","",'woningen|utiliteit'!N34)</f>
        <v/>
      </c>
      <c r="AD20" s="637" t="str">
        <f>IF('woningen|utiliteit'!O34="","",'woningen|utiliteit'!O34)</f>
        <v/>
      </c>
      <c r="AE20" s="637" t="str">
        <f>IF('woningen|utiliteit'!P34="","",'woningen|utiliteit'!P34)</f>
        <v/>
      </c>
      <c r="AF20" s="637" t="str">
        <f>IF('woningen|utiliteit'!Q34="","",'woningen|utiliteit'!Q34)</f>
        <v/>
      </c>
      <c r="AG20" s="637" t="str">
        <f>IF('woningen|utiliteit'!R34="","",'woningen|utiliteit'!R34)</f>
        <v/>
      </c>
      <c r="AH20" s="637" t="str">
        <f>IF('woningen|utiliteit'!S34="","",'woningen|utiliteit'!S34)</f>
        <v/>
      </c>
      <c r="AI20" s="637" t="str">
        <f>IF('woningen|utiliteit'!T34="","",'woningen|utiliteit'!T34)</f>
        <v/>
      </c>
      <c r="AJ20" s="98"/>
      <c r="AK20" s="226"/>
      <c r="AL20" s="106"/>
      <c r="AM20" s="637" t="str">
        <f>IF('woningen|utiliteit'!L48="","",'woningen|utiliteit'!L48)</f>
        <v/>
      </c>
      <c r="AN20" s="637" t="str">
        <f>IF('woningen|utiliteit'!M48="","",'woningen|utiliteit'!M48)</f>
        <v/>
      </c>
      <c r="AO20" s="637" t="str">
        <f>IF('woningen|utiliteit'!N48="","",'woningen|utiliteit'!N48)</f>
        <v/>
      </c>
      <c r="AP20" s="637" t="str">
        <f>IF('woningen|utiliteit'!O48="","",'woningen|utiliteit'!O48)</f>
        <v/>
      </c>
      <c r="AQ20" s="637" t="str">
        <f>IF('woningen|utiliteit'!P48="","",'woningen|utiliteit'!P48)</f>
        <v/>
      </c>
      <c r="AR20" s="637" t="str">
        <f>IF('woningen|utiliteit'!Q48="","",'woningen|utiliteit'!Q48)</f>
        <v/>
      </c>
      <c r="AS20" s="637" t="str">
        <f>IF('woningen|utiliteit'!R48="","",'woningen|utiliteit'!R48)</f>
        <v/>
      </c>
      <c r="AT20" s="637" t="str">
        <f>IF('woningen|utiliteit'!S48="","",'woningen|utiliteit'!S48)</f>
        <v/>
      </c>
      <c r="AU20" s="637" t="str">
        <f>IF('woningen|utiliteit'!T48="","",'woningen|utiliteit'!T48)</f>
        <v/>
      </c>
      <c r="AV20" s="98"/>
      <c r="AW20" s="226"/>
      <c r="AX20" s="106"/>
      <c r="AY20" s="637" t="str">
        <f>IF('woningen|utiliteit'!L62="","",'woningen|utiliteit'!L62)</f>
        <v/>
      </c>
      <c r="AZ20" s="637" t="str">
        <f>IF('woningen|utiliteit'!M62="","",'woningen|utiliteit'!M62)</f>
        <v/>
      </c>
      <c r="BA20" s="637" t="str">
        <f>IF('woningen|utiliteit'!N62="","",'woningen|utiliteit'!N62)</f>
        <v/>
      </c>
      <c r="BB20" s="637" t="str">
        <f>IF('woningen|utiliteit'!O62="","",'woningen|utiliteit'!O62)</f>
        <v/>
      </c>
      <c r="BC20" s="637" t="str">
        <f>IF('woningen|utiliteit'!P62="","",'woningen|utiliteit'!P62)</f>
        <v/>
      </c>
      <c r="BD20" s="637" t="str">
        <f>IF('woningen|utiliteit'!Q62="","",'woningen|utiliteit'!Q62)</f>
        <v/>
      </c>
      <c r="BE20" s="637" t="str">
        <f>IF('woningen|utiliteit'!R62="","",'woningen|utiliteit'!R62)</f>
        <v/>
      </c>
      <c r="BF20" s="637" t="str">
        <f>IF('woningen|utiliteit'!S62="","",'woningen|utiliteit'!S62)</f>
        <v/>
      </c>
      <c r="BG20" s="637" t="str">
        <f>IF('woningen|utiliteit'!T62="","",'woningen|utiliteit'!T62)</f>
        <v/>
      </c>
      <c r="BH20" s="258"/>
    </row>
    <row r="21" spans="1:60" s="38" customFormat="1" x14ac:dyDescent="0.2">
      <c r="A21" s="648"/>
      <c r="B21" s="739" t="s">
        <v>120</v>
      </c>
      <c r="C21" s="656" t="s">
        <v>113</v>
      </c>
      <c r="D21" s="747"/>
      <c r="E21" s="316" t="s">
        <v>124</v>
      </c>
      <c r="F21" s="713"/>
      <c r="G21" s="713"/>
      <c r="H21" s="361" t="s">
        <v>70</v>
      </c>
      <c r="I21" s="97"/>
      <c r="J21" s="714"/>
      <c r="K21" s="105"/>
      <c r="L21" s="105"/>
      <c r="M21" s="714"/>
      <c r="N21" s="715"/>
      <c r="O21" s="619" t="str">
        <f>IF(O$19="","",HLOOKUP(O$19,woningen_gebouwen_gegevens,ROWS(bibliotheek!$E$13:$E$14),FALSE))</f>
        <v/>
      </c>
      <c r="P21" s="619" t="str">
        <f>IF(P$19="","",HLOOKUP(P$19,woningen_gebouwen_gegevens,ROWS(bibliotheek!$E$13:$E$14),FALSE))</f>
        <v/>
      </c>
      <c r="Q21" s="619" t="str">
        <f>IF(Q$19="","",HLOOKUP(Q$19,woningen_gebouwen_gegevens,ROWS(bibliotheek!$E$13:$E$14),FALSE))</f>
        <v/>
      </c>
      <c r="R21" s="619" t="str">
        <f>IF(R$19="","",HLOOKUP(R$19,woningen_gebouwen_gegevens,ROWS(bibliotheek!$E$13:$E$14),FALSE))</f>
        <v/>
      </c>
      <c r="S21" s="619" t="str">
        <f>IF(S$19="","",HLOOKUP(S$19,woningen_gebouwen_gegevens,ROWS(bibliotheek!$E$13:$E$14),FALSE))</f>
        <v/>
      </c>
      <c r="T21" s="619" t="str">
        <f>IF(T$19="","",HLOOKUP(T$19,woningen_gebouwen_gegevens,ROWS(bibliotheek!$E$13:$E$14),FALSE))</f>
        <v/>
      </c>
      <c r="U21" s="619" t="str">
        <f>IF(U$19="","",HLOOKUP(U$19,woningen_gebouwen_gegevens,ROWS(bibliotheek!$E$13:$E$14),FALSE))</f>
        <v/>
      </c>
      <c r="V21" s="619" t="str">
        <f>IF(V$19="","",HLOOKUP(V$19,woningen_gebouwen_gegevens,ROWS(bibliotheek!$E$13:$E$14),FALSE))</f>
        <v/>
      </c>
      <c r="W21" s="619" t="str">
        <f>IF(W$19="","",HLOOKUP(W$19,woningen_gebouwen_gegevens,ROWS(bibliotheek!$E$13:$E$14),FALSE))</f>
        <v/>
      </c>
      <c r="X21" s="388"/>
      <c r="Y21" s="181"/>
      <c r="Z21" s="389"/>
      <c r="AA21" s="453" t="str">
        <f>IF(AA$19="","",HLOOKUP(AA$19,woningen_gebouwen_gegevens,ROWS(bibliotheek!$E$13:$E$14),FALSE))</f>
        <v/>
      </c>
      <c r="AB21" s="453" t="str">
        <f>IF(AB$19="","",HLOOKUP(AB$19,woningen_gebouwen_gegevens,ROWS(bibliotheek!$E$13:$E$14),FALSE))</f>
        <v/>
      </c>
      <c r="AC21" s="453" t="str">
        <f>IF(AC$19="","",HLOOKUP(AC$19,woningen_gebouwen_gegevens,ROWS(bibliotheek!$E$13:$E$14),FALSE))</f>
        <v/>
      </c>
      <c r="AD21" s="453" t="str">
        <f>IF(AD$19="","",HLOOKUP(AD$19,woningen_gebouwen_gegevens,ROWS(bibliotheek!$E$13:$E$14),FALSE))</f>
        <v/>
      </c>
      <c r="AE21" s="453" t="str">
        <f>IF(AE$19="","",HLOOKUP(AE$19,woningen_gebouwen_gegevens,ROWS(bibliotheek!$E$13:$E$14),FALSE))</f>
        <v/>
      </c>
      <c r="AF21" s="453" t="str">
        <f>IF(AF$19="","",HLOOKUP(AF$19,woningen_gebouwen_gegevens,ROWS(bibliotheek!$E$13:$E$14),FALSE))</f>
        <v/>
      </c>
      <c r="AG21" s="453" t="str">
        <f>IF(AG$19="","",HLOOKUP(AG$19,woningen_gebouwen_gegevens,ROWS(bibliotheek!$E$13:$E$14),FALSE))</f>
        <v/>
      </c>
      <c r="AH21" s="453" t="str">
        <f>IF(AH$19="","",HLOOKUP(AH$19,woningen_gebouwen_gegevens,ROWS(bibliotheek!$E$13:$E$14),FALSE))</f>
        <v/>
      </c>
      <c r="AI21" s="453" t="str">
        <f>IF(AI$19="","",HLOOKUP(AI$19,woningen_gebouwen_gegevens,ROWS(bibliotheek!$E$13:$E$14),FALSE))</f>
        <v/>
      </c>
      <c r="AJ21" s="388"/>
      <c r="AK21" s="181"/>
      <c r="AL21" s="389"/>
      <c r="AM21" s="453" t="str">
        <f>IF(AM$19="","",HLOOKUP(AM$19,woningen_gebouwen_gegevens,ROWS(bibliotheek!$E$13:$E$14),FALSE))</f>
        <v/>
      </c>
      <c r="AN21" s="453" t="str">
        <f>IF(AN$19="","",HLOOKUP(AN$19,woningen_gebouwen_gegevens,ROWS(bibliotheek!$E$13:$E$14),FALSE))</f>
        <v/>
      </c>
      <c r="AO21" s="453" t="str">
        <f>IF(AO$19="","",HLOOKUP(AO$19,woningen_gebouwen_gegevens,ROWS(bibliotheek!$E$13:$E$14),FALSE))</f>
        <v/>
      </c>
      <c r="AP21" s="453" t="str">
        <f>IF(AP$19="","",HLOOKUP(AP$19,woningen_gebouwen_gegevens,ROWS(bibliotheek!$E$13:$E$14),FALSE))</f>
        <v/>
      </c>
      <c r="AQ21" s="453" t="str">
        <f>IF(AQ$19="","",HLOOKUP(AQ$19,woningen_gebouwen_gegevens,ROWS(bibliotheek!$E$13:$E$14),FALSE))</f>
        <v/>
      </c>
      <c r="AR21" s="453" t="str">
        <f>IF(AR$19="","",HLOOKUP(AR$19,woningen_gebouwen_gegevens,ROWS(bibliotheek!$E$13:$E$14),FALSE))</f>
        <v/>
      </c>
      <c r="AS21" s="453" t="str">
        <f>IF(AS$19="","",HLOOKUP(AS$19,woningen_gebouwen_gegevens,ROWS(bibliotheek!$E$13:$E$14),FALSE))</f>
        <v/>
      </c>
      <c r="AT21" s="453" t="str">
        <f>IF(AT$19="","",HLOOKUP(AT$19,woningen_gebouwen_gegevens,ROWS(bibliotheek!$E$13:$E$14),FALSE))</f>
        <v/>
      </c>
      <c r="AU21" s="453" t="str">
        <f>IF(AU$19="","",HLOOKUP(AU$19,woningen_gebouwen_gegevens,ROWS(bibliotheek!$E$13:$E$14),FALSE))</f>
        <v/>
      </c>
      <c r="AV21" s="388"/>
      <c r="AW21" s="181"/>
      <c r="AX21" s="389"/>
      <c r="AY21" s="453" t="str">
        <f>IF(AY$19="","",HLOOKUP(AY$19,woningen_gebouwen_gegevens,ROWS(bibliotheek!$E$13:$E$14),FALSE))</f>
        <v/>
      </c>
      <c r="AZ21" s="453" t="str">
        <f>IF(AZ$19="","",HLOOKUP(AZ$19,woningen_gebouwen_gegevens,ROWS(bibliotheek!$E$13:$E$14),FALSE))</f>
        <v/>
      </c>
      <c r="BA21" s="453" t="str">
        <f>IF(BA$19="","",HLOOKUP(BA$19,woningen_gebouwen_gegevens,ROWS(bibliotheek!$E$13:$E$14),FALSE))</f>
        <v/>
      </c>
      <c r="BB21" s="453" t="str">
        <f>IF(BB$19="","",HLOOKUP(BB$19,woningen_gebouwen_gegevens,ROWS(bibliotheek!$E$13:$E$14),FALSE))</f>
        <v/>
      </c>
      <c r="BC21" s="453" t="str">
        <f>IF(BC$19="","",HLOOKUP(BC$19,woningen_gebouwen_gegevens,ROWS(bibliotheek!$E$13:$E$14),FALSE))</f>
        <v/>
      </c>
      <c r="BD21" s="453" t="str">
        <f>IF(BD$19="","",HLOOKUP(BD$19,woningen_gebouwen_gegevens,ROWS(bibliotheek!$E$13:$E$14),FALSE))</f>
        <v/>
      </c>
      <c r="BE21" s="453" t="str">
        <f>IF(BE$19="","",HLOOKUP(BE$19,woningen_gebouwen_gegevens,ROWS(bibliotheek!$E$13:$E$14),FALSE))</f>
        <v/>
      </c>
      <c r="BF21" s="453" t="str">
        <f>IF(BF$19="","",HLOOKUP(BF$19,woningen_gebouwen_gegevens,ROWS(bibliotheek!$E$13:$E$14),FALSE))</f>
        <v/>
      </c>
      <c r="BG21" s="453" t="str">
        <f>IF(BG$19="","",HLOOKUP(BG$19,woningen_gebouwen_gegevens,ROWS(bibliotheek!$E$13:$E$14),FALSE))</f>
        <v/>
      </c>
      <c r="BH21" s="258"/>
    </row>
    <row r="22" spans="1:60" x14ac:dyDescent="0.2">
      <c r="A22" s="648"/>
      <c r="B22" s="739" t="s">
        <v>120</v>
      </c>
      <c r="C22" s="656" t="s">
        <v>113</v>
      </c>
      <c r="D22" s="747"/>
      <c r="E22" s="220" t="s">
        <v>125</v>
      </c>
      <c r="F22" s="220"/>
      <c r="G22" s="220"/>
      <c r="H22" s="221" t="s">
        <v>70</v>
      </c>
      <c r="I22" s="129"/>
      <c r="J22" s="719"/>
      <c r="K22" s="294"/>
      <c r="L22" s="294"/>
      <c r="M22" s="228"/>
      <c r="N22" s="100"/>
      <c r="O22" s="453" t="str">
        <f>IF(O$19="","",HLOOKUP(O$19,woningen_gebouwen_gegevens,ROWS(bibliotheek!$E$13:$E$15),FALSE))</f>
        <v/>
      </c>
      <c r="P22" s="453" t="str">
        <f>IF(P$19="","",HLOOKUP(P$19,woningen_gebouwen_gegevens,ROWS(bibliotheek!$E$13:$E$15),FALSE))</f>
        <v/>
      </c>
      <c r="Q22" s="453" t="str">
        <f>IF(Q$19="","",HLOOKUP(Q$19,woningen_gebouwen_gegevens,ROWS(bibliotheek!$E$13:$E$15),FALSE))</f>
        <v/>
      </c>
      <c r="R22" s="453" t="str">
        <f>IF(R$19="","",HLOOKUP(R$19,woningen_gebouwen_gegevens,ROWS(bibliotheek!$E$13:$E$15),FALSE))</f>
        <v/>
      </c>
      <c r="S22" s="453" t="str">
        <f>IF(S$19="","",HLOOKUP(S$19,woningen_gebouwen_gegevens,ROWS(bibliotheek!$E$13:$E$15),FALSE))</f>
        <v/>
      </c>
      <c r="T22" s="453" t="str">
        <f>IF(T$19="","",HLOOKUP(T$19,woningen_gebouwen_gegevens,ROWS(bibliotheek!$E$13:$E$15),FALSE))</f>
        <v/>
      </c>
      <c r="U22" s="453" t="str">
        <f>IF(U$19="","",HLOOKUP(U$19,woningen_gebouwen_gegevens,ROWS(bibliotheek!$E$13:$E$15),FALSE))</f>
        <v/>
      </c>
      <c r="V22" s="453" t="str">
        <f>IF(V$19="","",HLOOKUP(V$19,woningen_gebouwen_gegevens,ROWS(bibliotheek!$E$13:$E$15),FALSE))</f>
        <v/>
      </c>
      <c r="W22" s="453" t="str">
        <f>IF(W$19="","",HLOOKUP(W$19,woningen_gebouwen_gegevens,ROWS(bibliotheek!$E$13:$E$15),FALSE))</f>
        <v/>
      </c>
      <c r="X22" s="101"/>
      <c r="Y22" s="228"/>
      <c r="Z22" s="100"/>
      <c r="AA22" s="453" t="str">
        <f>IF(AA$19="","",HLOOKUP(AA$19,woningen_gebouwen_gegevens,ROWS(bibliotheek!$E$13:$E$15),FALSE))</f>
        <v/>
      </c>
      <c r="AB22" s="453" t="str">
        <f>IF(AB$19="","",HLOOKUP(AB$19,woningen_gebouwen_gegevens,ROWS(bibliotheek!$E$13:$E$15),FALSE))</f>
        <v/>
      </c>
      <c r="AC22" s="453" t="str">
        <f>IF(AC$19="","",HLOOKUP(AC$19,woningen_gebouwen_gegevens,ROWS(bibliotheek!$E$13:$E$15),FALSE))</f>
        <v/>
      </c>
      <c r="AD22" s="453" t="str">
        <f>IF(AD$19="","",HLOOKUP(AD$19,woningen_gebouwen_gegevens,ROWS(bibliotheek!$E$13:$E$15),FALSE))</f>
        <v/>
      </c>
      <c r="AE22" s="453" t="str">
        <f>IF(AE$19="","",HLOOKUP(AE$19,woningen_gebouwen_gegevens,ROWS(bibliotheek!$E$13:$E$15),FALSE))</f>
        <v/>
      </c>
      <c r="AF22" s="453" t="str">
        <f>IF(AF$19="","",HLOOKUP(AF$19,woningen_gebouwen_gegevens,ROWS(bibliotheek!$E$13:$E$15),FALSE))</f>
        <v/>
      </c>
      <c r="AG22" s="453" t="str">
        <f>IF(AG$19="","",HLOOKUP(AG$19,woningen_gebouwen_gegevens,ROWS(bibliotheek!$E$13:$E$15),FALSE))</f>
        <v/>
      </c>
      <c r="AH22" s="453" t="str">
        <f>IF(AH$19="","",HLOOKUP(AH$19,woningen_gebouwen_gegevens,ROWS(bibliotheek!$E$13:$E$15),FALSE))</f>
        <v/>
      </c>
      <c r="AI22" s="453" t="str">
        <f>IF(AI$19="","",HLOOKUP(AI$19,woningen_gebouwen_gegevens,ROWS(bibliotheek!$E$13:$E$15),FALSE))</f>
        <v/>
      </c>
      <c r="AJ22" s="101"/>
      <c r="AK22" s="228"/>
      <c r="AL22" s="100"/>
      <c r="AM22" s="453" t="str">
        <f>IF(AM$19="","",HLOOKUP(AM$19,woningen_gebouwen_gegevens,ROWS(bibliotheek!$E$13:$E$15),FALSE))</f>
        <v/>
      </c>
      <c r="AN22" s="453" t="str">
        <f>IF(AN$19="","",HLOOKUP(AN$19,woningen_gebouwen_gegevens,ROWS(bibliotheek!$E$13:$E$15),FALSE))</f>
        <v/>
      </c>
      <c r="AO22" s="453" t="str">
        <f>IF(AO$19="","",HLOOKUP(AO$19,woningen_gebouwen_gegevens,ROWS(bibliotheek!$E$13:$E$15),FALSE))</f>
        <v/>
      </c>
      <c r="AP22" s="453" t="str">
        <f>IF(AP$19="","",HLOOKUP(AP$19,woningen_gebouwen_gegevens,ROWS(bibliotheek!$E$13:$E$15),FALSE))</f>
        <v/>
      </c>
      <c r="AQ22" s="453" t="str">
        <f>IF(AQ$19="","",HLOOKUP(AQ$19,woningen_gebouwen_gegevens,ROWS(bibliotheek!$E$13:$E$15),FALSE))</f>
        <v/>
      </c>
      <c r="AR22" s="453" t="str">
        <f>IF(AR$19="","",HLOOKUP(AR$19,woningen_gebouwen_gegevens,ROWS(bibliotheek!$E$13:$E$15),FALSE))</f>
        <v/>
      </c>
      <c r="AS22" s="453" t="str">
        <f>IF(AS$19="","",HLOOKUP(AS$19,woningen_gebouwen_gegevens,ROWS(bibliotheek!$E$13:$E$15),FALSE))</f>
        <v/>
      </c>
      <c r="AT22" s="453" t="str">
        <f>IF(AT$19="","",HLOOKUP(AT$19,woningen_gebouwen_gegevens,ROWS(bibliotheek!$E$13:$E$15),FALSE))</f>
        <v/>
      </c>
      <c r="AU22" s="453" t="str">
        <f>IF(AU$19="","",HLOOKUP(AU$19,woningen_gebouwen_gegevens,ROWS(bibliotheek!$E$13:$E$15),FALSE))</f>
        <v/>
      </c>
      <c r="AV22" s="101"/>
      <c r="AW22" s="228"/>
      <c r="AX22" s="100"/>
      <c r="AY22" s="453" t="str">
        <f>IF(AY$19="","",HLOOKUP(AY$19,woningen_gebouwen_gegevens,ROWS(bibliotheek!$E$13:$E$15),FALSE))</f>
        <v/>
      </c>
      <c r="AZ22" s="453" t="str">
        <f>IF(AZ$19="","",HLOOKUP(AZ$19,woningen_gebouwen_gegevens,ROWS(bibliotheek!$E$13:$E$15),FALSE))</f>
        <v/>
      </c>
      <c r="BA22" s="453" t="str">
        <f>IF(BA$19="","",HLOOKUP(BA$19,woningen_gebouwen_gegevens,ROWS(bibliotheek!$E$13:$E$15),FALSE))</f>
        <v/>
      </c>
      <c r="BB22" s="453" t="str">
        <f>IF(BB$19="","",HLOOKUP(BB$19,woningen_gebouwen_gegevens,ROWS(bibliotheek!$E$13:$E$15),FALSE))</f>
        <v/>
      </c>
      <c r="BC22" s="453" t="str">
        <f>IF(BC$19="","",HLOOKUP(BC$19,woningen_gebouwen_gegevens,ROWS(bibliotheek!$E$13:$E$15),FALSE))</f>
        <v/>
      </c>
      <c r="BD22" s="453" t="str">
        <f>IF(BD$19="","",HLOOKUP(BD$19,woningen_gebouwen_gegevens,ROWS(bibliotheek!$E$13:$E$15),FALSE))</f>
        <v/>
      </c>
      <c r="BE22" s="453" t="str">
        <f>IF(BE$19="","",HLOOKUP(BE$19,woningen_gebouwen_gegevens,ROWS(bibliotheek!$E$13:$E$15),FALSE))</f>
        <v/>
      </c>
      <c r="BF22" s="453" t="str">
        <f>IF(BF$19="","",HLOOKUP(BF$19,woningen_gebouwen_gegevens,ROWS(bibliotheek!$E$13:$E$15),FALSE))</f>
        <v/>
      </c>
      <c r="BG22" s="453" t="str">
        <f>IF(BG$19="","",HLOOKUP(BG$19,woningen_gebouwen_gegevens,ROWS(bibliotheek!$E$13:$E$15),FALSE))</f>
        <v/>
      </c>
      <c r="BH22" s="259"/>
    </row>
    <row r="23" spans="1:60" ht="18.75" x14ac:dyDescent="0.2">
      <c r="A23" s="648"/>
      <c r="B23" s="739" t="s">
        <v>120</v>
      </c>
      <c r="C23" s="739" t="s">
        <v>104</v>
      </c>
      <c r="D23" s="747"/>
      <c r="E23" s="236" t="s">
        <v>126</v>
      </c>
      <c r="F23" s="236"/>
      <c r="G23" s="236"/>
      <c r="H23" s="89"/>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38"/>
    </row>
    <row r="24" spans="1:60" x14ac:dyDescent="0.2">
      <c r="A24" s="648"/>
      <c r="B24" s="739" t="s">
        <v>120</v>
      </c>
      <c r="C24" s="656" t="s">
        <v>127</v>
      </c>
      <c r="D24" s="747"/>
      <c r="E24" s="316" t="s">
        <v>128</v>
      </c>
      <c r="F24" s="316"/>
      <c r="G24" s="316"/>
      <c r="H24" s="361" t="s">
        <v>129</v>
      </c>
      <c r="I24" s="131"/>
      <c r="J24" s="225">
        <f>M24+Y24+AK24+AW24</f>
        <v>0</v>
      </c>
      <c r="K24" s="102"/>
      <c r="L24" s="102"/>
      <c r="M24" s="469">
        <f>SUM(N24:X24)</f>
        <v>0</v>
      </c>
      <c r="N24" s="103"/>
      <c r="O24" s="618">
        <f>IF('woningen|utiliteit'!L18="",0,IF(O25&lt;&gt;"",O25,'woningen|utiliteit'!L21))</f>
        <v>0</v>
      </c>
      <c r="P24" s="618">
        <f>IF('woningen|utiliteit'!M18="",0,IF(P25&lt;&gt;"",P25,'woningen|utiliteit'!M21))</f>
        <v>0</v>
      </c>
      <c r="Q24" s="619">
        <f>IF('woningen|utiliteit'!N18="",0,IF(Q25&lt;&gt;"",Q25,'woningen|utiliteit'!N21))</f>
        <v>0</v>
      </c>
      <c r="R24" s="619">
        <f>IF('woningen|utiliteit'!O18="",0,IF(R25&lt;&gt;"",R25,'woningen|utiliteit'!O21))</f>
        <v>0</v>
      </c>
      <c r="S24" s="619">
        <f>IF('woningen|utiliteit'!P18="",0,IF(S25&lt;&gt;"",S25,'woningen|utiliteit'!P21))</f>
        <v>0</v>
      </c>
      <c r="T24" s="619">
        <f>IF('woningen|utiliteit'!Q18="",0,IF(T25&lt;&gt;"",T25,'woningen|utiliteit'!Q21))</f>
        <v>0</v>
      </c>
      <c r="U24" s="619">
        <f>IF('woningen|utiliteit'!R18="",0,IF(U25&lt;&gt;"",U25,'woningen|utiliteit'!R21))</f>
        <v>0</v>
      </c>
      <c r="V24" s="619">
        <f>IF('woningen|utiliteit'!S18="",0,IF(V25&lt;&gt;"",V25,'woningen|utiliteit'!S21))</f>
        <v>0</v>
      </c>
      <c r="W24" s="618">
        <f>IF('woningen|utiliteit'!T18="",0,IF(W25&lt;&gt;"",W25,'woningen|utiliteit'!T21))</f>
        <v>0</v>
      </c>
      <c r="X24" s="104"/>
      <c r="Y24" s="229">
        <f>SUM(Z24:AJ24)</f>
        <v>0</v>
      </c>
      <c r="Z24" s="103"/>
      <c r="AA24" s="618">
        <f>IF('woningen|utiliteit'!L32="",0,IF(AA25&lt;&gt;"",AA25,'woningen|utiliteit'!L35))</f>
        <v>0</v>
      </c>
      <c r="AB24" s="618">
        <f>IF('woningen|utiliteit'!M32="",0,IF(AB25&lt;&gt;"",AB25,'woningen|utiliteit'!M35))</f>
        <v>0</v>
      </c>
      <c r="AC24" s="619">
        <f>IF('woningen|utiliteit'!N32="",0,IF(AC25&lt;&gt;"",AC25,'woningen|utiliteit'!N35))</f>
        <v>0</v>
      </c>
      <c r="AD24" s="619">
        <f>IF('woningen|utiliteit'!O32="",0,IF(AD25&lt;&gt;"",AD25,'woningen|utiliteit'!O35))</f>
        <v>0</v>
      </c>
      <c r="AE24" s="619">
        <f>IF('woningen|utiliteit'!P32="",0,IF(AE25&lt;&gt;"",AE25,'woningen|utiliteit'!P35))</f>
        <v>0</v>
      </c>
      <c r="AF24" s="619">
        <f>IF('woningen|utiliteit'!Q32="",0,IF(AF25&lt;&gt;"",AF25,'woningen|utiliteit'!Q35))</f>
        <v>0</v>
      </c>
      <c r="AG24" s="619">
        <f>IF('woningen|utiliteit'!R32="",0,IF(AG25&lt;&gt;"",AG25,'woningen|utiliteit'!R35))</f>
        <v>0</v>
      </c>
      <c r="AH24" s="619">
        <f>IF('woningen|utiliteit'!S32="",0,IF(AH25&lt;&gt;"",AH25,'woningen|utiliteit'!S35))</f>
        <v>0</v>
      </c>
      <c r="AI24" s="618">
        <f>IF('woningen|utiliteit'!T32="",0,IF(AI25&lt;&gt;"",AI25,'woningen|utiliteit'!T35))</f>
        <v>0</v>
      </c>
      <c r="AJ24" s="104"/>
      <c r="AK24" s="229">
        <f>SUM(AL24:AV24)</f>
        <v>0</v>
      </c>
      <c r="AL24" s="103"/>
      <c r="AM24" s="618">
        <f>IF('woningen|utiliteit'!L46="",0,IF(AM25&lt;&gt;"",AM25,'woningen|utiliteit'!L49))</f>
        <v>0</v>
      </c>
      <c r="AN24" s="618">
        <f>IF('woningen|utiliteit'!M46="",0,IF(AN25&lt;&gt;"",AN25,'woningen|utiliteit'!M49))</f>
        <v>0</v>
      </c>
      <c r="AO24" s="619">
        <f>IF('woningen|utiliteit'!N46="",0,IF(AO25&lt;&gt;"",AO25,'woningen|utiliteit'!N49))</f>
        <v>0</v>
      </c>
      <c r="AP24" s="619">
        <f>IF('woningen|utiliteit'!O46="",0,IF(AP25&lt;&gt;"",AP25,'woningen|utiliteit'!O49))</f>
        <v>0</v>
      </c>
      <c r="AQ24" s="619">
        <f>IF('woningen|utiliteit'!P46="",0,IF(AQ25&lt;&gt;"",AQ25,'woningen|utiliteit'!P49))</f>
        <v>0</v>
      </c>
      <c r="AR24" s="619">
        <f>IF('woningen|utiliteit'!Q46="",0,IF(AR25&lt;&gt;"",AR25,'woningen|utiliteit'!Q49))</f>
        <v>0</v>
      </c>
      <c r="AS24" s="619">
        <f>IF('woningen|utiliteit'!R46="",0,IF(AS25&lt;&gt;"",AS25,'woningen|utiliteit'!R49))</f>
        <v>0</v>
      </c>
      <c r="AT24" s="619">
        <f>IF('woningen|utiliteit'!S46="",0,IF(AT25&lt;&gt;"",AT25,'woningen|utiliteit'!S49))</f>
        <v>0</v>
      </c>
      <c r="AU24" s="618">
        <f>IF('woningen|utiliteit'!T46="",0,IF(AU25&lt;&gt;"",AU25,'woningen|utiliteit'!T49))</f>
        <v>0</v>
      </c>
      <c r="AV24" s="104"/>
      <c r="AW24" s="229">
        <f>SUM(AX24:BH24)</f>
        <v>0</v>
      </c>
      <c r="AX24" s="103"/>
      <c r="AY24" s="618">
        <f>IF('woningen|utiliteit'!L60="",0,IF(AY25&lt;&gt;"",AY25,'woningen|utiliteit'!L63))</f>
        <v>0</v>
      </c>
      <c r="AZ24" s="618">
        <f>IF('woningen|utiliteit'!M60="",0,IF(AZ25&lt;&gt;"",AZ25,'woningen|utiliteit'!M63))</f>
        <v>0</v>
      </c>
      <c r="BA24" s="619">
        <f>IF('woningen|utiliteit'!N60="",0,IF(BA25&lt;&gt;"",BA25,'woningen|utiliteit'!N63))</f>
        <v>0</v>
      </c>
      <c r="BB24" s="619">
        <f>IF('woningen|utiliteit'!O60="",0,IF(BB25&lt;&gt;"",BB25,'woningen|utiliteit'!O63))</f>
        <v>0</v>
      </c>
      <c r="BC24" s="619">
        <f>IF('woningen|utiliteit'!P60="",0,IF(BC25&lt;&gt;"",BC25,'woningen|utiliteit'!P63))</f>
        <v>0</v>
      </c>
      <c r="BD24" s="619">
        <f>IF('woningen|utiliteit'!Q60="",0,IF(BD25&lt;&gt;"",BD25,'woningen|utiliteit'!Q63))</f>
        <v>0</v>
      </c>
      <c r="BE24" s="619">
        <f>IF('woningen|utiliteit'!R60="",0,IF(BE25&lt;&gt;"",BE25,'woningen|utiliteit'!R63))</f>
        <v>0</v>
      </c>
      <c r="BF24" s="619">
        <f>IF('woningen|utiliteit'!S60="",0,IF(BF25&lt;&gt;"",BF25,'woningen|utiliteit'!S63))</f>
        <v>0</v>
      </c>
      <c r="BG24" s="618">
        <f>IF('woningen|utiliteit'!T60="",0,IF(BG25&lt;&gt;"",BG25,'woningen|utiliteit'!T63))</f>
        <v>0</v>
      </c>
      <c r="BH24" s="258"/>
    </row>
    <row r="25" spans="1:60" x14ac:dyDescent="0.2">
      <c r="A25" s="648"/>
      <c r="B25" s="739" t="s">
        <v>120</v>
      </c>
      <c r="C25" s="656" t="s">
        <v>127</v>
      </c>
      <c r="D25" s="747"/>
      <c r="E25" s="412" t="s">
        <v>82</v>
      </c>
      <c r="F25" s="317"/>
      <c r="G25" s="317"/>
      <c r="H25" s="360"/>
      <c r="I25" s="97"/>
      <c r="J25" s="362"/>
      <c r="K25" s="105"/>
      <c r="L25" s="105"/>
      <c r="M25" s="467"/>
      <c r="N25" s="106"/>
      <c r="O25" s="325"/>
      <c r="P25" s="325"/>
      <c r="Q25" s="325"/>
      <c r="R25" s="325"/>
      <c r="S25" s="325"/>
      <c r="T25" s="325"/>
      <c r="U25" s="325"/>
      <c r="V25" s="325"/>
      <c r="W25" s="325"/>
      <c r="X25" s="98"/>
      <c r="Y25" s="238"/>
      <c r="Z25" s="106"/>
      <c r="AA25" s="325"/>
      <c r="AB25" s="325"/>
      <c r="AC25" s="325"/>
      <c r="AD25" s="325"/>
      <c r="AE25" s="325"/>
      <c r="AF25" s="325"/>
      <c r="AG25" s="325"/>
      <c r="AH25" s="325"/>
      <c r="AI25" s="325"/>
      <c r="AJ25" s="98"/>
      <c r="AK25" s="238"/>
      <c r="AL25" s="106"/>
      <c r="AM25" s="325"/>
      <c r="AN25" s="325"/>
      <c r="AO25" s="325"/>
      <c r="AP25" s="325"/>
      <c r="AQ25" s="325"/>
      <c r="AR25" s="325"/>
      <c r="AS25" s="325"/>
      <c r="AT25" s="325"/>
      <c r="AU25" s="325"/>
      <c r="AV25" s="98"/>
      <c r="AW25" s="238"/>
      <c r="AX25" s="106"/>
      <c r="AY25" s="325"/>
      <c r="AZ25" s="325"/>
      <c r="BA25" s="325"/>
      <c r="BB25" s="325"/>
      <c r="BC25" s="325"/>
      <c r="BD25" s="325"/>
      <c r="BE25" s="325"/>
      <c r="BF25" s="325"/>
      <c r="BG25" s="325"/>
      <c r="BH25" s="214"/>
    </row>
    <row r="26" spans="1:60" x14ac:dyDescent="0.2">
      <c r="A26" s="648"/>
      <c r="B26" s="739" t="s">
        <v>120</v>
      </c>
      <c r="C26" s="656" t="s">
        <v>113</v>
      </c>
      <c r="D26" s="747"/>
      <c r="E26" s="316" t="s">
        <v>130</v>
      </c>
      <c r="F26" s="220"/>
      <c r="G26" s="220"/>
      <c r="H26" s="183" t="s">
        <v>77</v>
      </c>
      <c r="I26" s="107"/>
      <c r="J26" s="225">
        <f>M26+Y26+AK26+AW26</f>
        <v>0</v>
      </c>
      <c r="K26" s="102"/>
      <c r="L26" s="102"/>
      <c r="M26" s="249">
        <f>SUM(N26:X26)</f>
        <v>0</v>
      </c>
      <c r="N26" s="108"/>
      <c r="O26" s="620">
        <f t="shared" ref="O26:W26" si="16">IF(O$21=woning,O$24,0)</f>
        <v>0</v>
      </c>
      <c r="P26" s="620">
        <f t="shared" si="16"/>
        <v>0</v>
      </c>
      <c r="Q26" s="620">
        <f t="shared" si="16"/>
        <v>0</v>
      </c>
      <c r="R26" s="620">
        <f t="shared" si="16"/>
        <v>0</v>
      </c>
      <c r="S26" s="620">
        <f t="shared" si="16"/>
        <v>0</v>
      </c>
      <c r="T26" s="620">
        <f t="shared" si="16"/>
        <v>0</v>
      </c>
      <c r="U26" s="620">
        <f t="shared" si="16"/>
        <v>0</v>
      </c>
      <c r="V26" s="620">
        <f t="shared" si="16"/>
        <v>0</v>
      </c>
      <c r="W26" s="620">
        <f t="shared" si="16"/>
        <v>0</v>
      </c>
      <c r="X26" s="109"/>
      <c r="Y26" s="469">
        <f>SUM(Z26:AJ26)</f>
        <v>0</v>
      </c>
      <c r="Z26" s="108"/>
      <c r="AA26" s="620">
        <f t="shared" ref="AA26:AI26" si="17">IF(AA$21=woning,AA$24,0)</f>
        <v>0</v>
      </c>
      <c r="AB26" s="620">
        <f t="shared" si="17"/>
        <v>0</v>
      </c>
      <c r="AC26" s="620">
        <f t="shared" si="17"/>
        <v>0</v>
      </c>
      <c r="AD26" s="620">
        <f t="shared" si="17"/>
        <v>0</v>
      </c>
      <c r="AE26" s="620">
        <f t="shared" si="17"/>
        <v>0</v>
      </c>
      <c r="AF26" s="620">
        <f t="shared" si="17"/>
        <v>0</v>
      </c>
      <c r="AG26" s="620">
        <f t="shared" si="17"/>
        <v>0</v>
      </c>
      <c r="AH26" s="620">
        <f t="shared" si="17"/>
        <v>0</v>
      </c>
      <c r="AI26" s="620">
        <f t="shared" si="17"/>
        <v>0</v>
      </c>
      <c r="AJ26" s="109"/>
      <c r="AK26" s="229">
        <f>SUM(AL26:AV26)</f>
        <v>0</v>
      </c>
      <c r="AL26" s="108"/>
      <c r="AM26" s="620">
        <f>IF(AM$21=woning,AM$24,0)</f>
        <v>0</v>
      </c>
      <c r="AN26" s="620">
        <f t="shared" ref="AN26:AU26" si="18">IF(AN$21=woning,AN$24,0)</f>
        <v>0</v>
      </c>
      <c r="AO26" s="620">
        <f t="shared" si="18"/>
        <v>0</v>
      </c>
      <c r="AP26" s="620">
        <f t="shared" si="18"/>
        <v>0</v>
      </c>
      <c r="AQ26" s="620">
        <f t="shared" si="18"/>
        <v>0</v>
      </c>
      <c r="AR26" s="620">
        <f t="shared" si="18"/>
        <v>0</v>
      </c>
      <c r="AS26" s="620">
        <f t="shared" si="18"/>
        <v>0</v>
      </c>
      <c r="AT26" s="620">
        <f t="shared" si="18"/>
        <v>0</v>
      </c>
      <c r="AU26" s="620">
        <f t="shared" si="18"/>
        <v>0</v>
      </c>
      <c r="AV26" s="109"/>
      <c r="AW26" s="469">
        <f>SUM(AX26:BH26)</f>
        <v>0</v>
      </c>
      <c r="AX26" s="108"/>
      <c r="AY26" s="620">
        <f t="shared" ref="AY26:BG26" si="19">IF(AY$21=woning,AY$24,0)</f>
        <v>0</v>
      </c>
      <c r="AZ26" s="620">
        <f t="shared" si="19"/>
        <v>0</v>
      </c>
      <c r="BA26" s="620">
        <f t="shared" si="19"/>
        <v>0</v>
      </c>
      <c r="BB26" s="620">
        <f t="shared" si="19"/>
        <v>0</v>
      </c>
      <c r="BC26" s="620">
        <f t="shared" si="19"/>
        <v>0</v>
      </c>
      <c r="BD26" s="620">
        <f t="shared" si="19"/>
        <v>0</v>
      </c>
      <c r="BE26" s="620">
        <f t="shared" si="19"/>
        <v>0</v>
      </c>
      <c r="BF26" s="620">
        <f t="shared" si="19"/>
        <v>0</v>
      </c>
      <c r="BG26" s="620">
        <f t="shared" si="19"/>
        <v>0</v>
      </c>
      <c r="BH26" s="214"/>
    </row>
    <row r="27" spans="1:60" x14ac:dyDescent="0.2">
      <c r="A27" s="648"/>
      <c r="B27" s="739" t="s">
        <v>120</v>
      </c>
      <c r="C27" s="656" t="s">
        <v>113</v>
      </c>
      <c r="D27" s="747"/>
      <c r="E27" s="316" t="s">
        <v>131</v>
      </c>
      <c r="F27" s="220"/>
      <c r="G27" s="220"/>
      <c r="H27" s="183" t="s">
        <v>77</v>
      </c>
      <c r="I27" s="107"/>
      <c r="J27" s="225">
        <f>M27+Y27+AK27+AW27</f>
        <v>0</v>
      </c>
      <c r="K27" s="102"/>
      <c r="L27" s="102"/>
      <c r="M27" s="249">
        <f>SUM(N27:X27)</f>
        <v>0</v>
      </c>
      <c r="N27" s="108"/>
      <c r="O27" s="620">
        <f t="shared" ref="O27:W27" si="20">IF(O$21=woongebouw,O$24,0)</f>
        <v>0</v>
      </c>
      <c r="P27" s="620">
        <f t="shared" si="20"/>
        <v>0</v>
      </c>
      <c r="Q27" s="620">
        <f t="shared" si="20"/>
        <v>0</v>
      </c>
      <c r="R27" s="620">
        <f t="shared" si="20"/>
        <v>0</v>
      </c>
      <c r="S27" s="620">
        <f t="shared" si="20"/>
        <v>0</v>
      </c>
      <c r="T27" s="620">
        <f t="shared" si="20"/>
        <v>0</v>
      </c>
      <c r="U27" s="620">
        <f t="shared" si="20"/>
        <v>0</v>
      </c>
      <c r="V27" s="620">
        <f t="shared" si="20"/>
        <v>0</v>
      </c>
      <c r="W27" s="620">
        <f t="shared" si="20"/>
        <v>0</v>
      </c>
      <c r="X27" s="109"/>
      <c r="Y27" s="469">
        <f>SUM(Z27:AJ27)</f>
        <v>0</v>
      </c>
      <c r="Z27" s="108"/>
      <c r="AA27" s="620">
        <f t="shared" ref="AA27:AI27" si="21">IF(AA$21=woongebouw,AA$24,0)</f>
        <v>0</v>
      </c>
      <c r="AB27" s="620">
        <f t="shared" si="21"/>
        <v>0</v>
      </c>
      <c r="AC27" s="620">
        <f t="shared" si="21"/>
        <v>0</v>
      </c>
      <c r="AD27" s="620">
        <f t="shared" si="21"/>
        <v>0</v>
      </c>
      <c r="AE27" s="620">
        <f t="shared" si="21"/>
        <v>0</v>
      </c>
      <c r="AF27" s="620">
        <f t="shared" si="21"/>
        <v>0</v>
      </c>
      <c r="AG27" s="620">
        <f t="shared" si="21"/>
        <v>0</v>
      </c>
      <c r="AH27" s="620">
        <f t="shared" si="21"/>
        <v>0</v>
      </c>
      <c r="AI27" s="620">
        <f t="shared" si="21"/>
        <v>0</v>
      </c>
      <c r="AJ27" s="109"/>
      <c r="AK27" s="229">
        <f>SUM(AL27:AV27)</f>
        <v>0</v>
      </c>
      <c r="AL27" s="108"/>
      <c r="AM27" s="620">
        <f>IF(AM$21=woongebouw,AM$24,0)</f>
        <v>0</v>
      </c>
      <c r="AN27" s="620">
        <f t="shared" ref="AN27:AU27" si="22">IF(AN$21=woongebouw,AN$24,0)</f>
        <v>0</v>
      </c>
      <c r="AO27" s="620">
        <f t="shared" si="22"/>
        <v>0</v>
      </c>
      <c r="AP27" s="620">
        <f t="shared" si="22"/>
        <v>0</v>
      </c>
      <c r="AQ27" s="620">
        <f t="shared" si="22"/>
        <v>0</v>
      </c>
      <c r="AR27" s="620">
        <f t="shared" si="22"/>
        <v>0</v>
      </c>
      <c r="AS27" s="620">
        <f t="shared" si="22"/>
        <v>0</v>
      </c>
      <c r="AT27" s="620">
        <f t="shared" si="22"/>
        <v>0</v>
      </c>
      <c r="AU27" s="620">
        <f t="shared" si="22"/>
        <v>0</v>
      </c>
      <c r="AV27" s="109"/>
      <c r="AW27" s="469">
        <f>SUM(AX27:BH27)</f>
        <v>0</v>
      </c>
      <c r="AX27" s="108"/>
      <c r="AY27" s="620">
        <f t="shared" ref="AY27:BG27" si="23">IF(AY$21=woongebouw,AY$24,0)</f>
        <v>0</v>
      </c>
      <c r="AZ27" s="620">
        <f t="shared" si="23"/>
        <v>0</v>
      </c>
      <c r="BA27" s="620">
        <f t="shared" si="23"/>
        <v>0</v>
      </c>
      <c r="BB27" s="620">
        <f t="shared" si="23"/>
        <v>0</v>
      </c>
      <c r="BC27" s="620">
        <f t="shared" si="23"/>
        <v>0</v>
      </c>
      <c r="BD27" s="620">
        <f t="shared" si="23"/>
        <v>0</v>
      </c>
      <c r="BE27" s="620">
        <f t="shared" si="23"/>
        <v>0</v>
      </c>
      <c r="BF27" s="620">
        <f t="shared" si="23"/>
        <v>0</v>
      </c>
      <c r="BG27" s="620">
        <f t="shared" si="23"/>
        <v>0</v>
      </c>
      <c r="BH27" s="214"/>
    </row>
    <row r="28" spans="1:60" x14ac:dyDescent="0.2">
      <c r="A28" s="648"/>
      <c r="B28" s="739" t="s">
        <v>120</v>
      </c>
      <c r="C28" s="656" t="s">
        <v>113</v>
      </c>
      <c r="D28" s="747"/>
      <c r="E28" s="316" t="s">
        <v>78</v>
      </c>
      <c r="F28" s="220"/>
      <c r="G28" s="220"/>
      <c r="H28" s="183" t="s">
        <v>79</v>
      </c>
      <c r="I28" s="107"/>
      <c r="J28" s="225">
        <f>M28+Y28+AK28+AW28</f>
        <v>0</v>
      </c>
      <c r="K28" s="102"/>
      <c r="L28" s="102"/>
      <c r="M28" s="468">
        <f>SUM(N28:X28)</f>
        <v>0</v>
      </c>
      <c r="N28" s="108"/>
      <c r="O28" s="620">
        <f>O24-O27-O26</f>
        <v>0</v>
      </c>
      <c r="P28" s="620">
        <f t="shared" ref="P28:W28" si="24">P24-P27-P26</f>
        <v>0</v>
      </c>
      <c r="Q28" s="620">
        <f t="shared" si="24"/>
        <v>0</v>
      </c>
      <c r="R28" s="620">
        <f t="shared" si="24"/>
        <v>0</v>
      </c>
      <c r="S28" s="620">
        <f t="shared" si="24"/>
        <v>0</v>
      </c>
      <c r="T28" s="620">
        <f t="shared" si="24"/>
        <v>0</v>
      </c>
      <c r="U28" s="620">
        <f t="shared" si="24"/>
        <v>0</v>
      </c>
      <c r="V28" s="620">
        <f t="shared" si="24"/>
        <v>0</v>
      </c>
      <c r="W28" s="620">
        <f t="shared" si="24"/>
        <v>0</v>
      </c>
      <c r="X28" s="109"/>
      <c r="Y28" s="249">
        <f>SUM(Z28:AJ28)</f>
        <v>0</v>
      </c>
      <c r="Z28" s="108"/>
      <c r="AA28" s="620">
        <f t="shared" ref="AA28:AI28" si="25">AA24-AA27-AA26</f>
        <v>0</v>
      </c>
      <c r="AB28" s="620">
        <f t="shared" si="25"/>
        <v>0</v>
      </c>
      <c r="AC28" s="620">
        <f t="shared" si="25"/>
        <v>0</v>
      </c>
      <c r="AD28" s="620">
        <f t="shared" si="25"/>
        <v>0</v>
      </c>
      <c r="AE28" s="620">
        <f t="shared" si="25"/>
        <v>0</v>
      </c>
      <c r="AF28" s="620">
        <f t="shared" si="25"/>
        <v>0</v>
      </c>
      <c r="AG28" s="620">
        <f t="shared" si="25"/>
        <v>0</v>
      </c>
      <c r="AH28" s="620">
        <f t="shared" si="25"/>
        <v>0</v>
      </c>
      <c r="AI28" s="620">
        <f t="shared" si="25"/>
        <v>0</v>
      </c>
      <c r="AJ28" s="109"/>
      <c r="AK28" s="469">
        <f>SUM(AL28:AV28)</f>
        <v>0</v>
      </c>
      <c r="AL28" s="108"/>
      <c r="AM28" s="620">
        <f t="shared" ref="AM28:AU28" si="26">AM24-AM27-AM26</f>
        <v>0</v>
      </c>
      <c r="AN28" s="620">
        <f t="shared" si="26"/>
        <v>0</v>
      </c>
      <c r="AO28" s="620">
        <f t="shared" si="26"/>
        <v>0</v>
      </c>
      <c r="AP28" s="620">
        <f t="shared" si="26"/>
        <v>0</v>
      </c>
      <c r="AQ28" s="620">
        <f t="shared" si="26"/>
        <v>0</v>
      </c>
      <c r="AR28" s="620">
        <f t="shared" si="26"/>
        <v>0</v>
      </c>
      <c r="AS28" s="620">
        <f t="shared" si="26"/>
        <v>0</v>
      </c>
      <c r="AT28" s="620">
        <f t="shared" si="26"/>
        <v>0</v>
      </c>
      <c r="AU28" s="620">
        <f t="shared" si="26"/>
        <v>0</v>
      </c>
      <c r="AV28" s="109"/>
      <c r="AW28" s="249">
        <f>SUM(AX28:BH28)</f>
        <v>0</v>
      </c>
      <c r="AX28" s="108"/>
      <c r="AY28" s="620">
        <f t="shared" ref="AY28:BG28" si="27">AY24-AY27-AY26</f>
        <v>0</v>
      </c>
      <c r="AZ28" s="620">
        <f t="shared" si="27"/>
        <v>0</v>
      </c>
      <c r="BA28" s="620">
        <f t="shared" si="27"/>
        <v>0</v>
      </c>
      <c r="BB28" s="620">
        <f t="shared" si="27"/>
        <v>0</v>
      </c>
      <c r="BC28" s="620">
        <f t="shared" si="27"/>
        <v>0</v>
      </c>
      <c r="BD28" s="620">
        <f t="shared" si="27"/>
        <v>0</v>
      </c>
      <c r="BE28" s="620">
        <f t="shared" si="27"/>
        <v>0</v>
      </c>
      <c r="BF28" s="620">
        <f t="shared" si="27"/>
        <v>0</v>
      </c>
      <c r="BG28" s="620">
        <f t="shared" si="27"/>
        <v>0</v>
      </c>
      <c r="BH28" s="214"/>
    </row>
    <row r="29" spans="1:60" x14ac:dyDescent="0.2">
      <c r="A29" s="648"/>
      <c r="B29" s="739" t="s">
        <v>120</v>
      </c>
      <c r="C29" s="656" t="s">
        <v>113</v>
      </c>
      <c r="D29" s="747"/>
      <c r="E29" s="220" t="s">
        <v>132</v>
      </c>
      <c r="F29" s="220"/>
      <c r="G29" s="220"/>
      <c r="H29" s="183" t="s">
        <v>64</v>
      </c>
      <c r="I29" s="107"/>
      <c r="J29" s="639"/>
      <c r="K29" s="816"/>
      <c r="L29" s="816"/>
      <c r="M29" s="639">
        <f>SUM(M26:M28)</f>
        <v>0</v>
      </c>
      <c r="N29" s="108"/>
      <c r="O29" s="620">
        <f>$M24</f>
        <v>0</v>
      </c>
      <c r="P29" s="620">
        <f t="shared" ref="P29:W29" si="28">$M24</f>
        <v>0</v>
      </c>
      <c r="Q29" s="620">
        <f t="shared" si="28"/>
        <v>0</v>
      </c>
      <c r="R29" s="620">
        <f t="shared" si="28"/>
        <v>0</v>
      </c>
      <c r="S29" s="620">
        <f t="shared" si="28"/>
        <v>0</v>
      </c>
      <c r="T29" s="620">
        <f t="shared" si="28"/>
        <v>0</v>
      </c>
      <c r="U29" s="620">
        <f t="shared" si="28"/>
        <v>0</v>
      </c>
      <c r="V29" s="620">
        <f t="shared" si="28"/>
        <v>0</v>
      </c>
      <c r="W29" s="620">
        <f t="shared" si="28"/>
        <v>0</v>
      </c>
      <c r="X29" s="109"/>
      <c r="Y29" s="639">
        <f>SUM(Y26:Y28)</f>
        <v>0</v>
      </c>
      <c r="Z29" s="108"/>
      <c r="AA29" s="620">
        <f>$Y24</f>
        <v>0</v>
      </c>
      <c r="AB29" s="620">
        <f t="shared" ref="AB29:AI29" si="29">$Y24</f>
        <v>0</v>
      </c>
      <c r="AC29" s="620">
        <f t="shared" si="29"/>
        <v>0</v>
      </c>
      <c r="AD29" s="620">
        <f t="shared" si="29"/>
        <v>0</v>
      </c>
      <c r="AE29" s="620">
        <f t="shared" si="29"/>
        <v>0</v>
      </c>
      <c r="AF29" s="620">
        <f t="shared" si="29"/>
        <v>0</v>
      </c>
      <c r="AG29" s="620">
        <f t="shared" si="29"/>
        <v>0</v>
      </c>
      <c r="AH29" s="620">
        <f t="shared" si="29"/>
        <v>0</v>
      </c>
      <c r="AI29" s="620">
        <f t="shared" si="29"/>
        <v>0</v>
      </c>
      <c r="AJ29" s="109"/>
      <c r="AK29" s="639">
        <f>SUM(AK26:AK28)</f>
        <v>0</v>
      </c>
      <c r="AL29" s="108"/>
      <c r="AM29" s="620">
        <f t="shared" ref="AM29:AU29" si="30">$AK24</f>
        <v>0</v>
      </c>
      <c r="AN29" s="620">
        <f t="shared" si="30"/>
        <v>0</v>
      </c>
      <c r="AO29" s="620">
        <f t="shared" si="30"/>
        <v>0</v>
      </c>
      <c r="AP29" s="620">
        <f t="shared" si="30"/>
        <v>0</v>
      </c>
      <c r="AQ29" s="620">
        <f t="shared" si="30"/>
        <v>0</v>
      </c>
      <c r="AR29" s="620">
        <f t="shared" si="30"/>
        <v>0</v>
      </c>
      <c r="AS29" s="620">
        <f t="shared" si="30"/>
        <v>0</v>
      </c>
      <c r="AT29" s="620">
        <f t="shared" si="30"/>
        <v>0</v>
      </c>
      <c r="AU29" s="620">
        <f t="shared" si="30"/>
        <v>0</v>
      </c>
      <c r="AV29" s="109"/>
      <c r="AW29" s="639"/>
      <c r="AX29" s="639">
        <f>SUM(AX26:AX28)</f>
        <v>0</v>
      </c>
      <c r="AY29" s="620">
        <f>$AW24</f>
        <v>0</v>
      </c>
      <c r="AZ29" s="620">
        <f t="shared" ref="AZ29:BG29" si="31">$AW24</f>
        <v>0</v>
      </c>
      <c r="BA29" s="620">
        <f t="shared" si="31"/>
        <v>0</v>
      </c>
      <c r="BB29" s="620">
        <f t="shared" si="31"/>
        <v>0</v>
      </c>
      <c r="BC29" s="620">
        <f t="shared" si="31"/>
        <v>0</v>
      </c>
      <c r="BD29" s="620">
        <f t="shared" si="31"/>
        <v>0</v>
      </c>
      <c r="BE29" s="620">
        <f t="shared" si="31"/>
        <v>0</v>
      </c>
      <c r="BF29" s="620">
        <f t="shared" si="31"/>
        <v>0</v>
      </c>
      <c r="BG29" s="620">
        <f t="shared" si="31"/>
        <v>0</v>
      </c>
      <c r="BH29" s="214"/>
    </row>
    <row r="30" spans="1:60" ht="18.75" x14ac:dyDescent="0.2">
      <c r="A30" s="648"/>
      <c r="B30" s="739" t="s">
        <v>120</v>
      </c>
      <c r="C30" s="739" t="s">
        <v>104</v>
      </c>
      <c r="D30" s="747"/>
      <c r="E30" s="236" t="s">
        <v>133</v>
      </c>
      <c r="F30" s="236"/>
      <c r="G30" s="236"/>
      <c r="H30" s="89"/>
      <c r="I30" s="236"/>
      <c r="J30" s="236"/>
      <c r="K30" s="236"/>
      <c r="L30" s="236"/>
      <c r="M30" s="236"/>
      <c r="N30" s="236"/>
      <c r="O30" s="236"/>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38"/>
    </row>
    <row r="31" spans="1:60" x14ac:dyDescent="0.2">
      <c r="A31" s="648"/>
      <c r="B31" s="739" t="s">
        <v>120</v>
      </c>
      <c r="C31" s="656" t="s">
        <v>113</v>
      </c>
      <c r="D31" s="747"/>
      <c r="E31" s="316" t="s">
        <v>80</v>
      </c>
      <c r="F31" s="220" t="s">
        <v>134</v>
      </c>
      <c r="G31" s="220"/>
      <c r="H31" s="221" t="s">
        <v>81</v>
      </c>
      <c r="I31" s="90"/>
      <c r="J31" s="227">
        <f>M31+Y31+AK31+AW31</f>
        <v>0</v>
      </c>
      <c r="K31" s="294"/>
      <c r="L31" s="294"/>
      <c r="M31" s="227">
        <f>SUMPRODUCT(N$24:X$24,N31:X31)</f>
        <v>0</v>
      </c>
      <c r="N31" s="100"/>
      <c r="O31" s="184">
        <f>IF(O$19="",0,'woningen|utiliteit'!L24)</f>
        <v>0</v>
      </c>
      <c r="P31" s="184">
        <f>IF(P$19="",0,'woningen|utiliteit'!M24)</f>
        <v>0</v>
      </c>
      <c r="Q31" s="184">
        <f>IF(Q$19="",0,'woningen|utiliteit'!N24)</f>
        <v>0</v>
      </c>
      <c r="R31" s="184">
        <f>IF(R$19="",0,'woningen|utiliteit'!O24)</f>
        <v>0</v>
      </c>
      <c r="S31" s="184">
        <f>IF(S$19="",0,'woningen|utiliteit'!P24)</f>
        <v>0</v>
      </c>
      <c r="T31" s="184">
        <f>IF(T$19="",0,'woningen|utiliteit'!Q24)</f>
        <v>0</v>
      </c>
      <c r="U31" s="184">
        <f>IF(U$19="",0,'woningen|utiliteit'!R24)</f>
        <v>0</v>
      </c>
      <c r="V31" s="184">
        <f>IF(V$19="",0,'woningen|utiliteit'!S24)</f>
        <v>0</v>
      </c>
      <c r="W31" s="184">
        <f>IF(W$19="",0,'woningen|utiliteit'!T24)</f>
        <v>0</v>
      </c>
      <c r="X31" s="110"/>
      <c r="Y31" s="227">
        <f>SUMPRODUCT(Z$24:AJ$24,Z31:AJ31)</f>
        <v>0</v>
      </c>
      <c r="Z31" s="100"/>
      <c r="AA31" s="184">
        <f>IF(AA$19="",0,'woningen|utiliteit'!L38)</f>
        <v>0</v>
      </c>
      <c r="AB31" s="184">
        <f>IF(AB$19="",0,'woningen|utiliteit'!M38)</f>
        <v>0</v>
      </c>
      <c r="AC31" s="184">
        <f>IF(AC$19="",0,'woningen|utiliteit'!N38)</f>
        <v>0</v>
      </c>
      <c r="AD31" s="184">
        <f>IF(AD$19="",0,'woningen|utiliteit'!O38)</f>
        <v>0</v>
      </c>
      <c r="AE31" s="184">
        <f>IF(AE$19="",0,'woningen|utiliteit'!P38)</f>
        <v>0</v>
      </c>
      <c r="AF31" s="184">
        <f>IF(AF$19="",0,'woningen|utiliteit'!Q38)</f>
        <v>0</v>
      </c>
      <c r="AG31" s="184">
        <f>IF(AG$19="",0,'woningen|utiliteit'!R38)</f>
        <v>0</v>
      </c>
      <c r="AH31" s="184">
        <f>IF(AH$19="",0,'woningen|utiliteit'!S38)</f>
        <v>0</v>
      </c>
      <c r="AI31" s="184">
        <f>IF(AI$19="",0,'woningen|utiliteit'!T38)</f>
        <v>0</v>
      </c>
      <c r="AJ31" s="110"/>
      <c r="AK31" s="227">
        <f>SUMPRODUCT(AL$24:AV$24,AL31:AV31)</f>
        <v>0</v>
      </c>
      <c r="AL31" s="100"/>
      <c r="AM31" s="184">
        <f>IF(AM$19="",0,'woningen|utiliteit'!L52)</f>
        <v>0</v>
      </c>
      <c r="AN31" s="184">
        <f>IF(AN$19="",0,'woningen|utiliteit'!M52)</f>
        <v>0</v>
      </c>
      <c r="AO31" s="184">
        <f>IF(AO$19="",0,'woningen|utiliteit'!N52)</f>
        <v>0</v>
      </c>
      <c r="AP31" s="184">
        <f>IF(AP$19="",0,'woningen|utiliteit'!O52)</f>
        <v>0</v>
      </c>
      <c r="AQ31" s="184">
        <f>IF(AQ$19="",0,'woningen|utiliteit'!P52)</f>
        <v>0</v>
      </c>
      <c r="AR31" s="184">
        <f>IF(AR$19="",0,'woningen|utiliteit'!Q52)</f>
        <v>0</v>
      </c>
      <c r="AS31" s="184">
        <f>IF(AS$19="",0,'woningen|utiliteit'!R52)</f>
        <v>0</v>
      </c>
      <c r="AT31" s="184">
        <f>IF(AT$19="",0,'woningen|utiliteit'!S52)</f>
        <v>0</v>
      </c>
      <c r="AU31" s="184">
        <f>IF(AU$19="",0,'woningen|utiliteit'!T52)</f>
        <v>0</v>
      </c>
      <c r="AV31" s="110"/>
      <c r="AW31" s="227">
        <f>SUMPRODUCT(AX$24:BH$24,AX31:BH31)</f>
        <v>0</v>
      </c>
      <c r="AX31" s="100"/>
      <c r="AY31" s="184">
        <f>IF(AY$19="",0,'woningen|utiliteit'!L66)</f>
        <v>0</v>
      </c>
      <c r="AZ31" s="184">
        <f>IF(AZ$19="",0,'woningen|utiliteit'!M66)</f>
        <v>0</v>
      </c>
      <c r="BA31" s="184">
        <f>IF(BA$19="",0,'woningen|utiliteit'!N66)</f>
        <v>0</v>
      </c>
      <c r="BB31" s="184">
        <f>IF(BB$19="",0,'woningen|utiliteit'!O66)</f>
        <v>0</v>
      </c>
      <c r="BC31" s="184">
        <f>IF(BC$19="",0,'woningen|utiliteit'!P66)</f>
        <v>0</v>
      </c>
      <c r="BD31" s="184">
        <f>IF(BD$19="",0,'woningen|utiliteit'!Q66)</f>
        <v>0</v>
      </c>
      <c r="BE31" s="184">
        <f>IF(BE$19="",0,'woningen|utiliteit'!R66)</f>
        <v>0</v>
      </c>
      <c r="BF31" s="184">
        <f>IF(BF$19="",0,'woningen|utiliteit'!S66)</f>
        <v>0</v>
      </c>
      <c r="BG31" s="184">
        <f>IF(BG$19="",0,'woningen|utiliteit'!T66)</f>
        <v>0</v>
      </c>
      <c r="BH31" s="214"/>
    </row>
    <row r="32" spans="1:60" x14ac:dyDescent="0.2">
      <c r="A32" s="653"/>
      <c r="B32" s="739" t="s">
        <v>120</v>
      </c>
      <c r="C32" s="656" t="s">
        <v>113</v>
      </c>
      <c r="D32" s="747"/>
      <c r="E32" s="687"/>
      <c r="F32" s="220" t="s">
        <v>135</v>
      </c>
      <c r="G32" s="220"/>
      <c r="H32" s="221" t="s">
        <v>136</v>
      </c>
      <c r="I32" s="111"/>
      <c r="J32" s="227"/>
      <c r="K32" s="817"/>
      <c r="L32" s="817"/>
      <c r="M32" s="717"/>
      <c r="N32" s="718"/>
      <c r="O32" s="637">
        <f>O24*O31</f>
        <v>0</v>
      </c>
      <c r="P32" s="637">
        <f t="shared" ref="P32:W32" si="32">P24*P31</f>
        <v>0</v>
      </c>
      <c r="Q32" s="637">
        <f t="shared" si="32"/>
        <v>0</v>
      </c>
      <c r="R32" s="637">
        <f t="shared" si="32"/>
        <v>0</v>
      </c>
      <c r="S32" s="637">
        <f t="shared" si="32"/>
        <v>0</v>
      </c>
      <c r="T32" s="637">
        <f>T24*T31</f>
        <v>0</v>
      </c>
      <c r="U32" s="637">
        <f t="shared" si="32"/>
        <v>0</v>
      </c>
      <c r="V32" s="637">
        <f t="shared" si="32"/>
        <v>0</v>
      </c>
      <c r="W32" s="637">
        <f t="shared" si="32"/>
        <v>0</v>
      </c>
      <c r="X32" s="113"/>
      <c r="Y32" s="717"/>
      <c r="Z32" s="718"/>
      <c r="AA32" s="637">
        <f t="shared" ref="AA32:AI32" si="33">AA24*AA31</f>
        <v>0</v>
      </c>
      <c r="AB32" s="637">
        <f t="shared" si="33"/>
        <v>0</v>
      </c>
      <c r="AC32" s="637">
        <f t="shared" si="33"/>
        <v>0</v>
      </c>
      <c r="AD32" s="637">
        <f t="shared" si="33"/>
        <v>0</v>
      </c>
      <c r="AE32" s="637">
        <f t="shared" si="33"/>
        <v>0</v>
      </c>
      <c r="AF32" s="637">
        <f t="shared" si="33"/>
        <v>0</v>
      </c>
      <c r="AG32" s="637">
        <f t="shared" si="33"/>
        <v>0</v>
      </c>
      <c r="AH32" s="637">
        <f t="shared" si="33"/>
        <v>0</v>
      </c>
      <c r="AI32" s="637">
        <f t="shared" si="33"/>
        <v>0</v>
      </c>
      <c r="AJ32" s="113"/>
      <c r="AK32" s="717"/>
      <c r="AL32" s="718"/>
      <c r="AM32" s="637">
        <f t="shared" ref="AM32:AU32" si="34">AM24*AM31</f>
        <v>0</v>
      </c>
      <c r="AN32" s="637">
        <f t="shared" si="34"/>
        <v>0</v>
      </c>
      <c r="AO32" s="637">
        <f t="shared" si="34"/>
        <v>0</v>
      </c>
      <c r="AP32" s="637">
        <f t="shared" si="34"/>
        <v>0</v>
      </c>
      <c r="AQ32" s="637">
        <f t="shared" si="34"/>
        <v>0</v>
      </c>
      <c r="AR32" s="637">
        <f t="shared" si="34"/>
        <v>0</v>
      </c>
      <c r="AS32" s="637">
        <f t="shared" si="34"/>
        <v>0</v>
      </c>
      <c r="AT32" s="637">
        <f t="shared" si="34"/>
        <v>0</v>
      </c>
      <c r="AU32" s="637">
        <f t="shared" si="34"/>
        <v>0</v>
      </c>
      <c r="AV32" s="113"/>
      <c r="AW32" s="717"/>
      <c r="AX32" s="718"/>
      <c r="AY32" s="637">
        <f t="shared" ref="AY32:BG32" si="35">AY24*AY31</f>
        <v>0</v>
      </c>
      <c r="AZ32" s="637">
        <f t="shared" si="35"/>
        <v>0</v>
      </c>
      <c r="BA32" s="637">
        <f t="shared" si="35"/>
        <v>0</v>
      </c>
      <c r="BB32" s="637">
        <f t="shared" si="35"/>
        <v>0</v>
      </c>
      <c r="BC32" s="637">
        <f t="shared" si="35"/>
        <v>0</v>
      </c>
      <c r="BD32" s="637">
        <f t="shared" si="35"/>
        <v>0</v>
      </c>
      <c r="BE32" s="637">
        <f t="shared" si="35"/>
        <v>0</v>
      </c>
      <c r="BF32" s="637">
        <f t="shared" si="35"/>
        <v>0</v>
      </c>
      <c r="BG32" s="637">
        <f t="shared" si="35"/>
        <v>0</v>
      </c>
      <c r="BH32" s="214"/>
    </row>
    <row r="33" spans="1:60" x14ac:dyDescent="0.2">
      <c r="A33" s="653"/>
      <c r="B33" s="739" t="s">
        <v>120</v>
      </c>
      <c r="C33" s="656" t="s">
        <v>113</v>
      </c>
      <c r="D33" s="747"/>
      <c r="E33" s="317"/>
      <c r="F33" s="220" t="s">
        <v>137</v>
      </c>
      <c r="G33" s="220"/>
      <c r="H33" s="221" t="s">
        <v>136</v>
      </c>
      <c r="I33" s="111"/>
      <c r="J33" s="227"/>
      <c r="K33" s="817"/>
      <c r="L33" s="817"/>
      <c r="M33" s="227"/>
      <c r="N33" s="112"/>
      <c r="O33" s="453">
        <f>SUMPRODUCT($N24:$X24,$N31:$X31)</f>
        <v>0</v>
      </c>
      <c r="P33" s="453">
        <f t="shared" ref="P33:W33" si="36">SUMPRODUCT($N24:$X24,$N31:$X31)</f>
        <v>0</v>
      </c>
      <c r="Q33" s="453">
        <f t="shared" si="36"/>
        <v>0</v>
      </c>
      <c r="R33" s="453">
        <f t="shared" si="36"/>
        <v>0</v>
      </c>
      <c r="S33" s="453">
        <f t="shared" si="36"/>
        <v>0</v>
      </c>
      <c r="T33" s="453">
        <f t="shared" si="36"/>
        <v>0</v>
      </c>
      <c r="U33" s="453">
        <f t="shared" si="36"/>
        <v>0</v>
      </c>
      <c r="V33" s="453">
        <f t="shared" si="36"/>
        <v>0</v>
      </c>
      <c r="W33" s="453">
        <f t="shared" si="36"/>
        <v>0</v>
      </c>
      <c r="X33" s="113"/>
      <c r="Y33" s="227"/>
      <c r="Z33" s="112"/>
      <c r="AA33" s="453">
        <f t="shared" ref="AA33:AI33" si="37">SUMPRODUCT($Z$24:$AJ$24,$Z$31:$AJ$31)</f>
        <v>0</v>
      </c>
      <c r="AB33" s="453">
        <f t="shared" si="37"/>
        <v>0</v>
      </c>
      <c r="AC33" s="453">
        <f t="shared" si="37"/>
        <v>0</v>
      </c>
      <c r="AD33" s="453">
        <f t="shared" si="37"/>
        <v>0</v>
      </c>
      <c r="AE33" s="453">
        <f t="shared" si="37"/>
        <v>0</v>
      </c>
      <c r="AF33" s="453">
        <f t="shared" si="37"/>
        <v>0</v>
      </c>
      <c r="AG33" s="453">
        <f t="shared" si="37"/>
        <v>0</v>
      </c>
      <c r="AH33" s="453">
        <f t="shared" si="37"/>
        <v>0</v>
      </c>
      <c r="AI33" s="453">
        <f t="shared" si="37"/>
        <v>0</v>
      </c>
      <c r="AJ33" s="113"/>
      <c r="AK33" s="227"/>
      <c r="AL33" s="112"/>
      <c r="AM33" s="453">
        <f>SUMPRODUCT($AL$24:$AV$24,$AL$31:$AV$31)</f>
        <v>0</v>
      </c>
      <c r="AN33" s="453">
        <f t="shared" ref="AN33:AU33" si="38">SUMPRODUCT($AL$24:$AV$24,$AL$31:$AV$31)</f>
        <v>0</v>
      </c>
      <c r="AO33" s="453">
        <f t="shared" si="38"/>
        <v>0</v>
      </c>
      <c r="AP33" s="453">
        <f t="shared" si="38"/>
        <v>0</v>
      </c>
      <c r="AQ33" s="453">
        <f t="shared" si="38"/>
        <v>0</v>
      </c>
      <c r="AR33" s="453">
        <f t="shared" si="38"/>
        <v>0</v>
      </c>
      <c r="AS33" s="453">
        <f t="shared" si="38"/>
        <v>0</v>
      </c>
      <c r="AT33" s="453">
        <f t="shared" si="38"/>
        <v>0</v>
      </c>
      <c r="AU33" s="453">
        <f t="shared" si="38"/>
        <v>0</v>
      </c>
      <c r="AV33" s="113"/>
      <c r="AW33" s="227"/>
      <c r="AX33" s="112"/>
      <c r="AY33" s="453">
        <f>SUMPRODUCT($AX$24:$BH$24,$AX$31:$BH$31)</f>
        <v>0</v>
      </c>
      <c r="AZ33" s="453">
        <f t="shared" ref="AZ33:BG33" si="39">SUMPRODUCT($AX$24:$BH$24,$AX$31:$BH$31)</f>
        <v>0</v>
      </c>
      <c r="BA33" s="453">
        <f t="shared" si="39"/>
        <v>0</v>
      </c>
      <c r="BB33" s="453">
        <f t="shared" si="39"/>
        <v>0</v>
      </c>
      <c r="BC33" s="453">
        <f t="shared" si="39"/>
        <v>0</v>
      </c>
      <c r="BD33" s="453">
        <f t="shared" si="39"/>
        <v>0</v>
      </c>
      <c r="BE33" s="453">
        <f t="shared" si="39"/>
        <v>0</v>
      </c>
      <c r="BF33" s="453">
        <f t="shared" si="39"/>
        <v>0</v>
      </c>
      <c r="BG33" s="453">
        <f t="shared" si="39"/>
        <v>0</v>
      </c>
      <c r="BH33" s="214"/>
    </row>
    <row r="34" spans="1:60" x14ac:dyDescent="0.2">
      <c r="A34" s="653"/>
      <c r="B34" s="739" t="s">
        <v>120</v>
      </c>
      <c r="C34" s="656" t="s">
        <v>113</v>
      </c>
      <c r="D34" s="747"/>
      <c r="E34" s="220" t="s">
        <v>138</v>
      </c>
      <c r="F34" s="220"/>
      <c r="G34" s="220"/>
      <c r="H34" s="221" t="s">
        <v>139</v>
      </c>
      <c r="I34" s="90"/>
      <c r="J34" s="227"/>
      <c r="K34" s="294"/>
      <c r="L34" s="294"/>
      <c r="M34" s="227"/>
      <c r="N34" s="100"/>
      <c r="O34" s="184" t="str">
        <f>IF(O$19="","",HLOOKUP(O$19,woningen_gebouwen_gegevens,ROWS(bibliotheek!$E$13:$E$26),FALSE))</f>
        <v/>
      </c>
      <c r="P34" s="184" t="str">
        <f>IF(P$19="","",HLOOKUP(P$19,woningen_gebouwen_gegevens,ROWS(bibliotheek!$E$13:$E$26),FALSE))</f>
        <v/>
      </c>
      <c r="Q34" s="184" t="str">
        <f>IF(Q$19="","",HLOOKUP(Q$19,woningen_gebouwen_gegevens,ROWS(bibliotheek!$E$13:$E$26),FALSE))</f>
        <v/>
      </c>
      <c r="R34" s="184" t="str">
        <f>IF(R$19="","",HLOOKUP(R$19,woningen_gebouwen_gegevens,ROWS(bibliotheek!$E$13:$E$26),FALSE))</f>
        <v/>
      </c>
      <c r="S34" s="184" t="str">
        <f>IF(S$19="","",HLOOKUP(S$19,woningen_gebouwen_gegevens,ROWS(bibliotheek!$E$13:$E$26),FALSE))</f>
        <v/>
      </c>
      <c r="T34" s="184" t="str">
        <f>IF(T$19="","",HLOOKUP(T$19,woningen_gebouwen_gegevens,ROWS(bibliotheek!$E$13:$E$26),FALSE))</f>
        <v/>
      </c>
      <c r="U34" s="184" t="str">
        <f>IF(U$19="","",HLOOKUP(U$19,woningen_gebouwen_gegevens,ROWS(bibliotheek!$E$13:$E$26),FALSE))</f>
        <v/>
      </c>
      <c r="V34" s="184" t="str">
        <f>IF(V$19="","",HLOOKUP(V$19,woningen_gebouwen_gegevens,ROWS(bibliotheek!$E$13:$E$26),FALSE))</f>
        <v/>
      </c>
      <c r="W34" s="184" t="str">
        <f>IF(W$19="","",HLOOKUP(W$19,woningen_gebouwen_gegevens,ROWS(bibliotheek!$E$13:$E$26),FALSE))</f>
        <v/>
      </c>
      <c r="X34" s="110"/>
      <c r="Y34" s="227"/>
      <c r="Z34" s="100"/>
      <c r="AA34" s="184" t="str">
        <f>IF(AA$19="","",HLOOKUP(AA$19,woningen_gebouwen_gegevens,ROWS(bibliotheek!$E$13:$E$26),FALSE))</f>
        <v/>
      </c>
      <c r="AB34" s="184" t="str">
        <f>IF(AB$19="","",HLOOKUP(AB$19,woningen_gebouwen_gegevens,ROWS(bibliotheek!$E$13:$E$26),FALSE))</f>
        <v/>
      </c>
      <c r="AC34" s="184" t="str">
        <f>IF(AC$19="","",HLOOKUP(AC$19,woningen_gebouwen_gegevens,ROWS(bibliotheek!$E$13:$E$26),FALSE))</f>
        <v/>
      </c>
      <c r="AD34" s="184" t="str">
        <f>IF(AD$19="","",HLOOKUP(AD$19,woningen_gebouwen_gegevens,ROWS(bibliotheek!$E$13:$E$26),FALSE))</f>
        <v/>
      </c>
      <c r="AE34" s="184" t="str">
        <f>IF(AE$19="","",HLOOKUP(AE$19,woningen_gebouwen_gegevens,ROWS(bibliotheek!$E$13:$E$26),FALSE))</f>
        <v/>
      </c>
      <c r="AF34" s="184" t="str">
        <f>IF(AF$19="","",HLOOKUP(AF$19,woningen_gebouwen_gegevens,ROWS(bibliotheek!$E$13:$E$26),FALSE))</f>
        <v/>
      </c>
      <c r="AG34" s="184" t="str">
        <f>IF(AG$19="","",HLOOKUP(AG$19,woningen_gebouwen_gegevens,ROWS(bibliotheek!$E$13:$E$26),FALSE))</f>
        <v/>
      </c>
      <c r="AH34" s="184" t="str">
        <f>IF(AH$19="","",HLOOKUP(AH$19,woningen_gebouwen_gegevens,ROWS(bibliotheek!$E$13:$E$26),FALSE))</f>
        <v/>
      </c>
      <c r="AI34" s="184" t="str">
        <f>IF(AI$19="","",HLOOKUP(AI$19,woningen_gebouwen_gegevens,ROWS(bibliotheek!$E$13:$E$26),FALSE))</f>
        <v/>
      </c>
      <c r="AJ34" s="110"/>
      <c r="AK34" s="227"/>
      <c r="AL34" s="100"/>
      <c r="AM34" s="184" t="str">
        <f>IF(AM$19="","",HLOOKUP(AM$19,woningen_gebouwen_gegevens,ROWS(bibliotheek!$E$13:$E$26),FALSE))</f>
        <v/>
      </c>
      <c r="AN34" s="184" t="str">
        <f>IF(AN$19="","",HLOOKUP(AN$19,woningen_gebouwen_gegevens,ROWS(bibliotheek!$E$13:$E$26),FALSE))</f>
        <v/>
      </c>
      <c r="AO34" s="184" t="str">
        <f>IF(AO$19="","",HLOOKUP(AO$19,woningen_gebouwen_gegevens,ROWS(bibliotheek!$E$13:$E$26),FALSE))</f>
        <v/>
      </c>
      <c r="AP34" s="184" t="str">
        <f>IF(AP$19="","",HLOOKUP(AP$19,woningen_gebouwen_gegevens,ROWS(bibliotheek!$E$13:$E$26),FALSE))</f>
        <v/>
      </c>
      <c r="AQ34" s="184" t="str">
        <f>IF(AQ$19="","",HLOOKUP(AQ$19,woningen_gebouwen_gegevens,ROWS(bibliotheek!$E$13:$E$26),FALSE))</f>
        <v/>
      </c>
      <c r="AR34" s="184" t="str">
        <f>IF(AR$19="","",HLOOKUP(AR$19,woningen_gebouwen_gegevens,ROWS(bibliotheek!$E$13:$E$26),FALSE))</f>
        <v/>
      </c>
      <c r="AS34" s="184" t="str">
        <f>IF(AS$19="","",HLOOKUP(AS$19,woningen_gebouwen_gegevens,ROWS(bibliotheek!$E$13:$E$26),FALSE))</f>
        <v/>
      </c>
      <c r="AT34" s="184" t="str">
        <f>IF(AT$19="","",HLOOKUP(AT$19,woningen_gebouwen_gegevens,ROWS(bibliotheek!$E$13:$E$26),FALSE))</f>
        <v/>
      </c>
      <c r="AU34" s="184" t="str">
        <f>IF(AU$19="","",HLOOKUP(AU$19,woningen_gebouwen_gegevens,ROWS(bibliotheek!$E$13:$E$26),FALSE))</f>
        <v/>
      </c>
      <c r="AV34" s="110"/>
      <c r="AW34" s="227"/>
      <c r="AX34" s="100"/>
      <c r="AY34" s="184" t="str">
        <f>IF(AY$19="","",HLOOKUP(AY$19,woningen_gebouwen_gegevens,ROWS(bibliotheek!$E$13:$E$26),FALSE))</f>
        <v/>
      </c>
      <c r="AZ34" s="184" t="str">
        <f>IF(AZ$19="","",HLOOKUP(AZ$19,woningen_gebouwen_gegevens,ROWS(bibliotheek!$E$13:$E$26),FALSE))</f>
        <v/>
      </c>
      <c r="BA34" s="184" t="str">
        <f>IF(BA$19="","",HLOOKUP(BA$19,woningen_gebouwen_gegevens,ROWS(bibliotheek!$E$13:$E$26),FALSE))</f>
        <v/>
      </c>
      <c r="BB34" s="184" t="str">
        <f>IF(BB$19="","",HLOOKUP(BB$19,woningen_gebouwen_gegevens,ROWS(bibliotheek!$E$13:$E$26),FALSE))</f>
        <v/>
      </c>
      <c r="BC34" s="184" t="str">
        <f>IF(BC$19="","",HLOOKUP(BC$19,woningen_gebouwen_gegevens,ROWS(bibliotheek!$E$13:$E$26),FALSE))</f>
        <v/>
      </c>
      <c r="BD34" s="184" t="str">
        <f>IF(BD$19="","",HLOOKUP(BD$19,woningen_gebouwen_gegevens,ROWS(bibliotheek!$E$13:$E$26),FALSE))</f>
        <v/>
      </c>
      <c r="BE34" s="184" t="str">
        <f>IF(BE$19="","",HLOOKUP(BE$19,woningen_gebouwen_gegevens,ROWS(bibliotheek!$E$13:$E$26),FALSE))</f>
        <v/>
      </c>
      <c r="BF34" s="184" t="str">
        <f>IF(BF$19="","",HLOOKUP(BF$19,woningen_gebouwen_gegevens,ROWS(bibliotheek!$E$13:$E$26),FALSE))</f>
        <v/>
      </c>
      <c r="BG34" s="184" t="str">
        <f>IF(BG$19="","",HLOOKUP(BG$19,woningen_gebouwen_gegevens,ROWS(bibliotheek!$E$13:$E$26),FALSE))</f>
        <v/>
      </c>
      <c r="BH34" s="214"/>
    </row>
    <row r="35" spans="1:60" x14ac:dyDescent="0.2">
      <c r="A35" s="653"/>
      <c r="B35" s="739" t="s">
        <v>120</v>
      </c>
      <c r="C35" s="656" t="s">
        <v>113</v>
      </c>
      <c r="D35" s="747"/>
      <c r="E35" s="220" t="s">
        <v>140</v>
      </c>
      <c r="F35" s="220"/>
      <c r="G35" s="220"/>
      <c r="H35" s="221" t="s">
        <v>139</v>
      </c>
      <c r="I35" s="90"/>
      <c r="J35" s="227"/>
      <c r="K35" s="294"/>
      <c r="L35" s="294"/>
      <c r="M35" s="227"/>
      <c r="N35" s="100"/>
      <c r="O35" s="184" t="str">
        <f>IF(O$19="","",HLOOKUP(O$19,woningen_gebouwen_gegevens,ROWS(bibliotheek!$E$13:$E$27),FALSE))</f>
        <v/>
      </c>
      <c r="P35" s="184" t="str">
        <f>IF(P$19="","",HLOOKUP(P$19,woningen_gebouwen_gegevens,ROWS(bibliotheek!$E$13:$E$27),FALSE))</f>
        <v/>
      </c>
      <c r="Q35" s="184" t="str">
        <f>IF(Q$19="","",HLOOKUP(Q$19,woningen_gebouwen_gegevens,ROWS(bibliotheek!$E$13:$E$27),FALSE))</f>
        <v/>
      </c>
      <c r="R35" s="184" t="str">
        <f>IF(R$19="","",HLOOKUP(R$19,woningen_gebouwen_gegevens,ROWS(bibliotheek!$E$13:$E$27),FALSE))</f>
        <v/>
      </c>
      <c r="S35" s="184" t="str">
        <f>IF(S$19="","",HLOOKUP(S$19,woningen_gebouwen_gegevens,ROWS(bibliotheek!$E$13:$E$27),FALSE))</f>
        <v/>
      </c>
      <c r="T35" s="184" t="str">
        <f>IF(T$19="","",HLOOKUP(T$19,woningen_gebouwen_gegevens,ROWS(bibliotheek!$E$13:$E$27),FALSE))</f>
        <v/>
      </c>
      <c r="U35" s="184" t="str">
        <f>IF(U$19="","",HLOOKUP(U$19,woningen_gebouwen_gegevens,ROWS(bibliotheek!$E$13:$E$27),FALSE))</f>
        <v/>
      </c>
      <c r="V35" s="184" t="str">
        <f>IF(V$19="","",HLOOKUP(V$19,woningen_gebouwen_gegevens,ROWS(bibliotheek!$E$13:$E$27),FALSE))</f>
        <v/>
      </c>
      <c r="W35" s="184" t="str">
        <f>IF(W$19="","",HLOOKUP(W$19,woningen_gebouwen_gegevens,ROWS(bibliotheek!$E$13:$E$27),FALSE))</f>
        <v/>
      </c>
      <c r="X35" s="110"/>
      <c r="Y35" s="227"/>
      <c r="Z35" s="100"/>
      <c r="AA35" s="184" t="str">
        <f>IF(AA$19="","",HLOOKUP(AA$19,woningen_gebouwen_gegevens,ROWS(bibliotheek!$E$13:$E$27),FALSE))</f>
        <v/>
      </c>
      <c r="AB35" s="184" t="str">
        <f>IF(AB$19="","",HLOOKUP(AB$19,woningen_gebouwen_gegevens,ROWS(bibliotheek!$E$13:$E$27),FALSE))</f>
        <v/>
      </c>
      <c r="AC35" s="184" t="str">
        <f>IF(AC$19="","",HLOOKUP(AC$19,woningen_gebouwen_gegevens,ROWS(bibliotheek!$E$13:$E$27),FALSE))</f>
        <v/>
      </c>
      <c r="AD35" s="184" t="str">
        <f>IF(AD$19="","",HLOOKUP(AD$19,woningen_gebouwen_gegevens,ROWS(bibliotheek!$E$13:$E$27),FALSE))</f>
        <v/>
      </c>
      <c r="AE35" s="184" t="str">
        <f>IF(AE$19="","",HLOOKUP(AE$19,woningen_gebouwen_gegevens,ROWS(bibliotheek!$E$13:$E$27),FALSE))</f>
        <v/>
      </c>
      <c r="AF35" s="184" t="str">
        <f>IF(AF$19="","",HLOOKUP(AF$19,woningen_gebouwen_gegevens,ROWS(bibliotheek!$E$13:$E$27),FALSE))</f>
        <v/>
      </c>
      <c r="AG35" s="184" t="str">
        <f>IF(AG$19="","",HLOOKUP(AG$19,woningen_gebouwen_gegevens,ROWS(bibliotheek!$E$13:$E$27),FALSE))</f>
        <v/>
      </c>
      <c r="AH35" s="184" t="str">
        <f>IF(AH$19="","",HLOOKUP(AH$19,woningen_gebouwen_gegevens,ROWS(bibliotheek!$E$13:$E$27),FALSE))</f>
        <v/>
      </c>
      <c r="AI35" s="184" t="str">
        <f>IF(AI$19="","",HLOOKUP(AI$19,woningen_gebouwen_gegevens,ROWS(bibliotheek!$E$13:$E$27),FALSE))</f>
        <v/>
      </c>
      <c r="AJ35" s="110"/>
      <c r="AK35" s="227"/>
      <c r="AL35" s="100"/>
      <c r="AM35" s="184" t="str">
        <f>IF(AM$19="","",HLOOKUP(AM$19,woningen_gebouwen_gegevens,ROWS(bibliotheek!$E$13:$E$27),FALSE))</f>
        <v/>
      </c>
      <c r="AN35" s="184" t="str">
        <f>IF(AN$19="","",HLOOKUP(AN$19,woningen_gebouwen_gegevens,ROWS(bibliotheek!$E$13:$E$27),FALSE))</f>
        <v/>
      </c>
      <c r="AO35" s="184" t="str">
        <f>IF(AO$19="","",HLOOKUP(AO$19,woningen_gebouwen_gegevens,ROWS(bibliotheek!$E$13:$E$27),FALSE))</f>
        <v/>
      </c>
      <c r="AP35" s="184" t="str">
        <f>IF(AP$19="","",HLOOKUP(AP$19,woningen_gebouwen_gegevens,ROWS(bibliotheek!$E$13:$E$27),FALSE))</f>
        <v/>
      </c>
      <c r="AQ35" s="184" t="str">
        <f>IF(AQ$19="","",HLOOKUP(AQ$19,woningen_gebouwen_gegevens,ROWS(bibliotheek!$E$13:$E$27),FALSE))</f>
        <v/>
      </c>
      <c r="AR35" s="184" t="str">
        <f>IF(AR$19="","",HLOOKUP(AR$19,woningen_gebouwen_gegevens,ROWS(bibliotheek!$E$13:$E$27),FALSE))</f>
        <v/>
      </c>
      <c r="AS35" s="184" t="str">
        <f>IF(AS$19="","",HLOOKUP(AS$19,woningen_gebouwen_gegevens,ROWS(bibliotheek!$E$13:$E$27),FALSE))</f>
        <v/>
      </c>
      <c r="AT35" s="184" t="str">
        <f>IF(AT$19="","",HLOOKUP(AT$19,woningen_gebouwen_gegevens,ROWS(bibliotheek!$E$13:$E$27),FALSE))</f>
        <v/>
      </c>
      <c r="AU35" s="184" t="str">
        <f>IF(AU$19="","",HLOOKUP(AU$19,woningen_gebouwen_gegevens,ROWS(bibliotheek!$E$13:$E$27),FALSE))</f>
        <v/>
      </c>
      <c r="AV35" s="110"/>
      <c r="AW35" s="227"/>
      <c r="AX35" s="100"/>
      <c r="AY35" s="184" t="str">
        <f>IF(AY$19="","",HLOOKUP(AY$19,woningen_gebouwen_gegevens,ROWS(bibliotheek!$E$13:$E$27),FALSE))</f>
        <v/>
      </c>
      <c r="AZ35" s="184" t="str">
        <f>IF(AZ$19="","",HLOOKUP(AZ$19,woningen_gebouwen_gegevens,ROWS(bibliotheek!$E$13:$E$27),FALSE))</f>
        <v/>
      </c>
      <c r="BA35" s="184" t="str">
        <f>IF(BA$19="","",HLOOKUP(BA$19,woningen_gebouwen_gegevens,ROWS(bibliotheek!$E$13:$E$27),FALSE))</f>
        <v/>
      </c>
      <c r="BB35" s="184" t="str">
        <f>IF(BB$19="","",HLOOKUP(BB$19,woningen_gebouwen_gegevens,ROWS(bibliotheek!$E$13:$E$27),FALSE))</f>
        <v/>
      </c>
      <c r="BC35" s="184" t="str">
        <f>IF(BC$19="","",HLOOKUP(BC$19,woningen_gebouwen_gegevens,ROWS(bibliotheek!$E$13:$E$27),FALSE))</f>
        <v/>
      </c>
      <c r="BD35" s="184" t="str">
        <f>IF(BD$19="","",HLOOKUP(BD$19,woningen_gebouwen_gegevens,ROWS(bibliotheek!$E$13:$E$27),FALSE))</f>
        <v/>
      </c>
      <c r="BE35" s="184" t="str">
        <f>IF(BE$19="","",HLOOKUP(BE$19,woningen_gebouwen_gegevens,ROWS(bibliotheek!$E$13:$E$27),FALSE))</f>
        <v/>
      </c>
      <c r="BF35" s="184" t="str">
        <f>IF(BF$19="","",HLOOKUP(BF$19,woningen_gebouwen_gegevens,ROWS(bibliotheek!$E$13:$E$27),FALSE))</f>
        <v/>
      </c>
      <c r="BG35" s="184" t="str">
        <f>IF(BG$19="","",HLOOKUP(BG$19,woningen_gebouwen_gegevens,ROWS(bibliotheek!$E$13:$E$27),FALSE))</f>
        <v/>
      </c>
      <c r="BH35" s="214"/>
    </row>
    <row r="36" spans="1:60" x14ac:dyDescent="0.2">
      <c r="A36" s="653"/>
      <c r="B36" s="739" t="s">
        <v>120</v>
      </c>
      <c r="C36" s="656" t="s">
        <v>113</v>
      </c>
      <c r="D36" s="747"/>
      <c r="E36" s="90"/>
      <c r="F36" s="90"/>
      <c r="G36" s="90"/>
      <c r="H36" s="96"/>
      <c r="I36" s="90"/>
      <c r="J36" s="93"/>
      <c r="K36" s="90"/>
      <c r="L36" s="90"/>
      <c r="M36" s="93"/>
      <c r="N36" s="93"/>
      <c r="O36" s="93"/>
      <c r="P36" s="93"/>
      <c r="Q36" s="93"/>
      <c r="R36" s="93"/>
      <c r="S36" s="93"/>
      <c r="T36" s="93"/>
      <c r="U36" s="93"/>
      <c r="V36" s="93"/>
      <c r="W36" s="93"/>
      <c r="X36" s="93"/>
      <c r="Y36" s="93"/>
      <c r="Z36" s="90"/>
      <c r="AA36" s="93"/>
      <c r="AB36" s="93"/>
      <c r="AC36" s="93"/>
      <c r="AD36" s="93"/>
      <c r="AE36" s="93"/>
      <c r="AF36" s="93"/>
      <c r="AG36" s="93"/>
      <c r="AH36" s="93"/>
      <c r="AI36" s="93"/>
      <c r="AJ36" s="93"/>
      <c r="AK36" s="93"/>
      <c r="AL36" s="90"/>
      <c r="AM36" s="93"/>
      <c r="AN36" s="93"/>
      <c r="AO36" s="93"/>
      <c r="AP36" s="93"/>
      <c r="AQ36" s="93"/>
      <c r="AR36" s="93"/>
      <c r="AS36" s="93"/>
      <c r="AT36" s="93"/>
      <c r="AU36" s="93"/>
      <c r="AV36" s="93"/>
      <c r="AW36" s="93"/>
      <c r="AX36" s="90"/>
      <c r="AY36" s="93"/>
      <c r="AZ36" s="93"/>
      <c r="BA36" s="93"/>
      <c r="BB36" s="93"/>
      <c r="BC36" s="93"/>
      <c r="BD36" s="93"/>
      <c r="BE36" s="93"/>
      <c r="BF36" s="93"/>
      <c r="BG36" s="93"/>
      <c r="BH36" s="1"/>
    </row>
    <row r="37" spans="1:60" x14ac:dyDescent="0.2">
      <c r="A37" s="653"/>
      <c r="B37" s="492" t="s">
        <v>141</v>
      </c>
      <c r="C37" s="656" t="s">
        <v>104</v>
      </c>
      <c r="D37" s="747"/>
      <c r="E37" s="90"/>
      <c r="F37" s="90"/>
      <c r="G37" s="90"/>
      <c r="H37" s="96"/>
      <c r="I37" s="90"/>
      <c r="J37" s="93"/>
      <c r="K37" s="90"/>
      <c r="L37" s="90"/>
      <c r="M37" s="93"/>
      <c r="N37" s="93"/>
      <c r="O37" s="93"/>
      <c r="P37" s="93"/>
      <c r="Q37" s="93"/>
      <c r="R37" s="93"/>
      <c r="S37" s="93"/>
      <c r="T37" s="93"/>
      <c r="U37" s="93"/>
      <c r="V37" s="93"/>
      <c r="W37" s="93"/>
      <c r="X37" s="93"/>
      <c r="Y37" s="93"/>
      <c r="Z37" s="90"/>
      <c r="AA37" s="93"/>
      <c r="AB37" s="93"/>
      <c r="AC37" s="93"/>
      <c r="AD37" s="93"/>
      <c r="AE37" s="93"/>
      <c r="AF37" s="93"/>
      <c r="AG37" s="93"/>
      <c r="AH37" s="93"/>
      <c r="AI37" s="93"/>
      <c r="AJ37" s="93"/>
      <c r="AK37" s="93"/>
      <c r="AL37" s="90"/>
      <c r="AM37" s="93"/>
      <c r="AN37" s="93"/>
      <c r="AO37" s="93"/>
      <c r="AP37" s="93"/>
      <c r="AQ37" s="93"/>
      <c r="AR37" s="93"/>
      <c r="AS37" s="93"/>
      <c r="AT37" s="93"/>
      <c r="AU37" s="93"/>
      <c r="AV37" s="93"/>
      <c r="AW37" s="93"/>
      <c r="AX37" s="90"/>
      <c r="AY37" s="93"/>
      <c r="AZ37" s="93"/>
      <c r="BA37" s="93"/>
      <c r="BB37" s="93"/>
      <c r="BC37" s="93"/>
      <c r="BD37" s="93"/>
      <c r="BE37" s="93"/>
      <c r="BF37" s="93"/>
      <c r="BG37" s="93"/>
      <c r="BH37" s="1"/>
    </row>
    <row r="38" spans="1:60" s="2" customFormat="1" ht="21" x14ac:dyDescent="0.2">
      <c r="A38" s="654"/>
      <c r="B38" s="492" t="s">
        <v>141</v>
      </c>
      <c r="C38" s="739" t="s">
        <v>104</v>
      </c>
      <c r="D38" s="749"/>
      <c r="E38" s="253" t="s">
        <v>142</v>
      </c>
      <c r="F38" s="253"/>
      <c r="G38" s="253"/>
      <c r="H38" s="253"/>
      <c r="I38" s="146"/>
      <c r="J38" s="318"/>
      <c r="K38" s="142"/>
      <c r="L38" s="142"/>
      <c r="M38" s="319" t="str">
        <f>M$10</f>
        <v>totaal</v>
      </c>
      <c r="N38" s="234"/>
      <c r="O38" s="320" t="str">
        <f t="shared" ref="O38:W38" si="40">O$17</f>
        <v/>
      </c>
      <c r="P38" s="320" t="str">
        <f t="shared" si="40"/>
        <v/>
      </c>
      <c r="Q38" s="320" t="str">
        <f t="shared" si="40"/>
        <v/>
      </c>
      <c r="R38" s="320" t="str">
        <f t="shared" si="40"/>
        <v/>
      </c>
      <c r="S38" s="320" t="str">
        <f t="shared" si="40"/>
        <v/>
      </c>
      <c r="T38" s="320" t="str">
        <f t="shared" si="40"/>
        <v/>
      </c>
      <c r="U38" s="320" t="str">
        <f t="shared" si="40"/>
        <v/>
      </c>
      <c r="V38" s="320" t="str">
        <f t="shared" si="40"/>
        <v/>
      </c>
      <c r="W38" s="320" t="str">
        <f t="shared" si="40"/>
        <v/>
      </c>
      <c r="X38" s="214"/>
      <c r="Y38" s="319" t="str">
        <f>Y$10</f>
        <v>totaal</v>
      </c>
      <c r="Z38" s="234"/>
      <c r="AA38" s="320" t="str">
        <f t="shared" ref="AA38:AI38" si="41">AA$17</f>
        <v/>
      </c>
      <c r="AB38" s="320" t="str">
        <f t="shared" si="41"/>
        <v/>
      </c>
      <c r="AC38" s="320" t="str">
        <f t="shared" si="41"/>
        <v/>
      </c>
      <c r="AD38" s="320" t="str">
        <f t="shared" si="41"/>
        <v/>
      </c>
      <c r="AE38" s="320" t="str">
        <f t="shared" si="41"/>
        <v/>
      </c>
      <c r="AF38" s="320" t="str">
        <f t="shared" si="41"/>
        <v/>
      </c>
      <c r="AG38" s="320" t="str">
        <f t="shared" si="41"/>
        <v/>
      </c>
      <c r="AH38" s="320" t="str">
        <f t="shared" si="41"/>
        <v/>
      </c>
      <c r="AI38" s="320" t="str">
        <f t="shared" si="41"/>
        <v/>
      </c>
      <c r="AJ38" s="214"/>
      <c r="AK38" s="319" t="str">
        <f>AK$10</f>
        <v>totaal</v>
      </c>
      <c r="AL38" s="234"/>
      <c r="AM38" s="320" t="str">
        <f>AM$17</f>
        <v/>
      </c>
      <c r="AN38" s="320" t="str">
        <f t="shared" ref="AN38:AU38" si="42">AN$17</f>
        <v/>
      </c>
      <c r="AO38" s="320" t="str">
        <f t="shared" si="42"/>
        <v/>
      </c>
      <c r="AP38" s="320" t="str">
        <f t="shared" si="42"/>
        <v/>
      </c>
      <c r="AQ38" s="320" t="str">
        <f t="shared" si="42"/>
        <v/>
      </c>
      <c r="AR38" s="320" t="str">
        <f t="shared" si="42"/>
        <v/>
      </c>
      <c r="AS38" s="320" t="str">
        <f t="shared" si="42"/>
        <v/>
      </c>
      <c r="AT38" s="320" t="str">
        <f t="shared" si="42"/>
        <v/>
      </c>
      <c r="AU38" s="320" t="str">
        <f t="shared" si="42"/>
        <v/>
      </c>
      <c r="AV38" s="214"/>
      <c r="AW38" s="319" t="str">
        <f>AW$10</f>
        <v>totaal</v>
      </c>
      <c r="AX38" s="234"/>
      <c r="AY38" s="320" t="str">
        <f>AY$17</f>
        <v/>
      </c>
      <c r="AZ38" s="320" t="str">
        <f t="shared" ref="AZ38:BG38" si="43">AZ$17</f>
        <v/>
      </c>
      <c r="BA38" s="320" t="str">
        <f t="shared" si="43"/>
        <v/>
      </c>
      <c r="BB38" s="320" t="str">
        <f t="shared" si="43"/>
        <v/>
      </c>
      <c r="BC38" s="320" t="str">
        <f t="shared" si="43"/>
        <v/>
      </c>
      <c r="BD38" s="320" t="str">
        <f t="shared" si="43"/>
        <v/>
      </c>
      <c r="BE38" s="320" t="str">
        <f t="shared" si="43"/>
        <v/>
      </c>
      <c r="BF38" s="320" t="str">
        <f t="shared" si="43"/>
        <v/>
      </c>
      <c r="BG38" s="320" t="str">
        <f t="shared" si="43"/>
        <v/>
      </c>
      <c r="BH38" s="1"/>
    </row>
    <row r="39" spans="1:60" ht="18.75" x14ac:dyDescent="0.2">
      <c r="A39" s="653"/>
      <c r="B39" s="492" t="s">
        <v>141</v>
      </c>
      <c r="C39" s="656" t="s">
        <v>127</v>
      </c>
      <c r="D39" s="747"/>
      <c r="E39" s="236" t="s">
        <v>143</v>
      </c>
      <c r="F39" s="236"/>
      <c r="G39" s="236"/>
      <c r="H39" s="89"/>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38"/>
    </row>
    <row r="40" spans="1:60" x14ac:dyDescent="0.2">
      <c r="A40" s="653"/>
      <c r="B40" s="492" t="s">
        <v>141</v>
      </c>
      <c r="C40" s="739" t="s">
        <v>127</v>
      </c>
      <c r="D40" s="750" t="s">
        <v>50</v>
      </c>
      <c r="E40" s="713" t="s">
        <v>144</v>
      </c>
      <c r="F40" s="713"/>
      <c r="G40" s="713"/>
      <c r="H40" s="183" t="s">
        <v>70</v>
      </c>
      <c r="I40" s="210"/>
      <c r="J40" s="711"/>
      <c r="K40" s="90"/>
      <c r="L40" s="90"/>
      <c r="M40" s="224"/>
      <c r="N40" s="236"/>
      <c r="O40" s="184" t="str">
        <f t="shared" ref="O40:W40" si="44">IF(O$19="","",IF(AND(O41&lt;&gt;"",
ISERROR(MATCH(O41,isolatiepakketten_gebouwschil_namen,0))=FALSE),O41,
INDEX(referentiepakketten_bij_gebouwen,MATCH(O$19,woningen_gebouwen_namen,0))))</f>
        <v/>
      </c>
      <c r="P40" s="184" t="str">
        <f t="shared" si="44"/>
        <v/>
      </c>
      <c r="Q40" s="184" t="str">
        <f t="shared" si="44"/>
        <v/>
      </c>
      <c r="R40" s="184" t="str">
        <f t="shared" si="44"/>
        <v/>
      </c>
      <c r="S40" s="184" t="str">
        <f t="shared" si="44"/>
        <v/>
      </c>
      <c r="T40" s="184" t="str">
        <f t="shared" si="44"/>
        <v/>
      </c>
      <c r="U40" s="184" t="str">
        <f t="shared" si="44"/>
        <v/>
      </c>
      <c r="V40" s="184" t="str">
        <f t="shared" si="44"/>
        <v/>
      </c>
      <c r="W40" s="184" t="str">
        <f t="shared" si="44"/>
        <v/>
      </c>
      <c r="X40" s="767"/>
      <c r="Y40" s="224"/>
      <c r="Z40" s="236"/>
      <c r="AA40" s="184" t="str">
        <f t="shared" ref="AA40:AI40" si="45">IF(AA$19="","",IF(AND(AA41&lt;&gt;"",
ISERROR(MATCH(AA41,isolatiepakketten_gebouwschil_namen,0))=FALSE),AA41,
INDEX(referentiepakketten_bij_gebouwen,MATCH(AA$19,woningen_gebouwen_namen,0))))</f>
        <v/>
      </c>
      <c r="AB40" s="184" t="str">
        <f t="shared" si="45"/>
        <v/>
      </c>
      <c r="AC40" s="184" t="str">
        <f t="shared" si="45"/>
        <v/>
      </c>
      <c r="AD40" s="184" t="str">
        <f t="shared" si="45"/>
        <v/>
      </c>
      <c r="AE40" s="184" t="str">
        <f t="shared" si="45"/>
        <v/>
      </c>
      <c r="AF40" s="184" t="str">
        <f t="shared" si="45"/>
        <v/>
      </c>
      <c r="AG40" s="184" t="str">
        <f t="shared" si="45"/>
        <v/>
      </c>
      <c r="AH40" s="184" t="str">
        <f t="shared" si="45"/>
        <v/>
      </c>
      <c r="AI40" s="184" t="str">
        <f t="shared" si="45"/>
        <v/>
      </c>
      <c r="AJ40" s="767"/>
      <c r="AK40" s="224"/>
      <c r="AL40" s="236"/>
      <c r="AM40" s="184" t="str">
        <f t="shared" ref="AM40:AU40" si="46">IF(AM$19="","",IF(AND(AM41&lt;&gt;"",
ISERROR(MATCH(AM41,isolatiepakketten_gebouwschil_namen,0))=FALSE),AM41,
INDEX(referentiepakketten_bij_gebouwen,MATCH(AM$19,woningen_gebouwen_namen,0))))</f>
        <v/>
      </c>
      <c r="AN40" s="184" t="str">
        <f t="shared" si="46"/>
        <v/>
      </c>
      <c r="AO40" s="184" t="str">
        <f t="shared" si="46"/>
        <v/>
      </c>
      <c r="AP40" s="184" t="str">
        <f t="shared" si="46"/>
        <v/>
      </c>
      <c r="AQ40" s="184" t="str">
        <f t="shared" si="46"/>
        <v/>
      </c>
      <c r="AR40" s="184" t="str">
        <f t="shared" si="46"/>
        <v/>
      </c>
      <c r="AS40" s="184" t="str">
        <f t="shared" si="46"/>
        <v/>
      </c>
      <c r="AT40" s="184" t="str">
        <f t="shared" si="46"/>
        <v/>
      </c>
      <c r="AU40" s="184" t="str">
        <f t="shared" si="46"/>
        <v/>
      </c>
      <c r="AV40" s="767"/>
      <c r="AW40" s="224"/>
      <c r="AX40" s="236"/>
      <c r="AY40" s="184" t="str">
        <f t="shared" ref="AY40:BG40" si="47">IF(AY$19="","",IF(AND(AY41&lt;&gt;"",
ISERROR(MATCH(AY41,isolatiepakketten_gebouwschil_namen,0))=FALSE),AY41,
INDEX(referentiepakketten_bij_gebouwen,MATCH(AY$19,woningen_gebouwen_namen,0))))</f>
        <v/>
      </c>
      <c r="AZ40" s="184" t="str">
        <f t="shared" si="47"/>
        <v/>
      </c>
      <c r="BA40" s="184" t="str">
        <f t="shared" si="47"/>
        <v/>
      </c>
      <c r="BB40" s="184" t="str">
        <f t="shared" si="47"/>
        <v/>
      </c>
      <c r="BC40" s="184" t="str">
        <f t="shared" si="47"/>
        <v/>
      </c>
      <c r="BD40" s="184" t="str">
        <f t="shared" si="47"/>
        <v/>
      </c>
      <c r="BE40" s="184" t="str">
        <f t="shared" si="47"/>
        <v/>
      </c>
      <c r="BF40" s="184" t="str">
        <f t="shared" si="47"/>
        <v/>
      </c>
      <c r="BG40" s="184" t="str">
        <f t="shared" si="47"/>
        <v/>
      </c>
      <c r="BH40" s="260"/>
    </row>
    <row r="41" spans="1:60" x14ac:dyDescent="0.2">
      <c r="A41" s="653"/>
      <c r="B41" s="492" t="s">
        <v>141</v>
      </c>
      <c r="C41" s="739" t="s">
        <v>127</v>
      </c>
      <c r="D41" s="747"/>
      <c r="E41" s="412" t="s">
        <v>1130</v>
      </c>
      <c r="F41" s="286"/>
      <c r="G41" s="286"/>
      <c r="H41" s="183" t="s">
        <v>70</v>
      </c>
      <c r="I41" s="210"/>
      <c r="J41" s="711"/>
      <c r="K41" s="90"/>
      <c r="L41" s="90"/>
      <c r="M41" s="224"/>
      <c r="N41" s="236"/>
      <c r="O41" s="1051"/>
      <c r="P41" s="1051"/>
      <c r="Q41" s="1051"/>
      <c r="R41" s="1051"/>
      <c r="S41" s="1051"/>
      <c r="T41" s="1051"/>
      <c r="U41" s="1051"/>
      <c r="V41" s="1051"/>
      <c r="W41" s="1051"/>
      <c r="X41" s="767"/>
      <c r="Y41" s="224"/>
      <c r="Z41" s="236"/>
      <c r="AA41" s="1051"/>
      <c r="AB41" s="1051"/>
      <c r="AC41" s="1051"/>
      <c r="AD41" s="1051"/>
      <c r="AE41" s="1051"/>
      <c r="AF41" s="1051"/>
      <c r="AG41" s="1051"/>
      <c r="AH41" s="1051"/>
      <c r="AI41" s="1051"/>
      <c r="AJ41" s="767"/>
      <c r="AK41" s="224"/>
      <c r="AL41" s="236"/>
      <c r="AM41" s="1051"/>
      <c r="AN41" s="1051"/>
      <c r="AO41" s="1051"/>
      <c r="AP41" s="1051"/>
      <c r="AQ41" s="1051"/>
      <c r="AR41" s="1051"/>
      <c r="AS41" s="1051"/>
      <c r="AT41" s="1051"/>
      <c r="AU41" s="1051"/>
      <c r="AV41" s="767"/>
      <c r="AW41" s="224"/>
      <c r="AX41" s="236"/>
      <c r="AY41" s="1051"/>
      <c r="AZ41" s="1051"/>
      <c r="BA41" s="1051"/>
      <c r="BB41" s="1051"/>
      <c r="BC41" s="1051"/>
      <c r="BD41" s="1051"/>
      <c r="BE41" s="1051"/>
      <c r="BF41" s="1051"/>
      <c r="BG41" s="1051"/>
      <c r="BH41" s="260"/>
    </row>
    <row r="42" spans="1:60" s="38" customFormat="1" ht="25.5" x14ac:dyDescent="0.2">
      <c r="A42" s="655"/>
      <c r="B42" s="492" t="s">
        <v>141</v>
      </c>
      <c r="C42" s="656" t="s">
        <v>127</v>
      </c>
      <c r="D42" s="751"/>
      <c r="E42" s="182" t="s">
        <v>145</v>
      </c>
      <c r="F42" s="182"/>
      <c r="G42" s="182"/>
      <c r="H42" s="183" t="s">
        <v>70</v>
      </c>
      <c r="I42" s="114"/>
      <c r="J42" s="711"/>
      <c r="K42" s="97"/>
      <c r="L42" s="97"/>
      <c r="M42" s="224"/>
      <c r="N42" s="99"/>
      <c r="O42" s="886" t="s">
        <v>146</v>
      </c>
      <c r="P42" s="886" t="s">
        <v>146</v>
      </c>
      <c r="Q42" s="886" t="s">
        <v>146</v>
      </c>
      <c r="R42" s="886" t="s">
        <v>146</v>
      </c>
      <c r="S42" s="886" t="s">
        <v>146</v>
      </c>
      <c r="T42" s="886" t="s">
        <v>146</v>
      </c>
      <c r="U42" s="886" t="s">
        <v>146</v>
      </c>
      <c r="V42" s="886" t="s">
        <v>146</v>
      </c>
      <c r="W42" s="886" t="s">
        <v>146</v>
      </c>
      <c r="X42" s="768"/>
      <c r="Y42" s="224"/>
      <c r="Z42" s="769"/>
      <c r="AA42" s="886" t="s">
        <v>146</v>
      </c>
      <c r="AB42" s="886" t="s">
        <v>146</v>
      </c>
      <c r="AC42" s="886" t="s">
        <v>146</v>
      </c>
      <c r="AD42" s="886" t="s">
        <v>146</v>
      </c>
      <c r="AE42" s="886" t="s">
        <v>146</v>
      </c>
      <c r="AF42" s="886" t="s">
        <v>146</v>
      </c>
      <c r="AG42" s="886" t="s">
        <v>146</v>
      </c>
      <c r="AH42" s="886" t="s">
        <v>146</v>
      </c>
      <c r="AI42" s="886" t="s">
        <v>146</v>
      </c>
      <c r="AJ42" s="768"/>
      <c r="AK42" s="224"/>
      <c r="AL42" s="770"/>
      <c r="AM42" s="886" t="s">
        <v>146</v>
      </c>
      <c r="AN42" s="886" t="s">
        <v>146</v>
      </c>
      <c r="AO42" s="886" t="s">
        <v>146</v>
      </c>
      <c r="AP42" s="886" t="s">
        <v>146</v>
      </c>
      <c r="AQ42" s="886" t="s">
        <v>146</v>
      </c>
      <c r="AR42" s="886" t="s">
        <v>146</v>
      </c>
      <c r="AS42" s="886" t="s">
        <v>146</v>
      </c>
      <c r="AT42" s="886" t="s">
        <v>146</v>
      </c>
      <c r="AU42" s="886" t="s">
        <v>146</v>
      </c>
      <c r="AV42" s="768"/>
      <c r="AW42" s="224"/>
      <c r="AX42" s="770"/>
      <c r="AY42" s="886" t="s">
        <v>146</v>
      </c>
      <c r="AZ42" s="886" t="s">
        <v>146</v>
      </c>
      <c r="BA42" s="886" t="s">
        <v>146</v>
      </c>
      <c r="BB42" s="886" t="s">
        <v>146</v>
      </c>
      <c r="BC42" s="886" t="s">
        <v>146</v>
      </c>
      <c r="BD42" s="886" t="s">
        <v>146</v>
      </c>
      <c r="BE42" s="886" t="s">
        <v>146</v>
      </c>
      <c r="BF42" s="886" t="s">
        <v>146</v>
      </c>
      <c r="BG42" s="886" t="s">
        <v>146</v>
      </c>
      <c r="BH42" s="262"/>
    </row>
    <row r="43" spans="1:60" ht="25.5" x14ac:dyDescent="0.2">
      <c r="A43" s="655"/>
      <c r="B43" s="492" t="s">
        <v>141</v>
      </c>
      <c r="C43" s="739" t="s">
        <v>127</v>
      </c>
      <c r="D43" s="751"/>
      <c r="E43" s="182" t="s">
        <v>147</v>
      </c>
      <c r="F43" s="182"/>
      <c r="G43" s="182"/>
      <c r="H43" s="183" t="s">
        <v>70</v>
      </c>
      <c r="I43" s="114"/>
      <c r="J43" s="224"/>
      <c r="K43" s="97"/>
      <c r="L43" s="97"/>
      <c r="M43" s="224"/>
      <c r="N43" s="99"/>
      <c r="O43" s="886" t="s">
        <v>148</v>
      </c>
      <c r="P43" s="886" t="s">
        <v>148</v>
      </c>
      <c r="Q43" s="886" t="s">
        <v>148</v>
      </c>
      <c r="R43" s="886" t="s">
        <v>148</v>
      </c>
      <c r="S43" s="886" t="s">
        <v>148</v>
      </c>
      <c r="T43" s="886" t="s">
        <v>148</v>
      </c>
      <c r="U43" s="886" t="s">
        <v>148</v>
      </c>
      <c r="V43" s="886" t="s">
        <v>148</v>
      </c>
      <c r="W43" s="886" t="s">
        <v>148</v>
      </c>
      <c r="X43" s="768"/>
      <c r="Y43" s="224"/>
      <c r="Z43" s="236"/>
      <c r="AA43" s="886" t="s">
        <v>148</v>
      </c>
      <c r="AB43" s="886" t="s">
        <v>148</v>
      </c>
      <c r="AC43" s="886" t="s">
        <v>148</v>
      </c>
      <c r="AD43" s="886" t="s">
        <v>148</v>
      </c>
      <c r="AE43" s="886" t="s">
        <v>148</v>
      </c>
      <c r="AF43" s="886" t="s">
        <v>148</v>
      </c>
      <c r="AG43" s="886" t="s">
        <v>148</v>
      </c>
      <c r="AH43" s="886" t="s">
        <v>148</v>
      </c>
      <c r="AI43" s="886" t="s">
        <v>148</v>
      </c>
      <c r="AJ43" s="768"/>
      <c r="AK43" s="224"/>
      <c r="AL43" s="770"/>
      <c r="AM43" s="886" t="s">
        <v>148</v>
      </c>
      <c r="AN43" s="886" t="s">
        <v>148</v>
      </c>
      <c r="AO43" s="886" t="s">
        <v>148</v>
      </c>
      <c r="AP43" s="886" t="s">
        <v>148</v>
      </c>
      <c r="AQ43" s="886" t="s">
        <v>148</v>
      </c>
      <c r="AR43" s="886" t="s">
        <v>148</v>
      </c>
      <c r="AS43" s="886" t="s">
        <v>148</v>
      </c>
      <c r="AT43" s="886" t="s">
        <v>148</v>
      </c>
      <c r="AU43" s="886" t="s">
        <v>148</v>
      </c>
      <c r="AV43" s="768"/>
      <c r="AW43" s="224"/>
      <c r="AX43" s="770"/>
      <c r="AY43" s="886" t="s">
        <v>148</v>
      </c>
      <c r="AZ43" s="886" t="s">
        <v>148</v>
      </c>
      <c r="BA43" s="886" t="s">
        <v>148</v>
      </c>
      <c r="BB43" s="886" t="s">
        <v>148</v>
      </c>
      <c r="BC43" s="886" t="s">
        <v>148</v>
      </c>
      <c r="BD43" s="886" t="s">
        <v>148</v>
      </c>
      <c r="BE43" s="886" t="s">
        <v>148</v>
      </c>
      <c r="BF43" s="886" t="s">
        <v>148</v>
      </c>
      <c r="BG43" s="886" t="s">
        <v>148</v>
      </c>
      <c r="BH43" s="262"/>
    </row>
    <row r="44" spans="1:60" x14ac:dyDescent="0.2">
      <c r="A44" s="655"/>
      <c r="B44" s="492" t="s">
        <v>141</v>
      </c>
      <c r="C44" s="739" t="s">
        <v>127</v>
      </c>
      <c r="D44" s="750" t="s">
        <v>50</v>
      </c>
      <c r="E44" s="182" t="s">
        <v>149</v>
      </c>
      <c r="F44" s="182"/>
      <c r="G44" s="182"/>
      <c r="H44" s="183" t="s">
        <v>150</v>
      </c>
      <c r="I44" s="210"/>
      <c r="J44" s="224"/>
      <c r="K44" s="90"/>
      <c r="L44" s="90"/>
      <c r="M44" s="224"/>
      <c r="N44" s="99"/>
      <c r="O44" s="887">
        <v>1</v>
      </c>
      <c r="P44" s="887">
        <v>1</v>
      </c>
      <c r="Q44" s="887">
        <v>1</v>
      </c>
      <c r="R44" s="887">
        <v>1</v>
      </c>
      <c r="S44" s="887">
        <v>1</v>
      </c>
      <c r="T44" s="887">
        <v>1</v>
      </c>
      <c r="U44" s="887">
        <v>1</v>
      </c>
      <c r="V44" s="887">
        <v>1</v>
      </c>
      <c r="W44" s="887">
        <v>1</v>
      </c>
      <c r="X44" s="767"/>
      <c r="Y44" s="224"/>
      <c r="Z44" s="236"/>
      <c r="AA44" s="887">
        <v>1</v>
      </c>
      <c r="AB44" s="887">
        <v>1</v>
      </c>
      <c r="AC44" s="887">
        <v>1</v>
      </c>
      <c r="AD44" s="887">
        <v>1</v>
      </c>
      <c r="AE44" s="887">
        <v>1</v>
      </c>
      <c r="AF44" s="887">
        <v>1</v>
      </c>
      <c r="AG44" s="887">
        <v>1</v>
      </c>
      <c r="AH44" s="887">
        <v>1</v>
      </c>
      <c r="AI44" s="887">
        <v>1</v>
      </c>
      <c r="AJ44" s="767"/>
      <c r="AK44" s="224"/>
      <c r="AL44" s="771"/>
      <c r="AM44" s="887">
        <v>1</v>
      </c>
      <c r="AN44" s="887">
        <v>1</v>
      </c>
      <c r="AO44" s="887">
        <v>1</v>
      </c>
      <c r="AP44" s="887">
        <v>1</v>
      </c>
      <c r="AQ44" s="887">
        <v>1</v>
      </c>
      <c r="AR44" s="887">
        <v>1</v>
      </c>
      <c r="AS44" s="887">
        <v>1</v>
      </c>
      <c r="AT44" s="887">
        <v>1</v>
      </c>
      <c r="AU44" s="887">
        <v>1</v>
      </c>
      <c r="AV44" s="767"/>
      <c r="AW44" s="224"/>
      <c r="AX44" s="771"/>
      <c r="AY44" s="887">
        <v>1</v>
      </c>
      <c r="AZ44" s="887">
        <v>1</v>
      </c>
      <c r="BA44" s="887">
        <v>1</v>
      </c>
      <c r="BB44" s="887">
        <v>1</v>
      </c>
      <c r="BC44" s="887">
        <v>1</v>
      </c>
      <c r="BD44" s="887">
        <v>1</v>
      </c>
      <c r="BE44" s="887">
        <v>1</v>
      </c>
      <c r="BF44" s="887">
        <v>1</v>
      </c>
      <c r="BG44" s="887">
        <v>1</v>
      </c>
      <c r="BH44" s="261"/>
    </row>
    <row r="45" spans="1:60" x14ac:dyDescent="0.2">
      <c r="A45" s="655"/>
      <c r="B45" s="492" t="s">
        <v>141</v>
      </c>
      <c r="C45" s="739" t="s">
        <v>127</v>
      </c>
      <c r="D45" s="750" t="s">
        <v>50</v>
      </c>
      <c r="E45" s="182" t="s">
        <v>151</v>
      </c>
      <c r="F45" s="182"/>
      <c r="G45" s="182"/>
      <c r="H45" s="183" t="s">
        <v>152</v>
      </c>
      <c r="I45" s="210"/>
      <c r="J45" s="282"/>
      <c r="K45" s="294"/>
      <c r="L45" s="294"/>
      <c r="M45" s="282"/>
      <c r="N45" s="99"/>
      <c r="O45" s="888"/>
      <c r="P45" s="888"/>
      <c r="Q45" s="888"/>
      <c r="R45" s="888"/>
      <c r="S45" s="888"/>
      <c r="T45" s="888"/>
      <c r="U45" s="888"/>
      <c r="V45" s="888"/>
      <c r="W45" s="888"/>
      <c r="X45" s="772"/>
      <c r="Y45" s="282"/>
      <c r="Z45" s="279"/>
      <c r="AA45" s="888"/>
      <c r="AB45" s="888"/>
      <c r="AC45" s="888"/>
      <c r="AD45" s="888"/>
      <c r="AE45" s="888"/>
      <c r="AF45" s="888"/>
      <c r="AG45" s="888"/>
      <c r="AH45" s="888"/>
      <c r="AI45" s="888"/>
      <c r="AJ45" s="772"/>
      <c r="AK45" s="282"/>
      <c r="AL45" s="773"/>
      <c r="AM45" s="888"/>
      <c r="AN45" s="888"/>
      <c r="AO45" s="888"/>
      <c r="AP45" s="888"/>
      <c r="AQ45" s="888"/>
      <c r="AR45" s="888"/>
      <c r="AS45" s="888"/>
      <c r="AT45" s="888"/>
      <c r="AU45" s="888"/>
      <c r="AV45" s="772"/>
      <c r="AW45" s="282"/>
      <c r="AX45" s="773"/>
      <c r="AY45" s="888"/>
      <c r="AZ45" s="888"/>
      <c r="BA45" s="888"/>
      <c r="BB45" s="888"/>
      <c r="BC45" s="888"/>
      <c r="BD45" s="888"/>
      <c r="BE45" s="888"/>
      <c r="BF45" s="888"/>
      <c r="BG45" s="888"/>
      <c r="BH45" s="261"/>
    </row>
    <row r="46" spans="1:60" x14ac:dyDescent="0.2">
      <c r="A46" s="655"/>
      <c r="B46" s="492" t="s">
        <v>141</v>
      </c>
      <c r="C46" s="739" t="s">
        <v>127</v>
      </c>
      <c r="D46" s="751"/>
      <c r="E46" s="182" t="s">
        <v>153</v>
      </c>
      <c r="F46" s="182"/>
      <c r="G46" s="182"/>
      <c r="H46" s="183" t="s">
        <v>70</v>
      </c>
      <c r="I46" s="114"/>
      <c r="J46" s="711"/>
      <c r="K46" s="97"/>
      <c r="L46" s="97"/>
      <c r="M46" s="224"/>
      <c r="N46" s="99"/>
      <c r="O46" s="886"/>
      <c r="P46" s="886"/>
      <c r="Q46" s="886"/>
      <c r="R46" s="886"/>
      <c r="S46" s="886"/>
      <c r="T46" s="886"/>
      <c r="U46" s="886"/>
      <c r="V46" s="886"/>
      <c r="W46" s="886"/>
      <c r="X46" s="768"/>
      <c r="Y46" s="224"/>
      <c r="Z46" s="236"/>
      <c r="AA46" s="886"/>
      <c r="AB46" s="886"/>
      <c r="AC46" s="886"/>
      <c r="AD46" s="886"/>
      <c r="AE46" s="886"/>
      <c r="AF46" s="886"/>
      <c r="AG46" s="886"/>
      <c r="AH46" s="886"/>
      <c r="AI46" s="886"/>
      <c r="AJ46" s="768"/>
      <c r="AK46" s="224"/>
      <c r="AL46" s="770"/>
      <c r="AM46" s="886"/>
      <c r="AN46" s="886"/>
      <c r="AO46" s="886"/>
      <c r="AP46" s="886"/>
      <c r="AQ46" s="886"/>
      <c r="AR46" s="886"/>
      <c r="AS46" s="886"/>
      <c r="AT46" s="886"/>
      <c r="AU46" s="886"/>
      <c r="AV46" s="768"/>
      <c r="AW46" s="224"/>
      <c r="AX46" s="770"/>
      <c r="AY46" s="886"/>
      <c r="AZ46" s="886"/>
      <c r="BA46" s="886"/>
      <c r="BB46" s="886"/>
      <c r="BC46" s="886"/>
      <c r="BD46" s="886"/>
      <c r="BE46" s="886"/>
      <c r="BF46" s="886"/>
      <c r="BG46" s="886"/>
      <c r="BH46" s="262"/>
    </row>
    <row r="47" spans="1:60" x14ac:dyDescent="0.2">
      <c r="A47" s="655"/>
      <c r="B47" s="492" t="s">
        <v>141</v>
      </c>
      <c r="C47" s="739" t="s">
        <v>127</v>
      </c>
      <c r="D47" s="751"/>
      <c r="E47" s="182" t="s">
        <v>155</v>
      </c>
      <c r="F47" s="182"/>
      <c r="G47" s="182"/>
      <c r="H47" s="183" t="s">
        <v>70</v>
      </c>
      <c r="I47" s="114"/>
      <c r="J47" s="711"/>
      <c r="K47" s="97"/>
      <c r="L47" s="97"/>
      <c r="M47" s="224"/>
      <c r="N47" s="99"/>
      <c r="O47" s="886" t="s">
        <v>156</v>
      </c>
      <c r="P47" s="886" t="s">
        <v>156</v>
      </c>
      <c r="Q47" s="886" t="s">
        <v>156</v>
      </c>
      <c r="R47" s="886" t="s">
        <v>156</v>
      </c>
      <c r="S47" s="886" t="s">
        <v>156</v>
      </c>
      <c r="T47" s="886" t="s">
        <v>156</v>
      </c>
      <c r="U47" s="886" t="s">
        <v>156</v>
      </c>
      <c r="V47" s="886" t="s">
        <v>156</v>
      </c>
      <c r="W47" s="886" t="s">
        <v>156</v>
      </c>
      <c r="X47" s="768"/>
      <c r="Y47" s="224"/>
      <c r="Z47" s="236"/>
      <c r="AA47" s="886" t="s">
        <v>156</v>
      </c>
      <c r="AB47" s="886" t="s">
        <v>156</v>
      </c>
      <c r="AC47" s="886" t="s">
        <v>156</v>
      </c>
      <c r="AD47" s="886" t="s">
        <v>156</v>
      </c>
      <c r="AE47" s="886" t="s">
        <v>156</v>
      </c>
      <c r="AF47" s="886" t="s">
        <v>156</v>
      </c>
      <c r="AG47" s="886" t="s">
        <v>156</v>
      </c>
      <c r="AH47" s="886" t="s">
        <v>156</v>
      </c>
      <c r="AI47" s="886" t="s">
        <v>156</v>
      </c>
      <c r="AJ47" s="768"/>
      <c r="AK47" s="224"/>
      <c r="AL47" s="770"/>
      <c r="AM47" s="886" t="s">
        <v>156</v>
      </c>
      <c r="AN47" s="886" t="s">
        <v>156</v>
      </c>
      <c r="AO47" s="886" t="s">
        <v>156</v>
      </c>
      <c r="AP47" s="886" t="s">
        <v>156</v>
      </c>
      <c r="AQ47" s="886" t="s">
        <v>156</v>
      </c>
      <c r="AR47" s="886" t="s">
        <v>156</v>
      </c>
      <c r="AS47" s="886" t="s">
        <v>156</v>
      </c>
      <c r="AT47" s="886" t="s">
        <v>156</v>
      </c>
      <c r="AU47" s="886" t="s">
        <v>156</v>
      </c>
      <c r="AV47" s="768"/>
      <c r="AW47" s="224"/>
      <c r="AX47" s="770"/>
      <c r="AY47" s="886" t="s">
        <v>156</v>
      </c>
      <c r="AZ47" s="886" t="s">
        <v>156</v>
      </c>
      <c r="BA47" s="886" t="s">
        <v>156</v>
      </c>
      <c r="BB47" s="886" t="s">
        <v>156</v>
      </c>
      <c r="BC47" s="886" t="s">
        <v>156</v>
      </c>
      <c r="BD47" s="886" t="s">
        <v>156</v>
      </c>
      <c r="BE47" s="886" t="s">
        <v>156</v>
      </c>
      <c r="BF47" s="886" t="s">
        <v>156</v>
      </c>
      <c r="BG47" s="886" t="s">
        <v>156</v>
      </c>
      <c r="BH47" s="262"/>
    </row>
    <row r="48" spans="1:60" x14ac:dyDescent="0.2">
      <c r="A48" s="655"/>
      <c r="B48" s="492" t="s">
        <v>141</v>
      </c>
      <c r="C48" s="739" t="s">
        <v>127</v>
      </c>
      <c r="D48" s="750" t="s">
        <v>50</v>
      </c>
      <c r="E48" s="182" t="s">
        <v>157</v>
      </c>
      <c r="F48" s="182"/>
      <c r="G48" s="182"/>
      <c r="H48" s="183" t="s">
        <v>150</v>
      </c>
      <c r="I48" s="210"/>
      <c r="J48" s="224"/>
      <c r="K48" s="90"/>
      <c r="L48" s="90"/>
      <c r="M48" s="224"/>
      <c r="N48" s="99"/>
      <c r="O48" s="887">
        <v>0</v>
      </c>
      <c r="P48" s="887">
        <v>0</v>
      </c>
      <c r="Q48" s="887">
        <v>0</v>
      </c>
      <c r="R48" s="887">
        <v>0</v>
      </c>
      <c r="S48" s="887">
        <v>0</v>
      </c>
      <c r="T48" s="887">
        <v>0</v>
      </c>
      <c r="U48" s="887">
        <v>0</v>
      </c>
      <c r="V48" s="887">
        <v>0</v>
      </c>
      <c r="W48" s="887">
        <v>0</v>
      </c>
      <c r="X48" s="767"/>
      <c r="Y48" s="224"/>
      <c r="Z48" s="236"/>
      <c r="AA48" s="887">
        <v>0</v>
      </c>
      <c r="AB48" s="887">
        <v>0</v>
      </c>
      <c r="AC48" s="887">
        <v>0</v>
      </c>
      <c r="AD48" s="887">
        <v>0</v>
      </c>
      <c r="AE48" s="887">
        <v>0</v>
      </c>
      <c r="AF48" s="887">
        <v>0</v>
      </c>
      <c r="AG48" s="887">
        <v>0</v>
      </c>
      <c r="AH48" s="887">
        <v>0</v>
      </c>
      <c r="AI48" s="887">
        <v>0</v>
      </c>
      <c r="AJ48" s="767"/>
      <c r="AK48" s="224"/>
      <c r="AL48" s="771"/>
      <c r="AM48" s="887">
        <v>0</v>
      </c>
      <c r="AN48" s="887">
        <v>0</v>
      </c>
      <c r="AO48" s="887">
        <v>0</v>
      </c>
      <c r="AP48" s="887">
        <v>0</v>
      </c>
      <c r="AQ48" s="887">
        <v>0</v>
      </c>
      <c r="AR48" s="887">
        <v>0</v>
      </c>
      <c r="AS48" s="887">
        <v>0</v>
      </c>
      <c r="AT48" s="887">
        <v>0</v>
      </c>
      <c r="AU48" s="887">
        <v>0</v>
      </c>
      <c r="AV48" s="767"/>
      <c r="AW48" s="224"/>
      <c r="AX48" s="771"/>
      <c r="AY48" s="887">
        <v>0</v>
      </c>
      <c r="AZ48" s="887">
        <v>0</v>
      </c>
      <c r="BA48" s="887">
        <v>0</v>
      </c>
      <c r="BB48" s="887">
        <v>0</v>
      </c>
      <c r="BC48" s="887">
        <v>0</v>
      </c>
      <c r="BD48" s="887">
        <v>0</v>
      </c>
      <c r="BE48" s="887">
        <v>0</v>
      </c>
      <c r="BF48" s="887">
        <v>0</v>
      </c>
      <c r="BG48" s="887">
        <v>0</v>
      </c>
      <c r="BH48" s="261"/>
    </row>
    <row r="49" spans="1:60" ht="18.75" x14ac:dyDescent="0.2">
      <c r="A49" s="653"/>
      <c r="B49" s="492" t="s">
        <v>158</v>
      </c>
      <c r="C49" s="739" t="s">
        <v>104</v>
      </c>
      <c r="D49" s="749"/>
      <c r="E49" s="708" t="s">
        <v>159</v>
      </c>
      <c r="F49" s="167"/>
      <c r="G49" s="167"/>
      <c r="H49" s="89"/>
      <c r="I49" s="169"/>
      <c r="J49" s="170"/>
      <c r="K49" s="142"/>
      <c r="L49" s="142"/>
      <c r="M49" s="186"/>
      <c r="N49" s="186"/>
      <c r="O49" s="186"/>
      <c r="P49" s="186"/>
      <c r="Q49" s="186"/>
      <c r="R49" s="186"/>
      <c r="S49" s="186"/>
      <c r="T49" s="186"/>
      <c r="U49" s="186"/>
      <c r="V49" s="186"/>
      <c r="W49" s="186"/>
      <c r="X49" s="173"/>
      <c r="Y49" s="172"/>
      <c r="Z49" s="172"/>
      <c r="AA49" s="172"/>
      <c r="AB49" s="172"/>
      <c r="AC49" s="172"/>
      <c r="AD49" s="172"/>
      <c r="AE49" s="172"/>
      <c r="AF49" s="172"/>
      <c r="AG49" s="172"/>
      <c r="AH49" s="172"/>
      <c r="AI49" s="172"/>
      <c r="AJ49" s="173"/>
      <c r="AK49" s="172"/>
      <c r="AL49" s="172"/>
      <c r="AM49" s="172"/>
      <c r="AN49" s="172"/>
      <c r="AO49" s="172"/>
      <c r="AP49" s="172"/>
      <c r="AQ49" s="172"/>
      <c r="AR49" s="172"/>
      <c r="AS49" s="172"/>
      <c r="AT49" s="172"/>
      <c r="AU49" s="172"/>
      <c r="AV49" s="173"/>
      <c r="AW49" s="172"/>
      <c r="AX49" s="172"/>
      <c r="AY49" s="172"/>
      <c r="AZ49" s="172"/>
      <c r="BA49" s="172"/>
      <c r="BB49" s="172"/>
      <c r="BC49" s="172"/>
      <c r="BD49" s="172"/>
      <c r="BE49" s="172"/>
      <c r="BF49" s="172"/>
      <c r="BG49" s="172"/>
      <c r="BH49" s="263"/>
    </row>
    <row r="50" spans="1:60" x14ac:dyDescent="0.2">
      <c r="A50" s="655"/>
      <c r="B50" s="492" t="s">
        <v>141</v>
      </c>
      <c r="C50" s="739" t="s">
        <v>127</v>
      </c>
      <c r="D50" s="751"/>
      <c r="E50" s="182" t="s">
        <v>160</v>
      </c>
      <c r="F50" s="182"/>
      <c r="G50" s="182"/>
      <c r="H50" s="183" t="s">
        <v>70</v>
      </c>
      <c r="I50" s="116"/>
      <c r="J50" s="774" t="str">
        <f>IF(COUNTIF(N50:X50,"nee")&gt;0,"nee: locatie 1",
IF(COUNTIF(Z50:AJ50,"nee")&gt;0,"nee: locatie 2",
IF(COUNTIF(AL50:AV50,"nee")&gt;0,"nee: locatie 3",
IF(COUNTIF(AX50:BH50,"nee")&gt;0,"nee: locatie 4",
"OK"))))</f>
        <v>OK</v>
      </c>
      <c r="K50" s="818"/>
      <c r="L50" s="818"/>
      <c r="M50" s="224"/>
      <c r="N50" s="775"/>
      <c r="O50" s="776" t="str">
        <f>IF(OR(O$19="",O$24=0),"",IF(OR(O$40="",O$42="",AND(O$42&lt;&gt;bibliotheek!$E$51,O$43=""),O$44="",AND(O$21&lt;&gt;woning,O$21&lt;&gt;woongebouw,O$45=""),AND(O$21&lt;&gt;woning,O$21&lt;&gt;woongebouw,O$46=""),AND(OR(O$21=woning,O$21=woongebouw),O$47=""),O$48=""),"nee","ja"))</f>
        <v/>
      </c>
      <c r="P50" s="776" t="str">
        <f>IF(OR(P$19="",P$24=0),"",IF(OR(P$40="",P$42="",AND(P$42&lt;&gt;bibliotheek!$E$51,P$43=""),P$44="",AND(P$21&lt;&gt;woning,P$21&lt;&gt;woongebouw,P$45=""),AND(P$21&lt;&gt;woning,P$21&lt;&gt;woongebouw,P$46=""),AND(OR(P$21=woning,P$21=woongebouw),P$47=""),P$48=""),"nee","ja"))</f>
        <v/>
      </c>
      <c r="Q50" s="776" t="str">
        <f>IF(OR(Q$19="",Q$24=0),"",IF(OR(Q$40="",Q$42="",AND(Q$42&lt;&gt;bibliotheek!$E$51,Q$43=""),Q$44="",AND(Q$21&lt;&gt;woning,Q$21&lt;&gt;woongebouw,Q$45=""),AND(Q$21&lt;&gt;woning,Q$21&lt;&gt;woongebouw,Q$46=""),AND(OR(Q$21=woning,Q$21=woongebouw),Q$47=""),Q$48=""),"nee","ja"))</f>
        <v/>
      </c>
      <c r="R50" s="776" t="str">
        <f>IF(OR(R$19="",R$24=0),"",IF(OR(R$40="",R$42="",AND(R$42&lt;&gt;bibliotheek!$E$51,R$43=""),R$44="",AND(R$21&lt;&gt;woning,R$21&lt;&gt;woongebouw,R$45=""),AND(R$21&lt;&gt;woning,R$21&lt;&gt;woongebouw,R$46=""),AND(OR(R$21=woning,R$21=woongebouw),R$47=""),R$48=""),"nee","ja"))</f>
        <v/>
      </c>
      <c r="S50" s="776" t="str">
        <f>IF(OR(S$19="",S$24=0),"",IF(OR(S$40="",S$42="",AND(S$42&lt;&gt;bibliotheek!$E$51,S$43=""),S$44="",AND(S$21&lt;&gt;woning,S$21&lt;&gt;woongebouw,S$45=""),AND(S$21&lt;&gt;woning,S$21&lt;&gt;woongebouw,S$46=""),AND(OR(S$21=woning,S$21=woongebouw),S$47=""),S$48=""),"nee","ja"))</f>
        <v/>
      </c>
      <c r="T50" s="776" t="str">
        <f>IF(OR(T$19="",T$24=0),"",IF(OR(T$40="",T$42="",AND(T$42&lt;&gt;bibliotheek!$E$51,T$43=""),T$44="",AND(T$21&lt;&gt;woning,T$21&lt;&gt;woongebouw,T$45=""),AND(T$21&lt;&gt;woning,T$21&lt;&gt;woongebouw,T$46=""),AND(OR(T$21=woning,T$21=woongebouw),T$47=""),T$48=""),"nee","ja"))</f>
        <v/>
      </c>
      <c r="U50" s="776" t="str">
        <f>IF(OR(U$19="",U$24=0),"",IF(OR(U$40="",U$42="",AND(U$42&lt;&gt;bibliotheek!$E$51,U$43=""),U$44="",AND(U$21&lt;&gt;woning,U$21&lt;&gt;woongebouw,U$45=""),AND(U$21&lt;&gt;woning,U$21&lt;&gt;woongebouw,U$46=""),AND(OR(U$21=woning,U$21=woongebouw),U$47=""),U$48=""),"nee","ja"))</f>
        <v/>
      </c>
      <c r="V50" s="776" t="str">
        <f>IF(OR(V$19="",V$24=0),"",IF(OR(V$40="",V$42="",AND(V$42&lt;&gt;bibliotheek!$E$51,V$43=""),V$44="",AND(V$21&lt;&gt;woning,V$21&lt;&gt;woongebouw,V$45=""),AND(V$21&lt;&gt;woning,V$21&lt;&gt;woongebouw,V$46=""),AND(OR(V$21=woning,V$21=woongebouw),V$47=""),V$48=""),"nee","ja"))</f>
        <v/>
      </c>
      <c r="W50" s="776" t="str">
        <f>IF(OR(W$19="",W$24=0),"",IF(OR(W$40="",W$42="",AND(W$42&lt;&gt;bibliotheek!$E$51,W$43=""),W$44="",AND(W$21&lt;&gt;woning,W$21&lt;&gt;woongebouw,W$45=""),AND(W$21&lt;&gt;woning,W$21&lt;&gt;woongebouw,W$46=""),AND(OR(W$21=woning,W$21=woongebouw),W$47=""),W$48=""),"nee","ja"))</f>
        <v/>
      </c>
      <c r="X50" s="777"/>
      <c r="Y50" s="224"/>
      <c r="Z50" s="236"/>
      <c r="AA50" s="776" t="str">
        <f>IF(OR(AA$19="",AA$24=0),"",IF(OR(AA$40="",AA$42="",AND(AA$42&lt;&gt;bibliotheek!$E$51,AA$43=""),AA$44="",AND(AA$21&lt;&gt;woning,AA$21&lt;&gt;woongebouw,AA$45=""),AND(AA$21&lt;&gt;woning,AA$21&lt;&gt;woongebouw,AA$46=""),AND(OR(AA$21=woning,AA$21=woongebouw),AA$47=""),AA$48=""),"nee","ja"))</f>
        <v/>
      </c>
      <c r="AB50" s="776" t="str">
        <f>IF(OR(AB$19="",AB$24=0),"",IF(OR(AB$40="",AB$42="",AND(AB$42&lt;&gt;bibliotheek!$E$51,AB$43=""),AB$44="",AND(AB$21&lt;&gt;woning,AB$21&lt;&gt;woongebouw,AB$45=""),AND(AB$21&lt;&gt;woning,AB$21&lt;&gt;woongebouw,AB$46=""),AND(OR(AB$21=woning,AB$21=woongebouw),AB$47=""),AB$48=""),"nee","ja"))</f>
        <v/>
      </c>
      <c r="AC50" s="776" t="str">
        <f>IF(OR(AC$19="",AC$24=0),"",IF(OR(AC$40="",AC$42="",AND(AC$42&lt;&gt;bibliotheek!$E$51,AC$43=""),AC$44="",AND(AC$21&lt;&gt;woning,AC$21&lt;&gt;woongebouw,AC$45=""),AND(AC$21&lt;&gt;woning,AC$21&lt;&gt;woongebouw,AC$46=""),AND(OR(AC$21=woning,AC$21=woongebouw),AC$47=""),AC$48=""),"nee","ja"))</f>
        <v/>
      </c>
      <c r="AD50" s="776" t="str">
        <f>IF(OR(AD$19="",AD$24=0),"",IF(OR(AD$40="",AD$42="",AND(AD$42&lt;&gt;bibliotheek!$E$51,AD$43=""),AD$44="",AND(AD$21&lt;&gt;woning,AD$21&lt;&gt;woongebouw,AD$45=""),AND(AD$21&lt;&gt;woning,AD$21&lt;&gt;woongebouw,AD$46=""),AND(OR(AD$21=woning,AD$21=woongebouw),AD$47=""),AD$48=""),"nee","ja"))</f>
        <v/>
      </c>
      <c r="AE50" s="776" t="str">
        <f>IF(OR(AE$19="",AE$24=0),"",IF(OR(AE$40="",AE$42="",AND(AE$42&lt;&gt;bibliotheek!$E$51,AE$43=""),AE$44="",AND(AE$21&lt;&gt;woning,AE$21&lt;&gt;woongebouw,AE$45=""),AND(AE$21&lt;&gt;woning,AE$21&lt;&gt;woongebouw,AE$46=""),AND(OR(AE$21=woning,AE$21=woongebouw),AE$47=""),AE$48=""),"nee","ja"))</f>
        <v/>
      </c>
      <c r="AF50" s="776" t="str">
        <f>IF(OR(AF$19="",AF$24=0),"",IF(OR(AF$40="",AF$42="",AND(AF$42&lt;&gt;bibliotheek!$E$51,AF$43=""),AF$44="",AND(AF$21&lt;&gt;woning,AF$21&lt;&gt;woongebouw,AF$45=""),AND(AF$21&lt;&gt;woning,AF$21&lt;&gt;woongebouw,AF$46=""),AND(OR(AF$21=woning,AF$21=woongebouw),AF$47=""),AF$48=""),"nee","ja"))</f>
        <v/>
      </c>
      <c r="AG50" s="776" t="str">
        <f>IF(OR(AG$19="",AG$24=0),"",IF(OR(AG$40="",AG$42="",AND(AG$42&lt;&gt;bibliotheek!$E$51,AG$43=""),AG$44="",AND(AG$21&lt;&gt;woning,AG$21&lt;&gt;woongebouw,AG$45=""),AND(AG$21&lt;&gt;woning,AG$21&lt;&gt;woongebouw,AG$46=""),AND(OR(AG$21=woning,AG$21=woongebouw),AG$47=""),AG$48=""),"nee","ja"))</f>
        <v/>
      </c>
      <c r="AH50" s="776" t="str">
        <f>IF(OR(AH$19="",AH$24=0),"",IF(OR(AH$40="",AH$42="",AND(AH$42&lt;&gt;bibliotheek!$E$51,AH$43=""),AH$44="",AND(AH$21&lt;&gt;woning,AH$21&lt;&gt;woongebouw,AH$45=""),AND(AH$21&lt;&gt;woning,AH$21&lt;&gt;woongebouw,AH$46=""),AND(OR(AH$21=woning,AH$21=woongebouw),AH$47=""),AH$48=""),"nee","ja"))</f>
        <v/>
      </c>
      <c r="AI50" s="776" t="str">
        <f>IF(OR(AI$19="",AI$24=0),"",IF(OR(AI$40="",AI$42="",AND(AI$42&lt;&gt;bibliotheek!$E$51,AI$43=""),AI$44="",AND(AI$21&lt;&gt;woning,AI$21&lt;&gt;woongebouw,AI$45=""),AND(AI$21&lt;&gt;woning,AI$21&lt;&gt;woongebouw,AI$46=""),AND(OR(AI$21=woning,AI$21=woongebouw),AI$47=""),AI$48=""),"nee","ja"))</f>
        <v/>
      </c>
      <c r="AJ50" s="777"/>
      <c r="AK50" s="224"/>
      <c r="AL50" s="778"/>
      <c r="AM50" s="776" t="str">
        <f>IF(OR(AM$19="",AM$24=0),"",IF(OR(AM$40="",AM$42="",AND(AM$42&lt;&gt;bibliotheek!$E$51,AM$43=""),AM$44="",AND(AM$21&lt;&gt;woning,AM$21&lt;&gt;woongebouw,AM$45=""),AND(AM$21&lt;&gt;woning,AM$21&lt;&gt;woongebouw,AM$46=""),AND(OR(AM$21=woning,AM$21=woongebouw),AM$47=""),AM$48=""),"nee","ja"))</f>
        <v/>
      </c>
      <c r="AN50" s="776" t="str">
        <f>IF(OR(AN$19="",AN$24=0),"",IF(OR(AN$40="",AN$42="",AND(AN$42&lt;&gt;bibliotheek!$E$51,AN$43=""),AN$44="",AND(AN$21&lt;&gt;woning,AN$21&lt;&gt;woongebouw,AN$45=""),AND(AN$21&lt;&gt;woning,AN$21&lt;&gt;woongebouw,AN$46=""),AND(OR(AN$21=woning,AN$21=woongebouw),AN$47=""),AN$48=""),"nee","ja"))</f>
        <v/>
      </c>
      <c r="AO50" s="776" t="str">
        <f>IF(OR(AO$19="",AO$24=0),"",IF(OR(AO$40="",AO$42="",AND(AO$42&lt;&gt;bibliotheek!$E$51,AO$43=""),AO$44="",AND(AO$21&lt;&gt;woning,AO$21&lt;&gt;woongebouw,AO$45=""),AND(AO$21&lt;&gt;woning,AO$21&lt;&gt;woongebouw,AO$46=""),AND(OR(AO$21=woning,AO$21=woongebouw),AO$47=""),AO$48=""),"nee","ja"))</f>
        <v/>
      </c>
      <c r="AP50" s="776" t="str">
        <f>IF(OR(AP$19="",AP$24=0),"",IF(OR(AP$40="",AP$42="",AND(AP$42&lt;&gt;bibliotheek!$E$51,AP$43=""),AP$44="",AND(AP$21&lt;&gt;woning,AP$21&lt;&gt;woongebouw,AP$45=""),AND(AP$21&lt;&gt;woning,AP$21&lt;&gt;woongebouw,AP$46=""),AND(OR(AP$21=woning,AP$21=woongebouw),AP$47=""),AP$48=""),"nee","ja"))</f>
        <v/>
      </c>
      <c r="AQ50" s="776" t="str">
        <f>IF(OR(AQ$19="",AQ$24=0),"",IF(OR(AQ$40="",AQ$42="",AND(AQ$42&lt;&gt;bibliotheek!$E$51,AQ$43=""),AQ$44="",AND(AQ$21&lt;&gt;woning,AQ$21&lt;&gt;woongebouw,AQ$45=""),AND(AQ$21&lt;&gt;woning,AQ$21&lt;&gt;woongebouw,AQ$46=""),AND(OR(AQ$21=woning,AQ$21=woongebouw),AQ$47=""),AQ$48=""),"nee","ja"))</f>
        <v/>
      </c>
      <c r="AR50" s="776" t="str">
        <f>IF(OR(AR$19="",AR$24=0),"",IF(OR(AR$40="",AR$42="",AND(AR$42&lt;&gt;bibliotheek!$E$51,AR$43=""),AR$44="",AND(AR$21&lt;&gt;woning,AR$21&lt;&gt;woongebouw,AR$45=""),AND(AR$21&lt;&gt;woning,AR$21&lt;&gt;woongebouw,AR$46=""),AND(OR(AR$21=woning,AR$21=woongebouw),AR$47=""),AR$48=""),"nee","ja"))</f>
        <v/>
      </c>
      <c r="AS50" s="776" t="str">
        <f>IF(OR(AS$19="",AS$24=0),"",IF(OR(AS$40="",AS$42="",AND(AS$42&lt;&gt;bibliotheek!$E$51,AS$43=""),AS$44="",AND(AS$21&lt;&gt;woning,AS$21&lt;&gt;woongebouw,AS$45=""),AND(AS$21&lt;&gt;woning,AS$21&lt;&gt;woongebouw,AS$46=""),AND(OR(AS$21=woning,AS$21=woongebouw),AS$47=""),AS$48=""),"nee","ja"))</f>
        <v/>
      </c>
      <c r="AT50" s="776" t="str">
        <f>IF(OR(AT$19="",AT$24=0),"",IF(OR(AT$40="",AT$42="",AND(AT$42&lt;&gt;bibliotheek!$E$51,AT$43=""),AT$44="",AND(AT$21&lt;&gt;woning,AT$21&lt;&gt;woongebouw,AT$45=""),AND(AT$21&lt;&gt;woning,AT$21&lt;&gt;woongebouw,AT$46=""),AND(OR(AT$21=woning,AT$21=woongebouw),AT$47=""),AT$48=""),"nee","ja"))</f>
        <v/>
      </c>
      <c r="AU50" s="776" t="str">
        <f>IF(OR(AU$19="",AU$24=0),"",IF(OR(AU$40="",AU$42="",AND(AU$42&lt;&gt;bibliotheek!$E$51,AU$43=""),AU$44="",AND(AU$21&lt;&gt;woning,AU$21&lt;&gt;woongebouw,AU$45=""),AND(AU$21&lt;&gt;woning,AU$21&lt;&gt;woongebouw,AU$46=""),AND(OR(AU$21=woning,AU$21=woongebouw),AU$47=""),AU$48=""),"nee","ja"))</f>
        <v/>
      </c>
      <c r="AV50" s="777"/>
      <c r="AW50" s="224"/>
      <c r="AX50" s="778"/>
      <c r="AY50" s="776" t="str">
        <f>IF(OR(AY$19="",AY$24=0),"",IF(OR(AY$40="",AY$42="",AND(AY$42&lt;&gt;bibliotheek!$E$51,AY$43=""),AY$44="",AND(AY$21&lt;&gt;woning,AY$21&lt;&gt;woongebouw,AY$45=""),AND(AY$21&lt;&gt;woning,AY$21&lt;&gt;woongebouw,AY$46=""),AND(OR(AY$21=woning,AY$21=woongebouw),AY$47=""),AY$48=""),"nee","ja"))</f>
        <v/>
      </c>
      <c r="AZ50" s="776" t="str">
        <f>IF(OR(AZ$19="",AZ$24=0),"",IF(OR(AZ$40="",AZ$42="",AND(AZ$42&lt;&gt;bibliotheek!$E$51,AZ$43=""),AZ$44="",AND(AZ$21&lt;&gt;woning,AZ$21&lt;&gt;woongebouw,AZ$45=""),AND(AZ$21&lt;&gt;woning,AZ$21&lt;&gt;woongebouw,AZ$46=""),AND(OR(AZ$21=woning,AZ$21=woongebouw),AZ$47=""),AZ$48=""),"nee","ja"))</f>
        <v/>
      </c>
      <c r="BA50" s="776" t="str">
        <f>IF(OR(BA$19="",BA$24=0),"",IF(OR(BA$40="",BA$42="",AND(BA$42&lt;&gt;bibliotheek!$E$51,BA$43=""),BA$44="",AND(BA$21&lt;&gt;woning,BA$21&lt;&gt;woongebouw,BA$45=""),AND(BA$21&lt;&gt;woning,BA$21&lt;&gt;woongebouw,BA$46=""),AND(OR(BA$21=woning,BA$21=woongebouw),BA$47=""),BA$48=""),"nee","ja"))</f>
        <v/>
      </c>
      <c r="BB50" s="776" t="str">
        <f>IF(OR(BB$19="",BB$24=0),"",IF(OR(BB$40="",BB$42="",AND(BB$42&lt;&gt;bibliotheek!$E$51,BB$43=""),BB$44="",AND(BB$21&lt;&gt;woning,BB$21&lt;&gt;woongebouw,BB$45=""),AND(BB$21&lt;&gt;woning,BB$21&lt;&gt;woongebouw,BB$46=""),AND(OR(BB$21=woning,BB$21=woongebouw),BB$47=""),BB$48=""),"nee","ja"))</f>
        <v/>
      </c>
      <c r="BC50" s="776" t="str">
        <f>IF(OR(BC$19="",BC$24=0),"",IF(OR(BC$40="",BC$42="",AND(BC$42&lt;&gt;bibliotheek!$E$51,BC$43=""),BC$44="",AND(BC$21&lt;&gt;woning,BC$21&lt;&gt;woongebouw,BC$45=""),AND(BC$21&lt;&gt;woning,BC$21&lt;&gt;woongebouw,BC$46=""),AND(OR(BC$21=woning,BC$21=woongebouw),BC$47=""),BC$48=""),"nee","ja"))</f>
        <v/>
      </c>
      <c r="BD50" s="776" t="str">
        <f>IF(OR(BD$19="",BD$24=0),"",IF(OR(BD$40="",BD$42="",AND(BD$42&lt;&gt;bibliotheek!$E$51,BD$43=""),BD$44="",AND(BD$21&lt;&gt;woning,BD$21&lt;&gt;woongebouw,BD$45=""),AND(BD$21&lt;&gt;woning,BD$21&lt;&gt;woongebouw,BD$46=""),AND(OR(BD$21=woning,BD$21=woongebouw),BD$47=""),BD$48=""),"nee","ja"))</f>
        <v/>
      </c>
      <c r="BE50" s="776" t="str">
        <f>IF(OR(BE$19="",BE$24=0),"",IF(OR(BE$40="",BE$42="",AND(BE$42&lt;&gt;bibliotheek!$E$51,BE$43=""),BE$44="",AND(BE$21&lt;&gt;woning,BE$21&lt;&gt;woongebouw,BE$45=""),AND(BE$21&lt;&gt;woning,BE$21&lt;&gt;woongebouw,BE$46=""),AND(OR(BE$21=woning,BE$21=woongebouw),BE$47=""),BE$48=""),"nee","ja"))</f>
        <v/>
      </c>
      <c r="BF50" s="776" t="str">
        <f>IF(OR(BF$19="",BF$24=0),"",IF(OR(BF$40="",BF$42="",AND(BF$42&lt;&gt;bibliotheek!$E$51,BF$43=""),BF$44="",AND(BF$21&lt;&gt;woning,BF$21&lt;&gt;woongebouw,BF$45=""),AND(BF$21&lt;&gt;woning,BF$21&lt;&gt;woongebouw,BF$46=""),AND(OR(BF$21=woning,BF$21=woongebouw),BF$47=""),BF$48=""),"nee","ja"))</f>
        <v/>
      </c>
      <c r="BG50" s="776" t="str">
        <f>IF(OR(BG$19="",BG$24=0),"",IF(OR(BG$40="",BG$42="",AND(BG$42&lt;&gt;bibliotheek!$E$51,BG$43=""),BG$44="",AND(BG$21&lt;&gt;woning,BG$21&lt;&gt;woongebouw,BG$45=""),AND(BG$21&lt;&gt;woning,BG$21&lt;&gt;woongebouw,BG$46=""),AND(OR(BG$21=woning,BG$21=woongebouw),BG$47=""),BG$48=""),"nee","ja"))</f>
        <v/>
      </c>
      <c r="BH50" s="261"/>
    </row>
    <row r="51" spans="1:60" ht="18.75" x14ac:dyDescent="0.2">
      <c r="A51" s="653"/>
      <c r="B51" s="492" t="s">
        <v>158</v>
      </c>
      <c r="C51" s="739" t="s">
        <v>104</v>
      </c>
      <c r="D51" s="749"/>
      <c r="E51" s="708" t="s">
        <v>161</v>
      </c>
      <c r="F51" s="167"/>
      <c r="G51" s="167"/>
      <c r="H51" s="89"/>
      <c r="I51" s="169"/>
      <c r="J51" s="170"/>
      <c r="K51" s="142"/>
      <c r="L51" s="142"/>
      <c r="M51" s="186"/>
      <c r="N51" s="186"/>
      <c r="O51" s="186"/>
      <c r="P51" s="186"/>
      <c r="Q51" s="186"/>
      <c r="R51" s="186"/>
      <c r="S51" s="186"/>
      <c r="T51" s="186"/>
      <c r="U51" s="186"/>
      <c r="V51" s="186"/>
      <c r="W51" s="186"/>
      <c r="X51" s="186"/>
      <c r="Y51" s="172"/>
      <c r="Z51" s="172"/>
      <c r="AA51" s="172"/>
      <c r="AB51" s="172"/>
      <c r="AC51" s="172"/>
      <c r="AD51" s="172"/>
      <c r="AE51" s="172"/>
      <c r="AF51" s="172"/>
      <c r="AG51" s="172"/>
      <c r="AH51" s="172"/>
      <c r="AI51" s="172"/>
      <c r="AJ51" s="173"/>
      <c r="AK51" s="172"/>
      <c r="AL51" s="172"/>
      <c r="AM51" s="172"/>
      <c r="AN51" s="172"/>
      <c r="AO51" s="172"/>
      <c r="AP51" s="172"/>
      <c r="AQ51" s="172"/>
      <c r="AR51" s="172"/>
      <c r="AS51" s="172"/>
      <c r="AT51" s="172"/>
      <c r="AU51" s="172"/>
      <c r="AV51" s="173"/>
      <c r="AW51" s="172"/>
      <c r="AX51" s="172"/>
      <c r="AY51" s="172"/>
      <c r="AZ51" s="172"/>
      <c r="BA51" s="172"/>
      <c r="BB51" s="172"/>
      <c r="BC51" s="172"/>
      <c r="BD51" s="172"/>
      <c r="BE51" s="172"/>
      <c r="BF51" s="172"/>
      <c r="BG51" s="172"/>
      <c r="BH51" s="263"/>
    </row>
    <row r="52" spans="1:60" x14ac:dyDescent="0.2">
      <c r="A52" s="655"/>
      <c r="B52" s="492" t="s">
        <v>141</v>
      </c>
      <c r="C52" s="739" t="s">
        <v>127</v>
      </c>
      <c r="D52" s="751"/>
      <c r="E52" s="182" t="s">
        <v>162</v>
      </c>
      <c r="F52" s="182"/>
      <c r="G52" s="182"/>
      <c r="H52" s="183" t="s">
        <v>163</v>
      </c>
      <c r="I52" s="116"/>
      <c r="J52" s="224"/>
      <c r="K52" s="819"/>
      <c r="L52" s="819"/>
      <c r="M52" s="224"/>
      <c r="N52" s="99"/>
      <c r="O52" s="1052" t="str">
        <f ca="1">IF(OR(O$19="",O$40=""),"",
SUMPRODUCT(
OFFSET(bibliotheek!$H$19,0,MATCH(O$19,woningen_gebouwen_namen,0)-1,ROWS(bibliotheek!$I$19:$I$24),1),
OFFSET(bibliotheek!$H$40,0,MATCH(O$40,isolatiepakketten_gebouwschil_namen,0)-1,ROWS(bibliotheek!$I$19:$I$24),1)) /
HLOOKUP(O$19,woningen_gebouwen_gegevens,ROWS(bibliotheek!$E$13:$E$25),FALSE))</f>
        <v/>
      </c>
      <c r="P52" s="1052" t="str">
        <f ca="1">IF(OR(P$19="",P$40=""),"",
SUMPRODUCT(
OFFSET(bibliotheek!$H$19,0,MATCH(P$19,woningen_gebouwen_namen,0)-1,ROWS(bibliotheek!$I$19:$I$24),1),
OFFSET(bibliotheek!$H$40,0,MATCH(P$40,isolatiepakketten_gebouwschil_namen,0)-1,ROWS(bibliotheek!$I$19:$I$24),1)) /
HLOOKUP(P$19,woningen_gebouwen_gegevens,ROWS(bibliotheek!$E$13:$E$25),FALSE))</f>
        <v/>
      </c>
      <c r="Q52" s="1052" t="str">
        <f ca="1">IF(OR(Q$19="",Q$40=""),"",
SUMPRODUCT(
OFFSET(bibliotheek!$H$19,0,MATCH(Q$19,woningen_gebouwen_namen,0)-1,ROWS(bibliotheek!$I$19:$I$24),1),
OFFSET(bibliotheek!$H$40,0,MATCH(Q$40,isolatiepakketten_gebouwschil_namen,0)-1,ROWS(bibliotheek!$I$19:$I$24),1)) /
HLOOKUP(Q$19,woningen_gebouwen_gegevens,ROWS(bibliotheek!$E$13:$E$25),FALSE))</f>
        <v/>
      </c>
      <c r="R52" s="1052" t="str">
        <f ca="1">IF(OR(R$19="",R$40=""),"",
SUMPRODUCT(
OFFSET(bibliotheek!$H$19,0,MATCH(R$19,woningen_gebouwen_namen,0)-1,ROWS(bibliotheek!$I$19:$I$24),1),
OFFSET(bibliotheek!$H$40,0,MATCH(R$40,isolatiepakketten_gebouwschil_namen,0)-1,ROWS(bibliotheek!$I$19:$I$24),1)) /
HLOOKUP(R$19,woningen_gebouwen_gegevens,ROWS(bibliotheek!$E$13:$E$25),FALSE))</f>
        <v/>
      </c>
      <c r="S52" s="1052" t="str">
        <f ca="1">IF(OR(S$19="",S$40=""),"",
SUMPRODUCT(
OFFSET(bibliotheek!$H$19,0,MATCH(S$19,woningen_gebouwen_namen,0)-1,ROWS(bibliotheek!$I$19:$I$24),1),
OFFSET(bibliotheek!$H$40,0,MATCH(S$40,isolatiepakketten_gebouwschil_namen,0)-1,ROWS(bibliotheek!$I$19:$I$24),1)) /
HLOOKUP(S$19,woningen_gebouwen_gegevens,ROWS(bibliotheek!$E$13:$E$25),FALSE))</f>
        <v/>
      </c>
      <c r="T52" s="1052" t="str">
        <f ca="1">IF(OR(T$19="",T$40=""),"",
SUMPRODUCT(
OFFSET(bibliotheek!$H$19,0,MATCH(T$19,woningen_gebouwen_namen,0)-1,ROWS(bibliotheek!$I$19:$I$24),1),
OFFSET(bibliotheek!$H$40,0,MATCH(T$40,isolatiepakketten_gebouwschil_namen,0)-1,ROWS(bibliotheek!$I$19:$I$24),1)) /
HLOOKUP(T$19,woningen_gebouwen_gegevens,ROWS(bibliotheek!$E$13:$E$25),FALSE))</f>
        <v/>
      </c>
      <c r="U52" s="1052" t="str">
        <f ca="1">IF(OR(U$19="",U$40=""),"",
SUMPRODUCT(
OFFSET(bibliotheek!$H$19,0,MATCH(U$19,woningen_gebouwen_namen,0)-1,ROWS(bibliotheek!$I$19:$I$24),1),
OFFSET(bibliotheek!$H$40,0,MATCH(U$40,isolatiepakketten_gebouwschil_namen,0)-1,ROWS(bibliotheek!$I$19:$I$24),1)) /
HLOOKUP(U$19,woningen_gebouwen_gegevens,ROWS(bibliotheek!$E$13:$E$25),FALSE))</f>
        <v/>
      </c>
      <c r="V52" s="1052" t="str">
        <f ca="1">IF(OR(V$19="",V$40=""),"",
SUMPRODUCT(
OFFSET(bibliotheek!$H$19,0,MATCH(V$19,woningen_gebouwen_namen,0)-1,ROWS(bibliotheek!$I$19:$I$24),1),
OFFSET(bibliotheek!$H$40,0,MATCH(V$40,isolatiepakketten_gebouwschil_namen,0)-1,ROWS(bibliotheek!$I$19:$I$24),1)) /
HLOOKUP(V$19,woningen_gebouwen_gegevens,ROWS(bibliotheek!$E$13:$E$25),FALSE))</f>
        <v/>
      </c>
      <c r="W52" s="1052" t="str">
        <f ca="1">IF(OR(W$19="",W$40=""),"",
SUMPRODUCT(
OFFSET(bibliotheek!$H$19,0,MATCH(W$19,woningen_gebouwen_namen,0)-1,ROWS(bibliotheek!$I$19:$I$24),1),
OFFSET(bibliotheek!$H$40,0,MATCH(W$40,isolatiepakketten_gebouwschil_namen,0)-1,ROWS(bibliotheek!$I$19:$I$24),1)) /
HLOOKUP(W$19,woningen_gebouwen_gegevens,ROWS(bibliotheek!$E$13:$E$25),FALSE))</f>
        <v/>
      </c>
      <c r="X52" s="211"/>
      <c r="Y52" s="224"/>
      <c r="Z52" s="236"/>
      <c r="AA52" s="237" t="str">
        <f ca="1">IF(OR(AA$19="",AA$40=""),"",
SUMPRODUCT(
OFFSET(bibliotheek!$H$19,0,MATCH(AA$19,woningen_gebouwen_namen,0)-1,ROWS(bibliotheek!$I$19:$I$24),1),
OFFSET(bibliotheek!$H$40,0,MATCH(AA$40,isolatiepakketten_gebouwschil_namen,0)-1,ROWS(bibliotheek!$I$19:$I$24),1)) /
HLOOKUP(AA$19,woningen_gebouwen_gegevens,ROWS(bibliotheek!$E$13:$E$25),FALSE))</f>
        <v/>
      </c>
      <c r="AB52" s="237" t="str">
        <f ca="1">IF(OR(AB$19="",AB$40=""),"",
SUMPRODUCT(
OFFSET(bibliotheek!$H$19,0,MATCH(AB$19,woningen_gebouwen_namen,0)-1,ROWS(bibliotheek!$I$19:$I$24),1),
OFFSET(bibliotheek!$H$40,0,MATCH(AB$40,isolatiepakketten_gebouwschil_namen,0)-1,ROWS(bibliotheek!$I$19:$I$24),1)) /
HLOOKUP(AB$19,woningen_gebouwen_gegevens,ROWS(bibliotheek!$E$13:$E$25),FALSE))</f>
        <v/>
      </c>
      <c r="AC52" s="237" t="str">
        <f ca="1">IF(OR(AC$19="",AC$40=""),"",
SUMPRODUCT(
OFFSET(bibliotheek!$H$19,0,MATCH(AC$19,woningen_gebouwen_namen,0)-1,ROWS(bibliotheek!$I$19:$I$24),1),
OFFSET(bibliotheek!$H$40,0,MATCH(AC$40,isolatiepakketten_gebouwschil_namen,0)-1,ROWS(bibliotheek!$I$19:$I$24),1)) /
HLOOKUP(AC$19,woningen_gebouwen_gegevens,ROWS(bibliotheek!$E$13:$E$25),FALSE))</f>
        <v/>
      </c>
      <c r="AD52" s="237" t="str">
        <f ca="1">IF(OR(AD$19="",AD$40=""),"",
SUMPRODUCT(
OFFSET(bibliotheek!$H$19,0,MATCH(AD$19,woningen_gebouwen_namen,0)-1,ROWS(bibliotheek!$I$19:$I$24),1),
OFFSET(bibliotheek!$H$40,0,MATCH(AD$40,isolatiepakketten_gebouwschil_namen,0)-1,ROWS(bibliotheek!$I$19:$I$24),1)) /
HLOOKUP(AD$19,woningen_gebouwen_gegevens,ROWS(bibliotheek!$E$13:$E$25),FALSE))</f>
        <v/>
      </c>
      <c r="AE52" s="237" t="str">
        <f ca="1">IF(OR(AE$19="",AE$40=""),"",
SUMPRODUCT(
OFFSET(bibliotheek!$H$19,0,MATCH(AE$19,woningen_gebouwen_namen,0)-1,ROWS(bibliotheek!$I$19:$I$24),1),
OFFSET(bibliotheek!$H$40,0,MATCH(AE$40,isolatiepakketten_gebouwschil_namen,0)-1,ROWS(bibliotheek!$I$19:$I$24),1)) /
HLOOKUP(AE$19,woningen_gebouwen_gegevens,ROWS(bibliotheek!$E$13:$E$25),FALSE))</f>
        <v/>
      </c>
      <c r="AF52" s="237" t="str">
        <f ca="1">IF(OR(AF$19="",AF$40=""),"",
SUMPRODUCT(
OFFSET(bibliotheek!$H$19,0,MATCH(AF$19,woningen_gebouwen_namen,0)-1,ROWS(bibliotheek!$I$19:$I$24),1),
OFFSET(bibliotheek!$H$40,0,MATCH(AF$40,isolatiepakketten_gebouwschil_namen,0)-1,ROWS(bibliotheek!$I$19:$I$24),1)) /
HLOOKUP(AF$19,woningen_gebouwen_gegevens,ROWS(bibliotheek!$E$13:$E$25),FALSE))</f>
        <v/>
      </c>
      <c r="AG52" s="237" t="str">
        <f ca="1">IF(OR(AG$19="",AG$40=""),"",
SUMPRODUCT(
OFFSET(bibliotheek!$H$19,0,MATCH(AG$19,woningen_gebouwen_namen,0)-1,ROWS(bibliotheek!$I$19:$I$24),1),
OFFSET(bibliotheek!$H$40,0,MATCH(AG$40,isolatiepakketten_gebouwschil_namen,0)-1,ROWS(bibliotheek!$I$19:$I$24),1)) /
HLOOKUP(AG$19,woningen_gebouwen_gegevens,ROWS(bibliotheek!$E$13:$E$25),FALSE))</f>
        <v/>
      </c>
      <c r="AH52" s="237" t="str">
        <f ca="1">IF(OR(AH$19="",AH$40=""),"",
SUMPRODUCT(
OFFSET(bibliotheek!$H$19,0,MATCH(AH$19,woningen_gebouwen_namen,0)-1,ROWS(bibliotheek!$I$19:$I$24),1),
OFFSET(bibliotheek!$H$40,0,MATCH(AH$40,isolatiepakketten_gebouwschil_namen,0)-1,ROWS(bibliotheek!$I$19:$I$24),1)) /
HLOOKUP(AH$19,woningen_gebouwen_gegevens,ROWS(bibliotheek!$E$13:$E$25),FALSE))</f>
        <v/>
      </c>
      <c r="AI52" s="237" t="str">
        <f ca="1">IF(OR(AI$19="",AI$40=""),"",
SUMPRODUCT(
OFFSET(bibliotheek!$H$19,0,MATCH(AI$19,woningen_gebouwen_namen,0)-1,ROWS(bibliotheek!$I$19:$I$24),1),
OFFSET(bibliotheek!$H$40,0,MATCH(AI$40,isolatiepakketten_gebouwschil_namen,0)-1,ROWS(bibliotheek!$I$19:$I$24),1)) /
HLOOKUP(AI$19,woningen_gebouwen_gegevens,ROWS(bibliotheek!$E$13:$E$25),FALSE))</f>
        <v/>
      </c>
      <c r="AJ52" s="211"/>
      <c r="AK52" s="224"/>
      <c r="AL52" s="212"/>
      <c r="AM52" s="237" t="str">
        <f ca="1">IF(OR(AM$19="",AM$40=""),"",
SUMPRODUCT(
OFFSET(bibliotheek!$H$19,0,MATCH(AM$19,woningen_gebouwen_namen,0)-1,ROWS(bibliotheek!$I$19:$I$24),1),
OFFSET(bibliotheek!$H$40,0,MATCH(AM$40,isolatiepakketten_gebouwschil_namen,0)-1,ROWS(bibliotheek!$I$19:$I$24),1)) /
HLOOKUP(AM$19,woningen_gebouwen_gegevens,ROWS(bibliotheek!$E$13:$E$25),FALSE))</f>
        <v/>
      </c>
      <c r="AN52" s="237" t="str">
        <f ca="1">IF(OR(AN$19="",AN$40=""),"",
SUMPRODUCT(
OFFSET(bibliotheek!$H$19,0,MATCH(AN$19,woningen_gebouwen_namen,0)-1,ROWS(bibliotheek!$I$19:$I$24),1),
OFFSET(bibliotheek!$H$40,0,MATCH(AN$40,isolatiepakketten_gebouwschil_namen,0)-1,ROWS(bibliotheek!$I$19:$I$24),1)) /
HLOOKUP(AN$19,woningen_gebouwen_gegevens,ROWS(bibliotheek!$E$13:$E$25),FALSE))</f>
        <v/>
      </c>
      <c r="AO52" s="237" t="str">
        <f ca="1">IF(OR(AO$19="",AO$40=""),"",
SUMPRODUCT(
OFFSET(bibliotheek!$H$19,0,MATCH(AO$19,woningen_gebouwen_namen,0)-1,ROWS(bibliotheek!$I$19:$I$24),1),
OFFSET(bibliotheek!$H$40,0,MATCH(AO$40,isolatiepakketten_gebouwschil_namen,0)-1,ROWS(bibliotheek!$I$19:$I$24),1)) /
HLOOKUP(AO$19,woningen_gebouwen_gegevens,ROWS(bibliotheek!$E$13:$E$25),FALSE))</f>
        <v/>
      </c>
      <c r="AP52" s="237" t="str">
        <f ca="1">IF(OR(AP$19="",AP$40=""),"",
SUMPRODUCT(
OFFSET(bibliotheek!$H$19,0,MATCH(AP$19,woningen_gebouwen_namen,0)-1,ROWS(bibliotheek!$I$19:$I$24),1),
OFFSET(bibliotheek!$H$40,0,MATCH(AP$40,isolatiepakketten_gebouwschil_namen,0)-1,ROWS(bibliotheek!$I$19:$I$24),1)) /
HLOOKUP(AP$19,woningen_gebouwen_gegevens,ROWS(bibliotheek!$E$13:$E$25),FALSE))</f>
        <v/>
      </c>
      <c r="AQ52" s="237" t="str">
        <f ca="1">IF(OR(AQ$19="",AQ$40=""),"",
SUMPRODUCT(
OFFSET(bibliotheek!$H$19,0,MATCH(AQ$19,woningen_gebouwen_namen,0)-1,ROWS(bibliotheek!$I$19:$I$24),1),
OFFSET(bibliotheek!$H$40,0,MATCH(AQ$40,isolatiepakketten_gebouwschil_namen,0)-1,ROWS(bibliotheek!$I$19:$I$24),1)) /
HLOOKUP(AQ$19,woningen_gebouwen_gegevens,ROWS(bibliotheek!$E$13:$E$25),FALSE))</f>
        <v/>
      </c>
      <c r="AR52" s="237" t="str">
        <f ca="1">IF(OR(AR$19="",AR$40=""),"",
SUMPRODUCT(
OFFSET(bibliotheek!$H$19,0,MATCH(AR$19,woningen_gebouwen_namen,0)-1,ROWS(bibliotheek!$I$19:$I$24),1),
OFFSET(bibliotheek!$H$40,0,MATCH(AR$40,isolatiepakketten_gebouwschil_namen,0)-1,ROWS(bibliotheek!$I$19:$I$24),1)) /
HLOOKUP(AR$19,woningen_gebouwen_gegevens,ROWS(bibliotheek!$E$13:$E$25),FALSE))</f>
        <v/>
      </c>
      <c r="AS52" s="237" t="str">
        <f ca="1">IF(OR(AS$19="",AS$40=""),"",
SUMPRODUCT(
OFFSET(bibliotheek!$H$19,0,MATCH(AS$19,woningen_gebouwen_namen,0)-1,ROWS(bibliotheek!$I$19:$I$24),1),
OFFSET(bibliotheek!$H$40,0,MATCH(AS$40,isolatiepakketten_gebouwschil_namen,0)-1,ROWS(bibliotheek!$I$19:$I$24),1)) /
HLOOKUP(AS$19,woningen_gebouwen_gegevens,ROWS(bibliotheek!$E$13:$E$25),FALSE))</f>
        <v/>
      </c>
      <c r="AT52" s="237" t="str">
        <f ca="1">IF(OR(AT$19="",AT$40=""),"",
SUMPRODUCT(
OFFSET(bibliotheek!$H$19,0,MATCH(AT$19,woningen_gebouwen_namen,0)-1,ROWS(bibliotheek!$I$19:$I$24),1),
OFFSET(bibliotheek!$H$40,0,MATCH(AT$40,isolatiepakketten_gebouwschil_namen,0)-1,ROWS(bibliotheek!$I$19:$I$24),1)) /
HLOOKUP(AT$19,woningen_gebouwen_gegevens,ROWS(bibliotheek!$E$13:$E$25),FALSE))</f>
        <v/>
      </c>
      <c r="AU52" s="237" t="str">
        <f ca="1">IF(OR(AU$19="",AU$40=""),"",
SUMPRODUCT(
OFFSET(bibliotheek!$H$19,0,MATCH(AU$19,woningen_gebouwen_namen,0)-1,ROWS(bibliotheek!$I$19:$I$24),1),
OFFSET(bibliotheek!$H$40,0,MATCH(AU$40,isolatiepakketten_gebouwschil_namen,0)-1,ROWS(bibliotheek!$I$19:$I$24),1)) /
HLOOKUP(AU$19,woningen_gebouwen_gegevens,ROWS(bibliotheek!$E$13:$E$25),FALSE))</f>
        <v/>
      </c>
      <c r="AV52" s="211"/>
      <c r="AW52" s="224"/>
      <c r="AX52" s="212"/>
      <c r="AY52" s="237" t="str">
        <f ca="1">IF(OR(AY$19="",AY$40=""),"",
SUMPRODUCT(
OFFSET(bibliotheek!$H$19,0,MATCH(AY$19,woningen_gebouwen_namen,0)-1,ROWS(bibliotheek!$I$19:$I$24),1),
OFFSET(bibliotheek!$H$40,0,MATCH(AY$40,isolatiepakketten_gebouwschil_namen,0)-1,ROWS(bibliotheek!$I$19:$I$24),1)) /
HLOOKUP(AY$19,woningen_gebouwen_gegevens,ROWS(bibliotheek!$E$13:$E$25),FALSE))</f>
        <v/>
      </c>
      <c r="AZ52" s="237" t="str">
        <f ca="1">IF(OR(AZ$19="",AZ$40=""),"",
SUMPRODUCT(
OFFSET(bibliotheek!$H$19,0,MATCH(AZ$19,woningen_gebouwen_namen,0)-1,ROWS(bibliotheek!$I$19:$I$24),1),
OFFSET(bibliotheek!$H$40,0,MATCH(AZ$40,isolatiepakketten_gebouwschil_namen,0)-1,ROWS(bibliotheek!$I$19:$I$24),1)) /
HLOOKUP(AZ$19,woningen_gebouwen_gegevens,ROWS(bibliotheek!$E$13:$E$25),FALSE))</f>
        <v/>
      </c>
      <c r="BA52" s="237" t="str">
        <f ca="1">IF(OR(BA$19="",BA$40=""),"",
SUMPRODUCT(
OFFSET(bibliotheek!$H$19,0,MATCH(BA$19,woningen_gebouwen_namen,0)-1,ROWS(bibliotheek!$I$19:$I$24),1),
OFFSET(bibliotheek!$H$40,0,MATCH(BA$40,isolatiepakketten_gebouwschil_namen,0)-1,ROWS(bibliotheek!$I$19:$I$24),1)) /
HLOOKUP(BA$19,woningen_gebouwen_gegevens,ROWS(bibliotheek!$E$13:$E$25),FALSE))</f>
        <v/>
      </c>
      <c r="BB52" s="237" t="str">
        <f ca="1">IF(OR(BB$19="",BB$40=""),"",
SUMPRODUCT(
OFFSET(bibliotheek!$H$19,0,MATCH(BB$19,woningen_gebouwen_namen,0)-1,ROWS(bibliotheek!$I$19:$I$24),1),
OFFSET(bibliotheek!$H$40,0,MATCH(BB$40,isolatiepakketten_gebouwschil_namen,0)-1,ROWS(bibliotheek!$I$19:$I$24),1)) /
HLOOKUP(BB$19,woningen_gebouwen_gegevens,ROWS(bibliotheek!$E$13:$E$25),FALSE))</f>
        <v/>
      </c>
      <c r="BC52" s="237" t="str">
        <f ca="1">IF(OR(BC$19="",BC$40=""),"",
SUMPRODUCT(
OFFSET(bibliotheek!$H$19,0,MATCH(BC$19,woningen_gebouwen_namen,0)-1,ROWS(bibliotheek!$I$19:$I$24),1),
OFFSET(bibliotheek!$H$40,0,MATCH(BC$40,isolatiepakketten_gebouwschil_namen,0)-1,ROWS(bibliotheek!$I$19:$I$24),1)) /
HLOOKUP(BC$19,woningen_gebouwen_gegevens,ROWS(bibliotheek!$E$13:$E$25),FALSE))</f>
        <v/>
      </c>
      <c r="BD52" s="237" t="str">
        <f ca="1">IF(OR(BD$19="",BD$40=""),"",
SUMPRODUCT(
OFFSET(bibliotheek!$H$19,0,MATCH(BD$19,woningen_gebouwen_namen,0)-1,ROWS(bibliotheek!$I$19:$I$24),1),
OFFSET(bibliotheek!$H$40,0,MATCH(BD$40,isolatiepakketten_gebouwschil_namen,0)-1,ROWS(bibliotheek!$I$19:$I$24),1)) /
HLOOKUP(BD$19,woningen_gebouwen_gegevens,ROWS(bibliotheek!$E$13:$E$25),FALSE))</f>
        <v/>
      </c>
      <c r="BE52" s="237" t="str">
        <f ca="1">IF(OR(BE$19="",BE$40=""),"",
SUMPRODUCT(
OFFSET(bibliotheek!$H$19,0,MATCH(BE$19,woningen_gebouwen_namen,0)-1,ROWS(bibliotheek!$I$19:$I$24),1),
OFFSET(bibliotheek!$H$40,0,MATCH(BE$40,isolatiepakketten_gebouwschil_namen,0)-1,ROWS(bibliotheek!$I$19:$I$24),1)) /
HLOOKUP(BE$19,woningen_gebouwen_gegevens,ROWS(bibliotheek!$E$13:$E$25),FALSE))</f>
        <v/>
      </c>
      <c r="BF52" s="237" t="str">
        <f ca="1">IF(OR(BF$19="",BF$40=""),"",
SUMPRODUCT(
OFFSET(bibliotheek!$H$19,0,MATCH(BF$19,woningen_gebouwen_namen,0)-1,ROWS(bibliotheek!$I$19:$I$24),1),
OFFSET(bibliotheek!$H$40,0,MATCH(BF$40,isolatiepakketten_gebouwschil_namen,0)-1,ROWS(bibliotheek!$I$19:$I$24),1)) /
HLOOKUP(BF$19,woningen_gebouwen_gegevens,ROWS(bibliotheek!$E$13:$E$25),FALSE))</f>
        <v/>
      </c>
      <c r="BG52" s="237" t="str">
        <f ca="1">IF(OR(BG$19="",BG$40=""),"",
SUMPRODUCT(
OFFSET(bibliotheek!$H$19,0,MATCH(BG$19,woningen_gebouwen_namen,0)-1,ROWS(bibliotheek!$I$19:$I$24),1),
OFFSET(bibliotheek!$H$40,0,MATCH(BG$40,isolatiepakketten_gebouwschil_namen,0)-1,ROWS(bibliotheek!$I$19:$I$24),1)) /
HLOOKUP(BG$19,woningen_gebouwen_gegevens,ROWS(bibliotheek!$E$13:$E$25),FALSE))</f>
        <v/>
      </c>
      <c r="BH52" s="261"/>
    </row>
    <row r="53" spans="1:60" s="2" customFormat="1" x14ac:dyDescent="0.2">
      <c r="A53" s="927"/>
      <c r="B53" s="741" t="s">
        <v>141</v>
      </c>
      <c r="C53" s="739" t="s">
        <v>127</v>
      </c>
      <c r="D53" s="751" t="s">
        <v>50</v>
      </c>
      <c r="E53" s="316" t="s">
        <v>164</v>
      </c>
      <c r="F53" s="316"/>
      <c r="G53" s="316"/>
      <c r="H53" s="354" t="s">
        <v>70</v>
      </c>
      <c r="I53" s="116"/>
      <c r="J53" s="928"/>
      <c r="K53" s="819"/>
      <c r="L53" s="819"/>
      <c r="M53" s="1056">
        <f>IF(SUMPRODUCT(N32:X32,N60:X60)=0,0,SUMPRODUCT(N53:X53,N32:X32,N60:X60)/SUMPRODUCT(N32:X32,N60:X60))</f>
        <v>0</v>
      </c>
      <c r="N53" s="103"/>
      <c r="O53" s="1053">
        <f t="shared" ref="O53:W53" si="48">IF(OR(O$19="",O$24=0,O$40=""),0,IF($G$6=FALSE,1,IF(O54&lt;&gt;"",O54,O55)))</f>
        <v>0</v>
      </c>
      <c r="P53" s="1053">
        <f t="shared" si="48"/>
        <v>0</v>
      </c>
      <c r="Q53" s="1053">
        <f t="shared" si="48"/>
        <v>0</v>
      </c>
      <c r="R53" s="1053">
        <f t="shared" si="48"/>
        <v>0</v>
      </c>
      <c r="S53" s="1053">
        <f t="shared" si="48"/>
        <v>0</v>
      </c>
      <c r="T53" s="1053">
        <f t="shared" si="48"/>
        <v>0</v>
      </c>
      <c r="U53" s="1053">
        <f t="shared" si="48"/>
        <v>0</v>
      </c>
      <c r="V53" s="1053">
        <f t="shared" si="48"/>
        <v>0</v>
      </c>
      <c r="W53" s="1053">
        <f t="shared" si="48"/>
        <v>0</v>
      </c>
      <c r="X53" s="211"/>
      <c r="Y53" s="1056">
        <f>IF(SUMPRODUCT(Z32:AJ32,Z60:AJ60)=0,0,SUMPRODUCT(Z53:AJ53,Z32:AJ32,Z60:AJ60)/SUMPRODUCT(Z32:AJ32,Z60:AJ60))</f>
        <v>0</v>
      </c>
      <c r="Z53" s="103"/>
      <c r="AA53" s="1052">
        <f t="shared" ref="AA53:AI53" si="49">IF(OR(AA$19="",AA$24=0,AA$40=""),0,IF($G$6=FALSE,1,IF(AA54&lt;&gt;"",AA54,AA55)))</f>
        <v>0</v>
      </c>
      <c r="AB53" s="1052">
        <f t="shared" si="49"/>
        <v>0</v>
      </c>
      <c r="AC53" s="1052">
        <f t="shared" si="49"/>
        <v>0</v>
      </c>
      <c r="AD53" s="1052">
        <f t="shared" si="49"/>
        <v>0</v>
      </c>
      <c r="AE53" s="1052">
        <f t="shared" si="49"/>
        <v>0</v>
      </c>
      <c r="AF53" s="1052">
        <f t="shared" si="49"/>
        <v>0</v>
      </c>
      <c r="AG53" s="1052">
        <f t="shared" si="49"/>
        <v>0</v>
      </c>
      <c r="AH53" s="1052">
        <f t="shared" si="49"/>
        <v>0</v>
      </c>
      <c r="AI53" s="1052">
        <f t="shared" si="49"/>
        <v>0</v>
      </c>
      <c r="AJ53" s="211"/>
      <c r="AK53" s="1056">
        <f>IF(SUMPRODUCT(AL32:AV32,AL60:AV60)=0,0,SUMPRODUCT(AL53:AV53,AL32:AV32,AL60:AV60)/SUMPRODUCT(AL32:AV32,AL60:AV60))</f>
        <v>0</v>
      </c>
      <c r="AL53" s="103"/>
      <c r="AM53" s="1052">
        <f t="shared" ref="AM53:AU53" si="50">IF(OR(AM$19="",AM$24=0,AM$40=""),0,IF($G$6=FALSE,1,IF(AM54&lt;&gt;"",AM54,AM55)))</f>
        <v>0</v>
      </c>
      <c r="AN53" s="1052">
        <f t="shared" si="50"/>
        <v>0</v>
      </c>
      <c r="AO53" s="1052">
        <f t="shared" si="50"/>
        <v>0</v>
      </c>
      <c r="AP53" s="1052">
        <f t="shared" si="50"/>
        <v>0</v>
      </c>
      <c r="AQ53" s="1052">
        <f t="shared" si="50"/>
        <v>0</v>
      </c>
      <c r="AR53" s="1052">
        <f t="shared" si="50"/>
        <v>0</v>
      </c>
      <c r="AS53" s="1052">
        <f t="shared" si="50"/>
        <v>0</v>
      </c>
      <c r="AT53" s="1052">
        <f t="shared" si="50"/>
        <v>0</v>
      </c>
      <c r="AU53" s="1052">
        <f t="shared" si="50"/>
        <v>0</v>
      </c>
      <c r="AV53" s="211"/>
      <c r="AW53" s="1056">
        <f>IF(SUMPRODUCT(AX32:BH32,AX60:BH60)=0,0,SUMPRODUCT(AX53:BH53,AX32:BH32,AX60:BH60)/SUMPRODUCT(AX32:BH32,AX60:BH60))</f>
        <v>0</v>
      </c>
      <c r="AX53" s="103"/>
      <c r="AY53" s="1052">
        <f t="shared" ref="AY53:BG53" si="51">IF(OR(AY$19="",AY$24=0,AY$40=""),0,IF($G$6=FALSE,1,IF(AY54&lt;&gt;"",AY54,AY55)))</f>
        <v>0</v>
      </c>
      <c r="AZ53" s="1052">
        <f t="shared" si="51"/>
        <v>0</v>
      </c>
      <c r="BA53" s="1052">
        <f t="shared" si="51"/>
        <v>0</v>
      </c>
      <c r="BB53" s="1052">
        <f t="shared" si="51"/>
        <v>0</v>
      </c>
      <c r="BC53" s="1052">
        <f t="shared" si="51"/>
        <v>0</v>
      </c>
      <c r="BD53" s="1052">
        <f t="shared" si="51"/>
        <v>0</v>
      </c>
      <c r="BE53" s="1052">
        <f t="shared" si="51"/>
        <v>0</v>
      </c>
      <c r="BF53" s="1052">
        <f t="shared" si="51"/>
        <v>0</v>
      </c>
      <c r="BG53" s="1052">
        <f t="shared" si="51"/>
        <v>0</v>
      </c>
      <c r="BH53" s="261"/>
    </row>
    <row r="54" spans="1:60" s="2" customFormat="1" x14ac:dyDescent="0.2">
      <c r="A54" s="927"/>
      <c r="B54" s="741" t="s">
        <v>141</v>
      </c>
      <c r="C54" s="739" t="s">
        <v>127</v>
      </c>
      <c r="D54" s="748"/>
      <c r="E54" s="455" t="s">
        <v>165</v>
      </c>
      <c r="F54" s="687"/>
      <c r="G54" s="687"/>
      <c r="H54" s="929"/>
      <c r="I54" s="116"/>
      <c r="J54" s="930"/>
      <c r="K54" s="819"/>
      <c r="L54" s="819"/>
      <c r="M54" s="931"/>
      <c r="N54" s="294"/>
      <c r="O54" s="1054"/>
      <c r="P54" s="1054"/>
      <c r="Q54" s="1054"/>
      <c r="R54" s="1054"/>
      <c r="S54" s="1054"/>
      <c r="T54" s="1054"/>
      <c r="U54" s="1054"/>
      <c r="V54" s="1054"/>
      <c r="W54" s="1054"/>
      <c r="X54" s="211"/>
      <c r="Y54" s="931"/>
      <c r="Z54" s="294"/>
      <c r="AA54" s="1054"/>
      <c r="AB54" s="1054"/>
      <c r="AC54" s="1054"/>
      <c r="AD54" s="1054"/>
      <c r="AE54" s="1054"/>
      <c r="AF54" s="1054"/>
      <c r="AG54" s="1054"/>
      <c r="AH54" s="1054"/>
      <c r="AI54" s="1054"/>
      <c r="AJ54" s="211"/>
      <c r="AK54" s="931"/>
      <c r="AL54" s="294"/>
      <c r="AM54" s="1054"/>
      <c r="AN54" s="1054"/>
      <c r="AO54" s="1054"/>
      <c r="AP54" s="1054"/>
      <c r="AQ54" s="1054"/>
      <c r="AR54" s="1054"/>
      <c r="AS54" s="1054"/>
      <c r="AT54" s="1054"/>
      <c r="AU54" s="1054"/>
      <c r="AV54" s="211"/>
      <c r="AW54" s="931"/>
      <c r="AX54" s="294"/>
      <c r="AY54" s="1054"/>
      <c r="AZ54" s="1054"/>
      <c r="BA54" s="1054"/>
      <c r="BB54" s="1054"/>
      <c r="BC54" s="1054"/>
      <c r="BD54" s="1054"/>
      <c r="BE54" s="1054"/>
      <c r="BF54" s="1054"/>
      <c r="BG54" s="1054"/>
      <c r="BH54" s="261"/>
    </row>
    <row r="55" spans="1:60" s="2" customFormat="1" x14ac:dyDescent="0.2">
      <c r="A55" s="927"/>
      <c r="B55" s="741" t="s">
        <v>141</v>
      </c>
      <c r="C55" s="739" t="s">
        <v>127</v>
      </c>
      <c r="D55" s="748"/>
      <c r="E55" s="932" t="s">
        <v>166</v>
      </c>
      <c r="F55" s="933"/>
      <c r="G55" s="933"/>
      <c r="H55" s="934"/>
      <c r="I55" s="935"/>
      <c r="J55" s="936"/>
      <c r="K55" s="937"/>
      <c r="L55" s="937"/>
      <c r="M55" s="938"/>
      <c r="N55" s="718"/>
      <c r="O55" s="1055" t="str" cm="1">
        <f t="array" ref="O55">IF(O24=0,"",ROUND(INDEX(Correctiefactoren,ROWS(bibliotheek!$E$278:$E$279),MATCH(O$21,bibliotheek!$E$278:$U$278,0))*O$52^INDEX(Correctiefactoren,ROWS(bibliotheek!$E$278:$E$280),MATCH(O$21,bibliotheek!$E$278:$U$278,0)),2))</f>
        <v/>
      </c>
      <c r="P55" s="1055" t="str" cm="1">
        <f t="array" ref="P55">IF(P24=0,"",ROUND(INDEX(Correctiefactoren,ROWS(bibliotheek!$E$278:$E$279),MATCH(P$21,bibliotheek!$E$278:$U$278,0))*P$52^INDEX(Correctiefactoren,ROWS(bibliotheek!$E$278:$E$280),MATCH(P$21,bibliotheek!$E$278:$U$278,0)),2))</f>
        <v/>
      </c>
      <c r="Q55" s="1055" t="str" cm="1">
        <f t="array" ref="Q55">IF(Q24=0,"",ROUND(INDEX(Correctiefactoren,ROWS(bibliotheek!$E$278:$E$279),MATCH(Q$21,bibliotheek!$E$278:$U$278,0))*Q$52^INDEX(Correctiefactoren,ROWS(bibliotheek!$E$278:$E$280),MATCH(Q$21,bibliotheek!$E$278:$U$278,0)),2))</f>
        <v/>
      </c>
      <c r="R55" s="1055" t="str" cm="1">
        <f t="array" ref="R55">IF(R24=0,"",ROUND(INDEX(Correctiefactoren,ROWS(bibliotheek!$E$278:$E$279),MATCH(R$21,bibliotheek!$E$278:$U$278,0))*R$52^INDEX(Correctiefactoren,ROWS(bibliotheek!$E$278:$E$280),MATCH(R$21,bibliotheek!$E$278:$U$278,0)),2))</f>
        <v/>
      </c>
      <c r="S55" s="1055" t="str" cm="1">
        <f t="array" ref="S55">IF(S24=0,"",ROUND(INDEX(Correctiefactoren,ROWS(bibliotheek!$E$278:$E$279),MATCH(S$21,bibliotheek!$E$278:$U$278,0))*S$52^INDEX(Correctiefactoren,ROWS(bibliotheek!$E$278:$E$280),MATCH(S$21,bibliotheek!$E$278:$U$278,0)),2))</f>
        <v/>
      </c>
      <c r="T55" s="1055" t="str" cm="1">
        <f t="array" ref="T55">IF(T24=0,"",ROUND(INDEX(Correctiefactoren,ROWS(bibliotheek!$E$278:$E$279),MATCH(T$21,bibliotheek!$E$278:$U$278,0))*T$52^INDEX(Correctiefactoren,ROWS(bibliotheek!$E$278:$E$280),MATCH(T$21,bibliotheek!$E$278:$U$278,0)),2))</f>
        <v/>
      </c>
      <c r="U55" s="1055" t="str" cm="1">
        <f t="array" ref="U55">IF(U24=0,"",ROUND(INDEX(Correctiefactoren,ROWS(bibliotheek!$E$278:$E$279),MATCH(U$21,bibliotheek!$E$278:$U$278,0))*U$52^INDEX(Correctiefactoren,ROWS(bibliotheek!$E$278:$E$280),MATCH(U$21,bibliotheek!$E$278:$U$278,0)),2))</f>
        <v/>
      </c>
      <c r="V55" s="1055" t="str" cm="1">
        <f t="array" ref="V55">IF(V24=0,"",ROUND(INDEX(Correctiefactoren,ROWS(bibliotheek!$E$278:$E$279),MATCH(V$21,bibliotheek!$E$278:$U$278,0))*V$52^INDEX(Correctiefactoren,ROWS(bibliotheek!$E$278:$E$280),MATCH(V$21,bibliotheek!$E$278:$U$278,0)),2))</f>
        <v/>
      </c>
      <c r="W55" s="1055" t="str" cm="1">
        <f t="array" ref="W55">IF(W24=0,"",ROUND(INDEX(Correctiefactoren,ROWS(bibliotheek!$E$278:$E$279),MATCH(W$21,bibliotheek!$E$278:$U$278,0))*W$52^INDEX(Correctiefactoren,ROWS(bibliotheek!$E$278:$E$280),MATCH(W$21,bibliotheek!$E$278:$U$278,0)),2))</f>
        <v/>
      </c>
      <c r="X55" s="939"/>
      <c r="Y55" s="938"/>
      <c r="Z55" s="718"/>
      <c r="AA55" s="1057" t="str" cm="1">
        <f t="array" ref="AA55">IF(AA24=0,"",ROUND(INDEX(Correctiefactoren,ROWS(bibliotheek!$E$278:$E$279),MATCH(AA$21,bibliotheek!$E$278:$U$278,0))*AA$52^INDEX(Correctiefactoren,ROWS(bibliotheek!$E$278:$E$280),MATCH(AA$21,bibliotheek!$E$278:$U$278,0)),2))</f>
        <v/>
      </c>
      <c r="AB55" s="1057" t="str" cm="1">
        <f t="array" ref="AB55">IF(AB24=0,"",ROUND(INDEX(Correctiefactoren,ROWS(bibliotheek!$E$278:$E$279),MATCH(AB$21,bibliotheek!$E$278:$U$278,0))*AB$52^INDEX(Correctiefactoren,ROWS(bibliotheek!$E$278:$E$280),MATCH(AB$21,bibliotheek!$E$278:$U$278,0)),2))</f>
        <v/>
      </c>
      <c r="AC55" s="1057" t="str" cm="1">
        <f t="array" ref="AC55">IF(AC24=0,"",ROUND(INDEX(Correctiefactoren,ROWS(bibliotheek!$E$278:$E$279),MATCH(AC$21,bibliotheek!$E$278:$U$278,0))*AC$52^INDEX(Correctiefactoren,ROWS(bibliotheek!$E$278:$E$280),MATCH(AC$21,bibliotheek!$E$278:$U$278,0)),2))</f>
        <v/>
      </c>
      <c r="AD55" s="1057" t="str" cm="1">
        <f t="array" ref="AD55">IF(AD24=0,"",ROUND(INDEX(Correctiefactoren,ROWS(bibliotheek!$E$278:$E$279),MATCH(AD$21,bibliotheek!$E$278:$U$278,0))*AD$52^INDEX(Correctiefactoren,ROWS(bibliotheek!$E$278:$E$280),MATCH(AD$21,bibliotheek!$E$278:$U$278,0)),2))</f>
        <v/>
      </c>
      <c r="AE55" s="1057" t="str" cm="1">
        <f t="array" ref="AE55">IF(AE24=0,"",ROUND(INDEX(Correctiefactoren,ROWS(bibliotheek!$E$278:$E$279),MATCH(AE$21,bibliotheek!$E$278:$U$278,0))*AE$52^INDEX(Correctiefactoren,ROWS(bibliotheek!$E$278:$E$280),MATCH(AE$21,bibliotheek!$E$278:$U$278,0)),2))</f>
        <v/>
      </c>
      <c r="AF55" s="1057" t="str" cm="1">
        <f t="array" ref="AF55">IF(AF24=0,"",ROUND(INDEX(Correctiefactoren,ROWS(bibliotheek!$E$278:$E$279),MATCH(AF$21,bibliotheek!$E$278:$U$278,0))*AF$52^INDEX(Correctiefactoren,ROWS(bibliotheek!$E$278:$E$280),MATCH(AF$21,bibliotheek!$E$278:$U$278,0)),2))</f>
        <v/>
      </c>
      <c r="AG55" s="1057" t="str" cm="1">
        <f t="array" ref="AG55">IF(AG24=0,"",ROUND(INDEX(Correctiefactoren,ROWS(bibliotheek!$E$278:$E$279),MATCH(AG$21,bibliotheek!$E$278:$U$278,0))*AG$52^INDEX(Correctiefactoren,ROWS(bibliotheek!$E$278:$E$280),MATCH(AG$21,bibliotheek!$E$278:$U$278,0)),2))</f>
        <v/>
      </c>
      <c r="AH55" s="1057" t="str" cm="1">
        <f t="array" ref="AH55">IF(AH24=0,"",ROUND(INDEX(Correctiefactoren,ROWS(bibliotheek!$E$278:$E$279),MATCH(AH$21,bibliotheek!$E$278:$U$278,0))*AH$52^INDEX(Correctiefactoren,ROWS(bibliotheek!$E$278:$E$280),MATCH(AH$21,bibliotheek!$E$278:$U$278,0)),2))</f>
        <v/>
      </c>
      <c r="AI55" s="1057" t="str" cm="1">
        <f t="array" ref="AI55">IF(AI24=0,"",ROUND(INDEX(Correctiefactoren,ROWS(bibliotheek!$E$278:$E$279),MATCH(AI$21,bibliotheek!$E$278:$U$278,0))*AI$52^INDEX(Correctiefactoren,ROWS(bibliotheek!$E$278:$E$280),MATCH(AI$21,bibliotheek!$E$278:$U$278,0)),2))</f>
        <v/>
      </c>
      <c r="AJ55" s="939"/>
      <c r="AK55" s="938"/>
      <c r="AL55" s="718"/>
      <c r="AM55" s="1057" t="str" cm="1">
        <f t="array" ref="AM55">IF(AM24=0,"",ROUND(INDEX(Correctiefactoren,ROWS(bibliotheek!$E$278:$E$279),MATCH(AM$21,bibliotheek!$E$278:$U$278,0))*AM$52^INDEX(Correctiefactoren,ROWS(bibliotheek!$E$278:$E$280),MATCH(AM$21,bibliotheek!$E$278:$U$278,0)),2))</f>
        <v/>
      </c>
      <c r="AN55" s="1057" t="str" cm="1">
        <f t="array" ref="AN55">IF(AN24=0,"",ROUND(INDEX(Correctiefactoren,ROWS(bibliotheek!$E$278:$E$279),MATCH(AN$21,bibliotheek!$E$278:$U$278,0))*AN$52^INDEX(Correctiefactoren,ROWS(bibliotheek!$E$278:$E$280),MATCH(AN$21,bibliotheek!$E$278:$U$278,0)),2))</f>
        <v/>
      </c>
      <c r="AO55" s="1057" t="str" cm="1">
        <f t="array" ref="AO55">IF(AO24=0,"",ROUND(INDEX(Correctiefactoren,ROWS(bibliotheek!$E$278:$E$279),MATCH(AO$21,bibliotheek!$E$278:$U$278,0))*AO$52^INDEX(Correctiefactoren,ROWS(bibliotheek!$E$278:$E$280),MATCH(AO$21,bibliotheek!$E$278:$U$278,0)),2))</f>
        <v/>
      </c>
      <c r="AP55" s="1057" t="str" cm="1">
        <f t="array" ref="AP55">IF(AP24=0,"",ROUND(INDEX(Correctiefactoren,ROWS(bibliotheek!$E$278:$E$279),MATCH(AP$21,bibliotheek!$E$278:$U$278,0))*AP$52^INDEX(Correctiefactoren,ROWS(bibliotheek!$E$278:$E$280),MATCH(AP$21,bibliotheek!$E$278:$U$278,0)),2))</f>
        <v/>
      </c>
      <c r="AQ55" s="1057" t="str" cm="1">
        <f t="array" ref="AQ55">IF(AQ24=0,"",ROUND(INDEX(Correctiefactoren,ROWS(bibliotheek!$E$278:$E$279),MATCH(AQ$21,bibliotheek!$E$278:$U$278,0))*AQ$52^INDEX(Correctiefactoren,ROWS(bibliotheek!$E$278:$E$280),MATCH(AQ$21,bibliotheek!$E$278:$U$278,0)),2))</f>
        <v/>
      </c>
      <c r="AR55" s="1057" t="str" cm="1">
        <f t="array" ref="AR55">IF(AR24=0,"",ROUND(INDEX(Correctiefactoren,ROWS(bibliotheek!$E$278:$E$279),MATCH(AR$21,bibliotheek!$E$278:$U$278,0))*AR$52^INDEX(Correctiefactoren,ROWS(bibliotheek!$E$278:$E$280),MATCH(AR$21,bibliotheek!$E$278:$U$278,0)),2))</f>
        <v/>
      </c>
      <c r="AS55" s="1057" t="str" cm="1">
        <f t="array" ref="AS55">IF(AS24=0,"",ROUND(INDEX(Correctiefactoren,ROWS(bibliotheek!$E$278:$E$279),MATCH(AS$21,bibliotheek!$E$278:$U$278,0))*AS$52^INDEX(Correctiefactoren,ROWS(bibliotheek!$E$278:$E$280),MATCH(AS$21,bibliotheek!$E$278:$U$278,0)),2))</f>
        <v/>
      </c>
      <c r="AT55" s="1057" t="str" cm="1">
        <f t="array" ref="AT55">IF(AT24=0,"",ROUND(INDEX(Correctiefactoren,ROWS(bibliotheek!$E$278:$E$279),MATCH(AT$21,bibliotheek!$E$278:$U$278,0))*AT$52^INDEX(Correctiefactoren,ROWS(bibliotheek!$E$278:$E$280),MATCH(AT$21,bibliotheek!$E$278:$U$278,0)),2))</f>
        <v/>
      </c>
      <c r="AU55" s="1057" t="str" cm="1">
        <f t="array" ref="AU55">IF(AU24=0,"",ROUND(INDEX(Correctiefactoren,ROWS(bibliotheek!$E$278:$E$279),MATCH(AU$21,bibliotheek!$E$278:$U$278,0))*AU$52^INDEX(Correctiefactoren,ROWS(bibliotheek!$E$278:$E$280),MATCH(AU$21,bibliotheek!$E$278:$U$278,0)),2))</f>
        <v/>
      </c>
      <c r="AV55" s="939"/>
      <c r="AW55" s="938"/>
      <c r="AX55" s="718"/>
      <c r="AY55" s="1057" t="str" cm="1">
        <f t="array" ref="AY55">IF(AY24=0,"",ROUND(INDEX(Correctiefactoren,ROWS(bibliotheek!$E$278:$E$279),MATCH(AY$21,bibliotheek!$E$278:$U$278,0))*AY$52^INDEX(Correctiefactoren,ROWS(bibliotheek!$E$278:$E$280),MATCH(AY$21,bibliotheek!$E$278:$U$278,0)),2))</f>
        <v/>
      </c>
      <c r="AZ55" s="1057" t="str" cm="1">
        <f t="array" ref="AZ55">IF(AZ24=0,"",ROUND(INDEX(Correctiefactoren,ROWS(bibliotheek!$E$278:$E$279),MATCH(AZ$21,bibliotheek!$E$278:$U$278,0))*AZ$52^INDEX(Correctiefactoren,ROWS(bibliotheek!$E$278:$E$280),MATCH(AZ$21,bibliotheek!$E$278:$U$278,0)),2))</f>
        <v/>
      </c>
      <c r="BA55" s="1057" t="str" cm="1">
        <f t="array" ref="BA55">IF(BA24=0,"",ROUND(INDEX(Correctiefactoren,ROWS(bibliotheek!$E$278:$E$279),MATCH(BA$21,bibliotheek!$E$278:$U$278,0))*BA$52^INDEX(Correctiefactoren,ROWS(bibliotheek!$E$278:$E$280),MATCH(BA$21,bibliotheek!$E$278:$U$278,0)),2))</f>
        <v/>
      </c>
      <c r="BB55" s="1057" t="str" cm="1">
        <f t="array" ref="BB55">IF(BB24=0,"",ROUND(INDEX(Correctiefactoren,ROWS(bibliotheek!$E$278:$E$279),MATCH(BB$21,bibliotheek!$E$278:$U$278,0))*BB$52^INDEX(Correctiefactoren,ROWS(bibliotheek!$E$278:$E$280),MATCH(BB$21,bibliotheek!$E$278:$U$278,0)),2))</f>
        <v/>
      </c>
      <c r="BC55" s="1057" t="str" cm="1">
        <f t="array" ref="BC55">IF(BC24=0,"",ROUND(INDEX(Correctiefactoren,ROWS(bibliotheek!$E$278:$E$279),MATCH(BC$21,bibliotheek!$E$278:$U$278,0))*BC$52^INDEX(Correctiefactoren,ROWS(bibliotheek!$E$278:$E$280),MATCH(BC$21,bibliotheek!$E$278:$U$278,0)),2))</f>
        <v/>
      </c>
      <c r="BD55" s="1057" t="str" cm="1">
        <f t="array" ref="BD55">IF(BD24=0,"",ROUND(INDEX(Correctiefactoren,ROWS(bibliotheek!$E$278:$E$279),MATCH(BD$21,bibliotheek!$E$278:$U$278,0))*BD$52^INDEX(Correctiefactoren,ROWS(bibliotheek!$E$278:$E$280),MATCH(BD$21,bibliotheek!$E$278:$U$278,0)),2))</f>
        <v/>
      </c>
      <c r="BE55" s="1057" t="str" cm="1">
        <f t="array" ref="BE55">IF(BE24=0,"",ROUND(INDEX(Correctiefactoren,ROWS(bibliotheek!$E$278:$E$279),MATCH(BE$21,bibliotheek!$E$278:$U$278,0))*BE$52^INDEX(Correctiefactoren,ROWS(bibliotheek!$E$278:$E$280),MATCH(BE$21,bibliotheek!$E$278:$U$278,0)),2))</f>
        <v/>
      </c>
      <c r="BF55" s="1057" t="str" cm="1">
        <f t="array" ref="BF55">IF(BF24=0,"",ROUND(INDEX(Correctiefactoren,ROWS(bibliotheek!$E$278:$E$279),MATCH(BF$21,bibliotheek!$E$278:$U$278,0))*BF$52^INDEX(Correctiefactoren,ROWS(bibliotheek!$E$278:$E$280),MATCH(BF$21,bibliotheek!$E$278:$U$278,0)),2))</f>
        <v/>
      </c>
      <c r="BG55" s="1057" t="str" cm="1">
        <f t="array" ref="BG55">IF(BG24=0,"",ROUND(INDEX(Correctiefactoren,ROWS(bibliotheek!$E$278:$E$279),MATCH(BG$21,bibliotheek!$E$278:$U$278,0))*BG$52^INDEX(Correctiefactoren,ROWS(bibliotheek!$E$278:$E$280),MATCH(BG$21,bibliotheek!$E$278:$U$278,0)),2))</f>
        <v/>
      </c>
      <c r="BH55" s="261"/>
    </row>
    <row r="56" spans="1:60" x14ac:dyDescent="0.2">
      <c r="A56" s="653"/>
      <c r="B56" s="492" t="s">
        <v>158</v>
      </c>
      <c r="C56" s="656" t="s">
        <v>104</v>
      </c>
      <c r="D56" s="747"/>
      <c r="E56" s="90"/>
      <c r="F56" s="90"/>
      <c r="G56" s="90"/>
      <c r="H56" s="96"/>
      <c r="I56" s="116"/>
      <c r="J56" s="93"/>
      <c r="K56" s="819"/>
      <c r="L56" s="819"/>
      <c r="M56" s="93"/>
      <c r="N56" s="93"/>
      <c r="O56" s="93"/>
      <c r="P56" s="93"/>
      <c r="Q56" s="93"/>
      <c r="R56" s="93"/>
      <c r="S56" s="93"/>
      <c r="T56" s="93"/>
      <c r="U56" s="93"/>
      <c r="V56" s="93"/>
      <c r="W56" s="93"/>
      <c r="X56" s="93"/>
      <c r="Y56" s="93"/>
      <c r="Z56" s="90"/>
      <c r="AA56" s="93"/>
      <c r="AB56" s="93"/>
      <c r="AC56" s="93"/>
      <c r="AD56" s="93"/>
      <c r="AE56" s="93"/>
      <c r="AF56" s="93"/>
      <c r="AG56" s="93"/>
      <c r="AH56" s="93"/>
      <c r="AI56" s="93"/>
      <c r="AJ56" s="93"/>
      <c r="AK56" s="93"/>
      <c r="AL56" s="90"/>
      <c r="AM56" s="93"/>
      <c r="AN56" s="93"/>
      <c r="AO56" s="93"/>
      <c r="AP56" s="93"/>
      <c r="AQ56" s="93"/>
      <c r="AR56" s="93"/>
      <c r="AS56" s="93"/>
      <c r="AT56" s="93"/>
      <c r="AU56" s="93"/>
      <c r="AV56" s="93"/>
      <c r="AW56" s="93"/>
      <c r="AX56" s="90"/>
      <c r="AY56" s="93"/>
      <c r="AZ56" s="93"/>
      <c r="BA56" s="93"/>
      <c r="BB56" s="93"/>
      <c r="BC56" s="93"/>
      <c r="BD56" s="93"/>
      <c r="BE56" s="93"/>
      <c r="BF56" s="93"/>
      <c r="BG56" s="93"/>
      <c r="BH56" s="1"/>
    </row>
    <row r="57" spans="1:60" x14ac:dyDescent="0.2">
      <c r="A57" s="653"/>
      <c r="B57" s="492" t="s">
        <v>158</v>
      </c>
      <c r="C57" s="739" t="s">
        <v>104</v>
      </c>
      <c r="D57" s="747"/>
      <c r="E57" s="90"/>
      <c r="F57" s="90"/>
      <c r="G57" s="90"/>
      <c r="H57" s="96"/>
      <c r="I57" s="90"/>
      <c r="J57" s="93"/>
      <c r="K57" s="90"/>
      <c r="L57" s="90"/>
      <c r="M57" s="93"/>
      <c r="N57" s="93"/>
      <c r="O57" s="93"/>
      <c r="P57" s="93"/>
      <c r="Q57" s="93"/>
      <c r="R57" s="93"/>
      <c r="S57" s="93"/>
      <c r="T57" s="93"/>
      <c r="U57" s="93"/>
      <c r="V57" s="93"/>
      <c r="W57" s="93"/>
      <c r="X57" s="93"/>
      <c r="Y57" s="93"/>
      <c r="Z57" s="90"/>
      <c r="AA57" s="93"/>
      <c r="AB57" s="93"/>
      <c r="AC57" s="93"/>
      <c r="AD57" s="93"/>
      <c r="AE57" s="93"/>
      <c r="AF57" s="93"/>
      <c r="AG57" s="93"/>
      <c r="AH57" s="93"/>
      <c r="AI57" s="93"/>
      <c r="AJ57" s="93"/>
      <c r="AK57" s="93"/>
      <c r="AL57" s="90"/>
      <c r="AM57" s="93"/>
      <c r="AN57" s="93"/>
      <c r="AO57" s="93"/>
      <c r="AP57" s="93"/>
      <c r="AQ57" s="93"/>
      <c r="AR57" s="93"/>
      <c r="AS57" s="93"/>
      <c r="AT57" s="93"/>
      <c r="AU57" s="93"/>
      <c r="AV57" s="93"/>
      <c r="AW57" s="93"/>
      <c r="AX57" s="90"/>
      <c r="AY57" s="93"/>
      <c r="AZ57" s="93"/>
      <c r="BA57" s="93"/>
      <c r="BB57" s="93"/>
      <c r="BC57" s="93"/>
      <c r="BD57" s="93"/>
      <c r="BE57" s="93"/>
      <c r="BF57" s="93"/>
      <c r="BG57" s="93"/>
      <c r="BH57" s="1"/>
    </row>
    <row r="58" spans="1:60" s="2" customFormat="1" ht="21" x14ac:dyDescent="0.2">
      <c r="A58" s="654"/>
      <c r="B58" s="492" t="s">
        <v>158</v>
      </c>
      <c r="C58" s="739" t="s">
        <v>104</v>
      </c>
      <c r="D58" s="749"/>
      <c r="E58" s="253" t="s">
        <v>167</v>
      </c>
      <c r="F58" s="253"/>
      <c r="G58" s="253"/>
      <c r="H58" s="253"/>
      <c r="I58" s="146"/>
      <c r="J58" s="318" t="str">
        <f>J$10&amp;" MWh"</f>
        <v>totaal MWh</v>
      </c>
      <c r="K58" s="142"/>
      <c r="L58" s="142"/>
      <c r="M58" s="319" t="str">
        <f>M$10&amp;" MWh"</f>
        <v>totaal MWh</v>
      </c>
      <c r="N58" s="234"/>
      <c r="O58" s="320" t="str">
        <f t="shared" ref="O58:W58" si="52">O$17</f>
        <v/>
      </c>
      <c r="P58" s="320" t="str">
        <f t="shared" si="52"/>
        <v/>
      </c>
      <c r="Q58" s="320" t="str">
        <f t="shared" si="52"/>
        <v/>
      </c>
      <c r="R58" s="320" t="str">
        <f t="shared" si="52"/>
        <v/>
      </c>
      <c r="S58" s="320" t="str">
        <f t="shared" si="52"/>
        <v/>
      </c>
      <c r="T58" s="320" t="str">
        <f t="shared" si="52"/>
        <v/>
      </c>
      <c r="U58" s="320" t="str">
        <f t="shared" si="52"/>
        <v/>
      </c>
      <c r="V58" s="320" t="str">
        <f t="shared" si="52"/>
        <v/>
      </c>
      <c r="W58" s="320" t="str">
        <f t="shared" si="52"/>
        <v/>
      </c>
      <c r="X58" s="214"/>
      <c r="Y58" s="319" t="str">
        <f>Y$10&amp;" MWh"</f>
        <v>totaal MWh</v>
      </c>
      <c r="Z58" s="234"/>
      <c r="AA58" s="320" t="str">
        <f t="shared" ref="AA58:AI58" si="53">AA$17</f>
        <v/>
      </c>
      <c r="AB58" s="320" t="str">
        <f t="shared" si="53"/>
        <v/>
      </c>
      <c r="AC58" s="320" t="str">
        <f t="shared" si="53"/>
        <v/>
      </c>
      <c r="AD58" s="320" t="str">
        <f t="shared" si="53"/>
        <v/>
      </c>
      <c r="AE58" s="320" t="str">
        <f t="shared" si="53"/>
        <v/>
      </c>
      <c r="AF58" s="320" t="str">
        <f t="shared" si="53"/>
        <v/>
      </c>
      <c r="AG58" s="320" t="str">
        <f t="shared" si="53"/>
        <v/>
      </c>
      <c r="AH58" s="320" t="str">
        <f t="shared" si="53"/>
        <v/>
      </c>
      <c r="AI58" s="320" t="str">
        <f t="shared" si="53"/>
        <v/>
      </c>
      <c r="AJ58" s="214"/>
      <c r="AK58" s="319" t="str">
        <f>AK$10&amp;" MWh"</f>
        <v>totaal MWh</v>
      </c>
      <c r="AL58" s="234"/>
      <c r="AM58" s="320" t="str">
        <f>AM$17</f>
        <v/>
      </c>
      <c r="AN58" s="320" t="str">
        <f t="shared" ref="AN58:AU58" si="54">AN$17</f>
        <v/>
      </c>
      <c r="AO58" s="320" t="str">
        <f t="shared" si="54"/>
        <v/>
      </c>
      <c r="AP58" s="320" t="str">
        <f t="shared" si="54"/>
        <v/>
      </c>
      <c r="AQ58" s="320" t="str">
        <f t="shared" si="54"/>
        <v/>
      </c>
      <c r="AR58" s="320" t="str">
        <f t="shared" si="54"/>
        <v/>
      </c>
      <c r="AS58" s="320" t="str">
        <f t="shared" si="54"/>
        <v/>
      </c>
      <c r="AT58" s="320" t="str">
        <f t="shared" si="54"/>
        <v/>
      </c>
      <c r="AU58" s="320" t="str">
        <f t="shared" si="54"/>
        <v/>
      </c>
      <c r="AV58" s="214"/>
      <c r="AW58" s="319" t="str">
        <f>AW$10&amp;" MWh"</f>
        <v>totaal MWh</v>
      </c>
      <c r="AX58" s="234"/>
      <c r="AY58" s="320" t="str">
        <f>AY$17</f>
        <v/>
      </c>
      <c r="AZ58" s="320" t="str">
        <f t="shared" ref="AZ58:BG58" si="55">AZ$17</f>
        <v/>
      </c>
      <c r="BA58" s="320" t="str">
        <f t="shared" si="55"/>
        <v/>
      </c>
      <c r="BB58" s="320" t="str">
        <f t="shared" si="55"/>
        <v/>
      </c>
      <c r="BC58" s="320" t="str">
        <f t="shared" si="55"/>
        <v/>
      </c>
      <c r="BD58" s="320" t="str">
        <f t="shared" si="55"/>
        <v/>
      </c>
      <c r="BE58" s="320" t="str">
        <f t="shared" si="55"/>
        <v/>
      </c>
      <c r="BF58" s="320" t="str">
        <f t="shared" si="55"/>
        <v/>
      </c>
      <c r="BG58" s="320" t="str">
        <f t="shared" si="55"/>
        <v/>
      </c>
      <c r="BH58" s="1"/>
    </row>
    <row r="59" spans="1:60" ht="18.75" x14ac:dyDescent="0.2">
      <c r="A59" s="653"/>
      <c r="B59" s="492" t="s">
        <v>158</v>
      </c>
      <c r="C59" s="739" t="s">
        <v>104</v>
      </c>
      <c r="D59" s="749"/>
      <c r="E59" s="708" t="s">
        <v>168</v>
      </c>
      <c r="F59" s="167"/>
      <c r="G59" s="167"/>
      <c r="H59" s="89"/>
      <c r="I59" s="169"/>
      <c r="J59" s="170"/>
      <c r="K59" s="142"/>
      <c r="L59" s="142"/>
      <c r="M59" s="186"/>
      <c r="N59" s="186"/>
      <c r="O59" s="186"/>
      <c r="P59" s="186"/>
      <c r="Q59" s="186"/>
      <c r="R59" s="186"/>
      <c r="S59" s="186"/>
      <c r="T59" s="186"/>
      <c r="U59" s="186"/>
      <c r="V59" s="186"/>
      <c r="W59" s="186"/>
      <c r="X59" s="173"/>
      <c r="Y59" s="172"/>
      <c r="Z59" s="172"/>
      <c r="AA59" s="172"/>
      <c r="AB59" s="172"/>
      <c r="AC59" s="172"/>
      <c r="AD59" s="172"/>
      <c r="AE59" s="172"/>
      <c r="AF59" s="172"/>
      <c r="AG59" s="172"/>
      <c r="AH59" s="172"/>
      <c r="AI59" s="172"/>
      <c r="AJ59" s="173"/>
      <c r="AK59" s="172"/>
      <c r="AL59" s="172"/>
      <c r="AM59" s="172"/>
      <c r="AN59" s="172"/>
      <c r="AO59" s="172"/>
      <c r="AP59" s="172"/>
      <c r="AQ59" s="172"/>
      <c r="AR59" s="172"/>
      <c r="AS59" s="172"/>
      <c r="AT59" s="172"/>
      <c r="AU59" s="172"/>
      <c r="AV59" s="173"/>
      <c r="AW59" s="172"/>
      <c r="AX59" s="172"/>
      <c r="AY59" s="172"/>
      <c r="AZ59" s="172"/>
      <c r="BA59" s="172"/>
      <c r="BB59" s="172"/>
      <c r="BC59" s="172"/>
      <c r="BD59" s="172"/>
      <c r="BE59" s="172"/>
      <c r="BF59" s="172"/>
      <c r="BG59" s="172"/>
      <c r="BH59" s="263"/>
    </row>
    <row r="60" spans="1:60" x14ac:dyDescent="0.2">
      <c r="A60" s="653"/>
      <c r="B60" s="492" t="s">
        <v>158</v>
      </c>
      <c r="C60" s="656" t="s">
        <v>113</v>
      </c>
      <c r="D60" s="750" t="s">
        <v>50</v>
      </c>
      <c r="E60" s="482" t="str">
        <f>$O$10</f>
        <v>verwarming</v>
      </c>
      <c r="F60" s="359"/>
      <c r="G60" s="359"/>
      <c r="H60" s="358" t="s">
        <v>169</v>
      </c>
      <c r="I60" s="321"/>
      <c r="J60" s="323">
        <f t="shared" ref="J60:J66" si="56">M60+Y60+AK60+AW60</f>
        <v>0</v>
      </c>
      <c r="K60" s="142"/>
      <c r="L60" s="142"/>
      <c r="M60" s="323">
        <f t="shared" ref="M60:M66" si="57">SUMPRODUCT(N$24:X$24,N$31:X$31,N60:X60)/1000</f>
        <v>0</v>
      </c>
      <c r="N60" s="321"/>
      <c r="O60" s="322">
        <f t="shared" ref="O60:W60" si="58">IF(OR(O$19="",O$40="",O$42=""),0,O$53*MAX(warmtebehoefte_verwarming_ondergrens,
VLOOKUP(O$42,warmtebehoefte_verwarming_snijpunt,MATCH(O$21,warmtebehoefte_verwarming_gebruiksfuncties,0),FALSE)+
VLOOKUP(O$42,warmtebehoefte_verwarming_C,MATCH(O$21,warmtebehoefte_verwarming_gebruiksfuncties,0),FALSE)*
O$52*O$34^VLOOKUP(O$42,warmtebehoefte_verwarming_n,MATCH(O$21,warmtebehoefte_verwarming_gebruiksfuncties,0),FALSE)))</f>
        <v>0</v>
      </c>
      <c r="P60" s="322">
        <f t="shared" si="58"/>
        <v>0</v>
      </c>
      <c r="Q60" s="322">
        <f t="shared" si="58"/>
        <v>0</v>
      </c>
      <c r="R60" s="322">
        <f t="shared" si="58"/>
        <v>0</v>
      </c>
      <c r="S60" s="322">
        <f t="shared" si="58"/>
        <v>0</v>
      </c>
      <c r="T60" s="322">
        <f t="shared" si="58"/>
        <v>0</v>
      </c>
      <c r="U60" s="322">
        <f t="shared" si="58"/>
        <v>0</v>
      </c>
      <c r="V60" s="322">
        <f t="shared" si="58"/>
        <v>0</v>
      </c>
      <c r="W60" s="322">
        <f t="shared" si="58"/>
        <v>0</v>
      </c>
      <c r="X60" s="142"/>
      <c r="Y60" s="323">
        <f t="shared" ref="Y60:Y66" si="59">SUMPRODUCT(Z$24:AJ$24,Z$31:AJ$31,Z60:AJ60)/1000</f>
        <v>0</v>
      </c>
      <c r="Z60" s="321"/>
      <c r="AA60" s="322">
        <f t="shared" ref="AA60:AI60" si="60">IF(OR(AA$19="",AA$40="",AA$42=""),0,AA$53*MAX(warmtebehoefte_verwarming_ondergrens,
VLOOKUP(AA$42,warmtebehoefte_verwarming_snijpunt,MATCH(AA$21,warmtebehoefte_verwarming_gebruiksfuncties,0),FALSE)+
VLOOKUP(AA$42,warmtebehoefte_verwarming_C,MATCH(AA$21,warmtebehoefte_verwarming_gebruiksfuncties,0),FALSE)*
AA$52*AA$34^VLOOKUP(AA$42,warmtebehoefte_verwarming_n,MATCH(AA$21,warmtebehoefte_verwarming_gebruiksfuncties,0),FALSE)))</f>
        <v>0</v>
      </c>
      <c r="AB60" s="322">
        <f t="shared" si="60"/>
        <v>0</v>
      </c>
      <c r="AC60" s="322">
        <f t="shared" si="60"/>
        <v>0</v>
      </c>
      <c r="AD60" s="322">
        <f t="shared" si="60"/>
        <v>0</v>
      </c>
      <c r="AE60" s="322">
        <f t="shared" si="60"/>
        <v>0</v>
      </c>
      <c r="AF60" s="322">
        <f t="shared" si="60"/>
        <v>0</v>
      </c>
      <c r="AG60" s="322">
        <f t="shared" si="60"/>
        <v>0</v>
      </c>
      <c r="AH60" s="322">
        <f t="shared" si="60"/>
        <v>0</v>
      </c>
      <c r="AI60" s="322">
        <f t="shared" si="60"/>
        <v>0</v>
      </c>
      <c r="AJ60" s="142"/>
      <c r="AK60" s="323">
        <f t="shared" ref="AK60:AK66" si="61">SUMPRODUCT(AL$24:AV$24,AL$31:AV$31,AL60:AV60)/1000</f>
        <v>0</v>
      </c>
      <c r="AL60" s="321"/>
      <c r="AM60" s="322">
        <f t="shared" ref="AM60:AU60" si="62">IF(OR(AM$19="",AM$40="",AM$42=""),0,AM$53*MAX(warmtebehoefte_verwarming_ondergrens,
VLOOKUP(AM$42,warmtebehoefte_verwarming_snijpunt,MATCH(AM$21,warmtebehoefte_verwarming_gebruiksfuncties,0),FALSE)+
VLOOKUP(AM$42,warmtebehoefte_verwarming_C,MATCH(AM$21,warmtebehoefte_verwarming_gebruiksfuncties,0),FALSE)*
AM$52*AM$34^VLOOKUP(AM$42,warmtebehoefte_verwarming_n,MATCH(AM$21,warmtebehoefte_verwarming_gebruiksfuncties,0),FALSE)))</f>
        <v>0</v>
      </c>
      <c r="AN60" s="322">
        <f t="shared" si="62"/>
        <v>0</v>
      </c>
      <c r="AO60" s="322">
        <f t="shared" si="62"/>
        <v>0</v>
      </c>
      <c r="AP60" s="322">
        <f t="shared" si="62"/>
        <v>0</v>
      </c>
      <c r="AQ60" s="322">
        <f t="shared" si="62"/>
        <v>0</v>
      </c>
      <c r="AR60" s="322">
        <f t="shared" si="62"/>
        <v>0</v>
      </c>
      <c r="AS60" s="322">
        <f t="shared" si="62"/>
        <v>0</v>
      </c>
      <c r="AT60" s="322">
        <f t="shared" si="62"/>
        <v>0</v>
      </c>
      <c r="AU60" s="322">
        <f t="shared" si="62"/>
        <v>0</v>
      </c>
      <c r="AV60" s="142"/>
      <c r="AW60" s="323">
        <f t="shared" ref="AW60:AW66" si="63">SUMPRODUCT(AX$24:BH$24,AX$31:BH$31,AX60:BH60)/1000</f>
        <v>0</v>
      </c>
      <c r="AX60" s="321"/>
      <c r="AY60" s="322">
        <f t="shared" ref="AY60:BG60" si="64">IF(OR(AY$19="",AY$40="",AY$42=""),0,AY$53*MAX(warmtebehoefte_verwarming_ondergrens,
VLOOKUP(AY$42,warmtebehoefte_verwarming_snijpunt,MATCH(AY$21,warmtebehoefte_verwarming_gebruiksfuncties,0),FALSE)+
VLOOKUP(AY$42,warmtebehoefte_verwarming_C,MATCH(AY$21,warmtebehoefte_verwarming_gebruiksfuncties,0),FALSE)*
AY$52*AY$34^VLOOKUP(AY$42,warmtebehoefte_verwarming_n,MATCH(AY$21,warmtebehoefte_verwarming_gebruiksfuncties,0),FALSE)))</f>
        <v>0</v>
      </c>
      <c r="AZ60" s="322">
        <f t="shared" si="64"/>
        <v>0</v>
      </c>
      <c r="BA60" s="322">
        <f t="shared" si="64"/>
        <v>0</v>
      </c>
      <c r="BB60" s="322">
        <f t="shared" si="64"/>
        <v>0</v>
      </c>
      <c r="BC60" s="322">
        <f t="shared" si="64"/>
        <v>0</v>
      </c>
      <c r="BD60" s="322">
        <f t="shared" si="64"/>
        <v>0</v>
      </c>
      <c r="BE60" s="322">
        <f t="shared" si="64"/>
        <v>0</v>
      </c>
      <c r="BF60" s="322">
        <f t="shared" si="64"/>
        <v>0</v>
      </c>
      <c r="BG60" s="322">
        <f t="shared" si="64"/>
        <v>0</v>
      </c>
      <c r="BH60" s="255"/>
    </row>
    <row r="61" spans="1:60" x14ac:dyDescent="0.2">
      <c r="A61" s="653"/>
      <c r="B61" s="492" t="s">
        <v>158</v>
      </c>
      <c r="C61" s="656" t="s">
        <v>113</v>
      </c>
      <c r="D61" s="750" t="s">
        <v>50</v>
      </c>
      <c r="E61" s="358" t="str">
        <f>$P$10</f>
        <v>koeling</v>
      </c>
      <c r="F61" s="359"/>
      <c r="G61" s="359"/>
      <c r="H61" s="358" t="s">
        <v>169</v>
      </c>
      <c r="I61" s="321"/>
      <c r="J61" s="323">
        <f t="shared" si="56"/>
        <v>0</v>
      </c>
      <c r="K61" s="142"/>
      <c r="L61" s="142"/>
      <c r="M61" s="323">
        <f t="shared" si="57"/>
        <v>0</v>
      </c>
      <c r="N61" s="321"/>
      <c r="O61" s="322">
        <f t="shared" ref="O61:W61" si="65">IF(OR(O$19="",O$40="",O$42=""),0,MAX(koudebehoefte_koeling_ondergrens,
VLOOKUP(O$42,koudebehoefte_snijpunt,MATCH(O$21,warmtebehoefte_verwarming_gebruiksfuncties,0),FALSE)
+VLOOKUP(O$42,koudebehoefte_C1,MATCH(O$21,warmtebehoefte_verwarming_gebruiksfuncties,0),FALSE)
*O$31^VLOOKUP(O$42,koudebehoefte_n1,MATCH(O$21,warmtebehoefte_verwarming_gebruiksfuncties,0),FALSE)
+VLOOKUP(O$42,koudebehoefte_C2,MATCH(O$21,warmtebehoefte_verwarming_gebruiksfuncties,0),FALSE)
*O$34^VLOOKUP(O$42,koudebehoefte_n2,MATCH(O$21,warmtebehoefte_verwarming_gebruiksfuncties,0),FALSE)
+VLOOKUP(O$42,koudebehoefte_C3,MATCH(O$21,warmtebehoefte_verwarming_gebruiksfuncties,0),FALSE)
*O$52^VLOOKUP(O$42,koudebehoefte_n3,MATCH(O$21,warmtebehoefte_verwarming_gebruiksfuncties,0),FALSE)
+VLOOKUP(O$42,koudebehoefte_C4,MATCH(O$21,warmtebehoefte_verwarming_gebruiksfuncties,0),FALSE)
*O$35^VLOOKUP(O$42,koudebehoefte_n4,MATCH(O$21,warmtebehoefte_verwarming_gebruiksfuncties,0),FALSE)))</f>
        <v>0</v>
      </c>
      <c r="P61" s="322">
        <f t="shared" si="65"/>
        <v>0</v>
      </c>
      <c r="Q61" s="322">
        <f t="shared" si="65"/>
        <v>0</v>
      </c>
      <c r="R61" s="322">
        <f t="shared" si="65"/>
        <v>0</v>
      </c>
      <c r="S61" s="322">
        <f t="shared" si="65"/>
        <v>0</v>
      </c>
      <c r="T61" s="322">
        <f t="shared" si="65"/>
        <v>0</v>
      </c>
      <c r="U61" s="322">
        <f t="shared" si="65"/>
        <v>0</v>
      </c>
      <c r="V61" s="322">
        <f t="shared" si="65"/>
        <v>0</v>
      </c>
      <c r="W61" s="322">
        <f t="shared" si="65"/>
        <v>0</v>
      </c>
      <c r="X61" s="142"/>
      <c r="Y61" s="323">
        <f t="shared" si="59"/>
        <v>0</v>
      </c>
      <c r="Z61" s="321"/>
      <c r="AA61" s="322">
        <f t="shared" ref="AA61:AI61" si="66">IF(OR(AA$19="",AA$40="",AA$42=""),0,MAX(koudebehoefte_koeling_ondergrens,
VLOOKUP(AA$42,koudebehoefte_snijpunt,MATCH(AA$21,warmtebehoefte_verwarming_gebruiksfuncties,0),FALSE)
+VLOOKUP(AA$42,koudebehoefte_C1,MATCH(AA$21,warmtebehoefte_verwarming_gebruiksfuncties,0),FALSE)
*AA$31^VLOOKUP(AA$42,koudebehoefte_n1,MATCH(AA$21,warmtebehoefte_verwarming_gebruiksfuncties,0),FALSE)
+VLOOKUP(AA$42,koudebehoefte_C2,MATCH(AA$21,warmtebehoefte_verwarming_gebruiksfuncties,0),FALSE)
*AA$34^VLOOKUP(AA$42,koudebehoefte_n2,MATCH(AA$21,warmtebehoefte_verwarming_gebruiksfuncties,0),FALSE)
+VLOOKUP(AA$42,koudebehoefte_C3,MATCH(AA$21,warmtebehoefte_verwarming_gebruiksfuncties,0),FALSE)
*AA$52^VLOOKUP(AA$42,koudebehoefte_n3,MATCH(AA$21,warmtebehoefte_verwarming_gebruiksfuncties,0),FALSE)
+VLOOKUP(AA$42,koudebehoefte_C4,MATCH(AA$21,warmtebehoefte_verwarming_gebruiksfuncties,0),FALSE)
*AA$35^VLOOKUP(AA$42,koudebehoefte_n4,MATCH(AA$21,warmtebehoefte_verwarming_gebruiksfuncties,0),FALSE)))</f>
        <v>0</v>
      </c>
      <c r="AB61" s="322">
        <f t="shared" si="66"/>
        <v>0</v>
      </c>
      <c r="AC61" s="322">
        <f t="shared" si="66"/>
        <v>0</v>
      </c>
      <c r="AD61" s="322">
        <f t="shared" si="66"/>
        <v>0</v>
      </c>
      <c r="AE61" s="322">
        <f t="shared" si="66"/>
        <v>0</v>
      </c>
      <c r="AF61" s="322">
        <f t="shared" si="66"/>
        <v>0</v>
      </c>
      <c r="AG61" s="322">
        <f t="shared" si="66"/>
        <v>0</v>
      </c>
      <c r="AH61" s="322">
        <f t="shared" si="66"/>
        <v>0</v>
      </c>
      <c r="AI61" s="322">
        <f t="shared" si="66"/>
        <v>0</v>
      </c>
      <c r="AJ61" s="142"/>
      <c r="AK61" s="323">
        <f t="shared" si="61"/>
        <v>0</v>
      </c>
      <c r="AL61" s="321"/>
      <c r="AM61" s="322">
        <f t="shared" ref="AM61:AU61" si="67">IF(OR(AM$19="",AM$40="",AM$42=""),0,MAX(koudebehoefte_koeling_ondergrens,
VLOOKUP(AM$42,koudebehoefte_snijpunt,MATCH(AM$21,warmtebehoefte_verwarming_gebruiksfuncties,0),FALSE)
+VLOOKUP(AM$42,koudebehoefte_C1,MATCH(AM$21,warmtebehoefte_verwarming_gebruiksfuncties,0),FALSE)
*AM$31^VLOOKUP(AM$42,koudebehoefte_n1,MATCH(AM$21,warmtebehoefte_verwarming_gebruiksfuncties,0),FALSE)
+VLOOKUP(AM$42,koudebehoefte_C2,MATCH(AM$21,warmtebehoefte_verwarming_gebruiksfuncties,0),FALSE)
*AM$34^VLOOKUP(AM$42,koudebehoefte_n2,MATCH(AM$21,warmtebehoefte_verwarming_gebruiksfuncties,0),FALSE)
+VLOOKUP(AM$42,koudebehoefte_C3,MATCH(AM$21,warmtebehoefte_verwarming_gebruiksfuncties,0),FALSE)
*AM$52^VLOOKUP(AM$42,koudebehoefte_n3,MATCH(AM$21,warmtebehoefte_verwarming_gebruiksfuncties,0),FALSE)
+VLOOKUP(AM$42,koudebehoefte_C4,MATCH(AM$21,warmtebehoefte_verwarming_gebruiksfuncties,0),FALSE)
*AM$35^VLOOKUP(AM$42,koudebehoefte_n4,MATCH(AM$21,warmtebehoefte_verwarming_gebruiksfuncties,0),FALSE)))</f>
        <v>0</v>
      </c>
      <c r="AN61" s="322">
        <f t="shared" si="67"/>
        <v>0</v>
      </c>
      <c r="AO61" s="322">
        <f t="shared" si="67"/>
        <v>0</v>
      </c>
      <c r="AP61" s="322">
        <f t="shared" si="67"/>
        <v>0</v>
      </c>
      <c r="AQ61" s="322">
        <f t="shared" si="67"/>
        <v>0</v>
      </c>
      <c r="AR61" s="322">
        <f t="shared" si="67"/>
        <v>0</v>
      </c>
      <c r="AS61" s="322">
        <f t="shared" si="67"/>
        <v>0</v>
      </c>
      <c r="AT61" s="322">
        <f t="shared" si="67"/>
        <v>0</v>
      </c>
      <c r="AU61" s="322">
        <f t="shared" si="67"/>
        <v>0</v>
      </c>
      <c r="AV61" s="142"/>
      <c r="AW61" s="323">
        <f t="shared" si="63"/>
        <v>0</v>
      </c>
      <c r="AX61" s="321"/>
      <c r="AY61" s="322">
        <f t="shared" ref="AY61:BG61" si="68">IF(OR(AY$19="",AY$40="",AY$42=""),0,MAX(koudebehoefte_koeling_ondergrens,
VLOOKUP(AY$42,koudebehoefte_snijpunt,MATCH(AY$21,warmtebehoefte_verwarming_gebruiksfuncties,0),FALSE)
+VLOOKUP(AY$42,koudebehoefte_C1,MATCH(AY$21,warmtebehoefte_verwarming_gebruiksfuncties,0),FALSE)
*AY$31^VLOOKUP(AY$42,koudebehoefte_n1,MATCH(AY$21,warmtebehoefte_verwarming_gebruiksfuncties,0),FALSE)
+VLOOKUP(AY$42,koudebehoefte_C2,MATCH(AY$21,warmtebehoefte_verwarming_gebruiksfuncties,0),FALSE)
*AY$34^VLOOKUP(AY$42,koudebehoefte_n2,MATCH(AY$21,warmtebehoefte_verwarming_gebruiksfuncties,0),FALSE)
+VLOOKUP(AY$42,koudebehoefte_C3,MATCH(AY$21,warmtebehoefte_verwarming_gebruiksfuncties,0),FALSE)
*AY$52^VLOOKUP(AY$42,koudebehoefte_n3,MATCH(AY$21,warmtebehoefte_verwarming_gebruiksfuncties,0),FALSE)
+VLOOKUP(AY$42,koudebehoefte_C4,MATCH(AY$21,warmtebehoefte_verwarming_gebruiksfuncties,0),FALSE)
*AY$35^VLOOKUP(AY$42,koudebehoefte_n4,MATCH(AY$21,warmtebehoefte_verwarming_gebruiksfuncties,0),FALSE)))</f>
        <v>0</v>
      </c>
      <c r="AZ61" s="322">
        <f t="shared" si="68"/>
        <v>0</v>
      </c>
      <c r="BA61" s="322">
        <f t="shared" si="68"/>
        <v>0</v>
      </c>
      <c r="BB61" s="322">
        <f t="shared" si="68"/>
        <v>0</v>
      </c>
      <c r="BC61" s="322">
        <f t="shared" si="68"/>
        <v>0</v>
      </c>
      <c r="BD61" s="322">
        <f t="shared" si="68"/>
        <v>0</v>
      </c>
      <c r="BE61" s="322">
        <f t="shared" si="68"/>
        <v>0</v>
      </c>
      <c r="BF61" s="322">
        <f t="shared" si="68"/>
        <v>0</v>
      </c>
      <c r="BG61" s="322">
        <f t="shared" si="68"/>
        <v>0</v>
      </c>
      <c r="BH61" s="255"/>
    </row>
    <row r="62" spans="1:60" x14ac:dyDescent="0.2">
      <c r="A62" s="653"/>
      <c r="B62" s="492" t="s">
        <v>158</v>
      </c>
      <c r="C62" s="656" t="s">
        <v>113</v>
      </c>
      <c r="D62" s="750" t="s">
        <v>50</v>
      </c>
      <c r="E62" s="358" t="str">
        <f>$Q$10</f>
        <v>tapwater</v>
      </c>
      <c r="F62" s="359"/>
      <c r="G62" s="359"/>
      <c r="H62" s="358" t="s">
        <v>169</v>
      </c>
      <c r="I62" s="321"/>
      <c r="J62" s="323">
        <f t="shared" si="56"/>
        <v>0</v>
      </c>
      <c r="K62" s="142"/>
      <c r="L62" s="142"/>
      <c r="M62" s="323">
        <f t="shared" si="57"/>
        <v>0</v>
      </c>
      <c r="N62" s="321"/>
      <c r="O62" s="322">
        <f t="shared" ref="O62:W62" si="69">IF(OR(O$19="",O$31=0),0,
IF(OR(O$21=woning,O$21=woongebouw),IF(O$31&gt;100,1.28+0.01*O$31,MAX(1,2.28-1.28/70*(100-O$31)))*856/O$31,
INDEX(warmtapwater_specifieke_warmtebehoefte_waarden,MATCH(O$21,warmtapwater_specifieke_warmtebehoefte_gebruiksfuncties,0)))*O$44)</f>
        <v>0</v>
      </c>
      <c r="P62" s="322">
        <f t="shared" si="69"/>
        <v>0</v>
      </c>
      <c r="Q62" s="322">
        <f t="shared" si="69"/>
        <v>0</v>
      </c>
      <c r="R62" s="322">
        <f t="shared" si="69"/>
        <v>0</v>
      </c>
      <c r="S62" s="322">
        <f t="shared" si="69"/>
        <v>0</v>
      </c>
      <c r="T62" s="322">
        <f t="shared" si="69"/>
        <v>0</v>
      </c>
      <c r="U62" s="322">
        <f t="shared" si="69"/>
        <v>0</v>
      </c>
      <c r="V62" s="322">
        <f t="shared" si="69"/>
        <v>0</v>
      </c>
      <c r="W62" s="322">
        <f t="shared" si="69"/>
        <v>0</v>
      </c>
      <c r="X62" s="142"/>
      <c r="Y62" s="323">
        <f t="shared" si="59"/>
        <v>0</v>
      </c>
      <c r="Z62" s="321"/>
      <c r="AA62" s="322">
        <f t="shared" ref="AA62:AI62" si="70">IF(OR(AA$19="",AA$31=0),0,
IF(OR(AA$21=woning,AA$21=woongebouw),IF(AA$31&gt;100,1.28+0.01*AA$31,MAX(1,2.28-1.28/70*(100-AA$31)))*856/AA$31,
INDEX(warmtapwater_specifieke_warmtebehoefte_waarden,MATCH(AA$21,warmtapwater_specifieke_warmtebehoefte_gebruiksfuncties,0)))*AA$44)</f>
        <v>0</v>
      </c>
      <c r="AB62" s="322">
        <f t="shared" si="70"/>
        <v>0</v>
      </c>
      <c r="AC62" s="322">
        <f t="shared" si="70"/>
        <v>0</v>
      </c>
      <c r="AD62" s="322">
        <f t="shared" si="70"/>
        <v>0</v>
      </c>
      <c r="AE62" s="322">
        <f t="shared" si="70"/>
        <v>0</v>
      </c>
      <c r="AF62" s="322">
        <f t="shared" si="70"/>
        <v>0</v>
      </c>
      <c r="AG62" s="322">
        <f t="shared" si="70"/>
        <v>0</v>
      </c>
      <c r="AH62" s="322">
        <f t="shared" si="70"/>
        <v>0</v>
      </c>
      <c r="AI62" s="322">
        <f t="shared" si="70"/>
        <v>0</v>
      </c>
      <c r="AJ62" s="142"/>
      <c r="AK62" s="323">
        <f t="shared" si="61"/>
        <v>0</v>
      </c>
      <c r="AL62" s="321"/>
      <c r="AM62" s="322">
        <f t="shared" ref="AM62:AU62" si="71">IF(OR(AM$19="",AM$31=0),0,
IF(OR(AM$21=woning,AM$21=woongebouw),IF(AM$31&gt;100,1.28+0.01*AM$31,MAX(1,2.28-1.28/70*(100-AM$31)))*856/AM$31,
INDEX(warmtapwater_specifieke_warmtebehoefte_waarden,MATCH(AM$21,warmtapwater_specifieke_warmtebehoefte_gebruiksfuncties,0)))*AM$44)</f>
        <v>0</v>
      </c>
      <c r="AN62" s="322">
        <f t="shared" si="71"/>
        <v>0</v>
      </c>
      <c r="AO62" s="322">
        <f t="shared" si="71"/>
        <v>0</v>
      </c>
      <c r="AP62" s="322">
        <f t="shared" si="71"/>
        <v>0</v>
      </c>
      <c r="AQ62" s="322">
        <f t="shared" si="71"/>
        <v>0</v>
      </c>
      <c r="AR62" s="322">
        <f t="shared" si="71"/>
        <v>0</v>
      </c>
      <c r="AS62" s="322">
        <f t="shared" si="71"/>
        <v>0</v>
      </c>
      <c r="AT62" s="322">
        <f t="shared" si="71"/>
        <v>0</v>
      </c>
      <c r="AU62" s="322">
        <f t="shared" si="71"/>
        <v>0</v>
      </c>
      <c r="AV62" s="142"/>
      <c r="AW62" s="323">
        <f t="shared" si="63"/>
        <v>0</v>
      </c>
      <c r="AX62" s="321"/>
      <c r="AY62" s="322">
        <f t="shared" ref="AY62:BG62" si="72">IF(OR(AY$19="",AY$31=0),0,
IF(OR(AY$21=woning,AY$21=woongebouw),IF(AY$31&gt;100,1.28+0.01*AY$31,MAX(1,2.28-1.28/70*(100-AY$31)))*856/AY$31,
INDEX(warmtapwater_specifieke_warmtebehoefte_waarden,MATCH(AY$21,warmtapwater_specifieke_warmtebehoefte_gebruiksfuncties,0)))*AY$44)</f>
        <v>0</v>
      </c>
      <c r="AZ62" s="322">
        <f t="shared" si="72"/>
        <v>0</v>
      </c>
      <c r="BA62" s="322">
        <f t="shared" si="72"/>
        <v>0</v>
      </c>
      <c r="BB62" s="322">
        <f t="shared" si="72"/>
        <v>0</v>
      </c>
      <c r="BC62" s="322">
        <f t="shared" si="72"/>
        <v>0</v>
      </c>
      <c r="BD62" s="322">
        <f t="shared" si="72"/>
        <v>0</v>
      </c>
      <c r="BE62" s="322">
        <f t="shared" si="72"/>
        <v>0</v>
      </c>
      <c r="BF62" s="322">
        <f t="shared" si="72"/>
        <v>0</v>
      </c>
      <c r="BG62" s="322">
        <f t="shared" si="72"/>
        <v>0</v>
      </c>
      <c r="BH62" s="255"/>
    </row>
    <row r="63" spans="1:60" x14ac:dyDescent="0.2">
      <c r="A63" s="653"/>
      <c r="B63" s="492" t="s">
        <v>158</v>
      </c>
      <c r="C63" s="656" t="s">
        <v>113</v>
      </c>
      <c r="D63" s="750" t="s">
        <v>50</v>
      </c>
      <c r="E63" s="358" t="str">
        <f>$R$10</f>
        <v>verlichting</v>
      </c>
      <c r="F63" s="359"/>
      <c r="G63" s="359"/>
      <c r="H63" s="358" t="s">
        <v>169</v>
      </c>
      <c r="I63" s="321"/>
      <c r="J63" s="323">
        <f t="shared" si="56"/>
        <v>0</v>
      </c>
      <c r="K63" s="142"/>
      <c r="L63" s="142"/>
      <c r="M63" s="323">
        <f t="shared" si="57"/>
        <v>0</v>
      </c>
      <c r="N63" s="321"/>
      <c r="O63" s="322">
        <f t="shared" ref="O63:W63" si="73">IF(OR(O$19="",AND(O$21&lt;&gt;woning,O$21&lt;&gt;woongebouw,O$46="")),0,
(INDEX(verlichting_parameters_a,MATCH(O$21,verlichting_parameters_gebruiksfuncties,0))+
INDEX(verlichting_parameters_b,MATCH(O$21,verlichting_parameters_gebruiksfuncties,0))*IF(O$45="",INDEX(verlichting_vermogen_forfaitair,MATCH(O$21,verlichting_parameters_gebruiksfuncties,0)),O$45))*
IF(OR(O$21=woning,O$21=woongebouw),1,INDEX(verlichtingsregeling_waarden,MATCH(O$46,verlichtingsregeling_kopregel,0))))</f>
        <v>0</v>
      </c>
      <c r="P63" s="322">
        <f t="shared" si="73"/>
        <v>0</v>
      </c>
      <c r="Q63" s="322">
        <f t="shared" si="73"/>
        <v>0</v>
      </c>
      <c r="R63" s="322">
        <f t="shared" si="73"/>
        <v>0</v>
      </c>
      <c r="S63" s="322">
        <f t="shared" si="73"/>
        <v>0</v>
      </c>
      <c r="T63" s="322">
        <f t="shared" si="73"/>
        <v>0</v>
      </c>
      <c r="U63" s="322">
        <f t="shared" si="73"/>
        <v>0</v>
      </c>
      <c r="V63" s="322">
        <f t="shared" si="73"/>
        <v>0</v>
      </c>
      <c r="W63" s="322">
        <f t="shared" si="73"/>
        <v>0</v>
      </c>
      <c r="X63" s="142"/>
      <c r="Y63" s="323">
        <f t="shared" si="59"/>
        <v>0</v>
      </c>
      <c r="Z63" s="321"/>
      <c r="AA63" s="322">
        <f t="shared" ref="AA63:AI63" si="74">IF(OR(AA$19="",AND(AA$21&lt;&gt;woning,AA$21&lt;&gt;woongebouw,AA$46="")),0,
(INDEX(verlichting_parameters_a,MATCH(AA$21,verlichting_parameters_gebruiksfuncties,0))+
INDEX(verlichting_parameters_b,MATCH(AA$21,verlichting_parameters_gebruiksfuncties,0))*IF(AA$45="",INDEX(verlichting_vermogen_forfaitair,MATCH(AA$21,verlichting_parameters_gebruiksfuncties,0)),AA$45))*
IF(OR(AA$21=woning,AA$21=woongebouw),1,INDEX(verlichtingsregeling_waarden,MATCH(AA$46,verlichtingsregeling_kopregel,0))))</f>
        <v>0</v>
      </c>
      <c r="AB63" s="322">
        <f t="shared" si="74"/>
        <v>0</v>
      </c>
      <c r="AC63" s="322">
        <f t="shared" si="74"/>
        <v>0</v>
      </c>
      <c r="AD63" s="322">
        <f t="shared" si="74"/>
        <v>0</v>
      </c>
      <c r="AE63" s="322">
        <f t="shared" si="74"/>
        <v>0</v>
      </c>
      <c r="AF63" s="322">
        <f t="shared" si="74"/>
        <v>0</v>
      </c>
      <c r="AG63" s="322">
        <f t="shared" si="74"/>
        <v>0</v>
      </c>
      <c r="AH63" s="322">
        <f t="shared" si="74"/>
        <v>0</v>
      </c>
      <c r="AI63" s="322">
        <f t="shared" si="74"/>
        <v>0</v>
      </c>
      <c r="AJ63" s="142"/>
      <c r="AK63" s="323">
        <f t="shared" si="61"/>
        <v>0</v>
      </c>
      <c r="AL63" s="321"/>
      <c r="AM63" s="322">
        <f t="shared" ref="AM63:AU63" si="75">IF(OR(AM$19="",AND(AM$21&lt;&gt;woning,AM$21&lt;&gt;woongebouw,AM$46="")),0,
(INDEX(verlichting_parameters_a,MATCH(AM$21,verlichting_parameters_gebruiksfuncties,0))+
INDEX(verlichting_parameters_b,MATCH(AM$21,verlichting_parameters_gebruiksfuncties,0))*IF(AM$45="",INDEX(verlichting_vermogen_forfaitair,MATCH(AM$21,verlichting_parameters_gebruiksfuncties,0)),AM$45))*
IF(OR(AM$21=woning,AM$21=woongebouw),1,INDEX(verlichtingsregeling_waarden,MATCH(AM$46,verlichtingsregeling_kopregel,0))))</f>
        <v>0</v>
      </c>
      <c r="AN63" s="322">
        <f t="shared" si="75"/>
        <v>0</v>
      </c>
      <c r="AO63" s="322">
        <f t="shared" si="75"/>
        <v>0</v>
      </c>
      <c r="AP63" s="322">
        <f t="shared" si="75"/>
        <v>0</v>
      </c>
      <c r="AQ63" s="322">
        <f t="shared" si="75"/>
        <v>0</v>
      </c>
      <c r="AR63" s="322">
        <f t="shared" si="75"/>
        <v>0</v>
      </c>
      <c r="AS63" s="322">
        <f t="shared" si="75"/>
        <v>0</v>
      </c>
      <c r="AT63" s="322">
        <f t="shared" si="75"/>
        <v>0</v>
      </c>
      <c r="AU63" s="322">
        <f t="shared" si="75"/>
        <v>0</v>
      </c>
      <c r="AV63" s="142"/>
      <c r="AW63" s="323">
        <f t="shared" si="63"/>
        <v>0</v>
      </c>
      <c r="AX63" s="321"/>
      <c r="AY63" s="322">
        <f t="shared" ref="AY63:BG63" si="76">IF(OR(AY$19="",AND(AY$21&lt;&gt;woning,AY$21&lt;&gt;woongebouw,AY$46="")),0,
(INDEX(verlichting_parameters_a,MATCH(AY$21,verlichting_parameters_gebruiksfuncties,0))+
INDEX(verlichting_parameters_b,MATCH(AY$21,verlichting_parameters_gebruiksfuncties,0))*IF(AY$45="",INDEX(verlichting_vermogen_forfaitair,MATCH(AY$21,verlichting_parameters_gebruiksfuncties,0)),AY$45))*
IF(OR(AY$21=woning,AY$21=woongebouw),1,INDEX(verlichtingsregeling_waarden,MATCH(AY$46,verlichtingsregeling_kopregel,0))))</f>
        <v>0</v>
      </c>
      <c r="AZ63" s="322">
        <f t="shared" si="76"/>
        <v>0</v>
      </c>
      <c r="BA63" s="322">
        <f t="shared" si="76"/>
        <v>0</v>
      </c>
      <c r="BB63" s="322">
        <f t="shared" si="76"/>
        <v>0</v>
      </c>
      <c r="BC63" s="322">
        <f t="shared" si="76"/>
        <v>0</v>
      </c>
      <c r="BD63" s="322">
        <f t="shared" si="76"/>
        <v>0</v>
      </c>
      <c r="BE63" s="322">
        <f t="shared" si="76"/>
        <v>0</v>
      </c>
      <c r="BF63" s="322">
        <f t="shared" si="76"/>
        <v>0</v>
      </c>
      <c r="BG63" s="322">
        <f t="shared" si="76"/>
        <v>0</v>
      </c>
      <c r="BH63" s="255"/>
    </row>
    <row r="64" spans="1:60" x14ac:dyDescent="0.2">
      <c r="A64" s="653"/>
      <c r="B64" s="492" t="s">
        <v>158</v>
      </c>
      <c r="C64" s="656" t="s">
        <v>113</v>
      </c>
      <c r="D64" s="750" t="s">
        <v>50</v>
      </c>
      <c r="E64" s="358" t="str">
        <f>$S$10</f>
        <v>ventilatoren</v>
      </c>
      <c r="F64" s="359"/>
      <c r="G64" s="359"/>
      <c r="H64" s="358" t="s">
        <v>169</v>
      </c>
      <c r="I64" s="321"/>
      <c r="J64" s="323">
        <f t="shared" si="56"/>
        <v>0</v>
      </c>
      <c r="K64" s="142"/>
      <c r="L64" s="142"/>
      <c r="M64" s="323">
        <f t="shared" si="57"/>
        <v>0</v>
      </c>
      <c r="N64" s="321"/>
      <c r="O64" s="322">
        <f t="shared" ref="O64:W64" si="77">IFERROR(IF(OR(O$19="",O$42=""),0,
IF(INDEX(ventilatiesystemen_code_eenvoudig,MATCH(O$42,ventilatiesystemen_namen,0))="A",0,
IF(INDEX(ventilatiesystemen_code_eenvoudig,MATCH(O$42,ventilatiesystemen_namen,0))="C",VLOOKUP(O$43,ventilatorenergie_ventilatiesysteem_B_C,MATCH(O$21,ventilatorenergie_ventilatiesysteem_B_C_kopregel,0),FALSE),
VLOOKUP(O$43,ventilatorenergie_ventilatiesysteem_D,MATCH(O$21,ventilatorenergie_ventilatiesysteem_D_kopregel,0),FALSE)  ))),0)</f>
        <v>0</v>
      </c>
      <c r="P64" s="322">
        <f t="shared" si="77"/>
        <v>0</v>
      </c>
      <c r="Q64" s="322">
        <f t="shared" si="77"/>
        <v>0</v>
      </c>
      <c r="R64" s="322">
        <f t="shared" si="77"/>
        <v>0</v>
      </c>
      <c r="S64" s="322">
        <f t="shared" si="77"/>
        <v>0</v>
      </c>
      <c r="T64" s="322">
        <f t="shared" si="77"/>
        <v>0</v>
      </c>
      <c r="U64" s="322">
        <f t="shared" si="77"/>
        <v>0</v>
      </c>
      <c r="V64" s="322">
        <f t="shared" si="77"/>
        <v>0</v>
      </c>
      <c r="W64" s="322">
        <f t="shared" si="77"/>
        <v>0</v>
      </c>
      <c r="X64" s="142"/>
      <c r="Y64" s="323">
        <f t="shared" si="59"/>
        <v>0</v>
      </c>
      <c r="Z64" s="321"/>
      <c r="AA64" s="322">
        <f t="shared" ref="AA64:AI64" si="78">IFERROR(IF(OR(AA$19="",AA$42=""),0,
IF(INDEX(ventilatiesystemen_code_eenvoudig,MATCH(AA$42,ventilatiesystemen_namen,0))="A",0,
IF(INDEX(ventilatiesystemen_code_eenvoudig,MATCH(AA$42,ventilatiesystemen_namen,0))="C",VLOOKUP(AA$43,ventilatorenergie_ventilatiesysteem_B_C,MATCH(AA$21,ventilatorenergie_ventilatiesysteem_B_C_kopregel,0),FALSE),
VLOOKUP(AA$43,ventilatorenergie_ventilatiesysteem_D,MATCH(AA$21,ventilatorenergie_ventilatiesysteem_D_kopregel,0),FALSE)  ))),0)</f>
        <v>0</v>
      </c>
      <c r="AB64" s="322">
        <f t="shared" si="78"/>
        <v>0</v>
      </c>
      <c r="AC64" s="322">
        <f t="shared" si="78"/>
        <v>0</v>
      </c>
      <c r="AD64" s="322">
        <f t="shared" si="78"/>
        <v>0</v>
      </c>
      <c r="AE64" s="322">
        <f t="shared" si="78"/>
        <v>0</v>
      </c>
      <c r="AF64" s="322">
        <f t="shared" si="78"/>
        <v>0</v>
      </c>
      <c r="AG64" s="322">
        <f t="shared" si="78"/>
        <v>0</v>
      </c>
      <c r="AH64" s="322">
        <f t="shared" si="78"/>
        <v>0</v>
      </c>
      <c r="AI64" s="322">
        <f t="shared" si="78"/>
        <v>0</v>
      </c>
      <c r="AJ64" s="142"/>
      <c r="AK64" s="323">
        <f t="shared" si="61"/>
        <v>0</v>
      </c>
      <c r="AL64" s="321"/>
      <c r="AM64" s="322">
        <f t="shared" ref="AM64:AU64" si="79">IFERROR(IF(OR(AM$19="",AM$42=""),0,
IF(INDEX(ventilatiesystemen_code_eenvoudig,MATCH(AM$42,ventilatiesystemen_namen,0))="A",0,
IF(INDEX(ventilatiesystemen_code_eenvoudig,MATCH(AM$42,ventilatiesystemen_namen,0))="C",VLOOKUP(AM$43,ventilatorenergie_ventilatiesysteem_B_C,MATCH(AM$21,ventilatorenergie_ventilatiesysteem_B_C_kopregel,0),FALSE),
VLOOKUP(AM$43,ventilatorenergie_ventilatiesysteem_D,MATCH(AM$21,ventilatorenergie_ventilatiesysteem_D_kopregel,0),FALSE)  ))),0)</f>
        <v>0</v>
      </c>
      <c r="AN64" s="322">
        <f t="shared" si="79"/>
        <v>0</v>
      </c>
      <c r="AO64" s="322">
        <f t="shared" si="79"/>
        <v>0</v>
      </c>
      <c r="AP64" s="322">
        <f t="shared" si="79"/>
        <v>0</v>
      </c>
      <c r="AQ64" s="322">
        <f t="shared" si="79"/>
        <v>0</v>
      </c>
      <c r="AR64" s="322">
        <f t="shared" si="79"/>
        <v>0</v>
      </c>
      <c r="AS64" s="322">
        <f t="shared" si="79"/>
        <v>0</v>
      </c>
      <c r="AT64" s="322">
        <f t="shared" si="79"/>
        <v>0</v>
      </c>
      <c r="AU64" s="322">
        <f t="shared" si="79"/>
        <v>0</v>
      </c>
      <c r="AV64" s="142"/>
      <c r="AW64" s="323">
        <f t="shared" si="63"/>
        <v>0</v>
      </c>
      <c r="AX64" s="321"/>
      <c r="AY64" s="322">
        <f t="shared" ref="AY64:BG64" si="80">IFERROR(IF(OR(AY$19="",AY$42=""),0,
IF(INDEX(ventilatiesystemen_code_eenvoudig,MATCH(AY$42,ventilatiesystemen_namen,0))="A",0,
IF(INDEX(ventilatiesystemen_code_eenvoudig,MATCH(AY$42,ventilatiesystemen_namen,0))="C",VLOOKUP(AY$43,ventilatorenergie_ventilatiesysteem_B_C,MATCH(AY$21,ventilatorenergie_ventilatiesysteem_B_C_kopregel,0),FALSE),
VLOOKUP(AY$43,ventilatorenergie_ventilatiesysteem_D,MATCH(AY$21,ventilatorenergie_ventilatiesysteem_D_kopregel,0),FALSE)  ))),0)</f>
        <v>0</v>
      </c>
      <c r="AZ64" s="322">
        <f t="shared" si="80"/>
        <v>0</v>
      </c>
      <c r="BA64" s="322">
        <f t="shared" si="80"/>
        <v>0</v>
      </c>
      <c r="BB64" s="322">
        <f t="shared" si="80"/>
        <v>0</v>
      </c>
      <c r="BC64" s="322">
        <f t="shared" si="80"/>
        <v>0</v>
      </c>
      <c r="BD64" s="322">
        <f t="shared" si="80"/>
        <v>0</v>
      </c>
      <c r="BE64" s="322">
        <f t="shared" si="80"/>
        <v>0</v>
      </c>
      <c r="BF64" s="322">
        <f t="shared" si="80"/>
        <v>0</v>
      </c>
      <c r="BG64" s="322">
        <f t="shared" si="80"/>
        <v>0</v>
      </c>
      <c r="BH64" s="255"/>
    </row>
    <row r="65" spans="1:60" x14ac:dyDescent="0.2">
      <c r="A65" s="653"/>
      <c r="B65" s="492" t="s">
        <v>158</v>
      </c>
      <c r="C65" s="656" t="s">
        <v>113</v>
      </c>
      <c r="D65" s="750" t="s">
        <v>50</v>
      </c>
      <c r="E65" s="482" t="str">
        <f>$T$10</f>
        <v>kookgas</v>
      </c>
      <c r="F65" s="359"/>
      <c r="G65" s="359"/>
      <c r="H65" s="358" t="s">
        <v>169</v>
      </c>
      <c r="I65" s="321"/>
      <c r="J65" s="323">
        <f t="shared" si="56"/>
        <v>0</v>
      </c>
      <c r="K65" s="142"/>
      <c r="L65" s="142"/>
      <c r="M65" s="323">
        <f t="shared" si="57"/>
        <v>0</v>
      </c>
      <c r="N65" s="321"/>
      <c r="O65" s="322">
        <f t="shared" ref="O65:W65" si="81">IF(OR(O$19="",O$31=0,O$47=elektriciteit,AND(O$21&lt;&gt;woning,O$21&lt;&gt;woongebouw)),0,koken_gas/O$31)</f>
        <v>0</v>
      </c>
      <c r="P65" s="322">
        <f t="shared" si="81"/>
        <v>0</v>
      </c>
      <c r="Q65" s="322">
        <f t="shared" si="81"/>
        <v>0</v>
      </c>
      <c r="R65" s="322">
        <f t="shared" si="81"/>
        <v>0</v>
      </c>
      <c r="S65" s="322">
        <f t="shared" si="81"/>
        <v>0</v>
      </c>
      <c r="T65" s="322">
        <f t="shared" si="81"/>
        <v>0</v>
      </c>
      <c r="U65" s="322">
        <f t="shared" si="81"/>
        <v>0</v>
      </c>
      <c r="V65" s="322">
        <f t="shared" si="81"/>
        <v>0</v>
      </c>
      <c r="W65" s="322">
        <f t="shared" si="81"/>
        <v>0</v>
      </c>
      <c r="X65" s="142"/>
      <c r="Y65" s="323">
        <f t="shared" si="59"/>
        <v>0</v>
      </c>
      <c r="Z65" s="321"/>
      <c r="AA65" s="322">
        <f t="shared" ref="AA65:AI65" si="82">IF(OR(AA$19="",AA$31=0,AA$47=elektriciteit,AND(AA$21&lt;&gt;woning,AA$21&lt;&gt;woongebouw)),0,koken_gas/AA$31)</f>
        <v>0</v>
      </c>
      <c r="AB65" s="322">
        <f t="shared" si="82"/>
        <v>0</v>
      </c>
      <c r="AC65" s="322">
        <f t="shared" si="82"/>
        <v>0</v>
      </c>
      <c r="AD65" s="322">
        <f t="shared" si="82"/>
        <v>0</v>
      </c>
      <c r="AE65" s="322">
        <f t="shared" si="82"/>
        <v>0</v>
      </c>
      <c r="AF65" s="322">
        <f t="shared" si="82"/>
        <v>0</v>
      </c>
      <c r="AG65" s="322">
        <f t="shared" si="82"/>
        <v>0</v>
      </c>
      <c r="AH65" s="322">
        <f t="shared" si="82"/>
        <v>0</v>
      </c>
      <c r="AI65" s="322">
        <f t="shared" si="82"/>
        <v>0</v>
      </c>
      <c r="AJ65" s="142"/>
      <c r="AK65" s="323">
        <f t="shared" si="61"/>
        <v>0</v>
      </c>
      <c r="AL65" s="321"/>
      <c r="AM65" s="322">
        <f t="shared" ref="AM65:AU65" si="83">IF(OR(AM$19="",AM$31=0,AM$47=elektriciteit,AND(AM$21&lt;&gt;woning,AM$21&lt;&gt;woongebouw)),0,koken_gas/AM$31)</f>
        <v>0</v>
      </c>
      <c r="AN65" s="322">
        <f t="shared" si="83"/>
        <v>0</v>
      </c>
      <c r="AO65" s="322">
        <f t="shared" si="83"/>
        <v>0</v>
      </c>
      <c r="AP65" s="322">
        <f t="shared" si="83"/>
        <v>0</v>
      </c>
      <c r="AQ65" s="322">
        <f t="shared" si="83"/>
        <v>0</v>
      </c>
      <c r="AR65" s="322">
        <f t="shared" si="83"/>
        <v>0</v>
      </c>
      <c r="AS65" s="322">
        <f t="shared" si="83"/>
        <v>0</v>
      </c>
      <c r="AT65" s="322">
        <f t="shared" si="83"/>
        <v>0</v>
      </c>
      <c r="AU65" s="322">
        <f t="shared" si="83"/>
        <v>0</v>
      </c>
      <c r="AV65" s="142"/>
      <c r="AW65" s="323">
        <f t="shared" si="63"/>
        <v>0</v>
      </c>
      <c r="AX65" s="321"/>
      <c r="AY65" s="322">
        <f t="shared" ref="AY65:BG65" si="84">IF(OR(AY$19="",AY$31=0,AY$47=elektriciteit,AND(AY$21&lt;&gt;woning,AY$21&lt;&gt;woongebouw)),0,koken_gas/AY$31)</f>
        <v>0</v>
      </c>
      <c r="AZ65" s="322">
        <f t="shared" si="84"/>
        <v>0</v>
      </c>
      <c r="BA65" s="322">
        <f t="shared" si="84"/>
        <v>0</v>
      </c>
      <c r="BB65" s="322">
        <f t="shared" si="84"/>
        <v>0</v>
      </c>
      <c r="BC65" s="322">
        <f t="shared" si="84"/>
        <v>0</v>
      </c>
      <c r="BD65" s="322">
        <f t="shared" si="84"/>
        <v>0</v>
      </c>
      <c r="BE65" s="322">
        <f t="shared" si="84"/>
        <v>0</v>
      </c>
      <c r="BF65" s="322">
        <f t="shared" si="84"/>
        <v>0</v>
      </c>
      <c r="BG65" s="322">
        <f t="shared" si="84"/>
        <v>0</v>
      </c>
      <c r="BH65" s="255"/>
    </row>
    <row r="66" spans="1:60" x14ac:dyDescent="0.2">
      <c r="A66" s="653"/>
      <c r="B66" s="492" t="s">
        <v>158</v>
      </c>
      <c r="C66" s="656" t="s">
        <v>113</v>
      </c>
      <c r="D66" s="750" t="s">
        <v>50</v>
      </c>
      <c r="E66" s="358" t="str">
        <f>$U$10</f>
        <v>overig elektra</v>
      </c>
      <c r="F66" s="359"/>
      <c r="G66" s="359"/>
      <c r="H66" s="358" t="s">
        <v>169</v>
      </c>
      <c r="I66" s="321"/>
      <c r="J66" s="323">
        <f t="shared" si="56"/>
        <v>0</v>
      </c>
      <c r="K66" s="142"/>
      <c r="L66" s="142"/>
      <c r="M66" s="323">
        <f t="shared" si="57"/>
        <v>0</v>
      </c>
      <c r="N66" s="321"/>
      <c r="O66" s="322">
        <f t="shared" ref="O66:W66" si="85">IF(O$19="",0,
IF(OR(O$21=woning,O$21=woongebouw),(1-O$48)*niet_gebouwgebonden_elektriciteitgebruik_woningen_per_m2+IF(O$47=elektriciteit,koken_elektriciteit/O$31,0),
(1-O$48)*INDEX(specifiek_niet_gebouwgebonden_elektriciteitsgebruik_waarden,MATCH(O$21,specifiek_niet_gebouwgebonden_elektriciteitsgebruik_gebruiksfuncties,0))))</f>
        <v>0</v>
      </c>
      <c r="P66" s="322">
        <f t="shared" si="85"/>
        <v>0</v>
      </c>
      <c r="Q66" s="322">
        <f t="shared" si="85"/>
        <v>0</v>
      </c>
      <c r="R66" s="322">
        <f t="shared" si="85"/>
        <v>0</v>
      </c>
      <c r="S66" s="322">
        <f t="shared" si="85"/>
        <v>0</v>
      </c>
      <c r="T66" s="322">
        <f t="shared" si="85"/>
        <v>0</v>
      </c>
      <c r="U66" s="322">
        <f t="shared" si="85"/>
        <v>0</v>
      </c>
      <c r="V66" s="322">
        <f t="shared" si="85"/>
        <v>0</v>
      </c>
      <c r="W66" s="322">
        <f t="shared" si="85"/>
        <v>0</v>
      </c>
      <c r="X66" s="142"/>
      <c r="Y66" s="323">
        <f t="shared" si="59"/>
        <v>0</v>
      </c>
      <c r="Z66" s="321"/>
      <c r="AA66" s="322">
        <f t="shared" ref="AA66:AI66" si="86">IF(AA$19="",0,
IF(OR(AA$21=woning,AA$21=woongebouw),(1-AA$48)*niet_gebouwgebonden_elektriciteitgebruik_woningen_per_m2+IF(AA$47=elektriciteit,koken_elektriciteit/AA$31,0),
(1-AA$48)*INDEX(specifiek_niet_gebouwgebonden_elektriciteitsgebruik_waarden,MATCH(AA$21,specifiek_niet_gebouwgebonden_elektriciteitsgebruik_gebruiksfuncties,0))))</f>
        <v>0</v>
      </c>
      <c r="AB66" s="322">
        <f t="shared" si="86"/>
        <v>0</v>
      </c>
      <c r="AC66" s="322">
        <f t="shared" si="86"/>
        <v>0</v>
      </c>
      <c r="AD66" s="322">
        <f t="shared" si="86"/>
        <v>0</v>
      </c>
      <c r="AE66" s="322">
        <f t="shared" si="86"/>
        <v>0</v>
      </c>
      <c r="AF66" s="322">
        <f t="shared" si="86"/>
        <v>0</v>
      </c>
      <c r="AG66" s="322">
        <f t="shared" si="86"/>
        <v>0</v>
      </c>
      <c r="AH66" s="322">
        <f t="shared" si="86"/>
        <v>0</v>
      </c>
      <c r="AI66" s="322">
        <f t="shared" si="86"/>
        <v>0</v>
      </c>
      <c r="AJ66" s="142"/>
      <c r="AK66" s="323">
        <f t="shared" si="61"/>
        <v>0</v>
      </c>
      <c r="AL66" s="321"/>
      <c r="AM66" s="322">
        <f t="shared" ref="AM66:AU66" si="87">IF(AM$19="",0,
IF(OR(AM$21=woning,AM$21=woongebouw),(1-AM$48)*niet_gebouwgebonden_elektriciteitgebruik_woningen_per_m2+IF(AM$47=elektriciteit,koken_elektriciteit/AM$31,0),
(1-AM$48)*INDEX(specifiek_niet_gebouwgebonden_elektriciteitsgebruik_waarden,MATCH(AM$21,specifiek_niet_gebouwgebonden_elektriciteitsgebruik_gebruiksfuncties,0))))</f>
        <v>0</v>
      </c>
      <c r="AN66" s="322">
        <f t="shared" si="87"/>
        <v>0</v>
      </c>
      <c r="AO66" s="322">
        <f t="shared" si="87"/>
        <v>0</v>
      </c>
      <c r="AP66" s="322">
        <f t="shared" si="87"/>
        <v>0</v>
      </c>
      <c r="AQ66" s="322">
        <f t="shared" si="87"/>
        <v>0</v>
      </c>
      <c r="AR66" s="322">
        <f t="shared" si="87"/>
        <v>0</v>
      </c>
      <c r="AS66" s="322">
        <f t="shared" si="87"/>
        <v>0</v>
      </c>
      <c r="AT66" s="322">
        <f t="shared" si="87"/>
        <v>0</v>
      </c>
      <c r="AU66" s="322">
        <f t="shared" si="87"/>
        <v>0</v>
      </c>
      <c r="AV66" s="142"/>
      <c r="AW66" s="323">
        <f t="shared" si="63"/>
        <v>0</v>
      </c>
      <c r="AX66" s="321"/>
      <c r="AY66" s="322">
        <f t="shared" ref="AY66:BG66" si="88">IF(AY$19="",0,
IF(OR(AY$21=woning,AY$21=woongebouw),(1-AY$48)*niet_gebouwgebonden_elektriciteitgebruik_woningen_per_m2+IF(AY$47=elektriciteit,koken_elektriciteit/AY$31,0),
(1-AY$48)*INDEX(specifiek_niet_gebouwgebonden_elektriciteitsgebruik_waarden,MATCH(AY$21,specifiek_niet_gebouwgebonden_elektriciteitsgebruik_gebruiksfuncties,0))))</f>
        <v>0</v>
      </c>
      <c r="AZ66" s="322">
        <f t="shared" si="88"/>
        <v>0</v>
      </c>
      <c r="BA66" s="322">
        <f t="shared" si="88"/>
        <v>0</v>
      </c>
      <c r="BB66" s="322">
        <f t="shared" si="88"/>
        <v>0</v>
      </c>
      <c r="BC66" s="322">
        <f t="shared" si="88"/>
        <v>0</v>
      </c>
      <c r="BD66" s="322">
        <f t="shared" si="88"/>
        <v>0</v>
      </c>
      <c r="BE66" s="322">
        <f t="shared" si="88"/>
        <v>0</v>
      </c>
      <c r="BF66" s="322">
        <f t="shared" si="88"/>
        <v>0</v>
      </c>
      <c r="BG66" s="322">
        <f t="shared" si="88"/>
        <v>0</v>
      </c>
      <c r="BH66" s="255"/>
    </row>
    <row r="67" spans="1:60" ht="18.75" x14ac:dyDescent="0.2">
      <c r="A67" s="653"/>
      <c r="B67" s="492" t="s">
        <v>158</v>
      </c>
      <c r="C67" s="739" t="s">
        <v>104</v>
      </c>
      <c r="D67" s="750"/>
      <c r="E67" s="166" t="s">
        <v>170</v>
      </c>
      <c r="F67" s="167"/>
      <c r="G67" s="167"/>
      <c r="H67" s="168"/>
      <c r="I67" s="169"/>
      <c r="J67" s="170"/>
      <c r="K67" s="142"/>
      <c r="L67" s="142"/>
      <c r="M67" s="172"/>
      <c r="N67" s="172"/>
      <c r="O67" s="172"/>
      <c r="P67" s="172"/>
      <c r="Q67" s="172"/>
      <c r="R67" s="172"/>
      <c r="S67" s="172"/>
      <c r="T67" s="172"/>
      <c r="U67" s="172"/>
      <c r="V67" s="172"/>
      <c r="W67" s="172"/>
      <c r="X67" s="173"/>
      <c r="Y67" s="172"/>
      <c r="Z67" s="172"/>
      <c r="AA67" s="172"/>
      <c r="AB67" s="172"/>
      <c r="AC67" s="172"/>
      <c r="AD67" s="172"/>
      <c r="AE67" s="172"/>
      <c r="AF67" s="172"/>
      <c r="AG67" s="172"/>
      <c r="AH67" s="172"/>
      <c r="AI67" s="172"/>
      <c r="AJ67" s="173"/>
      <c r="AK67" s="172"/>
      <c r="AL67" s="172"/>
      <c r="AM67" s="172"/>
      <c r="AN67" s="172"/>
      <c r="AO67" s="172"/>
      <c r="AP67" s="172"/>
      <c r="AQ67" s="172"/>
      <c r="AR67" s="172"/>
      <c r="AS67" s="172"/>
      <c r="AT67" s="172"/>
      <c r="AU67" s="172"/>
      <c r="AV67" s="173"/>
      <c r="AW67" s="172"/>
      <c r="AX67" s="172"/>
      <c r="AY67" s="172"/>
      <c r="AZ67" s="172"/>
      <c r="BA67" s="172"/>
      <c r="BB67" s="172"/>
      <c r="BC67" s="172"/>
      <c r="BD67" s="172"/>
      <c r="BE67" s="172"/>
      <c r="BF67" s="172"/>
      <c r="BG67" s="172"/>
      <c r="BH67" s="263"/>
    </row>
    <row r="68" spans="1:60" x14ac:dyDescent="0.2">
      <c r="A68" s="653"/>
      <c r="B68" s="492" t="s">
        <v>158</v>
      </c>
      <c r="C68" s="656" t="s">
        <v>127</v>
      </c>
      <c r="D68" s="750" t="s">
        <v>50</v>
      </c>
      <c r="E68" s="358" t="str">
        <f>$V$10</f>
        <v>mobiliteit</v>
      </c>
      <c r="F68" s="359"/>
      <c r="G68" s="359"/>
      <c r="H68" s="358" t="s">
        <v>171</v>
      </c>
      <c r="I68" s="321"/>
      <c r="J68" s="323">
        <f>M68+Y68+AK68+AW68</f>
        <v>0</v>
      </c>
      <c r="K68" s="142"/>
      <c r="L68" s="142"/>
      <c r="M68" s="323">
        <f>SUMPRODUCT(N$24:X$24,N68:X68)/1000</f>
        <v>0</v>
      </c>
      <c r="N68" s="321"/>
      <c r="O68" s="449"/>
      <c r="P68" s="449"/>
      <c r="Q68" s="449"/>
      <c r="R68" s="449"/>
      <c r="S68" s="449"/>
      <c r="T68" s="449"/>
      <c r="U68" s="449"/>
      <c r="V68" s="449"/>
      <c r="W68" s="449"/>
      <c r="X68" s="142"/>
      <c r="Y68" s="323">
        <f>SUMPRODUCT(Z$24:AJ$24,Z68:AJ68)/1000</f>
        <v>0</v>
      </c>
      <c r="Z68" s="321"/>
      <c r="AA68" s="449"/>
      <c r="AB68" s="449"/>
      <c r="AC68" s="449"/>
      <c r="AD68" s="449"/>
      <c r="AE68" s="449"/>
      <c r="AF68" s="449"/>
      <c r="AG68" s="449"/>
      <c r="AH68" s="449"/>
      <c r="AI68" s="449"/>
      <c r="AJ68" s="142"/>
      <c r="AK68" s="323">
        <f>SUMPRODUCT(AL$24:AV$24,AL68:AV68)/1000</f>
        <v>0</v>
      </c>
      <c r="AL68" s="321"/>
      <c r="AM68" s="449"/>
      <c r="AN68" s="449"/>
      <c r="AO68" s="449"/>
      <c r="AP68" s="449"/>
      <c r="AQ68" s="449"/>
      <c r="AR68" s="449"/>
      <c r="AS68" s="449"/>
      <c r="AT68" s="449"/>
      <c r="AU68" s="449"/>
      <c r="AV68" s="142"/>
      <c r="AW68" s="323">
        <f>SUMPRODUCT(AX$24:BH$24,AX68:BH68)/1000</f>
        <v>0</v>
      </c>
      <c r="AX68" s="321"/>
      <c r="AY68" s="449"/>
      <c r="AZ68" s="449"/>
      <c r="BA68" s="449"/>
      <c r="BB68" s="449"/>
      <c r="BC68" s="449"/>
      <c r="BD68" s="449"/>
      <c r="BE68" s="449"/>
      <c r="BF68" s="449"/>
      <c r="BG68" s="449"/>
      <c r="BH68" s="255"/>
    </row>
    <row r="69" spans="1:60" ht="18.75" x14ac:dyDescent="0.2">
      <c r="A69" s="648"/>
      <c r="B69" s="492" t="s">
        <v>158</v>
      </c>
      <c r="C69" s="739" t="s">
        <v>104</v>
      </c>
      <c r="D69" s="750"/>
      <c r="E69" s="915" t="s">
        <v>172</v>
      </c>
      <c r="F69" s="916"/>
      <c r="G69" s="916"/>
      <c r="H69" s="168"/>
      <c r="I69" s="169"/>
      <c r="J69" s="170"/>
      <c r="K69" s="171"/>
      <c r="L69" s="171"/>
      <c r="M69" s="172"/>
      <c r="N69" s="172"/>
      <c r="O69" s="172"/>
      <c r="P69" s="172"/>
      <c r="Q69" s="172"/>
      <c r="R69" s="172"/>
      <c r="S69" s="172"/>
      <c r="T69" s="172"/>
      <c r="U69" s="172"/>
      <c r="V69" s="172"/>
      <c r="W69" s="172"/>
      <c r="X69" s="173"/>
      <c r="Y69" s="172"/>
      <c r="Z69" s="172"/>
      <c r="AA69" s="172"/>
      <c r="AB69" s="172"/>
      <c r="AC69" s="172"/>
      <c r="AD69" s="172"/>
      <c r="AE69" s="172"/>
      <c r="AF69" s="172"/>
      <c r="AG69" s="172"/>
      <c r="AH69" s="172"/>
      <c r="AI69" s="172"/>
      <c r="AJ69" s="173"/>
      <c r="AK69" s="172"/>
      <c r="AL69" s="172"/>
      <c r="AM69" s="172"/>
      <c r="AN69" s="172"/>
      <c r="AO69" s="172"/>
      <c r="AP69" s="172"/>
      <c r="AQ69" s="172"/>
      <c r="AR69" s="172"/>
      <c r="AS69" s="172"/>
      <c r="AT69" s="172"/>
      <c r="AU69" s="172"/>
      <c r="AV69" s="173"/>
      <c r="AW69" s="172"/>
      <c r="AX69" s="172"/>
      <c r="AY69" s="172"/>
      <c r="AZ69" s="172"/>
      <c r="BA69" s="172"/>
      <c r="BB69" s="172"/>
      <c r="BC69" s="172"/>
      <c r="BD69" s="172"/>
      <c r="BE69" s="172"/>
      <c r="BF69" s="172"/>
      <c r="BG69" s="172"/>
      <c r="BH69" s="263"/>
    </row>
    <row r="70" spans="1:60" x14ac:dyDescent="0.2">
      <c r="A70" s="648"/>
      <c r="B70" s="492" t="s">
        <v>158</v>
      </c>
      <c r="C70" s="656" t="s">
        <v>127</v>
      </c>
      <c r="D70" s="750" t="s">
        <v>50</v>
      </c>
      <c r="E70" s="358" t="s">
        <v>173</v>
      </c>
      <c r="F70" s="359"/>
      <c r="G70" s="359"/>
      <c r="H70" s="358" t="s">
        <v>171</v>
      </c>
      <c r="I70" s="321"/>
      <c r="J70" s="323">
        <f>M70+Y70+AK70+AW70</f>
        <v>0</v>
      </c>
      <c r="K70" s="142"/>
      <c r="L70" s="142"/>
      <c r="M70" s="323">
        <f>SUMPRODUCT(N$24:X$24,N70:X70)/1000</f>
        <v>0</v>
      </c>
      <c r="N70" s="321"/>
      <c r="O70" s="449"/>
      <c r="P70" s="449"/>
      <c r="Q70" s="449"/>
      <c r="R70" s="449"/>
      <c r="S70" s="449"/>
      <c r="T70" s="449"/>
      <c r="U70" s="449"/>
      <c r="V70" s="449"/>
      <c r="W70" s="449"/>
      <c r="X70" s="142"/>
      <c r="Y70" s="323">
        <f>SUMPRODUCT(Z$24:AJ$24,Z70:AJ70)/1000</f>
        <v>0</v>
      </c>
      <c r="Z70" s="321"/>
      <c r="AA70" s="449"/>
      <c r="AB70" s="449"/>
      <c r="AC70" s="449"/>
      <c r="AD70" s="449"/>
      <c r="AE70" s="449"/>
      <c r="AF70" s="449"/>
      <c r="AG70" s="449"/>
      <c r="AH70" s="449"/>
      <c r="AI70" s="449"/>
      <c r="AJ70" s="142"/>
      <c r="AK70" s="323">
        <f>SUMPRODUCT(AL$24:AV$24,AL70:AV70)/1000</f>
        <v>0</v>
      </c>
      <c r="AL70" s="321"/>
      <c r="AM70" s="449"/>
      <c r="AN70" s="449"/>
      <c r="AO70" s="449"/>
      <c r="AP70" s="449"/>
      <c r="AQ70" s="449"/>
      <c r="AR70" s="449"/>
      <c r="AS70" s="449"/>
      <c r="AT70" s="449"/>
      <c r="AU70" s="449"/>
      <c r="AV70" s="142"/>
      <c r="AW70" s="323">
        <f>SUMPRODUCT(AX$24:BH$24,AX70:BH70)/1000</f>
        <v>0</v>
      </c>
      <c r="AX70" s="321"/>
      <c r="AY70" s="449"/>
      <c r="AZ70" s="449"/>
      <c r="BA70" s="449"/>
      <c r="BB70" s="449"/>
      <c r="BC70" s="449"/>
      <c r="BD70" s="449"/>
      <c r="BE70" s="449"/>
      <c r="BF70" s="449"/>
      <c r="BG70" s="449"/>
      <c r="BH70" s="255"/>
    </row>
    <row r="71" spans="1:60" x14ac:dyDescent="0.2">
      <c r="A71" s="648"/>
      <c r="B71" s="492" t="s">
        <v>158</v>
      </c>
      <c r="C71" s="656" t="s">
        <v>127</v>
      </c>
      <c r="D71" s="747"/>
      <c r="E71" s="90"/>
      <c r="F71" s="90"/>
      <c r="G71" s="90"/>
      <c r="H71" s="96"/>
      <c r="I71" s="90"/>
      <c r="J71" s="93"/>
      <c r="K71" s="90"/>
      <c r="L71" s="90"/>
      <c r="M71" s="93"/>
      <c r="N71" s="90"/>
      <c r="O71" s="117"/>
      <c r="P71" s="93"/>
      <c r="Q71" s="117"/>
      <c r="R71" s="117"/>
      <c r="S71" s="117"/>
      <c r="T71" s="117"/>
      <c r="U71" s="117"/>
      <c r="V71" s="117"/>
      <c r="W71" s="117"/>
      <c r="X71" s="93"/>
      <c r="Y71" s="93"/>
      <c r="Z71" s="90"/>
      <c r="AA71" s="117"/>
      <c r="AB71" s="93"/>
      <c r="AC71" s="117"/>
      <c r="AD71" s="117"/>
      <c r="AE71" s="117"/>
      <c r="AF71" s="117"/>
      <c r="AG71" s="117"/>
      <c r="AH71" s="117"/>
      <c r="AI71" s="117"/>
      <c r="AJ71" s="93"/>
      <c r="AK71" s="93"/>
      <c r="AL71" s="90"/>
      <c r="AM71" s="117"/>
      <c r="AN71" s="93"/>
      <c r="AO71" s="117"/>
      <c r="AP71" s="117"/>
      <c r="AQ71" s="117"/>
      <c r="AR71" s="117"/>
      <c r="AS71" s="117"/>
      <c r="AT71" s="117"/>
      <c r="AU71" s="117"/>
      <c r="AV71" s="93"/>
      <c r="AW71" s="93"/>
      <c r="AX71" s="90"/>
      <c r="AY71" s="93"/>
      <c r="AZ71" s="93"/>
      <c r="BA71" s="93"/>
      <c r="BB71" s="93"/>
      <c r="BC71" s="93"/>
      <c r="BD71" s="93"/>
      <c r="BE71" s="93"/>
      <c r="BF71" s="93"/>
      <c r="BG71" s="93"/>
      <c r="BH71" s="1"/>
    </row>
    <row r="72" spans="1:60" x14ac:dyDescent="0.2">
      <c r="A72" s="648"/>
      <c r="B72" s="492" t="s">
        <v>158</v>
      </c>
      <c r="C72" s="656" t="s">
        <v>104</v>
      </c>
      <c r="D72" s="747"/>
      <c r="E72" s="90"/>
      <c r="F72" s="90"/>
      <c r="G72" s="90"/>
      <c r="H72" s="96"/>
      <c r="I72" s="90"/>
      <c r="J72" s="93"/>
      <c r="K72" s="90"/>
      <c r="L72" s="90"/>
      <c r="M72" s="93"/>
      <c r="N72" s="90"/>
      <c r="O72" s="117"/>
      <c r="P72" s="93"/>
      <c r="Q72" s="117"/>
      <c r="R72" s="117"/>
      <c r="S72" s="117"/>
      <c r="T72" s="117"/>
      <c r="U72" s="117"/>
      <c r="V72" s="117"/>
      <c r="W72" s="117"/>
      <c r="X72" s="93"/>
      <c r="Y72" s="93"/>
      <c r="Z72" s="90"/>
      <c r="AA72" s="117"/>
      <c r="AB72" s="93"/>
      <c r="AC72" s="117"/>
      <c r="AD72" s="117"/>
      <c r="AE72" s="117"/>
      <c r="AF72" s="117"/>
      <c r="AG72" s="117"/>
      <c r="AH72" s="117"/>
      <c r="AI72" s="117"/>
      <c r="AJ72" s="93"/>
      <c r="AK72" s="93"/>
      <c r="AL72" s="90"/>
      <c r="AM72" s="117"/>
      <c r="AN72" s="93"/>
      <c r="AO72" s="117"/>
      <c r="AP72" s="117"/>
      <c r="AQ72" s="117"/>
      <c r="AR72" s="117"/>
      <c r="AS72" s="117"/>
      <c r="AT72" s="117"/>
      <c r="AU72" s="117"/>
      <c r="AV72" s="93"/>
      <c r="AW72" s="93"/>
      <c r="AX72" s="90"/>
      <c r="AY72" s="93"/>
      <c r="AZ72" s="93"/>
      <c r="BA72" s="93"/>
      <c r="BB72" s="93"/>
      <c r="BC72" s="93"/>
      <c r="BD72" s="93"/>
      <c r="BE72" s="93"/>
      <c r="BF72" s="93"/>
      <c r="BG72" s="93"/>
      <c r="BH72" s="1"/>
    </row>
    <row r="73" spans="1:60" ht="21" x14ac:dyDescent="0.2">
      <c r="A73" s="648"/>
      <c r="B73" s="492" t="s">
        <v>158</v>
      </c>
      <c r="C73" s="739" t="s">
        <v>104</v>
      </c>
      <c r="D73" s="752"/>
      <c r="E73" s="240" t="s">
        <v>174</v>
      </c>
      <c r="F73" s="240"/>
      <c r="G73" s="240"/>
      <c r="H73" s="240"/>
      <c r="I73" s="88"/>
      <c r="J73" s="241" t="str">
        <f>J$10&amp;" MWh"</f>
        <v>totaal MWh</v>
      </c>
      <c r="K73" s="142"/>
      <c r="L73" s="142"/>
      <c r="M73" s="216" t="str">
        <f>M$10&amp;" MWh"</f>
        <v>totaal MWh</v>
      </c>
      <c r="N73" s="222"/>
      <c r="O73" s="217" t="str">
        <f t="shared" ref="O73:W73" si="89">O$10</f>
        <v>verwarming</v>
      </c>
      <c r="P73" s="217" t="str">
        <f t="shared" si="89"/>
        <v>koeling</v>
      </c>
      <c r="Q73" s="217" t="str">
        <f t="shared" si="89"/>
        <v>tapwater</v>
      </c>
      <c r="R73" s="217" t="str">
        <f t="shared" si="89"/>
        <v>verlichting</v>
      </c>
      <c r="S73" s="217" t="str">
        <f t="shared" si="89"/>
        <v>ventilatoren</v>
      </c>
      <c r="T73" s="217" t="str">
        <f t="shared" si="89"/>
        <v>kookgas</v>
      </c>
      <c r="U73" s="217" t="str">
        <f t="shared" si="89"/>
        <v>overig elektra</v>
      </c>
      <c r="V73" s="217" t="str">
        <f t="shared" si="89"/>
        <v>mobiliteit</v>
      </c>
      <c r="W73" s="217" t="str">
        <f t="shared" si="89"/>
        <v>zonnepanelen</v>
      </c>
      <c r="X73" s="214"/>
      <c r="Y73" s="216" t="str">
        <f>Y$10&amp;" MWh"</f>
        <v>totaal MWh</v>
      </c>
      <c r="Z73" s="222"/>
      <c r="AA73" s="217" t="str">
        <f t="shared" ref="AA73:AI73" si="90">AA$10</f>
        <v>verwarming</v>
      </c>
      <c r="AB73" s="217" t="str">
        <f t="shared" si="90"/>
        <v>koeling</v>
      </c>
      <c r="AC73" s="217" t="str">
        <f t="shared" si="90"/>
        <v>tapwater</v>
      </c>
      <c r="AD73" s="217" t="str">
        <f t="shared" si="90"/>
        <v>verlichting</v>
      </c>
      <c r="AE73" s="217" t="str">
        <f t="shared" si="90"/>
        <v>ventilatoren</v>
      </c>
      <c r="AF73" s="217" t="str">
        <f t="shared" si="90"/>
        <v>kookgas</v>
      </c>
      <c r="AG73" s="217" t="str">
        <f t="shared" si="90"/>
        <v>overig elektra</v>
      </c>
      <c r="AH73" s="217" t="str">
        <f t="shared" si="90"/>
        <v>mobiliteit</v>
      </c>
      <c r="AI73" s="217" t="str">
        <f t="shared" si="90"/>
        <v>zonnepanelen</v>
      </c>
      <c r="AJ73" s="214"/>
      <c r="AK73" s="216" t="str">
        <f>AK$10&amp;" MWh"</f>
        <v>totaal MWh</v>
      </c>
      <c r="AL73" s="222"/>
      <c r="AM73" s="217" t="str">
        <f>AM$10</f>
        <v>verwarming</v>
      </c>
      <c r="AN73" s="217" t="str">
        <f t="shared" ref="AN73:AU73" si="91">AN$10</f>
        <v>koeling</v>
      </c>
      <c r="AO73" s="217" t="str">
        <f t="shared" si="91"/>
        <v>tapwater</v>
      </c>
      <c r="AP73" s="217" t="str">
        <f t="shared" si="91"/>
        <v>verlichting</v>
      </c>
      <c r="AQ73" s="217" t="str">
        <f t="shared" si="91"/>
        <v>ventilatoren</v>
      </c>
      <c r="AR73" s="217" t="str">
        <f t="shared" si="91"/>
        <v>kookgas</v>
      </c>
      <c r="AS73" s="217" t="str">
        <f t="shared" si="91"/>
        <v>overig elektra</v>
      </c>
      <c r="AT73" s="217" t="str">
        <f t="shared" si="91"/>
        <v>mobiliteit</v>
      </c>
      <c r="AU73" s="217" t="str">
        <f t="shared" si="91"/>
        <v>zonnepanelen</v>
      </c>
      <c r="AV73" s="214"/>
      <c r="AW73" s="216" t="str">
        <f>AW$10&amp;" MWh"</f>
        <v>totaal MWh</v>
      </c>
      <c r="AX73" s="222"/>
      <c r="AY73" s="217" t="str">
        <f>AY$10</f>
        <v>verwarming</v>
      </c>
      <c r="AZ73" s="217" t="str">
        <f t="shared" ref="AZ73:BG73" si="92">AZ$10</f>
        <v>koeling</v>
      </c>
      <c r="BA73" s="217" t="str">
        <f t="shared" si="92"/>
        <v>tapwater</v>
      </c>
      <c r="BB73" s="217" t="str">
        <f t="shared" si="92"/>
        <v>verlichting</v>
      </c>
      <c r="BC73" s="217" t="str">
        <f t="shared" si="92"/>
        <v>ventilatoren</v>
      </c>
      <c r="BD73" s="217" t="str">
        <f t="shared" si="92"/>
        <v>kookgas</v>
      </c>
      <c r="BE73" s="217" t="str">
        <f t="shared" si="92"/>
        <v>overig elektra</v>
      </c>
      <c r="BF73" s="217" t="str">
        <f t="shared" si="92"/>
        <v>mobiliteit</v>
      </c>
      <c r="BG73" s="217" t="str">
        <f t="shared" si="92"/>
        <v>zonnepanelen</v>
      </c>
      <c r="BH73" s="1"/>
    </row>
    <row r="74" spans="1:60" ht="18.75" x14ac:dyDescent="0.2">
      <c r="A74" s="648"/>
      <c r="B74" s="492" t="s">
        <v>158</v>
      </c>
      <c r="C74" s="739" t="s">
        <v>104</v>
      </c>
      <c r="D74" s="750"/>
      <c r="E74" s="174" t="s">
        <v>175</v>
      </c>
      <c r="F74" s="175"/>
      <c r="G74" s="175"/>
      <c r="H74" s="176"/>
      <c r="I74" s="177"/>
      <c r="J74" s="141"/>
      <c r="K74" s="178"/>
      <c r="L74" s="178"/>
      <c r="M74" s="141"/>
      <c r="N74" s="141"/>
      <c r="O74" s="141"/>
      <c r="P74" s="141"/>
      <c r="Q74" s="141"/>
      <c r="R74" s="141"/>
      <c r="S74" s="141"/>
      <c r="T74" s="141"/>
      <c r="U74" s="141"/>
      <c r="V74" s="141"/>
      <c r="W74" s="141"/>
      <c r="X74" s="179"/>
      <c r="Y74" s="141"/>
      <c r="Z74" s="141"/>
      <c r="AA74" s="141"/>
      <c r="AB74" s="141"/>
      <c r="AC74" s="141"/>
      <c r="AD74" s="141"/>
      <c r="AE74" s="141"/>
      <c r="AF74" s="141"/>
      <c r="AG74" s="141"/>
      <c r="AH74" s="141"/>
      <c r="AI74" s="141"/>
      <c r="AJ74" s="179"/>
      <c r="AK74" s="141"/>
      <c r="AL74" s="141"/>
      <c r="AM74" s="141"/>
      <c r="AN74" s="141"/>
      <c r="AO74" s="141"/>
      <c r="AP74" s="141"/>
      <c r="AQ74" s="141"/>
      <c r="AR74" s="141"/>
      <c r="AS74" s="141"/>
      <c r="AT74" s="141"/>
      <c r="AU74" s="141"/>
      <c r="AV74" s="179"/>
      <c r="AW74" s="141"/>
      <c r="AX74" s="141"/>
      <c r="AY74" s="141"/>
      <c r="AZ74" s="141"/>
      <c r="BA74" s="141"/>
      <c r="BB74" s="141"/>
      <c r="BC74" s="141"/>
      <c r="BD74" s="141"/>
      <c r="BE74" s="141"/>
      <c r="BF74" s="141"/>
      <c r="BG74" s="141"/>
      <c r="BH74" s="263"/>
    </row>
    <row r="75" spans="1:60" x14ac:dyDescent="0.2">
      <c r="A75" s="648"/>
      <c r="B75" s="492" t="s">
        <v>158</v>
      </c>
      <c r="C75" s="656" t="s">
        <v>113</v>
      </c>
      <c r="D75" s="750" t="s">
        <v>50</v>
      </c>
      <c r="E75" s="358" t="s">
        <v>176</v>
      </c>
      <c r="F75" s="359"/>
      <c r="G75" s="359"/>
      <c r="H75" s="358" t="s">
        <v>177</v>
      </c>
      <c r="I75" s="321"/>
      <c r="J75" s="323">
        <f>M75+Y75+AK75+AW75</f>
        <v>0</v>
      </c>
      <c r="K75" s="142"/>
      <c r="L75" s="142"/>
      <c r="M75" s="323">
        <f>SUM(N75:X75)</f>
        <v>0</v>
      </c>
      <c r="N75" s="321"/>
      <c r="O75" s="322">
        <f>SUMPRODUCT(N24:X24,N31:X31,N60:X60)/1000</f>
        <v>0</v>
      </c>
      <c r="P75" s="322">
        <f>SUMPRODUCT(N24:X24,N31:X31,N61:X61)/1000</f>
        <v>0</v>
      </c>
      <c r="Q75" s="322">
        <f>SUMPRODUCT(N24:X24,N31:X31,N62:X62)/1000</f>
        <v>0</v>
      </c>
      <c r="R75" s="322">
        <f>SUMPRODUCT(N24:X24,N31:X31,N63:X63)/1000</f>
        <v>0</v>
      </c>
      <c r="S75" s="322">
        <f>SUMPRODUCT(N24:X24,N31:X31,N64:X64)/1000</f>
        <v>0</v>
      </c>
      <c r="T75" s="322">
        <f>SUMPRODUCT(N24:X24,N31:X31,N65:X65)/1000</f>
        <v>0</v>
      </c>
      <c r="U75" s="322">
        <f>SUMPRODUCT(N24:X24,N31:X31,N66:X66)/1000</f>
        <v>0</v>
      </c>
      <c r="V75" s="322">
        <f>SUMPRODUCT(N24:X24,N68:X68)/1000</f>
        <v>0</v>
      </c>
      <c r="W75" s="322">
        <f>-SUMPRODUCT(N24:X24,N70:X70)/1000</f>
        <v>0</v>
      </c>
      <c r="X75" s="142"/>
      <c r="Y75" s="323">
        <f>SUM(Z75:AJ75)</f>
        <v>0</v>
      </c>
      <c r="Z75" s="321"/>
      <c r="AA75" s="322">
        <f>SUMPRODUCT(Z24:AJ24,Z31:AJ31,Z60:AJ60)/1000</f>
        <v>0</v>
      </c>
      <c r="AB75" s="322">
        <f>SUMPRODUCT(Z24:AJ24,Z31:AJ31,Z61:AJ61)/1000</f>
        <v>0</v>
      </c>
      <c r="AC75" s="322">
        <f>SUMPRODUCT(Z24:AJ24,Z31:AJ31,Z62:AJ62)/1000</f>
        <v>0</v>
      </c>
      <c r="AD75" s="322">
        <f>SUMPRODUCT(Z24:AJ24,Z31:AJ31,Z63:AJ63)/1000</f>
        <v>0</v>
      </c>
      <c r="AE75" s="322">
        <f>SUMPRODUCT(Z24:AJ24,Z31:AJ31,Z64:AJ64)/1000</f>
        <v>0</v>
      </c>
      <c r="AF75" s="322">
        <f>SUMPRODUCT(Z24:AJ24,Z31:AJ31,Z65:AJ65)/1000</f>
        <v>0</v>
      </c>
      <c r="AG75" s="322">
        <f>SUMPRODUCT(Z24:AJ24,Z31:AJ31,Z66:AJ66)/1000</f>
        <v>0</v>
      </c>
      <c r="AH75" s="322">
        <f>SUMPRODUCT(Z24:AJ24,Z68:AJ68)/1000</f>
        <v>0</v>
      </c>
      <c r="AI75" s="322">
        <f>-SUMPRODUCT(Z24:AJ24,Z70:AJ70)/1000</f>
        <v>0</v>
      </c>
      <c r="AJ75" s="142"/>
      <c r="AK75" s="323">
        <f>SUM(AL75:AV75)</f>
        <v>0</v>
      </c>
      <c r="AL75" s="321"/>
      <c r="AM75" s="322">
        <f>SUMPRODUCT(AL24:AV24,AL31:AV31,AL60:AV60)/1000</f>
        <v>0</v>
      </c>
      <c r="AN75" s="322">
        <f>SUMPRODUCT(AL24:AV24,AL31:AV31,AL61:AV61)/1000</f>
        <v>0</v>
      </c>
      <c r="AO75" s="322">
        <f>SUMPRODUCT(AL24:AV24,AL31:AV31,AL62:AV62)/1000</f>
        <v>0</v>
      </c>
      <c r="AP75" s="322">
        <f>SUMPRODUCT(AL24:AV24,AL31:AV31,AL63:AV63)/1000</f>
        <v>0</v>
      </c>
      <c r="AQ75" s="322">
        <f>SUMPRODUCT(AL24:AV24,AL31:AV31,AL64:AV64)/1000</f>
        <v>0</v>
      </c>
      <c r="AR75" s="322">
        <f>SUMPRODUCT(AL24:AV24,AL31:AV31,AL65:AV65)/1000</f>
        <v>0</v>
      </c>
      <c r="AS75" s="322">
        <f>SUMPRODUCT(AL24:AV24,AL31:AV31,AL66:AV66)/1000</f>
        <v>0</v>
      </c>
      <c r="AT75" s="322">
        <f>SUMPRODUCT(AL24:AV24,AL68:AV68)/1000</f>
        <v>0</v>
      </c>
      <c r="AU75" s="322">
        <f>-SUMPRODUCT(AL24:AV24,AL70:AV70)/1000</f>
        <v>0</v>
      </c>
      <c r="AV75" s="142"/>
      <c r="AW75" s="323">
        <f>SUM(AX75:BH75)</f>
        <v>0</v>
      </c>
      <c r="AX75" s="321"/>
      <c r="AY75" s="322">
        <f>SUMPRODUCT(AX24:BH24,AX31:BH31,AX60:BH60)/1000</f>
        <v>0</v>
      </c>
      <c r="AZ75" s="322">
        <f>SUMPRODUCT(AX24:BH24,AX31:BH31,AX61:BH61)/1000</f>
        <v>0</v>
      </c>
      <c r="BA75" s="322">
        <f>SUMPRODUCT(AX24:BH24,AX31:BH31,AX62:BH62)/1000</f>
        <v>0</v>
      </c>
      <c r="BB75" s="322">
        <f>SUMPRODUCT(AX24:BH24,AX31:BH31,AX63:BH63)/1000</f>
        <v>0</v>
      </c>
      <c r="BC75" s="322">
        <f>SUMPRODUCT(AX24:BH24,AX31:BH31,AX64:BH64)/1000</f>
        <v>0</v>
      </c>
      <c r="BD75" s="322">
        <f>SUMPRODUCT(AX24:BH24,AX31:BH31,AX65:BH65)/1000</f>
        <v>0</v>
      </c>
      <c r="BE75" s="322">
        <f>SUMPRODUCT(AX24:BH24,AX31:BH31,AX66:BH66)/1000</f>
        <v>0</v>
      </c>
      <c r="BF75" s="322">
        <f>SUMPRODUCT(AX24:BH24,AX68:BH68)/1000</f>
        <v>0</v>
      </c>
      <c r="BG75" s="322">
        <f>-SUMPRODUCT(AX24:BH24,AX70:BH70)/1000</f>
        <v>0</v>
      </c>
      <c r="BH75" s="255"/>
    </row>
    <row r="76" spans="1:60" x14ac:dyDescent="0.2">
      <c r="A76" s="648"/>
      <c r="B76" s="492" t="s">
        <v>158</v>
      </c>
      <c r="C76" s="739" t="s">
        <v>104</v>
      </c>
      <c r="D76" s="747"/>
      <c r="E76" s="90"/>
      <c r="F76" s="90"/>
      <c r="G76" s="90"/>
      <c r="H76" s="96"/>
      <c r="I76" s="90"/>
      <c r="J76" s="93"/>
      <c r="K76" s="90"/>
      <c r="L76" s="90"/>
      <c r="M76" s="93"/>
      <c r="N76" s="90"/>
      <c r="O76" s="93"/>
      <c r="P76" s="93"/>
      <c r="Q76" s="93"/>
      <c r="R76" s="93"/>
      <c r="S76" s="93"/>
      <c r="T76" s="93"/>
      <c r="U76" s="93"/>
      <c r="V76" s="93"/>
      <c r="W76" s="93"/>
      <c r="X76" s="93"/>
      <c r="Y76" s="93"/>
      <c r="Z76" s="90"/>
      <c r="AA76" s="122"/>
      <c r="AB76" s="93"/>
      <c r="AC76" s="122"/>
      <c r="AD76" s="93"/>
      <c r="AE76" s="93"/>
      <c r="AF76" s="93"/>
      <c r="AG76" s="93"/>
      <c r="AH76" s="93"/>
      <c r="AI76" s="93"/>
      <c r="AJ76" s="93"/>
      <c r="AK76" s="93"/>
      <c r="AL76" s="90"/>
      <c r="AM76" s="93"/>
      <c r="AN76" s="93"/>
      <c r="AO76" s="93"/>
      <c r="AP76" s="93"/>
      <c r="AQ76" s="93"/>
      <c r="AR76" s="93"/>
      <c r="AS76" s="93"/>
      <c r="AT76" s="93"/>
      <c r="AU76" s="93"/>
      <c r="AV76" s="93"/>
      <c r="AW76" s="93"/>
      <c r="AX76" s="90"/>
      <c r="AY76" s="93"/>
      <c r="AZ76" s="93"/>
      <c r="BA76" s="93"/>
      <c r="BB76" s="93"/>
      <c r="BC76" s="93"/>
      <c r="BD76" s="93"/>
      <c r="BE76" s="93"/>
      <c r="BF76" s="93"/>
      <c r="BG76" s="93"/>
      <c r="BH76" s="1"/>
    </row>
    <row r="77" spans="1:60" x14ac:dyDescent="0.2">
      <c r="A77" s="648"/>
      <c r="B77" s="492" t="s">
        <v>178</v>
      </c>
      <c r="C77" s="656" t="s">
        <v>104</v>
      </c>
      <c r="D77" s="747"/>
      <c r="E77" s="90"/>
      <c r="F77" s="90"/>
      <c r="G77" s="90"/>
      <c r="H77" s="96"/>
      <c r="I77" s="90"/>
      <c r="J77" s="93"/>
      <c r="K77" s="90"/>
      <c r="L77" s="90"/>
      <c r="M77" s="93"/>
      <c r="N77" s="90"/>
      <c r="O77" s="93"/>
      <c r="P77" s="93"/>
      <c r="Q77" s="93"/>
      <c r="R77" s="93"/>
      <c r="S77" s="93"/>
      <c r="T77" s="93"/>
      <c r="U77" s="93"/>
      <c r="V77" s="93"/>
      <c r="W77" s="93"/>
      <c r="X77" s="93"/>
      <c r="Y77" s="93"/>
      <c r="Z77" s="90"/>
      <c r="AA77" s="122"/>
      <c r="AB77" s="122"/>
      <c r="AC77" s="93"/>
      <c r="AD77" s="93"/>
      <c r="AE77" s="93"/>
      <c r="AF77" s="93"/>
      <c r="AG77" s="93"/>
      <c r="AH77" s="93"/>
      <c r="AI77" s="93"/>
      <c r="AJ77" s="93"/>
      <c r="AK77" s="93"/>
      <c r="AL77" s="90"/>
      <c r="AM77" s="93"/>
      <c r="AN77" s="93"/>
      <c r="AO77" s="93"/>
      <c r="AP77" s="93"/>
      <c r="AQ77" s="93"/>
      <c r="AR77" s="93"/>
      <c r="AS77" s="93"/>
      <c r="AT77" s="93"/>
      <c r="AU77" s="93"/>
      <c r="AV77" s="93"/>
      <c r="AW77" s="93"/>
      <c r="AX77" s="90"/>
      <c r="AY77" s="93"/>
      <c r="AZ77" s="93"/>
      <c r="BA77" s="93"/>
      <c r="BB77" s="93"/>
      <c r="BC77" s="93"/>
      <c r="BD77" s="93"/>
      <c r="BE77" s="93"/>
      <c r="BF77" s="93"/>
      <c r="BG77" s="93"/>
      <c r="BH77" s="1"/>
    </row>
    <row r="78" spans="1:60" ht="21" x14ac:dyDescent="0.2">
      <c r="A78" s="648"/>
      <c r="B78" s="492" t="s">
        <v>178</v>
      </c>
      <c r="C78" s="739" t="s">
        <v>104</v>
      </c>
      <c r="D78" s="750" t="s">
        <v>50</v>
      </c>
      <c r="E78" s="240" t="s">
        <v>179</v>
      </c>
      <c r="F78" s="240"/>
      <c r="G78" s="240"/>
      <c r="H78" s="240"/>
      <c r="I78" s="88"/>
      <c r="J78" s="241"/>
      <c r="K78" s="142"/>
      <c r="L78" s="142"/>
      <c r="M78" s="216"/>
      <c r="N78" s="222"/>
      <c r="O78" s="217"/>
      <c r="P78" s="217"/>
      <c r="Q78" s="217"/>
      <c r="R78" s="217"/>
      <c r="S78" s="217"/>
      <c r="T78" s="217"/>
      <c r="U78" s="217"/>
      <c r="V78" s="217"/>
      <c r="W78" s="217"/>
      <c r="X78" s="214"/>
      <c r="Y78" s="216"/>
      <c r="Z78" s="222"/>
      <c r="AA78" s="217"/>
      <c r="AB78" s="217"/>
      <c r="AC78" s="217"/>
      <c r="AD78" s="217"/>
      <c r="AE78" s="217"/>
      <c r="AF78" s="217"/>
      <c r="AG78" s="217"/>
      <c r="AH78" s="217"/>
      <c r="AI78" s="217"/>
      <c r="AJ78" s="214"/>
      <c r="AK78" s="216"/>
      <c r="AL78" s="222"/>
      <c r="AM78" s="217"/>
      <c r="AN78" s="217"/>
      <c r="AO78" s="217"/>
      <c r="AP78" s="217"/>
      <c r="AQ78" s="217"/>
      <c r="AR78" s="217"/>
      <c r="AS78" s="217"/>
      <c r="AT78" s="217"/>
      <c r="AU78" s="217"/>
      <c r="AV78" s="214"/>
      <c r="AW78" s="216"/>
      <c r="AX78" s="222"/>
      <c r="AY78" s="217"/>
      <c r="AZ78" s="217"/>
      <c r="BA78" s="217"/>
      <c r="BB78" s="217"/>
      <c r="BC78" s="217"/>
      <c r="BD78" s="217"/>
      <c r="BE78" s="217"/>
      <c r="BF78" s="217"/>
      <c r="BG78" s="217"/>
      <c r="BH78" s="1"/>
    </row>
    <row r="79" spans="1:60" ht="18.75" x14ac:dyDescent="0.2">
      <c r="A79" s="648"/>
      <c r="B79" s="492" t="s">
        <v>178</v>
      </c>
      <c r="C79" s="739" t="s">
        <v>104</v>
      </c>
      <c r="D79" s="750" t="s">
        <v>50</v>
      </c>
      <c r="E79" s="174" t="s">
        <v>180</v>
      </c>
      <c r="F79" s="175"/>
      <c r="G79" s="175"/>
      <c r="H79" s="176"/>
      <c r="I79" s="177"/>
      <c r="J79" s="141"/>
      <c r="K79" s="178"/>
      <c r="L79" s="178"/>
      <c r="M79" s="141"/>
      <c r="N79" s="141"/>
      <c r="O79" s="141"/>
      <c r="P79" s="141"/>
      <c r="Q79" s="141"/>
      <c r="R79" s="141">
        <v>1</v>
      </c>
      <c r="S79" s="141">
        <v>1</v>
      </c>
      <c r="T79" s="141"/>
      <c r="U79" s="141"/>
      <c r="V79" s="141"/>
      <c r="W79" s="141"/>
      <c r="X79" s="179"/>
      <c r="Y79" s="141"/>
      <c r="Z79" s="141"/>
      <c r="AA79" s="141"/>
      <c r="AB79" s="141"/>
      <c r="AC79" s="141"/>
      <c r="AD79" s="141"/>
      <c r="AE79" s="141"/>
      <c r="AF79" s="141"/>
      <c r="AG79" s="141"/>
      <c r="AH79" s="141"/>
      <c r="AI79" s="141"/>
      <c r="AJ79" s="179"/>
      <c r="AK79" s="141"/>
      <c r="AL79" s="141"/>
      <c r="AM79" s="141"/>
      <c r="AN79" s="141"/>
      <c r="AO79" s="141"/>
      <c r="AP79" s="141"/>
      <c r="AQ79" s="141"/>
      <c r="AR79" s="141"/>
      <c r="AS79" s="141"/>
      <c r="AT79" s="141"/>
      <c r="AU79" s="141"/>
      <c r="AV79" s="179"/>
      <c r="AW79" s="141"/>
      <c r="AX79" s="141"/>
      <c r="AY79" s="141"/>
      <c r="AZ79" s="141"/>
      <c r="BA79" s="141"/>
      <c r="BB79" s="141"/>
      <c r="BC79" s="141"/>
      <c r="BD79" s="141"/>
      <c r="BE79" s="141"/>
      <c r="BF79" s="141"/>
      <c r="BG79" s="141"/>
      <c r="BH79" s="263"/>
    </row>
    <row r="80" spans="1:60" ht="38.25" x14ac:dyDescent="0.2">
      <c r="A80" s="648"/>
      <c r="B80" s="492" t="s">
        <v>178</v>
      </c>
      <c r="C80" s="656" t="s">
        <v>127</v>
      </c>
      <c r="D80" s="747"/>
      <c r="E80" s="183" t="s">
        <v>181</v>
      </c>
      <c r="F80" s="357"/>
      <c r="G80" s="357"/>
      <c r="H80" s="183" t="s">
        <v>70</v>
      </c>
      <c r="I80" s="188"/>
      <c r="J80" s="330" t="str">
        <f>IF(AND(M$31&gt;0,COUNTBLANK(O80:Q80)&gt;0),"kies installatie locatie 1",
IF(AND(Y$31&gt;0,COUNTBLANK(AA80:AC80)&gt;0),"kies installatie locatie 2",
IF(AND(AK$31&gt;0,COUNTBLANK(AM80:AO80)&gt;0),"kies installatie locatie 3",
IF(AND(AW$31&gt;0,COUNTBLANK(AY80:BA80)&gt;0),"kies installatie locatie 4",
"OK"))))</f>
        <v>OK</v>
      </c>
      <c r="K80" s="820"/>
      <c r="L80" s="820"/>
      <c r="M80" s="330"/>
      <c r="N80" s="136"/>
      <c r="O80" s="1038" t="s">
        <v>561</v>
      </c>
      <c r="P80" s="1038" t="s">
        <v>183</v>
      </c>
      <c r="Q80" s="1038" t="s">
        <v>561</v>
      </c>
      <c r="R80" s="190"/>
      <c r="S80" s="190"/>
      <c r="T80" s="190"/>
      <c r="U80" s="190"/>
      <c r="V80" s="190"/>
      <c r="W80" s="190"/>
      <c r="X80" s="179"/>
      <c r="Y80" s="189"/>
      <c r="Z80" s="136"/>
      <c r="AA80" s="1038" t="s">
        <v>561</v>
      </c>
      <c r="AB80" s="1038" t="s">
        <v>183</v>
      </c>
      <c r="AC80" s="1038" t="s">
        <v>561</v>
      </c>
      <c r="AD80" s="190"/>
      <c r="AE80" s="190"/>
      <c r="AF80" s="190"/>
      <c r="AG80" s="190"/>
      <c r="AH80" s="190"/>
      <c r="AI80" s="190"/>
      <c r="AJ80" s="179"/>
      <c r="AK80" s="189"/>
      <c r="AL80" s="136"/>
      <c r="AM80" s="1038" t="s">
        <v>561</v>
      </c>
      <c r="AN80" s="1038" t="s">
        <v>183</v>
      </c>
      <c r="AO80" s="1038" t="s">
        <v>561</v>
      </c>
      <c r="AP80" s="190"/>
      <c r="AQ80" s="190"/>
      <c r="AR80" s="190"/>
      <c r="AS80" s="190"/>
      <c r="AT80" s="190"/>
      <c r="AU80" s="190"/>
      <c r="AV80" s="179"/>
      <c r="AW80" s="189"/>
      <c r="AX80" s="141"/>
      <c r="AY80" s="1038" t="s">
        <v>561</v>
      </c>
      <c r="AZ80" s="1038" t="s">
        <v>183</v>
      </c>
      <c r="BA80" s="1038" t="s">
        <v>561</v>
      </c>
      <c r="BB80" s="190"/>
      <c r="BC80" s="190"/>
      <c r="BD80" s="190"/>
      <c r="BE80" s="190"/>
      <c r="BF80" s="190"/>
      <c r="BG80" s="190"/>
      <c r="BH80" s="263"/>
    </row>
    <row r="81" spans="1:60" x14ac:dyDescent="0.2">
      <c r="A81" s="648"/>
      <c r="B81" s="492" t="s">
        <v>178</v>
      </c>
      <c r="C81" s="656" t="s">
        <v>127</v>
      </c>
      <c r="D81" s="747"/>
      <c r="E81" s="221" t="str">
        <f>bibliotheek!$E$81</f>
        <v>geografisch niveau installatie [keuzelijst]</v>
      </c>
      <c r="F81" s="220"/>
      <c r="G81" s="220"/>
      <c r="H81" s="221" t="s">
        <v>70</v>
      </c>
      <c r="I81" s="146"/>
      <c r="J81" s="230"/>
      <c r="K81" s="121"/>
      <c r="L81" s="121"/>
      <c r="M81" s="230"/>
      <c r="N81" s="129"/>
      <c r="O81" s="348" t="str">
        <f>HLOOKUP(IF(O$80="",referentie_verwarming,O$80),toestellen_RV,ROWS(bibliotheek!$E$79:$E$81),FALSE)</f>
        <v>gebouw</v>
      </c>
      <c r="P81" s="348" t="str">
        <f>HLOOKUP(IF(P$80="",referentie_koeling,P$80),toestellen_KOEL,ROWS(bibliotheek!$E$170:$E$172),FALSE)</f>
        <v>gebouw</v>
      </c>
      <c r="Q81" s="348" t="str">
        <f>HLOOKUP(IF(Q$80="",referentie_warmtapwater,Q$80),toestellen_TAP,ROWS(bibliotheek!$E$136:$E$138),FALSE)</f>
        <v>gebouw</v>
      </c>
      <c r="R81" s="193"/>
      <c r="S81" s="193"/>
      <c r="T81" s="193"/>
      <c r="U81" s="193"/>
      <c r="V81" s="193"/>
      <c r="W81" s="193"/>
      <c r="X81" s="179"/>
      <c r="Y81" s="145"/>
      <c r="Z81" s="129"/>
      <c r="AA81" s="348" t="str">
        <f>HLOOKUP(IF(AA$80="",referentie_verwarming,AA$80),toestellen_RV,ROWS(bibliotheek!$E$79:$E$81),FALSE)</f>
        <v>gebouw</v>
      </c>
      <c r="AB81" s="348" t="str">
        <f>HLOOKUP(IF(AB$80="",referentie_koeling,AB$80),toestellen_KOEL,ROWS(bibliotheek!$E$170:$E$172),FALSE)</f>
        <v>gebouw</v>
      </c>
      <c r="AC81" s="348" t="str">
        <f>HLOOKUP(IF(AC$80="",referentie_warmtapwater,AC$80),toestellen_TAP,ROWS(bibliotheek!$E$136:$E$138),FALSE)</f>
        <v>gebouw</v>
      </c>
      <c r="AD81" s="193"/>
      <c r="AE81" s="193"/>
      <c r="AF81" s="193"/>
      <c r="AG81" s="193"/>
      <c r="AH81" s="193"/>
      <c r="AI81" s="193"/>
      <c r="AJ81" s="179"/>
      <c r="AK81" s="145"/>
      <c r="AL81" s="136"/>
      <c r="AM81" s="348" t="str">
        <f>HLOOKUP(IF(AM$80="",referentie_verwarming,AM$80),toestellen_RV,ROWS(bibliotheek!$E$79:$E$81),FALSE)</f>
        <v>gebouw</v>
      </c>
      <c r="AN81" s="348" t="str">
        <f>HLOOKUP(IF(AN$80="",referentie_koeling,AN$80),toestellen_KOEL,ROWS(bibliotheek!$E$170:$E$172),FALSE)</f>
        <v>gebouw</v>
      </c>
      <c r="AO81" s="348" t="str">
        <f>HLOOKUP(IF(AO$80="",referentie_warmtapwater,AO$80),toestellen_TAP,ROWS(bibliotheek!$E$136:$E$138),FALSE)</f>
        <v>gebouw</v>
      </c>
      <c r="AP81" s="193"/>
      <c r="AQ81" s="193"/>
      <c r="AR81" s="193"/>
      <c r="AS81" s="193"/>
      <c r="AT81" s="193"/>
      <c r="AU81" s="193"/>
      <c r="AV81" s="179"/>
      <c r="AW81" s="145"/>
      <c r="AX81" s="141"/>
      <c r="AY81" s="348" t="str">
        <f>HLOOKUP(IF(AY$80="",referentie_verwarming,AY$80),toestellen_RV,ROWS(bibliotheek!$E$79:$E$81),FALSE)</f>
        <v>gebouw</v>
      </c>
      <c r="AZ81" s="348" t="str">
        <f>HLOOKUP(IF(AZ$80="",referentie_koeling,AZ$80),toestellen_KOEL,ROWS(bibliotheek!$E$170:$E$172),FALSE)</f>
        <v>gebouw</v>
      </c>
      <c r="BA81" s="348" t="str">
        <f>HLOOKUP(IF(BA$80="",referentie_warmtapwater,BA$80),toestellen_TAP,ROWS(bibliotheek!$E$136:$E$138),FALSE)</f>
        <v>gebouw</v>
      </c>
      <c r="BB81" s="193"/>
      <c r="BC81" s="193"/>
      <c r="BD81" s="193"/>
      <c r="BE81" s="193"/>
      <c r="BF81" s="193"/>
      <c r="BG81" s="193"/>
      <c r="BH81" s="214"/>
    </row>
    <row r="82" spans="1:60" ht="18.75" x14ac:dyDescent="0.2">
      <c r="A82" s="648"/>
      <c r="B82" s="492" t="s">
        <v>178</v>
      </c>
      <c r="C82" s="739" t="s">
        <v>104</v>
      </c>
      <c r="D82" s="750" t="s">
        <v>50</v>
      </c>
      <c r="E82" s="194" t="s">
        <v>186</v>
      </c>
      <c r="F82" s="202"/>
      <c r="G82" s="202"/>
      <c r="H82" s="203"/>
      <c r="I82" s="204"/>
      <c r="J82" s="205"/>
      <c r="K82" s="138"/>
      <c r="L82" s="138"/>
      <c r="M82" s="205"/>
      <c r="N82" s="205"/>
      <c r="O82" s="205"/>
      <c r="P82" s="205"/>
      <c r="Q82" s="205"/>
      <c r="R82" s="205"/>
      <c r="S82" s="205"/>
      <c r="T82" s="205"/>
      <c r="U82" s="205"/>
      <c r="V82" s="205"/>
      <c r="W82" s="205"/>
      <c r="X82" s="179"/>
      <c r="Y82" s="205"/>
      <c r="Z82" s="205"/>
      <c r="AA82" s="214"/>
      <c r="AB82" s="214"/>
      <c r="AC82" s="214"/>
      <c r="AD82" s="205"/>
      <c r="AE82" s="205"/>
      <c r="AF82" s="205"/>
      <c r="AG82" s="205"/>
      <c r="AH82" s="205"/>
      <c r="AI82" s="205"/>
      <c r="AJ82" s="179"/>
      <c r="AK82" s="205"/>
      <c r="AL82" s="205"/>
      <c r="AM82" s="205"/>
      <c r="AN82" s="205"/>
      <c r="AO82" s="205"/>
      <c r="AP82" s="205"/>
      <c r="AQ82" s="205"/>
      <c r="AR82" s="205"/>
      <c r="AS82" s="205"/>
      <c r="AT82" s="205"/>
      <c r="AU82" s="205"/>
      <c r="AV82" s="179"/>
      <c r="AW82" s="205"/>
      <c r="AX82" s="141"/>
      <c r="AY82" s="205"/>
      <c r="AZ82" s="205"/>
      <c r="BA82" s="205"/>
      <c r="BB82" s="205"/>
      <c r="BC82" s="205"/>
      <c r="BD82" s="205"/>
      <c r="BE82" s="205"/>
      <c r="BF82" s="205"/>
      <c r="BG82" s="205"/>
      <c r="BH82" s="214"/>
    </row>
    <row r="83" spans="1:60" x14ac:dyDescent="0.2">
      <c r="A83" s="648"/>
      <c r="B83" s="492" t="s">
        <v>178</v>
      </c>
      <c r="C83" s="739" t="s">
        <v>127</v>
      </c>
      <c r="D83" s="747"/>
      <c r="E83" s="354" t="s">
        <v>187</v>
      </c>
      <c r="F83" s="316"/>
      <c r="G83" s="316"/>
      <c r="H83" s="354" t="s">
        <v>70</v>
      </c>
      <c r="I83" s="151"/>
      <c r="J83" s="229"/>
      <c r="K83" s="121"/>
      <c r="L83" s="121"/>
      <c r="M83" s="229"/>
      <c r="N83" s="131"/>
      <c r="O83" s="452">
        <f>IF(O84&lt;&gt;"",O84,HLOOKUP(IF(O$80="",referentie_verwarming,O$80),toestellen_RV,ROWS(bibliotheek!$E$79:$E$86),FALSE))</f>
        <v>1</v>
      </c>
      <c r="P83" s="155">
        <v>1</v>
      </c>
      <c r="Q83" s="452">
        <f>IF(Q84&lt;&gt;"",Q84,HLOOKUP(IF(Q$80="",referentie_warmtapwater,Q$80),toestellen_TAP,ROWS(bibliotheek!$E$136:$E$143),FALSE))</f>
        <v>0.85</v>
      </c>
      <c r="R83" s="156"/>
      <c r="S83" s="156"/>
      <c r="T83" s="156"/>
      <c r="U83" s="156"/>
      <c r="V83" s="156"/>
      <c r="W83" s="156"/>
      <c r="X83" s="87"/>
      <c r="Y83" s="150"/>
      <c r="Z83" s="151"/>
      <c r="AA83" s="452">
        <f>IF(AA84&lt;&gt;"",AA84,HLOOKUP(IF(AA$80="",referentie_verwarming,AA$80),toestellen_RV,ROWS(bibliotheek!$E$79:$E$86),FALSE))</f>
        <v>1</v>
      </c>
      <c r="AB83" s="155">
        <f>1</f>
        <v>1</v>
      </c>
      <c r="AC83" s="452">
        <f>IF(AC84&lt;&gt;"",AC84,HLOOKUP(IF(AC$80="",referentie_warmtapwater,AC$80),toestellen_TAP,ROWS(bibliotheek!$E$136:$E$143),FALSE))</f>
        <v>0.85</v>
      </c>
      <c r="AD83" s="156"/>
      <c r="AE83" s="156"/>
      <c r="AF83" s="156"/>
      <c r="AG83" s="156"/>
      <c r="AH83" s="156"/>
      <c r="AI83" s="156"/>
      <c r="AJ83" s="87"/>
      <c r="AK83" s="150"/>
      <c r="AL83" s="151"/>
      <c r="AM83" s="452">
        <f>IF(AM84&lt;&gt;"",AM84,HLOOKUP(IF(AM$80="",referentie_verwarming,AM$80),toestellen_RV,ROWS(bibliotheek!$E$79:$E$86),FALSE))</f>
        <v>1</v>
      </c>
      <c r="AN83" s="155">
        <f>1</f>
        <v>1</v>
      </c>
      <c r="AO83" s="452">
        <f>IF(AO84&lt;&gt;"",AO84,HLOOKUP(IF(AO$80="",referentie_warmtapwater,AO$80),toestellen_TAP,ROWS(bibliotheek!$E$136:$E$143),FALSE))</f>
        <v>0.85</v>
      </c>
      <c r="AP83" s="156"/>
      <c r="AQ83" s="156"/>
      <c r="AR83" s="156"/>
      <c r="AS83" s="156"/>
      <c r="AT83" s="156"/>
      <c r="AU83" s="156"/>
      <c r="AV83" s="87"/>
      <c r="AW83" s="150"/>
      <c r="AX83" s="151"/>
      <c r="AY83" s="452">
        <f>IF(AY84&lt;&gt;"",AY84,HLOOKUP(IF(AY$80="",referentie_verwarming,AY$80),toestellen_RV,ROWS(bibliotheek!$E$79:$E$86),FALSE))</f>
        <v>1</v>
      </c>
      <c r="AZ83" s="155">
        <f>1</f>
        <v>1</v>
      </c>
      <c r="BA83" s="452">
        <f>IF(BA84&lt;&gt;"",BA84,HLOOKUP(IF(BA$80="",referentie_warmtapwater,BA$80),toestellen_TAP,ROWS(bibliotheek!$E$136:$E$143),FALSE))</f>
        <v>0.85</v>
      </c>
      <c r="BB83" s="195"/>
      <c r="BC83" s="195"/>
      <c r="BD83" s="195"/>
      <c r="BE83" s="195"/>
      <c r="BF83" s="195"/>
      <c r="BG83" s="195"/>
      <c r="BH83" s="255"/>
    </row>
    <row r="84" spans="1:60" x14ac:dyDescent="0.2">
      <c r="A84" s="648"/>
      <c r="B84" s="492" t="s">
        <v>178</v>
      </c>
      <c r="C84" s="739" t="s">
        <v>127</v>
      </c>
      <c r="D84" s="747"/>
      <c r="E84" s="412" t="s">
        <v>188</v>
      </c>
      <c r="F84" s="317"/>
      <c r="G84" s="317"/>
      <c r="H84" s="355" t="s">
        <v>70</v>
      </c>
      <c r="I84" s="153"/>
      <c r="J84" s="362"/>
      <c r="K84" s="121"/>
      <c r="L84" s="121"/>
      <c r="M84" s="239"/>
      <c r="N84" s="196"/>
      <c r="O84" s="337"/>
      <c r="P84" s="343"/>
      <c r="Q84" s="337"/>
      <c r="R84" s="197"/>
      <c r="S84" s="197"/>
      <c r="T84" s="197"/>
      <c r="U84" s="197"/>
      <c r="V84" s="197"/>
      <c r="W84" s="197"/>
      <c r="X84" s="125"/>
      <c r="Y84" s="349"/>
      <c r="Z84" s="196"/>
      <c r="AA84" s="337"/>
      <c r="AB84" s="343"/>
      <c r="AC84" s="337"/>
      <c r="AD84" s="197"/>
      <c r="AE84" s="197"/>
      <c r="AF84" s="197"/>
      <c r="AG84" s="197"/>
      <c r="AH84" s="197"/>
      <c r="AI84" s="197"/>
      <c r="AJ84" s="125"/>
      <c r="AK84" s="349"/>
      <c r="AL84" s="196"/>
      <c r="AM84" s="337"/>
      <c r="AN84" s="343"/>
      <c r="AO84" s="337"/>
      <c r="AP84" s="197"/>
      <c r="AQ84" s="197"/>
      <c r="AR84" s="197"/>
      <c r="AS84" s="197"/>
      <c r="AT84" s="197"/>
      <c r="AU84" s="197"/>
      <c r="AV84" s="125"/>
      <c r="AW84" s="349"/>
      <c r="AX84" s="196"/>
      <c r="AY84" s="337"/>
      <c r="AZ84" s="343"/>
      <c r="BA84" s="337"/>
      <c r="BB84" s="197"/>
      <c r="BC84" s="197"/>
      <c r="BD84" s="197"/>
      <c r="BE84" s="197"/>
      <c r="BF84" s="197"/>
      <c r="BG84" s="197"/>
      <c r="BH84" s="255"/>
    </row>
    <row r="85" spans="1:60" x14ac:dyDescent="0.2">
      <c r="A85" s="648"/>
      <c r="B85" s="492" t="s">
        <v>178</v>
      </c>
      <c r="C85" s="739" t="s">
        <v>127</v>
      </c>
      <c r="D85" s="750"/>
      <c r="E85" s="221" t="s">
        <v>189</v>
      </c>
      <c r="F85" s="220"/>
      <c r="G85" s="220"/>
      <c r="H85" s="221" t="s">
        <v>177</v>
      </c>
      <c r="I85" s="146"/>
      <c r="J85" s="230"/>
      <c r="K85" s="121"/>
      <c r="L85" s="121"/>
      <c r="M85" s="230"/>
      <c r="N85" s="129"/>
      <c r="O85" s="251">
        <f>IF(O$75=0,0,O$75/O$83-O$75)</f>
        <v>0</v>
      </c>
      <c r="P85" s="251">
        <f>IF(P$75=0,0,P$75/P$83-P$75)</f>
        <v>0</v>
      </c>
      <c r="Q85" s="251">
        <f>IF(Q$75=0,0,Q$75/Q$83-Q$75)</f>
        <v>0</v>
      </c>
      <c r="R85" s="147"/>
      <c r="S85" s="147"/>
      <c r="T85" s="147"/>
      <c r="U85" s="147"/>
      <c r="V85" s="147"/>
      <c r="W85" s="147"/>
      <c r="X85" s="125"/>
      <c r="Y85" s="149"/>
      <c r="Z85" s="129"/>
      <c r="AA85" s="251">
        <f>IF(AA$75=0,0,AA$75/AA$83-AA$75)</f>
        <v>0</v>
      </c>
      <c r="AB85" s="251">
        <f>IF(AB$75=0,0,AB$75/AB$83-AB$75)</f>
        <v>0</v>
      </c>
      <c r="AC85" s="251">
        <f>IF(AC$75=0,0,AC$75/AC$83-AC$75)</f>
        <v>0</v>
      </c>
      <c r="AD85" s="147"/>
      <c r="AE85" s="147"/>
      <c r="AF85" s="147"/>
      <c r="AG85" s="147"/>
      <c r="AH85" s="147"/>
      <c r="AI85" s="147"/>
      <c r="AJ85" s="125"/>
      <c r="AK85" s="149"/>
      <c r="AL85" s="129"/>
      <c r="AM85" s="251">
        <f>IF(AM$75=0,0,AM$75/AM$83-AM$75)</f>
        <v>0</v>
      </c>
      <c r="AN85" s="251">
        <f>IF(AN$75=0,0,AN$75/AN$83-AN$75)</f>
        <v>0</v>
      </c>
      <c r="AO85" s="251">
        <f>IF(AO$75=0,0,AO$75/AO$83-AO$75)</f>
        <v>0</v>
      </c>
      <c r="AP85" s="147"/>
      <c r="AQ85" s="147"/>
      <c r="AR85" s="147"/>
      <c r="AS85" s="147"/>
      <c r="AT85" s="147"/>
      <c r="AU85" s="147"/>
      <c r="AV85" s="125"/>
      <c r="AW85" s="149"/>
      <c r="AX85" s="129"/>
      <c r="AY85" s="251">
        <f>IF(AY$75=0,0,AY$75/AY$83-AY$75)</f>
        <v>0</v>
      </c>
      <c r="AZ85" s="251">
        <f>IF(AZ$75=0,0,AZ$75/AZ$83-AZ$75)</f>
        <v>0</v>
      </c>
      <c r="BA85" s="251">
        <f>IF(BA$75=0,0,BA$75/BA$83-BA$75)</f>
        <v>0</v>
      </c>
      <c r="BB85" s="147"/>
      <c r="BC85" s="147"/>
      <c r="BD85" s="147"/>
      <c r="BE85" s="147"/>
      <c r="BF85" s="147"/>
      <c r="BG85" s="147"/>
      <c r="BH85" s="255"/>
    </row>
    <row r="86" spans="1:60" ht="18.75" x14ac:dyDescent="0.2">
      <c r="A86" s="648"/>
      <c r="B86" s="492" t="s">
        <v>178</v>
      </c>
      <c r="C86" s="739" t="s">
        <v>104</v>
      </c>
      <c r="D86" s="750" t="s">
        <v>50</v>
      </c>
      <c r="E86" s="194" t="s">
        <v>190</v>
      </c>
      <c r="F86" s="202"/>
      <c r="G86" s="202"/>
      <c r="H86" s="203"/>
      <c r="I86" s="204"/>
      <c r="J86" s="205"/>
      <c r="K86" s="138"/>
      <c r="L86" s="138"/>
      <c r="M86" s="205"/>
      <c r="N86" s="205"/>
      <c r="O86" s="205"/>
      <c r="P86" s="205"/>
      <c r="Q86" s="205"/>
      <c r="R86" s="205"/>
      <c r="S86" s="205"/>
      <c r="T86" s="205"/>
      <c r="U86" s="205"/>
      <c r="V86" s="205"/>
      <c r="W86" s="205"/>
      <c r="X86" s="163"/>
      <c r="Y86" s="205"/>
      <c r="Z86" s="205"/>
      <c r="AA86" s="205"/>
      <c r="AB86" s="205"/>
      <c r="AC86" s="205"/>
      <c r="AD86" s="205"/>
      <c r="AE86" s="205"/>
      <c r="AF86" s="205"/>
      <c r="AG86" s="205"/>
      <c r="AH86" s="205"/>
      <c r="AI86" s="205"/>
      <c r="AJ86" s="163"/>
      <c r="AK86" s="205"/>
      <c r="AL86" s="205"/>
      <c r="AM86" s="205"/>
      <c r="AN86" s="205"/>
      <c r="AO86" s="205"/>
      <c r="AP86" s="205"/>
      <c r="AQ86" s="205"/>
      <c r="AR86" s="205"/>
      <c r="AS86" s="205"/>
      <c r="AT86" s="205"/>
      <c r="AU86" s="205"/>
      <c r="AV86" s="163"/>
      <c r="AW86" s="205"/>
      <c r="AX86" s="205"/>
      <c r="AY86" s="205"/>
      <c r="AZ86" s="205"/>
      <c r="BA86" s="205"/>
      <c r="BB86" s="205"/>
      <c r="BC86" s="205"/>
      <c r="BD86" s="205"/>
      <c r="BE86" s="205"/>
      <c r="BF86" s="205"/>
      <c r="BG86" s="205"/>
      <c r="BH86" s="214"/>
    </row>
    <row r="87" spans="1:60" x14ac:dyDescent="0.2">
      <c r="A87" s="648"/>
      <c r="B87" s="492" t="s">
        <v>178</v>
      </c>
      <c r="C87" s="739" t="s">
        <v>127</v>
      </c>
      <c r="D87" s="747"/>
      <c r="E87" s="221" t="s">
        <v>190</v>
      </c>
      <c r="F87" s="220"/>
      <c r="G87" s="220"/>
      <c r="H87" s="221" t="s">
        <v>70</v>
      </c>
      <c r="I87" s="146"/>
      <c r="J87" s="230"/>
      <c r="K87" s="121"/>
      <c r="L87" s="121"/>
      <c r="M87" s="230"/>
      <c r="N87" s="129"/>
      <c r="O87" s="1039" t="s">
        <v>191</v>
      </c>
      <c r="P87" s="192"/>
      <c r="Q87" s="1039" t="s">
        <v>191</v>
      </c>
      <c r="R87" s="193"/>
      <c r="S87" s="193"/>
      <c r="T87" s="193"/>
      <c r="U87" s="193"/>
      <c r="V87" s="193"/>
      <c r="W87" s="193"/>
      <c r="X87" s="87"/>
      <c r="Y87" s="145"/>
      <c r="Z87" s="129"/>
      <c r="AA87" s="1039" t="s">
        <v>191</v>
      </c>
      <c r="AB87" s="192"/>
      <c r="AC87" s="1039" t="s">
        <v>191</v>
      </c>
      <c r="AD87" s="193"/>
      <c r="AE87" s="193"/>
      <c r="AF87" s="193"/>
      <c r="AG87" s="193"/>
      <c r="AH87" s="193"/>
      <c r="AI87" s="193"/>
      <c r="AJ87" s="87"/>
      <c r="AK87" s="145"/>
      <c r="AL87" s="129"/>
      <c r="AM87" s="1039" t="s">
        <v>191</v>
      </c>
      <c r="AN87" s="192"/>
      <c r="AO87" s="1039" t="s">
        <v>191</v>
      </c>
      <c r="AP87" s="193"/>
      <c r="AQ87" s="193"/>
      <c r="AR87" s="193"/>
      <c r="AS87" s="193"/>
      <c r="AT87" s="193"/>
      <c r="AU87" s="193"/>
      <c r="AV87" s="87"/>
      <c r="AW87" s="145"/>
      <c r="AX87" s="129"/>
      <c r="AY87" s="1039" t="s">
        <v>191</v>
      </c>
      <c r="AZ87" s="192"/>
      <c r="BA87" s="1039" t="s">
        <v>191</v>
      </c>
      <c r="BB87" s="193"/>
      <c r="BC87" s="193"/>
      <c r="BD87" s="193"/>
      <c r="BE87" s="193"/>
      <c r="BF87" s="193"/>
      <c r="BG87" s="193"/>
      <c r="BH87" s="214"/>
    </row>
    <row r="88" spans="1:60" x14ac:dyDescent="0.2">
      <c r="A88" s="648"/>
      <c r="B88" s="492" t="s">
        <v>178</v>
      </c>
      <c r="C88" s="739" t="s">
        <v>127</v>
      </c>
      <c r="D88" s="750" t="s">
        <v>50</v>
      </c>
      <c r="E88" s="221" t="s">
        <v>192</v>
      </c>
      <c r="F88" s="220"/>
      <c r="G88" s="220"/>
      <c r="H88" s="221" t="s">
        <v>177</v>
      </c>
      <c r="I88" s="146"/>
      <c r="J88" s="230"/>
      <c r="K88" s="121"/>
      <c r="L88" s="121"/>
      <c r="M88" s="230"/>
      <c r="N88" s="129"/>
      <c r="O88" s="207">
        <f>IF(O87="nee",0,(O75+O85)*bijdrage_thermische_zonne_energie_RV)</f>
        <v>0</v>
      </c>
      <c r="P88" s="207"/>
      <c r="Q88" s="207">
        <f>IF(Q87="nee",0,(Q75+Q85)*bijdrage_thermische_zonne_energie_TAP)</f>
        <v>0</v>
      </c>
      <c r="R88" s="147"/>
      <c r="S88" s="147"/>
      <c r="T88" s="147"/>
      <c r="U88" s="147"/>
      <c r="V88" s="147"/>
      <c r="W88" s="147"/>
      <c r="X88" s="684"/>
      <c r="Y88" s="147"/>
      <c r="Z88" s="100"/>
      <c r="AA88" s="207">
        <f>IF(AA87="nee",0,(AA75+AA85)*bijdrage_thermische_zonne_energie_RV)</f>
        <v>0</v>
      </c>
      <c r="AB88" s="207"/>
      <c r="AC88" s="207">
        <f>IF(AC87="nee",0,(AC75+AC85)*bijdrage_thermische_zonne_energie_TAP)</f>
        <v>0</v>
      </c>
      <c r="AD88" s="147"/>
      <c r="AE88" s="147"/>
      <c r="AF88" s="147"/>
      <c r="AG88" s="147"/>
      <c r="AH88" s="147"/>
      <c r="AI88" s="147"/>
      <c r="AJ88" s="684"/>
      <c r="AK88" s="147"/>
      <c r="AL88" s="685"/>
      <c r="AM88" s="207">
        <f>IF(AM87="nee",0,(AM75+AM85)*bijdrage_thermische_zonne_energie_RV)</f>
        <v>0</v>
      </c>
      <c r="AN88" s="207"/>
      <c r="AO88" s="207">
        <f>IF(AO87="nee",0,(AO75+AO85)*bijdrage_thermische_zonne_energie_TAP)</f>
        <v>0</v>
      </c>
      <c r="AP88" s="147"/>
      <c r="AQ88" s="147"/>
      <c r="AR88" s="147"/>
      <c r="AS88" s="147"/>
      <c r="AT88" s="147"/>
      <c r="AU88" s="147"/>
      <c r="AV88" s="684"/>
      <c r="AW88" s="147"/>
      <c r="AX88" s="686"/>
      <c r="AY88" s="207">
        <f>IF(AY87="nee",0,(AY75+AY85)*bijdrage_thermische_zonne_energie_RV)</f>
        <v>0</v>
      </c>
      <c r="AZ88" s="207"/>
      <c r="BA88" s="207">
        <f>IF(BA87="nee",0,(BA75+BA85)*bijdrage_thermische_zonne_energie_TAP)</f>
        <v>0</v>
      </c>
      <c r="BB88" s="193"/>
      <c r="BC88" s="193"/>
      <c r="BD88" s="193"/>
      <c r="BE88" s="193"/>
      <c r="BF88" s="193"/>
      <c r="BG88" s="193"/>
      <c r="BH88" s="214"/>
    </row>
    <row r="89" spans="1:60" ht="18.75" x14ac:dyDescent="0.2">
      <c r="A89" s="648"/>
      <c r="B89" s="492" t="s">
        <v>178</v>
      </c>
      <c r="C89" s="739" t="s">
        <v>104</v>
      </c>
      <c r="D89" s="750" t="s">
        <v>50</v>
      </c>
      <c r="E89" s="194" t="s">
        <v>193</v>
      </c>
      <c r="F89" s="202"/>
      <c r="G89" s="202"/>
      <c r="H89" s="203"/>
      <c r="I89" s="204"/>
      <c r="J89" s="205"/>
      <c r="K89" s="138"/>
      <c r="L89" s="138"/>
      <c r="M89" s="205"/>
      <c r="N89" s="205"/>
      <c r="O89" s="710"/>
      <c r="P89" s="710"/>
      <c r="Q89" s="710"/>
      <c r="R89" s="205"/>
      <c r="S89" s="205"/>
      <c r="T89" s="205"/>
      <c r="U89" s="205"/>
      <c r="V89" s="205"/>
      <c r="W89" s="205"/>
      <c r="X89" s="206"/>
      <c r="Y89" s="205"/>
      <c r="Z89" s="205"/>
      <c r="AA89" s="339"/>
      <c r="AB89" s="339"/>
      <c r="AC89" s="339"/>
      <c r="AD89" s="205"/>
      <c r="AE89" s="205"/>
      <c r="AF89" s="205"/>
      <c r="AG89" s="205"/>
      <c r="AH89" s="205"/>
      <c r="AI89" s="205"/>
      <c r="AJ89" s="206"/>
      <c r="AK89" s="205"/>
      <c r="AL89" s="205"/>
      <c r="AM89" s="339"/>
      <c r="AN89" s="339"/>
      <c r="AO89" s="339"/>
      <c r="AP89" s="205"/>
      <c r="AQ89" s="205"/>
      <c r="AR89" s="205"/>
      <c r="AS89" s="205"/>
      <c r="AT89" s="205"/>
      <c r="AU89" s="205"/>
      <c r="AV89" s="206"/>
      <c r="AW89" s="205"/>
      <c r="AX89" s="205"/>
      <c r="AY89" s="339"/>
      <c r="AZ89" s="339"/>
      <c r="BA89" s="339"/>
      <c r="BB89" s="205"/>
      <c r="BC89" s="205"/>
      <c r="BD89" s="205"/>
      <c r="BE89" s="205"/>
      <c r="BF89" s="205"/>
      <c r="BG89" s="205"/>
      <c r="BH89" s="214"/>
    </row>
    <row r="90" spans="1:60" x14ac:dyDescent="0.2">
      <c r="A90" s="648"/>
      <c r="B90" s="492" t="s">
        <v>178</v>
      </c>
      <c r="C90" s="739" t="s">
        <v>127</v>
      </c>
      <c r="D90" s="747"/>
      <c r="E90" s="354" t="s">
        <v>194</v>
      </c>
      <c r="F90" s="316"/>
      <c r="G90" s="316"/>
      <c r="H90" s="354" t="s">
        <v>195</v>
      </c>
      <c r="I90" s="151"/>
      <c r="J90" s="229"/>
      <c r="K90" s="121"/>
      <c r="L90" s="121"/>
      <c r="M90" s="229"/>
      <c r="N90" s="131"/>
      <c r="O90" s="621">
        <f>IF(M24=0,0,IF(O91&lt;&gt;"",O91,
(HLOOKUP(O80,toestellen_RV,ROWS(bibliotheek!$E$79:$E$88),FALSE)*M26+
HLOOKUP(O80,toestellen_RV,ROWS(bibliotheek!$E$79:$E$89),FALSE)*M27+
HLOOKUP(O80,toestellen_RV,ROWS(bibliotheek!$E$79:$E$90),FALSE)*M28)/M24))</f>
        <v>0</v>
      </c>
      <c r="P90" s="484"/>
      <c r="Q90" s="621">
        <f>IF(M24=0,0,IF(Q91&lt;&gt;"",Q91,
(HLOOKUP(Q80,toestellen_TAP,ROWS(bibliotheek!$E$136:$E$145),FALSE)*M26+
HLOOKUP(Q80,toestellen_TAP,ROWS(bibliotheek!$E$136:$E$146),FALSE)*M27+
HLOOKUP(Q80,toestellen_TAP,ROWS(bibliotheek!$E$136:$E$147),FALSE)*M28)/M24))</f>
        <v>0</v>
      </c>
      <c r="R90" s="195"/>
      <c r="S90" s="195"/>
      <c r="T90" s="195"/>
      <c r="U90" s="195"/>
      <c r="V90" s="195"/>
      <c r="W90" s="195"/>
      <c r="X90" s="127"/>
      <c r="Y90" s="195"/>
      <c r="Z90" s="485"/>
      <c r="AA90" s="621">
        <f>IF(Y24=0,0,IF(AA91&lt;&gt;"",AA91,
(HLOOKUP(AA80,toestellen_RV,ROWS(bibliotheek!$E$79:$E$88),FALSE)*Y26+
HLOOKUP(AA80,toestellen_RV,ROWS(bibliotheek!$E$79:$E$89),FALSE)*Y27+
HLOOKUP(AA80,toestellen_RV,ROWS(bibliotheek!$E$79:$E$90),FALSE)*Y28)/Y24))</f>
        <v>0</v>
      </c>
      <c r="AB90" s="484"/>
      <c r="AC90" s="621">
        <f>IF(Y24=0,0,IF(AC91&lt;&gt;"",AC91,
(HLOOKUP(AC80,toestellen_TAP,ROWS(bibliotheek!$E$136:$E$145),FALSE)*Y26+
HLOOKUP(AC80,toestellen_TAP,ROWS(bibliotheek!$E$136:$E$146),FALSE)*Y27+
HLOOKUP(AC80,toestellen_TAP,ROWS(bibliotheek!$E$136:$E$147),FALSE)*Y28)/Y24))</f>
        <v>0</v>
      </c>
      <c r="AD90" s="195"/>
      <c r="AE90" s="195"/>
      <c r="AF90" s="195"/>
      <c r="AG90" s="195"/>
      <c r="AH90" s="195"/>
      <c r="AI90" s="195"/>
      <c r="AJ90" s="127"/>
      <c r="AK90" s="195"/>
      <c r="AL90" s="485"/>
      <c r="AM90" s="621">
        <f>IF(AK24=0,0,IF(AM91&lt;&gt;"",AM91,
(HLOOKUP(AM80,toestellen_RV,ROWS(bibliotheek!$E$79:$E$88),FALSE)*AK26+
HLOOKUP(AM80,toestellen_RV,ROWS(bibliotheek!$E$79:$E$89),FALSE)*AK27+
HLOOKUP(AM80,toestellen_RV,ROWS(bibliotheek!$E$79:$E$90),FALSE)*AK28)/AK24))</f>
        <v>0</v>
      </c>
      <c r="AN90" s="484"/>
      <c r="AO90" s="621">
        <f>IF(AK24=0,0,IF(AO91&lt;&gt;"",AO91,
(HLOOKUP(AO80,toestellen_TAP,ROWS(bibliotheek!$E$136:$E$145),FALSE)*AK26+
HLOOKUP(AO80,toestellen_TAP,ROWS(bibliotheek!$E$136:$E$146),FALSE)*AK27+
HLOOKUP(AO80,toestellen_TAP,ROWS(bibliotheek!$E$136:$E$147),FALSE)*AK28)/AK24))</f>
        <v>0</v>
      </c>
      <c r="AP90" s="195"/>
      <c r="AQ90" s="195"/>
      <c r="AR90" s="195"/>
      <c r="AS90" s="195"/>
      <c r="AT90" s="195"/>
      <c r="AU90" s="195"/>
      <c r="AV90" s="127"/>
      <c r="AW90" s="195"/>
      <c r="AX90" s="485"/>
      <c r="AY90" s="621">
        <f>IF(AW24=0,0,IF(AY91&lt;&gt;"",AY91,
(HLOOKUP(AY80,toestellen_RV,ROWS(bibliotheek!$E$79:$E$88),FALSE)*AW26+
HLOOKUP(AY80,toestellen_RV,ROWS(bibliotheek!$E$79:$E$89),FALSE)*AW27+
HLOOKUP(AY80,toestellen_RV,ROWS(bibliotheek!$E$79:$E$90),FALSE)*AW28)/AW24))</f>
        <v>0</v>
      </c>
      <c r="AZ90" s="484"/>
      <c r="BA90" s="621">
        <f>IF(AW24=0,0,IF(BA91&lt;&gt;"",BA91,
(HLOOKUP(BA80,toestellen_TAP,ROWS(bibliotheek!$E$136:$E$145),FALSE)*AW26+
HLOOKUP(BA80,toestellen_TAP,ROWS(bibliotheek!$E$136:$E$146),FALSE)*AW27+
HLOOKUP(BA80,toestellen_TAP,ROWS(bibliotheek!$E$136:$E$147),FALSE)*AW28)/AW24))</f>
        <v>0</v>
      </c>
      <c r="BB90" s="195"/>
      <c r="BC90" s="195"/>
      <c r="BD90" s="195"/>
      <c r="BE90" s="195"/>
      <c r="BF90" s="195"/>
      <c r="BG90" s="195"/>
      <c r="BH90" s="255"/>
    </row>
    <row r="91" spans="1:60" x14ac:dyDescent="0.2">
      <c r="A91" s="648"/>
      <c r="B91" s="492" t="s">
        <v>178</v>
      </c>
      <c r="C91" s="739" t="s">
        <v>127</v>
      </c>
      <c r="D91" s="747"/>
      <c r="E91" s="412" t="s">
        <v>196</v>
      </c>
      <c r="F91" s="317"/>
      <c r="G91" s="317"/>
      <c r="H91" s="355" t="s">
        <v>195</v>
      </c>
      <c r="I91" s="153"/>
      <c r="J91" s="362"/>
      <c r="K91" s="121"/>
      <c r="L91" s="121"/>
      <c r="M91" s="239"/>
      <c r="N91" s="196"/>
      <c r="O91" s="338"/>
      <c r="P91" s="344"/>
      <c r="Q91" s="338"/>
      <c r="R91" s="198"/>
      <c r="S91" s="198"/>
      <c r="T91" s="198"/>
      <c r="U91" s="198"/>
      <c r="V91" s="198"/>
      <c r="W91" s="198"/>
      <c r="X91" s="125"/>
      <c r="Y91" s="454"/>
      <c r="Z91" s="371"/>
      <c r="AA91" s="338"/>
      <c r="AB91" s="344"/>
      <c r="AC91" s="338"/>
      <c r="AD91" s="198"/>
      <c r="AE91" s="198"/>
      <c r="AF91" s="198"/>
      <c r="AG91" s="198"/>
      <c r="AH91" s="198"/>
      <c r="AI91" s="198"/>
      <c r="AJ91" s="125"/>
      <c r="AK91" s="454"/>
      <c r="AL91" s="371"/>
      <c r="AM91" s="338"/>
      <c r="AN91" s="344"/>
      <c r="AO91" s="338"/>
      <c r="AP91" s="198"/>
      <c r="AQ91" s="198"/>
      <c r="AR91" s="198"/>
      <c r="AS91" s="198"/>
      <c r="AT91" s="198"/>
      <c r="AU91" s="198"/>
      <c r="AV91" s="125"/>
      <c r="AW91" s="454"/>
      <c r="AX91" s="371"/>
      <c r="AY91" s="338"/>
      <c r="AZ91" s="344"/>
      <c r="BA91" s="338"/>
      <c r="BB91" s="199"/>
      <c r="BC91" s="199"/>
      <c r="BD91" s="199"/>
      <c r="BE91" s="199"/>
      <c r="BF91" s="199"/>
      <c r="BG91" s="199"/>
      <c r="BH91" s="255"/>
    </row>
    <row r="92" spans="1:60" x14ac:dyDescent="0.2">
      <c r="A92" s="648"/>
      <c r="B92" s="492" t="s">
        <v>178</v>
      </c>
      <c r="C92" s="739" t="s">
        <v>127</v>
      </c>
      <c r="D92" s="747"/>
      <c r="E92" s="221" t="s">
        <v>197</v>
      </c>
      <c r="F92" s="220"/>
      <c r="G92" s="220"/>
      <c r="H92" s="221" t="s">
        <v>177</v>
      </c>
      <c r="I92" s="146"/>
      <c r="J92" s="230"/>
      <c r="K92" s="121"/>
      <c r="L92" s="121"/>
      <c r="M92" s="230"/>
      <c r="N92" s="100"/>
      <c r="O92" s="251">
        <f>O$90*M$24</f>
        <v>0</v>
      </c>
      <c r="P92" s="147"/>
      <c r="Q92" s="251">
        <f>Q$90*M$24</f>
        <v>0</v>
      </c>
      <c r="R92" s="147"/>
      <c r="S92" s="147"/>
      <c r="T92" s="147"/>
      <c r="U92" s="147"/>
      <c r="V92" s="147"/>
      <c r="W92" s="147"/>
      <c r="X92" s="125"/>
      <c r="Y92" s="149"/>
      <c r="Z92" s="129"/>
      <c r="AA92" s="251">
        <f>AA$90*Y$24</f>
        <v>0</v>
      </c>
      <c r="AB92" s="147"/>
      <c r="AC92" s="251">
        <f>AC$90*Y$24</f>
        <v>0</v>
      </c>
      <c r="AD92" s="147"/>
      <c r="AE92" s="147"/>
      <c r="AF92" s="147"/>
      <c r="AG92" s="147"/>
      <c r="AH92" s="147"/>
      <c r="AI92" s="147"/>
      <c r="AJ92" s="125"/>
      <c r="AK92" s="149"/>
      <c r="AL92" s="129"/>
      <c r="AM92" s="251">
        <f>AM$90*AK$24</f>
        <v>0</v>
      </c>
      <c r="AN92" s="147"/>
      <c r="AO92" s="251">
        <f>AO$90*AK$24</f>
        <v>0</v>
      </c>
      <c r="AP92" s="147"/>
      <c r="AQ92" s="147"/>
      <c r="AR92" s="147"/>
      <c r="AS92" s="147"/>
      <c r="AT92" s="147"/>
      <c r="AU92" s="147"/>
      <c r="AV92" s="125"/>
      <c r="AW92" s="149"/>
      <c r="AX92" s="129"/>
      <c r="AY92" s="251">
        <f>AY$90*AW$24</f>
        <v>0</v>
      </c>
      <c r="AZ92" s="147"/>
      <c r="BA92" s="251">
        <f>BA$90*AW$24</f>
        <v>0</v>
      </c>
      <c r="BB92" s="147"/>
      <c r="BC92" s="147"/>
      <c r="BD92" s="147"/>
      <c r="BE92" s="147"/>
      <c r="BF92" s="147"/>
      <c r="BG92" s="147"/>
      <c r="BH92" s="255"/>
    </row>
    <row r="93" spans="1:60" ht="18.75" x14ac:dyDescent="0.2">
      <c r="A93" s="648"/>
      <c r="B93" s="492" t="s">
        <v>178</v>
      </c>
      <c r="C93" s="739" t="s">
        <v>104</v>
      </c>
      <c r="D93" s="750" t="s">
        <v>50</v>
      </c>
      <c r="E93" s="194" t="s">
        <v>198</v>
      </c>
      <c r="F93" s="202"/>
      <c r="G93" s="202"/>
      <c r="H93" s="203"/>
      <c r="I93" s="204"/>
      <c r="J93" s="205"/>
      <c r="K93" s="138"/>
      <c r="L93" s="138"/>
      <c r="M93" s="205"/>
      <c r="N93" s="205"/>
      <c r="O93" s="205"/>
      <c r="P93" s="205"/>
      <c r="Q93" s="205"/>
      <c r="R93" s="205"/>
      <c r="S93" s="205"/>
      <c r="T93" s="205"/>
      <c r="U93" s="205"/>
      <c r="V93" s="205"/>
      <c r="W93" s="205"/>
      <c r="X93" s="206"/>
      <c r="Y93" s="205"/>
      <c r="Z93" s="205"/>
      <c r="AA93" s="205"/>
      <c r="AB93" s="205"/>
      <c r="AC93" s="205"/>
      <c r="AD93" s="205"/>
      <c r="AE93" s="205"/>
      <c r="AF93" s="205"/>
      <c r="AG93" s="205"/>
      <c r="AH93" s="205"/>
      <c r="AI93" s="205"/>
      <c r="AJ93" s="206"/>
      <c r="AK93" s="205"/>
      <c r="AL93" s="205"/>
      <c r="AM93" s="205"/>
      <c r="AN93" s="205"/>
      <c r="AO93" s="205"/>
      <c r="AP93" s="205"/>
      <c r="AQ93" s="205"/>
      <c r="AR93" s="205"/>
      <c r="AS93" s="205"/>
      <c r="AT93" s="205"/>
      <c r="AU93" s="205"/>
      <c r="AV93" s="206"/>
      <c r="AW93" s="205"/>
      <c r="AX93" s="205"/>
      <c r="AY93" s="205"/>
      <c r="AZ93" s="205"/>
      <c r="BA93" s="205"/>
      <c r="BB93" s="205"/>
      <c r="BC93" s="205"/>
      <c r="BD93" s="205"/>
      <c r="BE93" s="205"/>
      <c r="BF93" s="205"/>
      <c r="BG93" s="205"/>
      <c r="BH93" s="214"/>
    </row>
    <row r="94" spans="1:60" hidden="1" x14ac:dyDescent="0.2">
      <c r="A94" s="648"/>
      <c r="B94" s="492" t="s">
        <v>178</v>
      </c>
      <c r="C94" s="739" t="s">
        <v>199</v>
      </c>
      <c r="D94" s="747"/>
      <c r="E94" s="221" t="s">
        <v>200</v>
      </c>
      <c r="F94" s="220"/>
      <c r="G94" s="220"/>
      <c r="H94" s="221" t="s">
        <v>177</v>
      </c>
      <c r="I94" s="146"/>
      <c r="J94" s="230"/>
      <c r="K94" s="121"/>
      <c r="L94" s="121"/>
      <c r="M94" s="230"/>
      <c r="N94" s="129"/>
      <c r="O94" s="251">
        <f>IF(O$80="geen",0,O75+O85-O88+O92)</f>
        <v>0</v>
      </c>
      <c r="P94" s="251">
        <f>IF(P$80="geen",0,P75+P85-P88+P92)</f>
        <v>0</v>
      </c>
      <c r="Q94" s="251">
        <f>IF(Q$80="geen",0,Q75+Q85-Q88+Q92)</f>
        <v>0</v>
      </c>
      <c r="R94" s="147"/>
      <c r="S94" s="147"/>
      <c r="T94" s="147"/>
      <c r="U94" s="147"/>
      <c r="V94" s="147"/>
      <c r="W94" s="147"/>
      <c r="X94" s="125"/>
      <c r="Y94" s="149"/>
      <c r="Z94" s="129"/>
      <c r="AA94" s="251">
        <f>IF(AA$80="geen",0,AA75+AA85-AA88+AA92)</f>
        <v>0</v>
      </c>
      <c r="AB94" s="251">
        <f>IF(AB$80="geen",0,AB75+AB85-AB88+AB92)</f>
        <v>0</v>
      </c>
      <c r="AC94" s="251">
        <f>IF(AC$80="geen",0,AC75+AC85-AC88+AC92)</f>
        <v>0</v>
      </c>
      <c r="AD94" s="147"/>
      <c r="AE94" s="147"/>
      <c r="AF94" s="147"/>
      <c r="AG94" s="147"/>
      <c r="AH94" s="147"/>
      <c r="AI94" s="147"/>
      <c r="AJ94" s="125"/>
      <c r="AK94" s="149"/>
      <c r="AL94" s="129"/>
      <c r="AM94" s="251">
        <f>IF(AM$80="geen",0,AM75+AM85-AM88+AM92)</f>
        <v>0</v>
      </c>
      <c r="AN94" s="251">
        <f>IF(AN$80="geen",0,AN75+AN85-AN88+AN92)</f>
        <v>0</v>
      </c>
      <c r="AO94" s="251">
        <f>IF(AO$80="geen",0,AO75+AO85-AO88+AO92)</f>
        <v>0</v>
      </c>
      <c r="AP94" s="147"/>
      <c r="AQ94" s="147"/>
      <c r="AR94" s="147"/>
      <c r="AS94" s="147"/>
      <c r="AT94" s="147"/>
      <c r="AU94" s="147"/>
      <c r="AV94" s="125"/>
      <c r="AW94" s="149"/>
      <c r="AX94" s="129"/>
      <c r="AY94" s="251">
        <f>IF(AY$80="geen",0,AY75+AY85-AY88+AY92)</f>
        <v>0</v>
      </c>
      <c r="AZ94" s="251">
        <f>IF(AZ$80="geen",0,AZ75+AZ85-AZ88+AZ92)</f>
        <v>0</v>
      </c>
      <c r="BA94" s="251">
        <f>IF(BA$80="geen",0,BA75+BA85-BA88+BA92)</f>
        <v>0</v>
      </c>
      <c r="BB94" s="147"/>
      <c r="BC94" s="147"/>
      <c r="BD94" s="147"/>
      <c r="BE94" s="147"/>
      <c r="BF94" s="147"/>
      <c r="BG94" s="147"/>
      <c r="BH94" s="255"/>
    </row>
    <row r="95" spans="1:60" hidden="1" x14ac:dyDescent="0.2">
      <c r="A95" s="648"/>
      <c r="B95" s="492" t="s">
        <v>178</v>
      </c>
      <c r="C95" s="739" t="s">
        <v>199</v>
      </c>
      <c r="D95" s="750" t="s">
        <v>50</v>
      </c>
      <c r="E95" s="221" t="s">
        <v>201</v>
      </c>
      <c r="F95" s="220"/>
      <c r="G95" s="220"/>
      <c r="H95" s="221" t="s">
        <v>202</v>
      </c>
      <c r="I95" s="146"/>
      <c r="J95" s="230"/>
      <c r="K95" s="121"/>
      <c r="L95" s="121"/>
      <c r="M95" s="230"/>
      <c r="N95" s="129"/>
      <c r="O95" s="622">
        <f>IF(OR(O80="geen",O94=0),0,IF(O81=gebouw,O$29,1))</f>
        <v>0</v>
      </c>
      <c r="P95" s="622">
        <f>IF(OR(P80="geen",P94=0),0,IF(P81=gebouw,P$29,1))</f>
        <v>0</v>
      </c>
      <c r="Q95" s="622" t="s">
        <v>70</v>
      </c>
      <c r="R95" s="145"/>
      <c r="S95" s="145"/>
      <c r="T95" s="145"/>
      <c r="U95" s="145"/>
      <c r="V95" s="145"/>
      <c r="W95" s="145"/>
      <c r="X95" s="486"/>
      <c r="Y95" s="149"/>
      <c r="Z95" s="135"/>
      <c r="AA95" s="622">
        <f>IF(OR(AA80="geen",AA94=0),0,IF(AA81=gebouw,AA$29,1))</f>
        <v>0</v>
      </c>
      <c r="AB95" s="622">
        <f>IF(OR(AB80="geen",AB94=0),0,IF(AB81=gebouw,AB$29,1))</f>
        <v>0</v>
      </c>
      <c r="AC95" s="622" t="s">
        <v>70</v>
      </c>
      <c r="AD95" s="145"/>
      <c r="AE95" s="145"/>
      <c r="AF95" s="145"/>
      <c r="AG95" s="145"/>
      <c r="AH95" s="145"/>
      <c r="AI95" s="145"/>
      <c r="AJ95" s="486"/>
      <c r="AK95" s="149"/>
      <c r="AL95" s="135"/>
      <c r="AM95" s="622">
        <f>IF(OR(AM80="geen",AM94=0),0,IF(AM81=gebouw,AM$29,1))</f>
        <v>0</v>
      </c>
      <c r="AN95" s="622">
        <f>IF(OR(AN80="geen",AN94=0),0,IF(AN81=gebouw,AN$29,1))</f>
        <v>0</v>
      </c>
      <c r="AO95" s="622" t="s">
        <v>70</v>
      </c>
      <c r="AP95" s="145"/>
      <c r="AQ95" s="145"/>
      <c r="AR95" s="145"/>
      <c r="AS95" s="145"/>
      <c r="AT95" s="145"/>
      <c r="AU95" s="145"/>
      <c r="AV95" s="486"/>
      <c r="AW95" s="149"/>
      <c r="AX95" s="135"/>
      <c r="AY95" s="622">
        <f>IF(OR(AY80="geen",AY94=0),0,IF(AY81=gebouw,AY$29,1))</f>
        <v>0</v>
      </c>
      <c r="AZ95" s="622">
        <f>IF(OR(AZ80="geen",AZ94=0),0,IF(AZ81=gebouw,AZ$29,1))</f>
        <v>0</v>
      </c>
      <c r="BA95" s="622" t="s">
        <v>70</v>
      </c>
      <c r="BB95" s="147"/>
      <c r="BC95" s="147"/>
      <c r="BD95" s="147"/>
      <c r="BE95" s="147"/>
      <c r="BF95" s="147"/>
      <c r="BG95" s="147"/>
      <c r="BH95" s="255"/>
    </row>
    <row r="96" spans="1:60" hidden="1" x14ac:dyDescent="0.2">
      <c r="A96" s="648"/>
      <c r="B96" s="492" t="s">
        <v>178</v>
      </c>
      <c r="C96" s="739" t="s">
        <v>199</v>
      </c>
      <c r="D96" s="750" t="s">
        <v>50</v>
      </c>
      <c r="E96" s="221" t="s">
        <v>203</v>
      </c>
      <c r="F96" s="220"/>
      <c r="G96" s="220"/>
      <c r="H96" s="221" t="s">
        <v>204</v>
      </c>
      <c r="I96" s="146"/>
      <c r="J96" s="230"/>
      <c r="K96" s="121"/>
      <c r="L96" s="121"/>
      <c r="M96" s="230"/>
      <c r="N96" s="129"/>
      <c r="O96" s="622">
        <f>MROUND(((bibliotheek!$I$121*(O94*1000))/(0.001*bibliotheek!$I$122)*((bibliotheek!$I$123-bibliotheek!$I$125)/(bibliotheek!$I$123-bibliotheek!$I$124))+(O31^0.5*4*3+O31)*bibliotheek!$I$126)/1000,50)</f>
        <v>0</v>
      </c>
      <c r="P96" s="622">
        <f>IF(P80="geen",0,MROUND((P94*1000)*bibliotheek!$I$196,1))</f>
        <v>0</v>
      </c>
      <c r="Q96" s="622" t="s">
        <v>70</v>
      </c>
      <c r="R96" s="145"/>
      <c r="S96" s="145"/>
      <c r="T96" s="145"/>
      <c r="U96" s="145"/>
      <c r="V96" s="145"/>
      <c r="W96" s="145"/>
      <c r="X96" s="486"/>
      <c r="Y96" s="149"/>
      <c r="Z96" s="135"/>
      <c r="AA96" s="622">
        <f>MROUND(((bibliotheek!$I$121*(AA94*1000))/(0.001*bibliotheek!$I$122)*((bibliotheek!$I$123-bibliotheek!$I$125)/(bibliotheek!$I$123-bibliotheek!$I$124))+(AA31^0.5*4*3+AA31)*bibliotheek!$I$126)/1000,50)</f>
        <v>0</v>
      </c>
      <c r="AB96" s="622">
        <f>IF(AB80="geen",0,MROUND((AB94*1000)*bibliotheek!$I$196,1))</f>
        <v>0</v>
      </c>
      <c r="AC96" s="622" t="s">
        <v>70</v>
      </c>
      <c r="AD96" s="145"/>
      <c r="AE96" s="145"/>
      <c r="AF96" s="145"/>
      <c r="AG96" s="145"/>
      <c r="AH96" s="145"/>
      <c r="AI96" s="145"/>
      <c r="AJ96" s="486"/>
      <c r="AK96" s="149"/>
      <c r="AL96" s="135"/>
      <c r="AM96" s="622">
        <f>MROUND(((bibliotheek!$I$121*(AM94*1000))/(0.001*bibliotheek!$I$122)*((bibliotheek!$I$123-bibliotheek!$I$125)/(bibliotheek!$I$123-bibliotheek!$I$124))+(AM31^0.5*4*3+AM31)*bibliotheek!$I$126)/1000,50)</f>
        <v>0</v>
      </c>
      <c r="AN96" s="622">
        <f>IF(AN80="geen",0,MROUND((AN94*1000)*bibliotheek!$I$196,1))</f>
        <v>0</v>
      </c>
      <c r="AO96" s="622" t="s">
        <v>70</v>
      </c>
      <c r="AP96" s="145"/>
      <c r="AQ96" s="145"/>
      <c r="AR96" s="145"/>
      <c r="AS96" s="145"/>
      <c r="AT96" s="145"/>
      <c r="AU96" s="145"/>
      <c r="AV96" s="486"/>
      <c r="AW96" s="149"/>
      <c r="AX96" s="135"/>
      <c r="AY96" s="622">
        <f>MROUND(((bibliotheek!$I$121*(AY94*1000))/(0.001*bibliotheek!$I$122)*((bibliotheek!$I$123-bibliotheek!$I$125)/(bibliotheek!$I$123-bibliotheek!$I$124))+(AY31^0.5*4*3+AY31)*bibliotheek!$I$126)/1000,50)</f>
        <v>0</v>
      </c>
      <c r="AZ96" s="622">
        <f>IF(AZ80="geen",0,MROUND((AZ94*1000)*bibliotheek!$I$196,1))</f>
        <v>0</v>
      </c>
      <c r="BA96" s="622" t="s">
        <v>70</v>
      </c>
      <c r="BB96" s="147"/>
      <c r="BC96" s="147"/>
      <c r="BD96" s="147"/>
      <c r="BE96" s="147"/>
      <c r="BF96" s="147"/>
      <c r="BG96" s="147"/>
      <c r="BH96" s="255"/>
    </row>
    <row r="97" spans="1:60" hidden="1" x14ac:dyDescent="0.2">
      <c r="A97" s="648"/>
      <c r="B97" s="492" t="s">
        <v>178</v>
      </c>
      <c r="C97" s="656" t="s">
        <v>199</v>
      </c>
      <c r="D97" s="747"/>
      <c r="E97" s="90"/>
      <c r="F97" s="90"/>
      <c r="G97" s="90"/>
      <c r="H97" s="96"/>
      <c r="I97" s="90"/>
      <c r="J97" s="93"/>
      <c r="K97" s="90"/>
      <c r="L97" s="90"/>
      <c r="M97" s="93"/>
      <c r="N97" s="90"/>
      <c r="O97" s="93"/>
      <c r="P97" s="93"/>
      <c r="Q97" s="93"/>
      <c r="R97" s="93"/>
      <c r="S97" s="93"/>
      <c r="T97" s="93"/>
      <c r="U97" s="93"/>
      <c r="V97" s="93"/>
      <c r="W97" s="93"/>
      <c r="X97" s="93"/>
      <c r="Y97" s="93"/>
      <c r="Z97" s="90"/>
      <c r="AA97" s="122"/>
      <c r="AB97" s="117"/>
      <c r="AC97" s="122"/>
      <c r="AD97" s="93"/>
      <c r="AE97" s="93"/>
      <c r="AF97" s="93"/>
      <c r="AG97" s="93"/>
      <c r="AH97" s="93"/>
      <c r="AI97" s="93"/>
      <c r="AJ97" s="93"/>
      <c r="AK97" s="93"/>
      <c r="AL97" s="90"/>
      <c r="AM97" s="93"/>
      <c r="AN97" s="117"/>
      <c r="AO97" s="93"/>
      <c r="AP97" s="93"/>
      <c r="AQ97" s="93"/>
      <c r="AR97" s="93"/>
      <c r="AS97" s="93"/>
      <c r="AT97" s="93"/>
      <c r="AU97" s="93"/>
      <c r="AV97" s="93"/>
      <c r="AW97" s="93"/>
      <c r="AX97" s="90"/>
      <c r="AY97" s="93"/>
      <c r="AZ97" s="117"/>
      <c r="BA97" s="93"/>
      <c r="BB97" s="93"/>
      <c r="BC97" s="93"/>
      <c r="BD97" s="93"/>
      <c r="BE97" s="93"/>
      <c r="BF97" s="93"/>
      <c r="BG97" s="93"/>
      <c r="BH97" s="1"/>
    </row>
    <row r="98" spans="1:60" x14ac:dyDescent="0.2">
      <c r="A98" s="648"/>
      <c r="B98" s="492" t="s">
        <v>205</v>
      </c>
      <c r="C98" s="656" t="s">
        <v>104</v>
      </c>
      <c r="D98" s="747"/>
      <c r="E98" s="90"/>
      <c r="F98" s="90"/>
      <c r="G98" s="90"/>
      <c r="H98" s="96"/>
      <c r="I98" s="90"/>
      <c r="J98" s="93"/>
      <c r="K98" s="90"/>
      <c r="L98" s="90"/>
      <c r="M98" s="93"/>
      <c r="N98" s="90"/>
      <c r="O98" s="489"/>
      <c r="P98" s="93"/>
      <c r="Q98" s="93"/>
      <c r="R98" s="93"/>
      <c r="S98" s="93"/>
      <c r="T98" s="93"/>
      <c r="U98" s="93"/>
      <c r="V98" s="93"/>
      <c r="W98" s="93"/>
      <c r="X98" s="93"/>
      <c r="Y98" s="93"/>
      <c r="Z98" s="90"/>
      <c r="AA98" s="93"/>
      <c r="AB98" s="93"/>
      <c r="AC98" s="93"/>
      <c r="AD98" s="93"/>
      <c r="AE98" s="93"/>
      <c r="AF98" s="93"/>
      <c r="AG98" s="93"/>
      <c r="AH98" s="93"/>
      <c r="AI98" s="93"/>
      <c r="AJ98" s="93"/>
      <c r="AK98" s="93"/>
      <c r="AL98" s="90"/>
      <c r="AM98" s="93"/>
      <c r="AN98" s="93"/>
      <c r="AO98" s="93"/>
      <c r="AP98" s="93"/>
      <c r="AQ98" s="93"/>
      <c r="AR98" s="93"/>
      <c r="AS98" s="93"/>
      <c r="AT98" s="93"/>
      <c r="AU98" s="93"/>
      <c r="AV98" s="93"/>
      <c r="AW98" s="93"/>
      <c r="AX98" s="90"/>
      <c r="AY98" s="93"/>
      <c r="AZ98" s="93"/>
      <c r="BA98" s="93"/>
      <c r="BB98" s="93"/>
      <c r="BC98" s="93"/>
      <c r="BD98" s="93"/>
      <c r="BE98" s="93"/>
      <c r="BF98" s="93"/>
      <c r="BG98" s="93"/>
      <c r="BH98" s="1"/>
    </row>
    <row r="99" spans="1:60" ht="21" x14ac:dyDescent="0.2">
      <c r="A99" s="648"/>
      <c r="B99" s="492" t="s">
        <v>205</v>
      </c>
      <c r="C99" s="739" t="s">
        <v>104</v>
      </c>
      <c r="D99" s="750" t="s">
        <v>50</v>
      </c>
      <c r="E99" s="240" t="s">
        <v>206</v>
      </c>
      <c r="F99" s="240"/>
      <c r="G99" s="240"/>
      <c r="H99" s="240"/>
      <c r="I99" s="88"/>
      <c r="J99" s="241" t="str">
        <f>J$10</f>
        <v>totaal</v>
      </c>
      <c r="K99" s="142"/>
      <c r="L99" s="142"/>
      <c r="M99" s="216" t="str">
        <f>M$10</f>
        <v>totaal</v>
      </c>
      <c r="N99" s="222"/>
      <c r="O99" s="217" t="str">
        <f>O$10</f>
        <v>verwarming</v>
      </c>
      <c r="P99" s="217" t="str">
        <f>P$10</f>
        <v>koeling</v>
      </c>
      <c r="Q99" s="217" t="str">
        <f>Q$10</f>
        <v>tapwater</v>
      </c>
      <c r="R99" s="217"/>
      <c r="S99" s="217"/>
      <c r="T99" s="217"/>
      <c r="U99" s="217"/>
      <c r="V99" s="217"/>
      <c r="W99" s="217"/>
      <c r="X99" s="214"/>
      <c r="Y99" s="216" t="str">
        <f>Y$10</f>
        <v>totaal</v>
      </c>
      <c r="Z99" s="222"/>
      <c r="AA99" s="217" t="str">
        <f>AA$10</f>
        <v>verwarming</v>
      </c>
      <c r="AB99" s="217" t="str">
        <f>AB$10</f>
        <v>koeling</v>
      </c>
      <c r="AC99" s="217" t="str">
        <f>AC$10</f>
        <v>tapwater</v>
      </c>
      <c r="AD99" s="217"/>
      <c r="AE99" s="217"/>
      <c r="AF99" s="217"/>
      <c r="AG99" s="217"/>
      <c r="AH99" s="217"/>
      <c r="AI99" s="217"/>
      <c r="AJ99" s="214"/>
      <c r="AK99" s="216" t="str">
        <f>AK$10</f>
        <v>totaal</v>
      </c>
      <c r="AL99" s="222"/>
      <c r="AM99" s="217" t="str">
        <f>AM$10</f>
        <v>verwarming</v>
      </c>
      <c r="AN99" s="217" t="str">
        <f>AN$10</f>
        <v>koeling</v>
      </c>
      <c r="AO99" s="217" t="str">
        <f>AO$10</f>
        <v>tapwater</v>
      </c>
      <c r="AP99" s="217"/>
      <c r="AQ99" s="217"/>
      <c r="AR99" s="217"/>
      <c r="AS99" s="217"/>
      <c r="AT99" s="217"/>
      <c r="AU99" s="217"/>
      <c r="AV99" s="214"/>
      <c r="AW99" s="216" t="str">
        <f>AW$10</f>
        <v>totaal</v>
      </c>
      <c r="AX99" s="222"/>
      <c r="AY99" s="217" t="str">
        <f>AY$10</f>
        <v>verwarming</v>
      </c>
      <c r="AZ99" s="217" t="str">
        <f>AZ$10</f>
        <v>koeling</v>
      </c>
      <c r="BA99" s="217" t="str">
        <f>BA$10</f>
        <v>tapwater</v>
      </c>
      <c r="BB99" s="217"/>
      <c r="BC99" s="217"/>
      <c r="BD99" s="217"/>
      <c r="BE99" s="217"/>
      <c r="BF99" s="217"/>
      <c r="BG99" s="217"/>
      <c r="BH99" s="1"/>
    </row>
    <row r="100" spans="1:60" ht="18.75" x14ac:dyDescent="0.2">
      <c r="A100" s="648"/>
      <c r="B100" s="492" t="s">
        <v>205</v>
      </c>
      <c r="C100" s="739" t="s">
        <v>104</v>
      </c>
      <c r="D100" s="750"/>
      <c r="E100" s="315" t="s">
        <v>207</v>
      </c>
      <c r="F100" s="175"/>
      <c r="G100" s="175"/>
      <c r="H100" s="176"/>
      <c r="I100" s="177"/>
      <c r="J100" s="141"/>
      <c r="K100" s="178"/>
      <c r="L100" s="178"/>
      <c r="M100" s="141"/>
      <c r="N100" s="141"/>
      <c r="O100" s="141"/>
      <c r="P100" s="141"/>
      <c r="Q100" s="141"/>
      <c r="R100" s="141">
        <v>1</v>
      </c>
      <c r="S100" s="141">
        <v>1</v>
      </c>
      <c r="T100" s="141"/>
      <c r="U100" s="141"/>
      <c r="V100" s="141"/>
      <c r="W100" s="141"/>
      <c r="X100" s="179"/>
      <c r="Y100" s="141"/>
      <c r="Z100" s="141"/>
      <c r="AA100" s="141"/>
      <c r="AB100" s="141"/>
      <c r="AC100" s="141"/>
      <c r="AD100" s="141"/>
      <c r="AE100" s="141"/>
      <c r="AF100" s="141"/>
      <c r="AG100" s="141"/>
      <c r="AH100" s="141"/>
      <c r="AI100" s="141"/>
      <c r="AJ100" s="179"/>
      <c r="AK100" s="141"/>
      <c r="AL100" s="141"/>
      <c r="AM100" s="141"/>
      <c r="AN100" s="141"/>
      <c r="AO100" s="141"/>
      <c r="AP100" s="141"/>
      <c r="AQ100" s="141"/>
      <c r="AR100" s="141"/>
      <c r="AS100" s="141"/>
      <c r="AT100" s="141"/>
      <c r="AU100" s="141"/>
      <c r="AV100" s="179"/>
      <c r="AW100" s="141"/>
      <c r="AX100" s="141"/>
      <c r="AY100" s="141"/>
      <c r="AZ100" s="141"/>
      <c r="BA100" s="141"/>
      <c r="BB100" s="141"/>
      <c r="BC100" s="141"/>
      <c r="BD100" s="141"/>
      <c r="BE100" s="141"/>
      <c r="BF100" s="141"/>
      <c r="BG100" s="141"/>
      <c r="BH100" s="263"/>
    </row>
    <row r="101" spans="1:60" ht="38.25" x14ac:dyDescent="0.2">
      <c r="A101" s="648"/>
      <c r="B101" s="492" t="s">
        <v>205</v>
      </c>
      <c r="C101" s="656" t="s">
        <v>127</v>
      </c>
      <c r="D101" s="747"/>
      <c r="E101" s="183" t="s">
        <v>181</v>
      </c>
      <c r="F101" s="357"/>
      <c r="G101" s="357"/>
      <c r="H101" s="183" t="s">
        <v>70</v>
      </c>
      <c r="I101" s="188"/>
      <c r="J101" s="330"/>
      <c r="K101" s="820"/>
      <c r="L101" s="820"/>
      <c r="M101" s="330"/>
      <c r="N101" s="136"/>
      <c r="O101" s="390" t="str">
        <f>O80</f>
        <v>ind WP, ind bodem, elek bijstook</v>
      </c>
      <c r="P101" s="390" t="str">
        <f>P80</f>
        <v>geen</v>
      </c>
      <c r="Q101" s="390" t="str">
        <f>Q80</f>
        <v>ind WP, ind bodem, elek bijstook</v>
      </c>
      <c r="R101" s="190"/>
      <c r="S101" s="190"/>
      <c r="T101" s="190"/>
      <c r="U101" s="190"/>
      <c r="V101" s="190"/>
      <c r="W101" s="190"/>
      <c r="X101" s="191"/>
      <c r="Y101" s="330"/>
      <c r="Z101" s="136"/>
      <c r="AA101" s="390" t="str">
        <f>AA80</f>
        <v>ind WP, ind bodem, elek bijstook</v>
      </c>
      <c r="AB101" s="390" t="str">
        <f>AB80</f>
        <v>geen</v>
      </c>
      <c r="AC101" s="390" t="str">
        <f>AC80</f>
        <v>ind WP, ind bodem, elek bijstook</v>
      </c>
      <c r="AD101" s="190"/>
      <c r="AE101" s="190"/>
      <c r="AF101" s="190"/>
      <c r="AG101" s="190"/>
      <c r="AH101" s="190"/>
      <c r="AI101" s="190"/>
      <c r="AJ101" s="191"/>
      <c r="AK101" s="330"/>
      <c r="AL101" s="136"/>
      <c r="AM101" s="390" t="str">
        <f>AM80</f>
        <v>ind WP, ind bodem, elek bijstook</v>
      </c>
      <c r="AN101" s="390" t="str">
        <f>AN80</f>
        <v>geen</v>
      </c>
      <c r="AO101" s="390" t="str">
        <f>AO80</f>
        <v>ind WP, ind bodem, elek bijstook</v>
      </c>
      <c r="AP101" s="190"/>
      <c r="AQ101" s="190"/>
      <c r="AR101" s="190"/>
      <c r="AS101" s="190"/>
      <c r="AT101" s="190"/>
      <c r="AU101" s="190"/>
      <c r="AV101" s="191"/>
      <c r="AW101" s="330"/>
      <c r="AX101" s="136"/>
      <c r="AY101" s="390" t="str">
        <f>AY80</f>
        <v>ind WP, ind bodem, elek bijstook</v>
      </c>
      <c r="AZ101" s="390" t="str">
        <f>AZ80</f>
        <v>geen</v>
      </c>
      <c r="BA101" s="390" t="str">
        <f>BA80</f>
        <v>ind WP, ind bodem, elek bijstook</v>
      </c>
      <c r="BB101" s="190"/>
      <c r="BC101" s="190"/>
      <c r="BD101" s="190"/>
      <c r="BE101" s="190"/>
      <c r="BF101" s="190"/>
      <c r="BG101" s="190"/>
      <c r="BH101" s="263"/>
    </row>
    <row r="102" spans="1:60" s="38" customFormat="1" hidden="1" x14ac:dyDescent="0.2">
      <c r="A102" s="648"/>
      <c r="B102" s="492" t="s">
        <v>205</v>
      </c>
      <c r="C102" s="656" t="s">
        <v>199</v>
      </c>
      <c r="D102" s="747"/>
      <c r="E102" s="183" t="s">
        <v>208</v>
      </c>
      <c r="F102" s="182"/>
      <c r="G102" s="182"/>
      <c r="H102" s="183" t="s">
        <v>70</v>
      </c>
      <c r="I102" s="340"/>
      <c r="J102" s="350"/>
      <c r="K102" s="821"/>
      <c r="L102" s="821"/>
      <c r="M102" s="350"/>
      <c r="N102" s="235"/>
      <c r="O102" s="390" t="str">
        <f>HLOOKUP(IF(O$80="",referentie_verwarming,O$80),toestellen_RV,ROWS(bibliotheek!$E$79:$E$92),FALSE)</f>
        <v>elektriciteit</v>
      </c>
      <c r="P102" s="390" t="str">
        <f>HLOOKUP(IF(P$80="",referentie_koeling,P$80),toestellen_KOEL,ROWS(bibliotheek!$E$170:$E$177),FALSE)</f>
        <v>nvt</v>
      </c>
      <c r="Q102" s="390" t="str">
        <f>HLOOKUP(IF(Q$80="",referentie_warmtapwater,Q$80),toestellen_TAP,ROWS(bibliotheek!$E$136:$E$149),FALSE)</f>
        <v>elektriciteit</v>
      </c>
      <c r="R102" s="341"/>
      <c r="S102" s="341"/>
      <c r="T102" s="341"/>
      <c r="U102" s="341"/>
      <c r="V102" s="341"/>
      <c r="W102" s="341"/>
      <c r="X102" s="342"/>
      <c r="Y102" s="350"/>
      <c r="Z102" s="235"/>
      <c r="AA102" s="390" t="str">
        <f>HLOOKUP(IF(AA$80="",referentie_verwarming,AA$80),toestellen_RV,ROWS(bibliotheek!$E$79:$E$92),FALSE)</f>
        <v>elektriciteit</v>
      </c>
      <c r="AB102" s="390" t="str">
        <f>HLOOKUP(IF(AB$80="",referentie_koeling,AB$80),toestellen_KOEL,ROWS(bibliotheek!$E$170:$E$177),FALSE)</f>
        <v>nvt</v>
      </c>
      <c r="AC102" s="390" t="str">
        <f>HLOOKUP(IF(AC$80="",referentie_warmtapwater,AC$80),toestellen_TAP,ROWS(bibliotheek!$E$136:$E$149),FALSE)</f>
        <v>elektriciteit</v>
      </c>
      <c r="AD102" s="341"/>
      <c r="AE102" s="341"/>
      <c r="AF102" s="341"/>
      <c r="AG102" s="341"/>
      <c r="AH102" s="341"/>
      <c r="AI102" s="341"/>
      <c r="AJ102" s="342"/>
      <c r="AK102" s="350"/>
      <c r="AL102" s="235"/>
      <c r="AM102" s="390" t="str">
        <f>HLOOKUP(IF(AM$80="",referentie_verwarming,AM$80),toestellen_RV,ROWS(bibliotheek!$E$79:$E$92),FALSE)</f>
        <v>elektriciteit</v>
      </c>
      <c r="AN102" s="390" t="str">
        <f>HLOOKUP(IF(AN$80="",referentie_koeling,AN$80),toestellen_KOEL,ROWS(bibliotheek!$E$170:$E$177),FALSE)</f>
        <v>nvt</v>
      </c>
      <c r="AO102" s="390" t="str">
        <f>HLOOKUP(IF(AO$80="",referentie_warmtapwater,AO$80),toestellen_TAP,ROWS(bibliotheek!$E$136:$E$149),FALSE)</f>
        <v>elektriciteit</v>
      </c>
      <c r="AP102" s="341"/>
      <c r="AQ102" s="341"/>
      <c r="AR102" s="341"/>
      <c r="AS102" s="341"/>
      <c r="AT102" s="341"/>
      <c r="AU102" s="341"/>
      <c r="AV102" s="342"/>
      <c r="AW102" s="350"/>
      <c r="AX102" s="235"/>
      <c r="AY102" s="390" t="str">
        <f>HLOOKUP(IF(AY$80="",referentie_verwarming,AY$80),toestellen_RV,ROWS(bibliotheek!$E$79:$E$92),FALSE)</f>
        <v>elektriciteit</v>
      </c>
      <c r="AZ102" s="390" t="str">
        <f>HLOOKUP(IF(AZ$80="",referentie_koeling,AZ$80),toestellen_KOEL,ROWS(bibliotheek!$E$170:$E$177),FALSE)</f>
        <v>nvt</v>
      </c>
      <c r="BA102" s="390" t="str">
        <f>HLOOKUP(IF(BA$80="",referentie_warmtapwater,BA$80),toestellen_TAP,ROWS(bibliotheek!$E$136:$E$149),FALSE)</f>
        <v>elektriciteit</v>
      </c>
      <c r="BB102" s="341"/>
      <c r="BC102" s="341"/>
      <c r="BD102" s="341"/>
      <c r="BE102" s="341"/>
      <c r="BF102" s="341"/>
      <c r="BG102" s="341"/>
      <c r="BH102" s="268"/>
    </row>
    <row r="103" spans="1:60" hidden="1" x14ac:dyDescent="0.2">
      <c r="A103" s="648"/>
      <c r="B103" s="492" t="s">
        <v>205</v>
      </c>
      <c r="C103" s="739" t="s">
        <v>199</v>
      </c>
      <c r="D103" s="747"/>
      <c r="E103" s="221" t="s">
        <v>209</v>
      </c>
      <c r="F103" s="220"/>
      <c r="G103" s="220"/>
      <c r="H103" s="221" t="s">
        <v>70</v>
      </c>
      <c r="I103" s="146"/>
      <c r="J103" s="230"/>
      <c r="K103" s="822"/>
      <c r="L103" s="822"/>
      <c r="M103" s="230"/>
      <c r="N103" s="129"/>
      <c r="O103" s="623" t="str">
        <f>INDEX(energiedragers_index_fPren,MATCH(O102,energiedragers_namen,0))</f>
        <v>nren</v>
      </c>
      <c r="P103" s="623" t="str">
        <f>INDEX(energiedragers_index_fPren,MATCH(P102,energiedragers_namen,0))</f>
        <v>nren</v>
      </c>
      <c r="Q103" s="623" t="str">
        <f>INDEX(energiedragers_index_fPren,MATCH(Q102,energiedragers_namen,0))</f>
        <v>nren</v>
      </c>
      <c r="R103" s="200"/>
      <c r="S103" s="200"/>
      <c r="T103" s="200"/>
      <c r="U103" s="200"/>
      <c r="V103" s="200"/>
      <c r="W103" s="200"/>
      <c r="X103" s="201"/>
      <c r="Y103" s="230"/>
      <c r="Z103" s="129"/>
      <c r="AA103" s="623" t="str">
        <f>INDEX(energiedragers_index_fPren,MATCH(AA102,energiedragers_namen,0))</f>
        <v>nren</v>
      </c>
      <c r="AB103" s="623" t="str">
        <f>INDEX(energiedragers_index_fPren,MATCH(AB102,energiedragers_namen,0))</f>
        <v>nren</v>
      </c>
      <c r="AC103" s="623" t="str">
        <f>INDEX(energiedragers_index_fPren,MATCH(AC102,energiedragers_namen,0))</f>
        <v>nren</v>
      </c>
      <c r="AD103" s="200"/>
      <c r="AE103" s="200"/>
      <c r="AF103" s="200"/>
      <c r="AG103" s="200"/>
      <c r="AH103" s="200"/>
      <c r="AI103" s="200"/>
      <c r="AJ103" s="201"/>
      <c r="AK103" s="230"/>
      <c r="AL103" s="129"/>
      <c r="AM103" s="623" t="str">
        <f>INDEX(energiedragers_index_fPren,MATCH(AM102,energiedragers_namen,0))</f>
        <v>nren</v>
      </c>
      <c r="AN103" s="623" t="str">
        <f>INDEX(energiedragers_index_fPren,MATCH(AN102,energiedragers_namen,0))</f>
        <v>nren</v>
      </c>
      <c r="AO103" s="623" t="str">
        <f>INDEX(energiedragers_index_fPren,MATCH(AO102,energiedragers_namen,0))</f>
        <v>nren</v>
      </c>
      <c r="AP103" s="200"/>
      <c r="AQ103" s="200"/>
      <c r="AR103" s="200"/>
      <c r="AS103" s="200"/>
      <c r="AT103" s="200"/>
      <c r="AU103" s="200"/>
      <c r="AV103" s="201"/>
      <c r="AW103" s="230"/>
      <c r="AX103" s="129"/>
      <c r="AY103" s="623" t="str">
        <f>INDEX(energiedragers_index_fPren,MATCH(AY102,energiedragers_namen,0))</f>
        <v>nren</v>
      </c>
      <c r="AZ103" s="623" t="str">
        <f>INDEX(energiedragers_index_fPren,MATCH(AZ102,energiedragers_namen,0))</f>
        <v>nren</v>
      </c>
      <c r="BA103" s="623" t="str">
        <f>INDEX(energiedragers_index_fPren,MATCH(BA102,energiedragers_namen,0))</f>
        <v>nren</v>
      </c>
      <c r="BB103" s="200"/>
      <c r="BC103" s="200"/>
      <c r="BD103" s="200"/>
      <c r="BE103" s="200"/>
      <c r="BF103" s="200"/>
      <c r="BG103" s="200"/>
      <c r="BH103" s="264"/>
    </row>
    <row r="104" spans="1:60" ht="18.75" x14ac:dyDescent="0.2">
      <c r="A104" s="648"/>
      <c r="B104" s="492" t="s">
        <v>205</v>
      </c>
      <c r="C104" s="739" t="s">
        <v>104</v>
      </c>
      <c r="D104" s="747"/>
      <c r="E104" s="144" t="s">
        <v>210</v>
      </c>
      <c r="F104" s="119"/>
      <c r="G104" s="119"/>
      <c r="H104" s="89"/>
      <c r="I104" s="120"/>
      <c r="J104" s="141"/>
      <c r="K104" s="124"/>
      <c r="L104" s="124"/>
      <c r="M104" s="141"/>
      <c r="N104" s="141"/>
      <c r="O104" s="141"/>
      <c r="P104" s="141"/>
      <c r="Q104" s="141"/>
      <c r="R104" s="141"/>
      <c r="S104" s="141"/>
      <c r="T104" s="141"/>
      <c r="U104" s="141"/>
      <c r="V104" s="141"/>
      <c r="W104" s="141"/>
      <c r="X104" s="143"/>
      <c r="Y104" s="141"/>
      <c r="Z104" s="141"/>
      <c r="AA104" s="141"/>
      <c r="AB104" s="141"/>
      <c r="AC104" s="141"/>
      <c r="AD104" s="141"/>
      <c r="AE104" s="141"/>
      <c r="AF104" s="141"/>
      <c r="AG104" s="141"/>
      <c r="AH104" s="141"/>
      <c r="AI104" s="141"/>
      <c r="AJ104" s="143"/>
      <c r="AK104" s="141"/>
      <c r="AL104" s="141"/>
      <c r="AM104" s="141"/>
      <c r="AN104" s="141"/>
      <c r="AO104" s="141"/>
      <c r="AP104" s="141"/>
      <c r="AQ104" s="141"/>
      <c r="AR104" s="141"/>
      <c r="AS104" s="141"/>
      <c r="AT104" s="141"/>
      <c r="AU104" s="141"/>
      <c r="AV104" s="143"/>
      <c r="AW104" s="141"/>
      <c r="AX104" s="141"/>
      <c r="AY104" s="141"/>
      <c r="AZ104" s="141"/>
      <c r="BA104" s="141"/>
      <c r="BB104" s="141"/>
      <c r="BC104" s="141"/>
      <c r="BD104" s="141"/>
      <c r="BE104" s="141"/>
      <c r="BF104" s="141"/>
      <c r="BG104" s="141"/>
      <c r="BH104" s="263"/>
    </row>
    <row r="105" spans="1:60" x14ac:dyDescent="0.2">
      <c r="A105" s="648"/>
      <c r="B105" s="492" t="s">
        <v>205</v>
      </c>
      <c r="C105" s="656" t="s">
        <v>127</v>
      </c>
      <c r="D105" s="747"/>
      <c r="E105" s="354" t="s">
        <v>211</v>
      </c>
      <c r="F105" s="316"/>
      <c r="G105" s="316"/>
      <c r="H105" s="354" t="s">
        <v>150</v>
      </c>
      <c r="I105" s="88"/>
      <c r="J105" s="229"/>
      <c r="K105" s="121"/>
      <c r="L105" s="121"/>
      <c r="M105" s="229"/>
      <c r="N105" s="90"/>
      <c r="O105" s="624">
        <f>IF(HLOOKUP(IF(O$80="",referentie_verwarming,O$80),toestellen_RV,ROWS(bibliotheek!$E$79:$E$94),FALSE)=1,1,IF(O106&lt;&gt;"",O106,HLOOKUP(IF(O$80="",referentie_verwarming,O$80),toestellen_RV,ROWS(bibliotheek!$E$79:$E$94),FALSE)))</f>
        <v>0.9</v>
      </c>
      <c r="P105" s="624">
        <f>IF(HLOOKUP(IF(P$80="",referentie_koeling,P$80),toestellen_KOEL,ROWS(bibliotheek!$E$170:$E$179),FALSE)=1,1,IF(P106&lt;&gt;"",P106,HLOOKUP(IF(P$80="",referentie_koeling,P$80),toestellen_KOEL,ROWS(bibliotheek!$E$170:$E$179),FALSE)))</f>
        <v>1</v>
      </c>
      <c r="Q105" s="624">
        <f>IF(HLOOKUP(IF(Q$80="",referentie_warmtapwater,Q$80),toestellen_TAP,ROWS(bibliotheek!$E$136:$E$151),FALSE)=1,1,IF(Q106&lt;&gt;"",Q106,HLOOKUP(IF(Q$80="",referentie_warmtapwater,Q$80),toestellen_TAP,ROWS(bibliotheek!$E$136:$E$151),FALSE)))</f>
        <v>0.9</v>
      </c>
      <c r="R105" s="152"/>
      <c r="S105" s="152"/>
      <c r="T105" s="152"/>
      <c r="U105" s="152"/>
      <c r="V105" s="152"/>
      <c r="W105" s="152"/>
      <c r="X105" s="87"/>
      <c r="Y105" s="229"/>
      <c r="Z105" s="90"/>
      <c r="AA105" s="624">
        <f>IF(HLOOKUP(IF(AA$80="",referentie_verwarming,AA$80),toestellen_RV,ROWS(bibliotheek!$E$79:$E$94),FALSE)=1,1,IF(AA106&lt;&gt;"",AA106,HLOOKUP(IF(AA$80="",referentie_verwarming,AA$80),toestellen_RV,ROWS(bibliotheek!$E$79:$E$94),FALSE)))</f>
        <v>0.9</v>
      </c>
      <c r="AB105" s="624">
        <f>IF(HLOOKUP(IF(AB$80="",referentie_koeling,AB$80),toestellen_KOEL,ROWS(bibliotheek!$E$170:$E$179),FALSE)=1,1,IF(AB106&lt;&gt;"",AB106,HLOOKUP(IF(AB$80="",referentie_koeling,AB$80),toestellen_KOEL,ROWS(bibliotheek!$E$170:$E$179),FALSE)))</f>
        <v>1</v>
      </c>
      <c r="AC105" s="624">
        <f>IF(HLOOKUP(IF(AC$80="",referentie_warmtapwater,AC$80),toestellen_TAP,ROWS(bibliotheek!$E$136:$E$151),FALSE)=1,1,IF(AC106&lt;&gt;"",AC106,HLOOKUP(IF(AC$80="",referentie_warmtapwater,AC$80),toestellen_TAP,ROWS(bibliotheek!$E$136:$E$151),FALSE)))</f>
        <v>0.9</v>
      </c>
      <c r="AD105" s="152"/>
      <c r="AE105" s="152"/>
      <c r="AF105" s="152"/>
      <c r="AG105" s="152"/>
      <c r="AH105" s="152"/>
      <c r="AI105" s="152"/>
      <c r="AJ105" s="87"/>
      <c r="AK105" s="229"/>
      <c r="AL105" s="90"/>
      <c r="AM105" s="624">
        <f>IF(HLOOKUP(IF(AM$80="",referentie_verwarming,AM$80),toestellen_RV,ROWS(bibliotheek!$E$79:$E$94),FALSE)=1,1,IF(AM106&lt;&gt;"",AM106,HLOOKUP(IF(AM$80="",referentie_verwarming,AM$80),toestellen_RV,ROWS(bibliotheek!$E$79:$E$94),FALSE)))</f>
        <v>0.9</v>
      </c>
      <c r="AN105" s="624">
        <f>IF(HLOOKUP(IF(AN$80="",referentie_koeling,AN$80),toestellen_KOEL,ROWS(bibliotheek!$E$170:$E$179),FALSE)=1,1,IF(AN106&lt;&gt;"",AN106,HLOOKUP(IF(AN$80="",referentie_koeling,AN$80),toestellen_KOEL,ROWS(bibliotheek!$E$170:$E$179),FALSE)))</f>
        <v>1</v>
      </c>
      <c r="AO105" s="624">
        <f>IF(HLOOKUP(IF(AO$80="",referentie_warmtapwater,AO$80),toestellen_TAP,ROWS(bibliotheek!$E$136:$E$151),FALSE)=1,1,IF(AO106&lt;&gt;"",AO106,HLOOKUP(IF(AO$80="",referentie_warmtapwater,AO$80),toestellen_TAP,ROWS(bibliotheek!$E$136:$E$151),FALSE)))</f>
        <v>0.9</v>
      </c>
      <c r="AP105" s="152"/>
      <c r="AQ105" s="152"/>
      <c r="AR105" s="152"/>
      <c r="AS105" s="152"/>
      <c r="AT105" s="152"/>
      <c r="AU105" s="152"/>
      <c r="AV105" s="87"/>
      <c r="AW105" s="229"/>
      <c r="AX105" s="90"/>
      <c r="AY105" s="624">
        <f>IF(HLOOKUP(IF(AY$80="",referentie_verwarming,AY$80),toestellen_RV,ROWS(bibliotheek!$E$79:$E$94),FALSE)=1,1,IF(AY106&lt;&gt;"",AY106,HLOOKUP(IF(AY$80="",referentie_verwarming,AY$80),toestellen_RV,ROWS(bibliotheek!$E$79:$E$94),FALSE)))</f>
        <v>0.9</v>
      </c>
      <c r="AZ105" s="624">
        <f>IF(HLOOKUP(IF(AZ$80="",referentie_koeling,AZ$80),toestellen_KOEL,ROWS(bibliotheek!$E$170:$E$179),FALSE)=1,1,IF(AZ106&lt;&gt;"",AZ106,HLOOKUP(IF(AZ$80="",referentie_koeling,AZ$80),toestellen_KOEL,ROWS(bibliotheek!$E$170:$E$179),FALSE)))</f>
        <v>1</v>
      </c>
      <c r="BA105" s="624">
        <f>IF(HLOOKUP(IF(BA$80="",referentie_warmtapwater,BA$80),toestellen_TAP,ROWS(bibliotheek!$E$136:$E$151),FALSE)=1,1,IF(BA106&lt;&gt;"",BA106,HLOOKUP(IF(BA$80="",referentie_warmtapwater,BA$80),toestellen_TAP,ROWS(bibliotheek!$E$136:$E$151),FALSE)))</f>
        <v>0.9</v>
      </c>
      <c r="BB105" s="152"/>
      <c r="BC105" s="152"/>
      <c r="BD105" s="152"/>
      <c r="BE105" s="152"/>
      <c r="BF105" s="152"/>
      <c r="BG105" s="152"/>
      <c r="BH105" s="214"/>
    </row>
    <row r="106" spans="1:60" x14ac:dyDescent="0.2">
      <c r="A106" s="648"/>
      <c r="B106" s="492" t="s">
        <v>205</v>
      </c>
      <c r="C106" s="656" t="s">
        <v>127</v>
      </c>
      <c r="D106" s="747"/>
      <c r="E106" s="412" t="s">
        <v>212</v>
      </c>
      <c r="F106" s="317"/>
      <c r="G106" s="317"/>
      <c r="H106" s="355"/>
      <c r="I106" s="88"/>
      <c r="J106" s="362"/>
      <c r="K106" s="121"/>
      <c r="L106" s="121"/>
      <c r="M106" s="239"/>
      <c r="N106" s="90"/>
      <c r="O106" s="345"/>
      <c r="P106" s="345"/>
      <c r="Q106" s="345"/>
      <c r="R106" s="154"/>
      <c r="S106" s="154"/>
      <c r="T106" s="154"/>
      <c r="U106" s="154"/>
      <c r="V106" s="154"/>
      <c r="W106" s="154"/>
      <c r="X106" s="87"/>
      <c r="Y106" s="239"/>
      <c r="Z106" s="90"/>
      <c r="AA106" s="345"/>
      <c r="AB106" s="345"/>
      <c r="AC106" s="345"/>
      <c r="AD106" s="154"/>
      <c r="AE106" s="154"/>
      <c r="AF106" s="154"/>
      <c r="AG106" s="154"/>
      <c r="AH106" s="154"/>
      <c r="AI106" s="154"/>
      <c r="AJ106" s="87"/>
      <c r="AK106" s="239"/>
      <c r="AL106" s="90"/>
      <c r="AM106" s="345"/>
      <c r="AN106" s="345"/>
      <c r="AO106" s="345"/>
      <c r="AP106" s="154"/>
      <c r="AQ106" s="154"/>
      <c r="AR106" s="154"/>
      <c r="AS106" s="154"/>
      <c r="AT106" s="154"/>
      <c r="AU106" s="154"/>
      <c r="AV106" s="87"/>
      <c r="AW106" s="239"/>
      <c r="AX106" s="90"/>
      <c r="AY106" s="345"/>
      <c r="AZ106" s="345"/>
      <c r="BA106" s="345"/>
      <c r="BB106" s="154"/>
      <c r="BC106" s="154"/>
      <c r="BD106" s="154"/>
      <c r="BE106" s="154"/>
      <c r="BF106" s="154"/>
      <c r="BG106" s="154"/>
      <c r="BH106" s="265"/>
    </row>
    <row r="107" spans="1:60" hidden="1" x14ac:dyDescent="0.2">
      <c r="A107" s="650"/>
      <c r="B107" s="492" t="s">
        <v>205</v>
      </c>
      <c r="C107" s="740" t="s">
        <v>199</v>
      </c>
      <c r="D107" s="752"/>
      <c r="E107" s="242" t="s">
        <v>213</v>
      </c>
      <c r="F107" s="298"/>
      <c r="G107" s="298"/>
      <c r="H107" s="242" t="s">
        <v>177</v>
      </c>
      <c r="I107" s="121"/>
      <c r="J107" s="243">
        <f>M107+Y107+AK107+AW107</f>
        <v>0</v>
      </c>
      <c r="K107" s="293"/>
      <c r="L107" s="293"/>
      <c r="M107" s="243">
        <f>SUM(O107:X107)</f>
        <v>0</v>
      </c>
      <c r="N107" s="294"/>
      <c r="O107" s="207">
        <f>O$94*O105</f>
        <v>0</v>
      </c>
      <c r="P107" s="207">
        <f>P$94*P105</f>
        <v>0</v>
      </c>
      <c r="Q107" s="207">
        <f>Q$94*Q105</f>
        <v>0</v>
      </c>
      <c r="R107" s="147"/>
      <c r="S107" s="147"/>
      <c r="T107" s="147"/>
      <c r="U107" s="147"/>
      <c r="V107" s="147"/>
      <c r="W107" s="147"/>
      <c r="X107" s="125"/>
      <c r="Y107" s="243">
        <f>SUM(AA107:AJ107)</f>
        <v>0</v>
      </c>
      <c r="Z107" s="294"/>
      <c r="AA107" s="207">
        <f>AA$94*AA105</f>
        <v>0</v>
      </c>
      <c r="AB107" s="207">
        <f>AB$94*AB105</f>
        <v>0</v>
      </c>
      <c r="AC107" s="207">
        <f>AC$94*AC105</f>
        <v>0</v>
      </c>
      <c r="AD107" s="147"/>
      <c r="AE107" s="147"/>
      <c r="AF107" s="147"/>
      <c r="AG107" s="147"/>
      <c r="AH107" s="147"/>
      <c r="AI107" s="147"/>
      <c r="AJ107" s="125"/>
      <c r="AK107" s="243">
        <f>SUM(AM107:AV107)</f>
        <v>0</v>
      </c>
      <c r="AL107" s="294"/>
      <c r="AM107" s="207">
        <f>AM$94*AM105</f>
        <v>0</v>
      </c>
      <c r="AN107" s="207">
        <f>AN$94*AN105</f>
        <v>0</v>
      </c>
      <c r="AO107" s="207">
        <f>AO$94*AO105</f>
        <v>0</v>
      </c>
      <c r="AP107" s="147"/>
      <c r="AQ107" s="147"/>
      <c r="AR107" s="147"/>
      <c r="AS107" s="147"/>
      <c r="AT107" s="147"/>
      <c r="AU107" s="147"/>
      <c r="AV107" s="125"/>
      <c r="AW107" s="243">
        <f>SUM(AY107:BH107)</f>
        <v>0</v>
      </c>
      <c r="AX107" s="294"/>
      <c r="AY107" s="207">
        <f>AY$94*AY105</f>
        <v>0</v>
      </c>
      <c r="AZ107" s="207">
        <f>AZ$94*AZ105</f>
        <v>0</v>
      </c>
      <c r="BA107" s="207">
        <f>BA$94*BA105</f>
        <v>0</v>
      </c>
      <c r="BB107" s="147"/>
      <c r="BC107" s="147"/>
      <c r="BD107" s="147"/>
      <c r="BE107" s="147"/>
      <c r="BF107" s="147"/>
      <c r="BG107" s="147"/>
      <c r="BH107" s="214"/>
    </row>
    <row r="108" spans="1:60" x14ac:dyDescent="0.2">
      <c r="A108" s="648"/>
      <c r="B108" s="492" t="s">
        <v>205</v>
      </c>
      <c r="C108" s="656" t="s">
        <v>127</v>
      </c>
      <c r="D108" s="750" t="s">
        <v>50</v>
      </c>
      <c r="E108" s="354" t="s">
        <v>214</v>
      </c>
      <c r="F108" s="316"/>
      <c r="G108" s="316"/>
      <c r="H108" s="354" t="s">
        <v>70</v>
      </c>
      <c r="I108" s="88"/>
      <c r="J108" s="351"/>
      <c r="K108" s="296"/>
      <c r="L108" s="296"/>
      <c r="M108" s="351"/>
      <c r="N108" s="297"/>
      <c r="O108" s="445">
        <f>IF(O109&lt;&gt;"",O109,HLOOKUP(IF(O$80="",referentie_verwarming,O$80),toestellen_RV,ROWS(bibliotheek!$E$79:$E$95),FALSE))</f>
        <v>4.55</v>
      </c>
      <c r="P108" s="445">
        <f>IF(P109&lt;&gt;"",P109,HLOOKUP(IF(P$80="",referentie_koeling,P$80),toestellen_KOEL,ROWS(bibliotheek!$E$170:$E$180),FALSE))</f>
        <v>0</v>
      </c>
      <c r="Q108" s="445">
        <f>IF(Q109&lt;&gt;"",Q109,HLOOKUP(IF(Q$80="",referentie_warmtapwater,Q$80),toestellen_TAP,ROWS(bibliotheek!$E$136:$E$152),FALSE))</f>
        <v>2.4</v>
      </c>
      <c r="R108" s="158"/>
      <c r="S108" s="158"/>
      <c r="T108" s="158"/>
      <c r="U108" s="158"/>
      <c r="V108" s="158"/>
      <c r="W108" s="158"/>
      <c r="X108" s="414"/>
      <c r="Y108" s="351"/>
      <c r="Z108" s="297"/>
      <c r="AA108" s="445">
        <f>IF(AA109&lt;&gt;"",AA109,HLOOKUP(IF(AA$80="",referentie_verwarming,AA$80),toestellen_RV,ROWS(bibliotheek!$E$79:$E$95),FALSE))</f>
        <v>4.55</v>
      </c>
      <c r="AB108" s="445">
        <f>IF(AB109&lt;&gt;"",AB109,HLOOKUP(IF(AB$80="",referentie_koeling,AB$80),toestellen_KOEL,ROWS(bibliotheek!$E$170:$E$180),FALSE))</f>
        <v>0</v>
      </c>
      <c r="AC108" s="445">
        <f>IF(AC109&lt;&gt;"",AC109,HLOOKUP(IF(AC$80="",referentie_warmtapwater,AC$80),toestellen_TAP,ROWS(bibliotheek!$E$136:$E$152),FALSE))</f>
        <v>2.4</v>
      </c>
      <c r="AD108" s="158"/>
      <c r="AE108" s="158"/>
      <c r="AF108" s="158"/>
      <c r="AG108" s="158"/>
      <c r="AH108" s="158"/>
      <c r="AI108" s="158"/>
      <c r="AJ108" s="414"/>
      <c r="AK108" s="351"/>
      <c r="AL108" s="297"/>
      <c r="AM108" s="445">
        <f>IF(AM109&lt;&gt;"",AM109,HLOOKUP(IF(AM$80="",referentie_verwarming,AM$80),toestellen_RV,ROWS(bibliotheek!$E$79:$E$95),FALSE))</f>
        <v>4.55</v>
      </c>
      <c r="AN108" s="445">
        <f>IF(AN109&lt;&gt;"",AN109,HLOOKUP(IF(AN$80="",referentie_koeling,AN$80),toestellen_KOEL,ROWS(bibliotheek!$E$170:$E$180),FALSE))</f>
        <v>0</v>
      </c>
      <c r="AO108" s="445">
        <f>IF(AO109&lt;&gt;"",AO109,HLOOKUP(IF(AO$80="",referentie_warmtapwater,AO$80),toestellen_TAP,ROWS(bibliotheek!$E$136:$E$152),FALSE))</f>
        <v>2.4</v>
      </c>
      <c r="AP108" s="158"/>
      <c r="AQ108" s="158"/>
      <c r="AR108" s="158"/>
      <c r="AS108" s="158"/>
      <c r="AT108" s="158"/>
      <c r="AU108" s="158"/>
      <c r="AV108" s="414"/>
      <c r="AW108" s="351"/>
      <c r="AX108" s="297"/>
      <c r="AY108" s="445">
        <f>IF(AY109&lt;&gt;"",AY109,HLOOKUP(IF(AY$80="",referentie_verwarming,AY$80),toestellen_RV,ROWS(bibliotheek!$E$79:$E$95),FALSE))</f>
        <v>4.55</v>
      </c>
      <c r="AZ108" s="445">
        <f>IF(AZ109&lt;&gt;"",AZ109,HLOOKUP(IF(AZ$80="",referentie_koeling,AZ$80),toestellen_KOEL,ROWS(bibliotheek!$E$170:$E$180),FALSE))</f>
        <v>0</v>
      </c>
      <c r="BA108" s="445">
        <f>IF(BA109&lt;&gt;"",BA109,HLOOKUP(IF(BA$80="",referentie_warmtapwater,BA$80),toestellen_TAP,ROWS(bibliotheek!$E$136:$E$152),FALSE))</f>
        <v>2.4</v>
      </c>
      <c r="BB108" s="158"/>
      <c r="BC108" s="158"/>
      <c r="BD108" s="158"/>
      <c r="BE108" s="158"/>
      <c r="BF108" s="158"/>
      <c r="BG108" s="158"/>
      <c r="BH108" s="214"/>
    </row>
    <row r="109" spans="1:60" x14ac:dyDescent="0.2">
      <c r="A109" s="648"/>
      <c r="B109" s="492" t="s">
        <v>205</v>
      </c>
      <c r="C109" s="656" t="s">
        <v>127</v>
      </c>
      <c r="D109" s="747"/>
      <c r="E109" s="412" t="s">
        <v>215</v>
      </c>
      <c r="F109" s="355"/>
      <c r="G109" s="355"/>
      <c r="H109" s="355"/>
      <c r="I109" s="88"/>
      <c r="J109" s="362"/>
      <c r="K109" s="296"/>
      <c r="L109" s="296"/>
      <c r="M109" s="239"/>
      <c r="N109" s="297"/>
      <c r="O109" s="420"/>
      <c r="P109" s="420"/>
      <c r="Q109" s="420"/>
      <c r="R109" s="483"/>
      <c r="S109" s="483"/>
      <c r="T109" s="483"/>
      <c r="U109" s="483"/>
      <c r="V109" s="483"/>
      <c r="W109" s="483"/>
      <c r="X109" s="448"/>
      <c r="Y109" s="239"/>
      <c r="Z109" s="297"/>
      <c r="AA109" s="420"/>
      <c r="AB109" s="420"/>
      <c r="AC109" s="420"/>
      <c r="AD109" s="483"/>
      <c r="AE109" s="483"/>
      <c r="AF109" s="483"/>
      <c r="AG109" s="483"/>
      <c r="AH109" s="483"/>
      <c r="AI109" s="483"/>
      <c r="AJ109" s="448"/>
      <c r="AK109" s="239"/>
      <c r="AL109" s="297"/>
      <c r="AM109" s="420"/>
      <c r="AN109" s="420"/>
      <c r="AO109" s="420"/>
      <c r="AP109" s="483"/>
      <c r="AQ109" s="483"/>
      <c r="AR109" s="483"/>
      <c r="AS109" s="483"/>
      <c r="AT109" s="483"/>
      <c r="AU109" s="483"/>
      <c r="AV109" s="448"/>
      <c r="AW109" s="239"/>
      <c r="AX109" s="297"/>
      <c r="AY109" s="420"/>
      <c r="AZ109" s="420"/>
      <c r="BA109" s="420"/>
      <c r="BB109" s="483"/>
      <c r="BC109" s="483"/>
      <c r="BD109" s="483"/>
      <c r="BE109" s="483"/>
      <c r="BF109" s="483"/>
      <c r="BG109" s="483"/>
      <c r="BH109" s="265"/>
    </row>
    <row r="110" spans="1:60" hidden="1" x14ac:dyDescent="0.2">
      <c r="A110" s="648"/>
      <c r="B110" s="492" t="s">
        <v>205</v>
      </c>
      <c r="C110" s="656" t="s">
        <v>199</v>
      </c>
      <c r="D110" s="750" t="s">
        <v>50</v>
      </c>
      <c r="E110" s="221" t="s">
        <v>216</v>
      </c>
      <c r="F110" s="220"/>
      <c r="G110" s="220"/>
      <c r="H110" s="221" t="s">
        <v>70</v>
      </c>
      <c r="I110" s="88"/>
      <c r="J110" s="230"/>
      <c r="K110" s="121"/>
      <c r="L110" s="121"/>
      <c r="M110" s="230"/>
      <c r="N110" s="90"/>
      <c r="O110" s="273">
        <f>INDEX(installaties_RV_verlies_elek_prod_aftapwarmte,MATCH(IF(O101="",referentie_verwarming,O101),toestellen_RV_kopregel,0))</f>
        <v>0</v>
      </c>
      <c r="P110" s="720"/>
      <c r="Q110" s="273">
        <f>INDEX(installaties_TAP_verlies_elek_prod_aftapwarmte,MATCH(IF(Q101="",referentie_verwarming,Q101),toestellen_TAP_kopregel,0))</f>
        <v>0</v>
      </c>
      <c r="R110" s="720"/>
      <c r="S110" s="720"/>
      <c r="T110" s="720"/>
      <c r="U110" s="720"/>
      <c r="V110" s="720"/>
      <c r="W110" s="720"/>
      <c r="X110" s="721"/>
      <c r="Y110" s="423"/>
      <c r="Z110" s="722"/>
      <c r="AA110" s="273">
        <f>INDEX(installaties_RV_verlies_elek_prod_aftapwarmte,MATCH(IF(AA101="",referentie_verwarming,AA101),toestellen_RV_kopregel,0))</f>
        <v>0</v>
      </c>
      <c r="AB110" s="720"/>
      <c r="AC110" s="273">
        <f>INDEX(installaties_TAP_verlies_elek_prod_aftapwarmte,MATCH(IF(AC101="",referentie_verwarming,AC101),toestellen_TAP_kopregel,0))</f>
        <v>0</v>
      </c>
      <c r="AD110" s="720"/>
      <c r="AE110" s="720"/>
      <c r="AF110" s="720"/>
      <c r="AG110" s="720"/>
      <c r="AH110" s="720"/>
      <c r="AI110" s="720"/>
      <c r="AJ110" s="721"/>
      <c r="AK110" s="423"/>
      <c r="AL110" s="722"/>
      <c r="AM110" s="273">
        <f>INDEX(installaties_RV_verlies_elek_prod_aftapwarmte,MATCH(IF(AM101="",referentie_verwarming,AM101),toestellen_RV_kopregel,0))</f>
        <v>0</v>
      </c>
      <c r="AN110" s="720"/>
      <c r="AO110" s="273">
        <f>INDEX(installaties_TAP_verlies_elek_prod_aftapwarmte,MATCH(IF(AO101="",referentie_verwarming,AO101),toestellen_TAP_kopregel,0))</f>
        <v>0</v>
      </c>
      <c r="AP110" s="720"/>
      <c r="AQ110" s="720"/>
      <c r="AR110" s="720"/>
      <c r="AS110" s="720"/>
      <c r="AT110" s="720"/>
      <c r="AU110" s="720"/>
      <c r="AV110" s="721"/>
      <c r="AW110" s="423"/>
      <c r="AX110" s="722"/>
      <c r="AY110" s="273">
        <f>INDEX(installaties_RV_verlies_elek_prod_aftapwarmte,MATCH(IF(AY101="",referentie_verwarming,AY101),toestellen_RV_kopregel,0))</f>
        <v>0</v>
      </c>
      <c r="AZ110" s="720"/>
      <c r="BA110" s="273">
        <f>INDEX(installaties_TAP_verlies_elek_prod_aftapwarmte,MATCH(IF(BA101="",referentie_verwarming,BA101),toestellen_TAP_kopregel,0))</f>
        <v>0</v>
      </c>
      <c r="BB110" s="148"/>
      <c r="BC110" s="148"/>
      <c r="BD110" s="148"/>
      <c r="BE110" s="148"/>
      <c r="BF110" s="148"/>
      <c r="BG110" s="148"/>
      <c r="BH110" s="255"/>
    </row>
    <row r="111" spans="1:60" hidden="1" x14ac:dyDescent="0.2">
      <c r="A111" s="648"/>
      <c r="B111" s="492" t="s">
        <v>205</v>
      </c>
      <c r="C111" s="656" t="s">
        <v>199</v>
      </c>
      <c r="D111" s="747"/>
      <c r="E111" s="221" t="s">
        <v>217</v>
      </c>
      <c r="F111" s="220"/>
      <c r="G111" s="220"/>
      <c r="H111" s="221" t="s">
        <v>70</v>
      </c>
      <c r="I111" s="88"/>
      <c r="J111" s="230"/>
      <c r="K111" s="121"/>
      <c r="L111" s="121"/>
      <c r="M111" s="230"/>
      <c r="N111" s="90"/>
      <c r="O111" s="273">
        <f>HLOOKUP(IF(O$80="",referentie_verwarming,O$80),toestellen_RV,ROWS(bibliotheek!$E$79:$E$96),FALSE)</f>
        <v>0</v>
      </c>
      <c r="P111" s="720"/>
      <c r="Q111" s="273">
        <f>HLOOKUP(IF(Q$80="",referentie_warmtapwater,Q$80),toestellen_TAP,ROWS(bibliotheek!$E$136:$E$153),FALSE)</f>
        <v>0</v>
      </c>
      <c r="R111" s="720"/>
      <c r="S111" s="720"/>
      <c r="T111" s="720"/>
      <c r="U111" s="720"/>
      <c r="V111" s="720"/>
      <c r="W111" s="720"/>
      <c r="X111" s="721"/>
      <c r="Y111" s="423"/>
      <c r="Z111" s="722"/>
      <c r="AA111" s="273">
        <f>HLOOKUP(IF(AA$80="",referentie_verwarming,AA$80),toestellen_RV,ROWS(bibliotheek!$E$79:$E$96),FALSE)</f>
        <v>0</v>
      </c>
      <c r="AB111" s="720"/>
      <c r="AC111" s="273">
        <f>HLOOKUP(IF(AC$80="",referentie_warmtapwater,AC$80),toestellen_TAP,ROWS(bibliotheek!$E$136:$E$153),FALSE)</f>
        <v>0</v>
      </c>
      <c r="AD111" s="720"/>
      <c r="AE111" s="720"/>
      <c r="AF111" s="720"/>
      <c r="AG111" s="720"/>
      <c r="AH111" s="720"/>
      <c r="AI111" s="720"/>
      <c r="AJ111" s="721"/>
      <c r="AK111" s="423"/>
      <c r="AL111" s="722"/>
      <c r="AM111" s="273">
        <f>HLOOKUP(IF(AM$80="",referentie_verwarming,AM$80),toestellen_RV,ROWS(bibliotheek!$E$79:$E$96),FALSE)</f>
        <v>0</v>
      </c>
      <c r="AN111" s="720"/>
      <c r="AO111" s="273">
        <f>HLOOKUP(IF(AO$80="",referentie_warmtapwater,AO$80),toestellen_TAP,ROWS(bibliotheek!$E$136:$E$153),FALSE)</f>
        <v>0</v>
      </c>
      <c r="AP111" s="720"/>
      <c r="AQ111" s="720"/>
      <c r="AR111" s="720"/>
      <c r="AS111" s="720"/>
      <c r="AT111" s="720"/>
      <c r="AU111" s="720"/>
      <c r="AV111" s="721"/>
      <c r="AW111" s="423"/>
      <c r="AX111" s="722"/>
      <c r="AY111" s="273">
        <f>HLOOKUP(IF(AY$80="",referentie_verwarming,AY$80),toestellen_RV,ROWS(bibliotheek!$E$79:$E$96),FALSE)</f>
        <v>0</v>
      </c>
      <c r="AZ111" s="720"/>
      <c r="BA111" s="273">
        <f>HLOOKUP(IF(BA$80="",referentie_warmtapwater,BA$80),toestellen_TAP,ROWS(bibliotheek!$E$136:$E$153),FALSE)</f>
        <v>0</v>
      </c>
      <c r="BB111" s="148"/>
      <c r="BC111" s="148"/>
      <c r="BD111" s="148"/>
      <c r="BE111" s="148"/>
      <c r="BF111" s="148"/>
      <c r="BG111" s="148"/>
      <c r="BH111" s="255"/>
    </row>
    <row r="112" spans="1:60" hidden="1" x14ac:dyDescent="0.2">
      <c r="A112" s="648"/>
      <c r="B112" s="492" t="s">
        <v>205</v>
      </c>
      <c r="C112" s="656" t="s">
        <v>199</v>
      </c>
      <c r="D112" s="747"/>
      <c r="E112" s="221" t="s">
        <v>218</v>
      </c>
      <c r="F112" s="220"/>
      <c r="G112" s="220"/>
      <c r="H112" s="221" t="s">
        <v>177</v>
      </c>
      <c r="I112" s="88"/>
      <c r="J112" s="243">
        <f>M112+Y112+AK112+AW112</f>
        <v>0</v>
      </c>
      <c r="K112" s="293"/>
      <c r="L112" s="293"/>
      <c r="M112" s="243">
        <f>SUM(O112:X112)</f>
        <v>0</v>
      </c>
      <c r="N112" s="294"/>
      <c r="O112" s="207">
        <f>IF(HLOOKUP(IF(O$80="",referentie_verwarming,O$80),toestellen_RV,ROWS(bibliotheek!$E$79:$E$84),FALSE)=1,O$94*O$105*((O$108-1)/O$108),0)</f>
        <v>0</v>
      </c>
      <c r="P112" s="207">
        <f>IF(HLOOKUP(IF(P$80="",referentie_koeling,P$80),toestellen_KOEL,ROWS(bibliotheek!$E$170:$E$174),FALSE)=1,P$94*P$105*((P$108-1)/P$108),0)</f>
        <v>0</v>
      </c>
      <c r="Q112" s="207">
        <f>IF(HLOOKUP(IF(Q$80="",referentie_warmtapwater,Q$80),toestellen_TAP,ROWS(bibliotheek!$E$136:$E$141),FALSE)=1,Q$94*Q$105*((Q$108-1)/Q$108),0)</f>
        <v>0</v>
      </c>
      <c r="R112" s="147"/>
      <c r="S112" s="147"/>
      <c r="T112" s="147"/>
      <c r="U112" s="147"/>
      <c r="V112" s="147"/>
      <c r="W112" s="147"/>
      <c r="X112" s="125"/>
      <c r="Y112" s="243">
        <f>SUM(AA112:AJ112)</f>
        <v>0</v>
      </c>
      <c r="Z112" s="294"/>
      <c r="AA112" s="207">
        <f>IF(HLOOKUP(IF(AA$80="",referentie_verwarming,AA$80),toestellen_RV,ROWS(bibliotheek!$E$79:$E$84),FALSE)=1,AA$94*AA$105*((AA$108-1)/AA$108),0)</f>
        <v>0</v>
      </c>
      <c r="AB112" s="207">
        <f>IF(HLOOKUP(IF(AB$80="",referentie_koeling,AB$80),toestellen_KOEL,ROWS(bibliotheek!$E$170:$E$174),FALSE)=1,AB$94*AB$105*((AB$108-1)/AB$108),0)</f>
        <v>0</v>
      </c>
      <c r="AC112" s="207">
        <f>IF(HLOOKUP(IF(AC$80="",referentie_warmtapwater,AC$80),toestellen_TAP,ROWS(bibliotheek!$E$136:$E$141),FALSE)=1,AC$94*AC$105*((AC$108-1)/AC$108),0)</f>
        <v>0</v>
      </c>
      <c r="AD112" s="147"/>
      <c r="AE112" s="147"/>
      <c r="AF112" s="147"/>
      <c r="AG112" s="147"/>
      <c r="AH112" s="147"/>
      <c r="AI112" s="147"/>
      <c r="AJ112" s="125"/>
      <c r="AK112" s="243">
        <f>SUM(AM112:AV112)</f>
        <v>0</v>
      </c>
      <c r="AL112" s="294"/>
      <c r="AM112" s="207">
        <f>IF(HLOOKUP(IF(AM$80="",referentie_verwarming,AM$80),toestellen_RV,ROWS(bibliotheek!$E$79:$E$84),FALSE)=1,AM$94*AM$105*((AM$108-1)/AM$108),0)</f>
        <v>0</v>
      </c>
      <c r="AN112" s="207">
        <f>IF(HLOOKUP(IF(AN$80="",referentie_koeling,AN$80),toestellen_KOEL,ROWS(bibliotheek!$E$170:$E$174),FALSE)=1,AN$94*AN$105*((AN$108-1)/AN$108),0)</f>
        <v>0</v>
      </c>
      <c r="AO112" s="207">
        <f>IF(HLOOKUP(IF(AO$80="",referentie_warmtapwater,AO$80),toestellen_TAP,ROWS(bibliotheek!$E$136:$E$141),FALSE)=1,AO$94*AO$105*((AO$108-1)/AO$108),0)</f>
        <v>0</v>
      </c>
      <c r="AP112" s="147"/>
      <c r="AQ112" s="147"/>
      <c r="AR112" s="147"/>
      <c r="AS112" s="147"/>
      <c r="AT112" s="147"/>
      <c r="AU112" s="147"/>
      <c r="AV112" s="125"/>
      <c r="AW112" s="243">
        <f>SUM(AY112:BH112)</f>
        <v>0</v>
      </c>
      <c r="AX112" s="294"/>
      <c r="AY112" s="207">
        <f>IF(HLOOKUP(IF(AY$80="",referentie_verwarming,AY$80),toestellen_RV,ROWS(bibliotheek!$E$79:$E$84),FALSE)=1,AY$94*AY$105*((AY$108-1)/AY$108),0)</f>
        <v>0</v>
      </c>
      <c r="AZ112" s="207">
        <f>IF(HLOOKUP(IF(AZ$80="",referentie_koeling,AZ$80),toestellen_KOEL,ROWS(bibliotheek!$E$170:$E$174),FALSE)=1,AZ$94*AZ$105*((AZ$108-1)/AZ$108),0)</f>
        <v>0</v>
      </c>
      <c r="BA112" s="207">
        <f>IF(HLOOKUP(IF(BA$80="",referentie_warmtapwater,BA$80),toestellen_TAP,ROWS(bibliotheek!$E$136:$E$141),FALSE)=1,BA$94*BA$105*((BA$108-1)/BA$108),0)</f>
        <v>0</v>
      </c>
      <c r="BB112" s="147"/>
      <c r="BC112" s="147"/>
      <c r="BD112" s="147"/>
      <c r="BE112" s="147"/>
      <c r="BF112" s="147"/>
      <c r="BG112" s="147"/>
      <c r="BH112" s="255"/>
    </row>
    <row r="113" spans="1:60" hidden="1" x14ac:dyDescent="0.2">
      <c r="A113" s="648"/>
      <c r="B113" s="492" t="s">
        <v>205</v>
      </c>
      <c r="C113" s="656" t="s">
        <v>199</v>
      </c>
      <c r="D113" s="747"/>
      <c r="E113" s="221" t="s">
        <v>219</v>
      </c>
      <c r="F113" s="220"/>
      <c r="G113" s="220"/>
      <c r="H113" s="221" t="s">
        <v>220</v>
      </c>
      <c r="I113" s="88"/>
      <c r="J113" s="243">
        <f>M113+Y113+AK113+AW113</f>
        <v>0</v>
      </c>
      <c r="K113" s="293"/>
      <c r="L113" s="293"/>
      <c r="M113" s="243">
        <f>SUM(O113:X113)</f>
        <v>0</v>
      </c>
      <c r="N113" s="294"/>
      <c r="O113" s="207">
        <f>IF(O$108=0,0,O$107/O$108)</f>
        <v>0</v>
      </c>
      <c r="P113" s="207">
        <f>IF(P$108=0,0,P$107/P$108)</f>
        <v>0</v>
      </c>
      <c r="Q113" s="207">
        <f>IF(Q$108=0,0,Q$107/Q$108)</f>
        <v>0</v>
      </c>
      <c r="R113" s="147"/>
      <c r="S113" s="147"/>
      <c r="T113" s="147"/>
      <c r="U113" s="147"/>
      <c r="V113" s="147"/>
      <c r="W113" s="147"/>
      <c r="X113" s="125"/>
      <c r="Y113" s="243">
        <f>SUM(AA113:AJ113)</f>
        <v>0</v>
      </c>
      <c r="Z113" s="294"/>
      <c r="AA113" s="207">
        <f>IF(AA$108=0,0,AA$107/AA$108)</f>
        <v>0</v>
      </c>
      <c r="AB113" s="207">
        <f>IF(AB$108=0,0,AB$107/AB$108)</f>
        <v>0</v>
      </c>
      <c r="AC113" s="207">
        <f>IF(AC$108=0,0,AC$107/AC$108)</f>
        <v>0</v>
      </c>
      <c r="AD113" s="147"/>
      <c r="AE113" s="147"/>
      <c r="AF113" s="147"/>
      <c r="AG113" s="147"/>
      <c r="AH113" s="147"/>
      <c r="AI113" s="147"/>
      <c r="AJ113" s="125"/>
      <c r="AK113" s="243">
        <f>SUM(AM113:AV113)</f>
        <v>0</v>
      </c>
      <c r="AL113" s="294"/>
      <c r="AM113" s="207">
        <f>IF(AM$108=0,0,AM$107/AM$108)</f>
        <v>0</v>
      </c>
      <c r="AN113" s="207">
        <f>IF(AN$108=0,0,AN$107/AN$108)</f>
        <v>0</v>
      </c>
      <c r="AO113" s="207">
        <f>IF(AO$108=0,0,AO$107/AO$108)</f>
        <v>0</v>
      </c>
      <c r="AP113" s="147"/>
      <c r="AQ113" s="147"/>
      <c r="AR113" s="147"/>
      <c r="AS113" s="147"/>
      <c r="AT113" s="147"/>
      <c r="AU113" s="147"/>
      <c r="AV113" s="125"/>
      <c r="AW113" s="243">
        <f>SUM(AY113:BH113)</f>
        <v>0</v>
      </c>
      <c r="AX113" s="294"/>
      <c r="AY113" s="207">
        <f>IF(AY$108=0,0,AY$107/AY$108)</f>
        <v>0</v>
      </c>
      <c r="AZ113" s="207">
        <f>IF(AZ$108=0,0,AZ$107/AZ$108)</f>
        <v>0</v>
      </c>
      <c r="BA113" s="207">
        <f>IF(BA$108=0,0,BA$107/BA$108)</f>
        <v>0</v>
      </c>
      <c r="BB113" s="147"/>
      <c r="BC113" s="147"/>
      <c r="BD113" s="147"/>
      <c r="BE113" s="147"/>
      <c r="BF113" s="147"/>
      <c r="BG113" s="147"/>
      <c r="BH113" s="255"/>
    </row>
    <row r="114" spans="1:60" ht="18.75" x14ac:dyDescent="0.2">
      <c r="A114" s="648"/>
      <c r="B114" s="492" t="s">
        <v>205</v>
      </c>
      <c r="C114" s="739" t="s">
        <v>104</v>
      </c>
      <c r="D114" s="750"/>
      <c r="E114" s="144" t="s">
        <v>114</v>
      </c>
      <c r="F114" s="160"/>
      <c r="G114" s="160"/>
      <c r="H114" s="161"/>
      <c r="I114" s="162"/>
      <c r="J114" s="163"/>
      <c r="K114" s="164"/>
      <c r="L114" s="164"/>
      <c r="M114" s="163"/>
      <c r="N114" s="163"/>
      <c r="O114" s="836"/>
      <c r="P114" s="163"/>
      <c r="Q114" s="163"/>
      <c r="R114" s="163"/>
      <c r="S114" s="163"/>
      <c r="T114" s="163"/>
      <c r="U114" s="163"/>
      <c r="V114" s="163"/>
      <c r="W114" s="163"/>
      <c r="X114" s="165"/>
      <c r="Y114" s="163"/>
      <c r="Z114" s="163"/>
      <c r="AA114" s="836"/>
      <c r="AB114" s="163"/>
      <c r="AC114" s="163"/>
      <c r="AD114" s="163"/>
      <c r="AE114" s="163"/>
      <c r="AF114" s="163"/>
      <c r="AG114" s="163"/>
      <c r="AH114" s="163"/>
      <c r="AI114" s="163"/>
      <c r="AJ114" s="165"/>
      <c r="AK114" s="163"/>
      <c r="AL114" s="163"/>
      <c r="AM114" s="836"/>
      <c r="AN114" s="163"/>
      <c r="AO114" s="163"/>
      <c r="AP114" s="163"/>
      <c r="AQ114" s="163"/>
      <c r="AR114" s="163"/>
      <c r="AS114" s="163"/>
      <c r="AT114" s="163"/>
      <c r="AU114" s="163"/>
      <c r="AV114" s="165"/>
      <c r="AW114" s="163"/>
      <c r="AX114" s="163"/>
      <c r="AY114" s="163"/>
      <c r="AZ114" s="163"/>
      <c r="BA114" s="163"/>
      <c r="BB114" s="163"/>
      <c r="BC114" s="163"/>
      <c r="BD114" s="163"/>
      <c r="BE114" s="163"/>
      <c r="BF114" s="163"/>
      <c r="BG114" s="163"/>
      <c r="BH114" s="263"/>
    </row>
    <row r="115" spans="1:60" hidden="1" x14ac:dyDescent="0.2">
      <c r="A115" s="648"/>
      <c r="B115" s="492" t="s">
        <v>205</v>
      </c>
      <c r="C115" s="656" t="s">
        <v>221</v>
      </c>
      <c r="D115" s="750" t="s">
        <v>50</v>
      </c>
      <c r="E115" s="356" t="s">
        <v>222</v>
      </c>
      <c r="F115" s="316"/>
      <c r="G115" s="316"/>
      <c r="H115" s="354" t="s">
        <v>223</v>
      </c>
      <c r="I115" s="88"/>
      <c r="J115" s="229"/>
      <c r="K115" s="121"/>
      <c r="L115" s="121"/>
      <c r="M115" s="229"/>
      <c r="N115" s="90"/>
      <c r="O115" s="445">
        <f>IF(O116&lt;&gt;"",O116,
IF(O$102=elektriciteit,$G$5,
INDEX(energiedragers_primaire_energiefactor,MATCH(O102,energiedragers_kopregel,0))
*IF(O110=0,1,
$G$5*INDEX(installaties_RV_verlies_elek_prod_aftapwarmte,MATCH(O101,toestellen_RV_kopregel,0)))))</f>
        <v>1.45</v>
      </c>
      <c r="P115" s="445">
        <f>IF(P116&lt;&gt;"",P116,IF(HLOOKUP(P102,ENERGIEDRAGERS,ROWS(bibliotheek!$E$221:$E$222),FALSE)=0,$G$5,HLOOKUP(P102,ENERGIEDRAGERS,ROWS(bibliotheek!$E$221:$E$223),FALSE)))</f>
        <v>1.45</v>
      </c>
      <c r="Q115" s="445">
        <f>IF(Q116&lt;&gt;"",Q116,
IF(Q$102=elektriciteit,$G$5,
INDEX(energiedragers_primaire_energiefactor,MATCH(Q102,energiedragers_kopregel,0))
*IF(Q110=0,1,
$G$5*INDEX(installaties_TAP_verlies_elek_prod_aftapwarmte,MATCH(Q101,toestellen_TAP_kopregel,0)))))</f>
        <v>1.45</v>
      </c>
      <c r="R115" s="158"/>
      <c r="S115" s="158"/>
      <c r="T115" s="158"/>
      <c r="U115" s="158"/>
      <c r="V115" s="158"/>
      <c r="W115" s="158"/>
      <c r="X115" s="414"/>
      <c r="Y115" s="352"/>
      <c r="Z115" s="722"/>
      <c r="AA115" s="445">
        <f>IF(AA116&lt;&gt;"",AA116,
IF(AA$102=elektriciteit,$G$5,
INDEX(energiedragers_primaire_energiefactor,MATCH(AA102,energiedragers_kopregel,0))
*IF(AA110=0,1,
$G$5*INDEX(installaties_RV_verlies_elek_prod_aftapwarmte,MATCH(AA101,toestellen_RV_kopregel,0)))))</f>
        <v>1.45</v>
      </c>
      <c r="AB115" s="445">
        <f>IF(AB116&lt;&gt;"",AB116,IF(HLOOKUP(AB102,ENERGIEDRAGERS,ROWS(bibliotheek!$E$221:$E$222),FALSE)=0,$G$5,HLOOKUP(AB102,ENERGIEDRAGERS,ROWS(bibliotheek!$E$221:$E$223),FALSE)))</f>
        <v>1.45</v>
      </c>
      <c r="AC115" s="445">
        <f>IF(AC116&lt;&gt;"",AC116,
IF(AC$102=elektriciteit,$G$5,
INDEX(energiedragers_primaire_energiefactor,MATCH(AC102,energiedragers_kopregel,0))
*IF(AC110=0,1,
$G$5*INDEX(installaties_TAP_verlies_elek_prod_aftapwarmte,MATCH(AC101,toestellen_TAP_kopregel,0)))))</f>
        <v>1.45</v>
      </c>
      <c r="AD115" s="158"/>
      <c r="AE115" s="158"/>
      <c r="AF115" s="158"/>
      <c r="AG115" s="158"/>
      <c r="AH115" s="158"/>
      <c r="AI115" s="158"/>
      <c r="AJ115" s="414"/>
      <c r="AK115" s="352"/>
      <c r="AL115" s="722"/>
      <c r="AM115" s="445">
        <f>IF(AM116&lt;&gt;"",AM116,
IF(AM$102=elektriciteit,$G$5,
INDEX(energiedragers_primaire_energiefactor,MATCH(AM102,energiedragers_kopregel,0))
*IF(AM110=0,1,
$G$5*INDEX(installaties_RV_verlies_elek_prod_aftapwarmte,MATCH(AM101,toestellen_RV_kopregel,0)))))</f>
        <v>1.45</v>
      </c>
      <c r="AN115" s="445">
        <f>IF(AN116&lt;&gt;"",AN116,IF(HLOOKUP(AN102,ENERGIEDRAGERS,ROWS(bibliotheek!$E$221:$E$222),FALSE)=0,$G$5,HLOOKUP(AN102,ENERGIEDRAGERS,ROWS(bibliotheek!$E$221:$E$223),FALSE)))</f>
        <v>1.45</v>
      </c>
      <c r="AO115" s="445">
        <f>IF(AO116&lt;&gt;"",AO116,
IF(AO$102=elektriciteit,$G$5,
INDEX(energiedragers_primaire_energiefactor,MATCH(AO102,energiedragers_kopregel,0))
*IF(AO110=0,1,
$G$5*INDEX(installaties_TAP_verlies_elek_prod_aftapwarmte,MATCH(AO101,toestellen_TAP_kopregel,0)))))</f>
        <v>1.45</v>
      </c>
      <c r="AP115" s="158"/>
      <c r="AQ115" s="158"/>
      <c r="AR115" s="158"/>
      <c r="AS115" s="158"/>
      <c r="AT115" s="158"/>
      <c r="AU115" s="158"/>
      <c r="AV115" s="414"/>
      <c r="AW115" s="352"/>
      <c r="AX115" s="722"/>
      <c r="AY115" s="445">
        <f>IF(AY116&lt;&gt;"",AY116,
IF(AY$102=elektriciteit,$G$5,
INDEX(energiedragers_primaire_energiefactor,MATCH(AY102,energiedragers_kopregel,0))
*IF(AY110=0,1,
$G$5*INDEX(installaties_RV_verlies_elek_prod_aftapwarmte,MATCH(AY101,toestellen_RV_kopregel,0)))))</f>
        <v>1.45</v>
      </c>
      <c r="AZ115" s="445">
        <f>IF(AZ116&lt;&gt;"",AZ116,IF(HLOOKUP(AZ102,ENERGIEDRAGERS,ROWS(bibliotheek!$E$221:$E$222),FALSE)=0,$G$5,HLOOKUP(AZ102,ENERGIEDRAGERS,ROWS(bibliotheek!$E$221:$E$223),FALSE)))</f>
        <v>1.45</v>
      </c>
      <c r="BA115" s="445">
        <f>IF(BA116&lt;&gt;"",BA116,
IF(BA$102=elektriciteit,$G$5,
INDEX(energiedragers_primaire_energiefactor,MATCH(BA102,energiedragers_kopregel,0))
*IF(BA110=0,1,
$G$5*INDEX(installaties_TAP_verlies_elek_prod_aftapwarmte,MATCH(BA101,toestellen_TAP_kopregel,0)))))</f>
        <v>1.45</v>
      </c>
      <c r="BB115" s="156"/>
      <c r="BC115" s="156"/>
      <c r="BD115" s="156"/>
      <c r="BE115" s="156"/>
      <c r="BF115" s="156"/>
      <c r="BG115" s="156"/>
      <c r="BH115" s="214"/>
    </row>
    <row r="116" spans="1:60" hidden="1" x14ac:dyDescent="0.2">
      <c r="A116" s="648"/>
      <c r="B116" s="492" t="s">
        <v>205</v>
      </c>
      <c r="C116" s="656" t="s">
        <v>221</v>
      </c>
      <c r="D116" s="750"/>
      <c r="E116" s="412" t="s">
        <v>224</v>
      </c>
      <c r="F116" s="317"/>
      <c r="G116" s="317"/>
      <c r="H116" s="355"/>
      <c r="I116" s="88"/>
      <c r="J116" s="362"/>
      <c r="K116" s="121"/>
      <c r="L116" s="121"/>
      <c r="M116" s="239"/>
      <c r="N116" s="90"/>
      <c r="O116" s="337"/>
      <c r="P116" s="712"/>
      <c r="Q116" s="337"/>
      <c r="R116" s="157"/>
      <c r="S116" s="157"/>
      <c r="T116" s="157"/>
      <c r="U116" s="157"/>
      <c r="V116" s="157"/>
      <c r="W116" s="157"/>
      <c r="X116" s="87"/>
      <c r="Y116" s="239"/>
      <c r="Z116" s="90"/>
      <c r="AA116" s="337"/>
      <c r="AB116" s="712"/>
      <c r="AC116" s="337"/>
      <c r="AD116" s="157"/>
      <c r="AE116" s="157"/>
      <c r="AF116" s="157"/>
      <c r="AG116" s="157"/>
      <c r="AH116" s="157"/>
      <c r="AI116" s="157"/>
      <c r="AJ116" s="87"/>
      <c r="AK116" s="239"/>
      <c r="AL116" s="90"/>
      <c r="AM116" s="337"/>
      <c r="AN116" s="712"/>
      <c r="AO116" s="337"/>
      <c r="AP116" s="157"/>
      <c r="AQ116" s="157"/>
      <c r="AR116" s="157"/>
      <c r="AS116" s="157"/>
      <c r="AT116" s="157"/>
      <c r="AU116" s="157"/>
      <c r="AV116" s="87"/>
      <c r="AW116" s="239"/>
      <c r="AX116" s="90"/>
      <c r="AY116" s="337"/>
      <c r="AZ116" s="712"/>
      <c r="BA116" s="337"/>
      <c r="BB116" s="157"/>
      <c r="BC116" s="157"/>
      <c r="BD116" s="157"/>
      <c r="BE116" s="157"/>
      <c r="BF116" s="157"/>
      <c r="BG116" s="157"/>
      <c r="BH116" s="214"/>
    </row>
    <row r="117" spans="1:60" x14ac:dyDescent="0.2">
      <c r="A117" s="648"/>
      <c r="B117" s="492" t="s">
        <v>205</v>
      </c>
      <c r="C117" s="656" t="s">
        <v>113</v>
      </c>
      <c r="D117" s="750"/>
      <c r="E117" s="221" t="s">
        <v>114</v>
      </c>
      <c r="F117" s="221"/>
      <c r="G117" s="221"/>
      <c r="H117" s="221" t="s">
        <v>115</v>
      </c>
      <c r="I117" s="88"/>
      <c r="J117" s="243">
        <f>M117+Y117+AK117+AW117</f>
        <v>0</v>
      </c>
      <c r="K117" s="295"/>
      <c r="L117" s="295"/>
      <c r="M117" s="243">
        <f>SUM(O117:X117)</f>
        <v>0</v>
      </c>
      <c r="N117" s="294"/>
      <c r="O117" s="207">
        <f>O$113*O$115</f>
        <v>0</v>
      </c>
      <c r="P117" s="207">
        <f>P$113*P$115</f>
        <v>0</v>
      </c>
      <c r="Q117" s="207">
        <f>Q$113*Q$115</f>
        <v>0</v>
      </c>
      <c r="R117" s="147"/>
      <c r="S117" s="147"/>
      <c r="T117" s="147"/>
      <c r="U117" s="147"/>
      <c r="V117" s="147"/>
      <c r="W117" s="147"/>
      <c r="X117" s="125"/>
      <c r="Y117" s="243">
        <f>SUM(AA117:AJ117)</f>
        <v>0</v>
      </c>
      <c r="Z117" s="294"/>
      <c r="AA117" s="207">
        <f>AA$113*AA$115</f>
        <v>0</v>
      </c>
      <c r="AB117" s="207">
        <f>AB$113*AB$115</f>
        <v>0</v>
      </c>
      <c r="AC117" s="207">
        <f>AC$113*AC$115</f>
        <v>0</v>
      </c>
      <c r="AD117" s="147"/>
      <c r="AE117" s="147"/>
      <c r="AF117" s="147"/>
      <c r="AG117" s="147"/>
      <c r="AH117" s="147"/>
      <c r="AI117" s="147"/>
      <c r="AJ117" s="125"/>
      <c r="AK117" s="243">
        <f>SUM(AM117:AV117)</f>
        <v>0</v>
      </c>
      <c r="AL117" s="294"/>
      <c r="AM117" s="207">
        <f>AM$113*AM$115</f>
        <v>0</v>
      </c>
      <c r="AN117" s="207">
        <f>AN$113*AN$115</f>
        <v>0</v>
      </c>
      <c r="AO117" s="207">
        <f>AO$113*AO$115</f>
        <v>0</v>
      </c>
      <c r="AP117" s="147"/>
      <c r="AQ117" s="147"/>
      <c r="AR117" s="147"/>
      <c r="AS117" s="147"/>
      <c r="AT117" s="147"/>
      <c r="AU117" s="147"/>
      <c r="AV117" s="125"/>
      <c r="AW117" s="243">
        <f>SUM(AY117:BH117)</f>
        <v>0</v>
      </c>
      <c r="AX117" s="294"/>
      <c r="AY117" s="207">
        <f>AY$113*AY$115</f>
        <v>0</v>
      </c>
      <c r="AZ117" s="207">
        <f>AZ$113*AZ$115</f>
        <v>0</v>
      </c>
      <c r="BA117" s="207">
        <f>BA$113*BA$115</f>
        <v>0</v>
      </c>
      <c r="BB117" s="147"/>
      <c r="BC117" s="147"/>
      <c r="BD117" s="147"/>
      <c r="BE117" s="147"/>
      <c r="BF117" s="147"/>
      <c r="BG117" s="147"/>
      <c r="BH117" s="255"/>
    </row>
    <row r="118" spans="1:60" ht="18.75" x14ac:dyDescent="0.2">
      <c r="A118" s="648"/>
      <c r="B118" s="492" t="s">
        <v>205</v>
      </c>
      <c r="C118" s="739" t="s">
        <v>104</v>
      </c>
      <c r="D118" s="750"/>
      <c r="E118" s="144" t="s">
        <v>116</v>
      </c>
      <c r="F118" s="160"/>
      <c r="G118" s="160"/>
      <c r="H118" s="161"/>
      <c r="I118" s="161"/>
      <c r="J118" s="161"/>
      <c r="K118" s="164"/>
      <c r="L118" s="164"/>
      <c r="M118" s="163"/>
      <c r="N118" s="163"/>
      <c r="P118" s="163"/>
      <c r="Q118" s="163"/>
      <c r="R118" s="163"/>
      <c r="S118" s="163"/>
      <c r="T118" s="163"/>
      <c r="U118" s="163"/>
      <c r="V118" s="163"/>
      <c r="W118" s="163"/>
      <c r="X118" s="165"/>
      <c r="Y118" s="163"/>
      <c r="Z118" s="163"/>
      <c r="AA118" s="836"/>
      <c r="AB118" s="163"/>
      <c r="AC118" s="163"/>
      <c r="AD118" s="163"/>
      <c r="AE118" s="163"/>
      <c r="AF118" s="163"/>
      <c r="AG118" s="163"/>
      <c r="AH118" s="163"/>
      <c r="AI118" s="163"/>
      <c r="AJ118" s="165"/>
      <c r="AK118" s="163"/>
      <c r="AL118" s="163"/>
      <c r="AM118" s="163"/>
      <c r="AN118" s="163"/>
      <c r="AO118" s="163"/>
      <c r="AP118" s="163"/>
      <c r="AQ118" s="163"/>
      <c r="AR118" s="163"/>
      <c r="AS118" s="163"/>
      <c r="AT118" s="163"/>
      <c r="AU118" s="163"/>
      <c r="AV118" s="165"/>
      <c r="AW118" s="163"/>
      <c r="AX118" s="163"/>
      <c r="AY118" s="163"/>
      <c r="AZ118" s="163"/>
      <c r="BA118" s="163"/>
      <c r="BB118" s="163"/>
      <c r="BC118" s="163"/>
      <c r="BD118" s="163"/>
      <c r="BE118" s="163"/>
      <c r="BF118" s="163"/>
      <c r="BG118" s="163"/>
      <c r="BH118" s="263"/>
    </row>
    <row r="119" spans="1:60" hidden="1" x14ac:dyDescent="0.2">
      <c r="A119" s="648"/>
      <c r="B119" s="492" t="s">
        <v>205</v>
      </c>
      <c r="C119" s="656" t="s">
        <v>221</v>
      </c>
      <c r="D119" s="750" t="s">
        <v>50</v>
      </c>
      <c r="E119" s="356" t="s">
        <v>225</v>
      </c>
      <c r="F119" s="316"/>
      <c r="G119" s="316"/>
      <c r="H119" s="354" t="s">
        <v>226</v>
      </c>
      <c r="I119" s="88"/>
      <c r="J119" s="229"/>
      <c r="K119" s="121"/>
      <c r="L119" s="121"/>
      <c r="M119" s="229"/>
      <c r="N119" s="90"/>
      <c r="O119" s="445">
        <f>IF(O120&lt;&gt;"",O120,
IF(O$102=elektriciteit,$H$5,
INDEX(energiedragers_CO2_emissiefactor,MATCH(O102,energiedragers_kopregel,0))
*IF(O110=0,1,
$G$5*INDEX(installaties_RV_verlies_elek_prod_aftapwarmte,MATCH(O101,toestellen_RV_kopregel,0)))))</f>
        <v>0.34</v>
      </c>
      <c r="P119" s="445">
        <f>IF(P120&lt;&gt;"",P120,
IF(P102=elektriciteit,$H$5,
HLOOKUP(P102,ENERGIEDRAGERS,ROWS(bibliotheek!$E$221:$E$224),FALSE)))</f>
        <v>0</v>
      </c>
      <c r="Q119" s="445">
        <f>IF(Q116&lt;&gt;"",Q116,
IF(Q$102=elektriciteit,$H$5,
INDEX(energiedragers_CO2_emissiefactor,MATCH(Q102,energiedragers_kopregel,0))
*IF(Q110=0,1,
$G$5*INDEX(installaties_TAP_verlies_elek_prod_aftapwarmte,MATCH(Q101,toestellen_TAP_kopregel,0)))))</f>
        <v>0.34</v>
      </c>
      <c r="R119" s="158"/>
      <c r="S119" s="158"/>
      <c r="T119" s="158"/>
      <c r="U119" s="158"/>
      <c r="V119" s="158"/>
      <c r="W119" s="158"/>
      <c r="X119" s="414"/>
      <c r="Y119" s="229"/>
      <c r="Z119" s="90"/>
      <c r="AA119" s="445">
        <f>IF(AA120&lt;&gt;"",AA120,
IF(AA$102=elektriciteit,$H$5,
INDEX(energiedragers_CO2_emissiefactor,MATCH(AA102,energiedragers_kopregel,0))
*IF(AA110=0,1,
$G$5*INDEX(installaties_RV_verlies_elek_prod_aftapwarmte,MATCH(AA101,toestellen_RV_kopregel,0)))))</f>
        <v>0.34</v>
      </c>
      <c r="AB119" s="445">
        <f>IF(AB120&lt;&gt;"",AB120,
IF(AB102=elektriciteit,$H$5,
HLOOKUP(AB102,ENERGIEDRAGERS,ROWS(bibliotheek!$E$221:$E$224),FALSE)))</f>
        <v>0</v>
      </c>
      <c r="AC119" s="445">
        <f>IF(AC116&lt;&gt;"",AC116,
IF(AC$102=elektriciteit,$H$5,
INDEX(energiedragers_CO2_emissiefactor,MATCH(AC102,energiedragers_kopregel,0))
*IF(AC110=0,1,
$G$5*INDEX(installaties_TAP_verlies_elek_prod_aftapwarmte,MATCH(AC101,toestellen_TAP_kopregel,0)))))</f>
        <v>0.34</v>
      </c>
      <c r="AD119" s="158"/>
      <c r="AE119" s="158"/>
      <c r="AF119" s="158"/>
      <c r="AG119" s="158"/>
      <c r="AH119" s="158"/>
      <c r="AI119" s="158"/>
      <c r="AJ119" s="414"/>
      <c r="AK119" s="229"/>
      <c r="AL119" s="90"/>
      <c r="AM119" s="445">
        <f>IF(AM120&lt;&gt;"",AM120,
IF(AM$102=elektriciteit,$H$5,
INDEX(energiedragers_CO2_emissiefactor,MATCH(AM102,energiedragers_kopregel,0))
*IF(AM110=0,1,
$G$5*INDEX(installaties_RV_verlies_elek_prod_aftapwarmte,MATCH(AM101,toestellen_RV_kopregel,0)))))</f>
        <v>0.34</v>
      </c>
      <c r="AN119" s="445">
        <f>IF(AN120&lt;&gt;"",AN120,
IF(AN102=elektriciteit,$H$5,
HLOOKUP(AN102,ENERGIEDRAGERS,ROWS(bibliotheek!$E$221:$E$224),FALSE)))</f>
        <v>0</v>
      </c>
      <c r="AO119" s="445">
        <f>IF(AO116&lt;&gt;"",AO116,
IF(AO$102=elektriciteit,$H$5,
INDEX(energiedragers_CO2_emissiefactor,MATCH(AO102,energiedragers_kopregel,0))
*IF(AO110=0,1,
$G$5*INDEX(installaties_TAP_verlies_elek_prod_aftapwarmte,MATCH(AO101,toestellen_TAP_kopregel,0)))))</f>
        <v>0.34</v>
      </c>
      <c r="AP119" s="158"/>
      <c r="AQ119" s="158"/>
      <c r="AR119" s="158"/>
      <c r="AS119" s="158"/>
      <c r="AT119" s="158"/>
      <c r="AU119" s="158"/>
      <c r="AV119" s="414"/>
      <c r="AW119" s="229"/>
      <c r="AX119" s="90"/>
      <c r="AY119" s="445">
        <f>IF(AY120&lt;&gt;"",AY120,
IF(AY$102=elektriciteit,$H$5,
INDEX(energiedragers_CO2_emissiefactor,MATCH(AY102,energiedragers_kopregel,0))
*IF(AY110=0,1,
$G$5*INDEX(installaties_RV_verlies_elek_prod_aftapwarmte,MATCH(AY101,toestellen_RV_kopregel,0)))))</f>
        <v>0.34</v>
      </c>
      <c r="AZ119" s="445">
        <f>IF(AZ120&lt;&gt;"",AZ120,
IF(AZ102=elektriciteit,$H$5,
HLOOKUP(AZ102,ENERGIEDRAGERS,ROWS(bibliotheek!$E$221:$E$224),FALSE)))</f>
        <v>0</v>
      </c>
      <c r="BA119" s="445">
        <f>IF(BA116&lt;&gt;"",BA116,
IF(BA$102=elektriciteit,$H$5,
INDEX(energiedragers_CO2_emissiefactor,MATCH(BA102,energiedragers_kopregel,0))
*IF(BA110=0,1,
$G$5*INDEX(installaties_TAP_verlies_elek_prod_aftapwarmte,MATCH(BA101,toestellen_TAP_kopregel,0)))))</f>
        <v>0.34</v>
      </c>
      <c r="BB119" s="158"/>
      <c r="BC119" s="158"/>
      <c r="BD119" s="158"/>
      <c r="BE119" s="158"/>
      <c r="BF119" s="158"/>
      <c r="BG119" s="158"/>
      <c r="BH119" s="214"/>
    </row>
    <row r="120" spans="1:60" hidden="1" x14ac:dyDescent="0.2">
      <c r="A120" s="648"/>
      <c r="B120" s="492" t="s">
        <v>205</v>
      </c>
      <c r="C120" s="656" t="s">
        <v>221</v>
      </c>
      <c r="D120" s="747"/>
      <c r="E120" s="412" t="s">
        <v>227</v>
      </c>
      <c r="F120" s="355"/>
      <c r="G120" s="355"/>
      <c r="H120" s="355"/>
      <c r="I120" s="88"/>
      <c r="J120" s="362"/>
      <c r="K120" s="121"/>
      <c r="L120" s="121"/>
      <c r="M120" s="239"/>
      <c r="N120" s="90"/>
      <c r="O120" s="337"/>
      <c r="P120" s="420"/>
      <c r="Q120" s="420"/>
      <c r="R120" s="483"/>
      <c r="S120" s="483"/>
      <c r="T120" s="483"/>
      <c r="U120" s="483"/>
      <c r="V120" s="483"/>
      <c r="W120" s="483"/>
      <c r="X120" s="448"/>
      <c r="Y120" s="239"/>
      <c r="Z120" s="90"/>
      <c r="AA120" s="420"/>
      <c r="AB120" s="420"/>
      <c r="AC120" s="420"/>
      <c r="AD120" s="483"/>
      <c r="AE120" s="483"/>
      <c r="AF120" s="483"/>
      <c r="AG120" s="483"/>
      <c r="AH120" s="483"/>
      <c r="AI120" s="483"/>
      <c r="AJ120" s="448"/>
      <c r="AK120" s="239"/>
      <c r="AL120" s="90"/>
      <c r="AM120" s="420"/>
      <c r="AN120" s="420"/>
      <c r="AO120" s="420"/>
      <c r="AP120" s="483"/>
      <c r="AQ120" s="483"/>
      <c r="AR120" s="483"/>
      <c r="AS120" s="483"/>
      <c r="AT120" s="483"/>
      <c r="AU120" s="483"/>
      <c r="AV120" s="448"/>
      <c r="AW120" s="239"/>
      <c r="AX120" s="90"/>
      <c r="AY120" s="420"/>
      <c r="AZ120" s="420"/>
      <c r="BA120" s="420"/>
      <c r="BB120" s="483"/>
      <c r="BC120" s="483"/>
      <c r="BD120" s="483"/>
      <c r="BE120" s="483"/>
      <c r="BF120" s="483"/>
      <c r="BG120" s="483"/>
      <c r="BH120" s="214"/>
    </row>
    <row r="121" spans="1:60" x14ac:dyDescent="0.2">
      <c r="A121" s="648"/>
      <c r="B121" s="492" t="s">
        <v>205</v>
      </c>
      <c r="C121" s="656" t="s">
        <v>113</v>
      </c>
      <c r="D121" s="747"/>
      <c r="E121" s="221" t="s">
        <v>116</v>
      </c>
      <c r="F121" s="221"/>
      <c r="G121" s="221"/>
      <c r="H121" s="221" t="s">
        <v>228</v>
      </c>
      <c r="I121" s="88"/>
      <c r="J121" s="243">
        <f>M121+Y121+AK121+AW121</f>
        <v>0</v>
      </c>
      <c r="K121" s="295"/>
      <c r="L121" s="295"/>
      <c r="M121" s="243">
        <f>SUM(O121:X121)</f>
        <v>0</v>
      </c>
      <c r="N121" s="294"/>
      <c r="O121" s="207">
        <f>O$113*O$119</f>
        <v>0</v>
      </c>
      <c r="P121" s="207">
        <f>P$113*P$119</f>
        <v>0</v>
      </c>
      <c r="Q121" s="207">
        <f>Q$113*Q$119</f>
        <v>0</v>
      </c>
      <c r="R121" s="147"/>
      <c r="S121" s="147"/>
      <c r="T121" s="147"/>
      <c r="U121" s="147"/>
      <c r="V121" s="147"/>
      <c r="W121" s="147"/>
      <c r="X121" s="125"/>
      <c r="Y121" s="243">
        <f>SUM(AA121:AJ121)</f>
        <v>0</v>
      </c>
      <c r="Z121" s="294"/>
      <c r="AA121" s="207">
        <f>AA$113*AA$119</f>
        <v>0</v>
      </c>
      <c r="AB121" s="207">
        <f>AB$113*AB$119</f>
        <v>0</v>
      </c>
      <c r="AC121" s="207">
        <f>AC$113*AC$119</f>
        <v>0</v>
      </c>
      <c r="AD121" s="147"/>
      <c r="AE121" s="147"/>
      <c r="AF121" s="147"/>
      <c r="AG121" s="147"/>
      <c r="AH121" s="147"/>
      <c r="AI121" s="147"/>
      <c r="AJ121" s="125"/>
      <c r="AK121" s="243">
        <f>SUM(AM121:AV121)</f>
        <v>0</v>
      </c>
      <c r="AL121" s="294"/>
      <c r="AM121" s="207">
        <f>AM$113*AM$119</f>
        <v>0</v>
      </c>
      <c r="AN121" s="207">
        <f>AN$113*AN$119</f>
        <v>0</v>
      </c>
      <c r="AO121" s="207">
        <f>AO$113*AO$119</f>
        <v>0</v>
      </c>
      <c r="AP121" s="147"/>
      <c r="AQ121" s="147"/>
      <c r="AR121" s="147"/>
      <c r="AS121" s="147"/>
      <c r="AT121" s="147"/>
      <c r="AU121" s="147"/>
      <c r="AV121" s="125"/>
      <c r="AW121" s="243">
        <f>SUM(AY121:BH121)</f>
        <v>0</v>
      </c>
      <c r="AX121" s="294"/>
      <c r="AY121" s="207">
        <f>AY$113*AY$119</f>
        <v>0</v>
      </c>
      <c r="AZ121" s="207">
        <f>AZ$113*AZ$119</f>
        <v>0</v>
      </c>
      <c r="BA121" s="207">
        <f>BA$113*BA$119</f>
        <v>0</v>
      </c>
      <c r="BB121" s="147"/>
      <c r="BC121" s="147"/>
      <c r="BD121" s="147"/>
      <c r="BE121" s="147"/>
      <c r="BF121" s="147"/>
      <c r="BG121" s="147"/>
      <c r="BH121" s="255"/>
    </row>
    <row r="122" spans="1:60" ht="18.75" x14ac:dyDescent="0.2">
      <c r="A122" s="648"/>
      <c r="B122" s="492" t="s">
        <v>205</v>
      </c>
      <c r="C122" s="739" t="s">
        <v>104</v>
      </c>
      <c r="D122" s="747"/>
      <c r="E122" s="144" t="s">
        <v>229</v>
      </c>
      <c r="F122" s="160"/>
      <c r="G122" s="160"/>
      <c r="H122" s="161"/>
      <c r="I122" s="162"/>
      <c r="J122" s="163"/>
      <c r="K122" s="164"/>
      <c r="L122" s="164"/>
      <c r="M122" s="163"/>
      <c r="N122" s="163"/>
      <c r="O122" s="163"/>
      <c r="P122" s="163"/>
      <c r="Q122" s="163"/>
      <c r="R122" s="163"/>
      <c r="S122" s="163"/>
      <c r="T122" s="163"/>
      <c r="U122" s="163"/>
      <c r="V122" s="163"/>
      <c r="W122" s="163"/>
      <c r="X122" s="165"/>
      <c r="Y122" s="163"/>
      <c r="Z122" s="163"/>
      <c r="AA122" s="163"/>
      <c r="AB122" s="163"/>
      <c r="AC122" s="163"/>
      <c r="AD122" s="163"/>
      <c r="AE122" s="163"/>
      <c r="AF122" s="163"/>
      <c r="AG122" s="163"/>
      <c r="AH122" s="163"/>
      <c r="AI122" s="163"/>
      <c r="AJ122" s="165"/>
      <c r="AK122" s="163"/>
      <c r="AL122" s="163"/>
      <c r="AM122" s="163"/>
      <c r="AN122" s="163"/>
      <c r="AO122" s="163"/>
      <c r="AP122" s="163"/>
      <c r="AQ122" s="163"/>
      <c r="AR122" s="163"/>
      <c r="AS122" s="163"/>
      <c r="AT122" s="163"/>
      <c r="AU122" s="163"/>
      <c r="AV122" s="165"/>
      <c r="AW122" s="163"/>
      <c r="AX122" s="163"/>
      <c r="AY122" s="163"/>
      <c r="AZ122" s="163"/>
      <c r="BA122" s="163"/>
      <c r="BB122" s="163"/>
      <c r="BC122" s="163"/>
      <c r="BD122" s="163"/>
      <c r="BE122" s="163"/>
      <c r="BF122" s="163"/>
      <c r="BG122" s="163"/>
      <c r="BH122" s="263"/>
    </row>
    <row r="123" spans="1:60" x14ac:dyDescent="0.2">
      <c r="A123" s="648"/>
      <c r="B123" s="492" t="s">
        <v>205</v>
      </c>
      <c r="C123" s="656" t="s">
        <v>127</v>
      </c>
      <c r="D123" s="747" t="s">
        <v>50</v>
      </c>
      <c r="E123" s="221" t="s">
        <v>230</v>
      </c>
      <c r="F123" s="221"/>
      <c r="G123" s="221"/>
      <c r="H123" s="221" t="s">
        <v>177</v>
      </c>
      <c r="I123" s="146"/>
      <c r="J123" s="243">
        <f>M123+Y123+AK123+AW123</f>
        <v>0</v>
      </c>
      <c r="K123" s="293"/>
      <c r="L123" s="293"/>
      <c r="M123" s="243">
        <f>SUM(O123:X123)</f>
        <v>0</v>
      </c>
      <c r="N123" s="294"/>
      <c r="O123" s="207">
        <f>IF(   AND(   HLOOKUP(IF(O$80="",referentie_verwarming,O$80),toestellen_RV,ROWS(bibliotheek!$E$79:$E$84),FALSE)=1,   O112+Q112&gt;P112   ),
ABS(O112+Q112-P112)*O$112/(O112+Q112),
0)</f>
        <v>0</v>
      </c>
      <c r="P123" s="207">
        <f>IF(AND(HLOOKUP(IF(P$80="",referentie_koeling,P$80),toestellen_KOEL,ROWS(bibliotheek!$E$170:$E$174),FALSE)=1,O112+Q112&lt;P112),ABS(O112+Q112-P112),0)</f>
        <v>0</v>
      </c>
      <c r="Q123" s="207">
        <f>IF(AND(HLOOKUP(IF(Q$80="",referentie_warmtapwater,Q$80),toestellen_TAP,ROWS(bibliotheek!$E$136:$E$141),FALSE)=1,O112+Q112&gt;P112),ABS(O112+Q112-P112)*Q$112/(O112+Q112),0)</f>
        <v>0</v>
      </c>
      <c r="R123" s="147"/>
      <c r="S123" s="147"/>
      <c r="T123" s="147"/>
      <c r="U123" s="147"/>
      <c r="V123" s="147"/>
      <c r="W123" s="147"/>
      <c r="X123" s="125"/>
      <c r="Y123" s="243">
        <f>SUM(AA123:AJ123)</f>
        <v>0</v>
      </c>
      <c r="Z123" s="294"/>
      <c r="AA123" s="207">
        <f>IF(   AND(   HLOOKUP(IF(AA$80="",referentie_verwarming,AA$80),toestellen_RV,ROWS(bibliotheek!$E$79:$E$84),FALSE)=1,   AA112+AC112&gt;AB112   ),
ABS(AA112+AC112-AB112)*AA$112/(AA112+AC112),
0)</f>
        <v>0</v>
      </c>
      <c r="AB123" s="207">
        <f>IF(AND(HLOOKUP(IF(AB$80="",referentie_koeling,AB$80),toestellen_KOEL,ROWS(bibliotheek!$E$170:$E$174),FALSE)=1,AA112+AC112&lt;AB112),ABS(AA112+AC112-AB112),0)</f>
        <v>0</v>
      </c>
      <c r="AC123" s="207">
        <f>IF(AND(HLOOKUP(IF(AC$80="",referentie_warmtapwater,AC$80),toestellen_TAP,ROWS(bibliotheek!$E$136:$E$141),FALSE)=1,AA112+AC112&gt;AB112),ABS(AA112+AC112-AB112)*AC$112/(AA112+AC112),0)</f>
        <v>0</v>
      </c>
      <c r="AD123" s="147"/>
      <c r="AE123" s="147"/>
      <c r="AF123" s="147"/>
      <c r="AG123" s="147"/>
      <c r="AH123" s="147"/>
      <c r="AI123" s="147"/>
      <c r="AJ123" s="125"/>
      <c r="AK123" s="243">
        <f>SUM(AM123:AV123)</f>
        <v>0</v>
      </c>
      <c r="AL123" s="294"/>
      <c r="AM123" s="207">
        <f>IF(   AND(   HLOOKUP(IF(AM$80="",referentie_verwarming,AM$80),toestellen_RV,ROWS(bibliotheek!$E$79:$E$84),FALSE)=1,   AM112+AO112&gt;AN112   ),
ABS(AM112+AO112-AN112)*AM$112/(AM112+AO112),
0)</f>
        <v>0</v>
      </c>
      <c r="AN123" s="207">
        <f>IF(AND(HLOOKUP(IF(AN$80="",referentie_koeling,AN$80),toestellen_KOEL,ROWS(bibliotheek!$E$170:$E$174),FALSE)=1,AM112+AO112&lt;AN112),ABS(AM112+AO112-AN112),0)</f>
        <v>0</v>
      </c>
      <c r="AO123" s="207">
        <f>IF(AND(HLOOKUP(IF(AO$80="",referentie_warmtapwater,AO$80),toestellen_TAP,ROWS(bibliotheek!$E$136:$E$141),FALSE)=1,AM112+AO112&gt;AN112),ABS(AM112+AO112-AN112)*AO$112/(AM112+AO112),0)</f>
        <v>0</v>
      </c>
      <c r="AP123" s="147"/>
      <c r="AQ123" s="147"/>
      <c r="AR123" s="147"/>
      <c r="AS123" s="147"/>
      <c r="AT123" s="147"/>
      <c r="AU123" s="147"/>
      <c r="AV123" s="125"/>
      <c r="AW123" s="243">
        <f>SUM(AY123:BH123)</f>
        <v>0</v>
      </c>
      <c r="AX123" s="294"/>
      <c r="AY123" s="207">
        <f>IF(   AND(   HLOOKUP(IF(AY$80="",referentie_verwarming,AY$80),toestellen_RV,ROWS(bibliotheek!$E$79:$E$84),FALSE)=1,   AY112+BA112&gt;AZ112   ),
ABS(AY112+BA112-AZ112)*AY$112/(AY112+BA112),
0)</f>
        <v>0</v>
      </c>
      <c r="AZ123" s="207">
        <f>IF(AND(HLOOKUP(IF(AZ$80="",referentie_koeling,AZ$80),toestellen_KOEL,ROWS(bibliotheek!$E$170:$E$174),FALSE)=1,AY112+BA112&lt;AZ112),ABS(AY112+BA112-AZ112),0)</f>
        <v>0</v>
      </c>
      <c r="BA123" s="207">
        <f>IF(AND(HLOOKUP(IF(BA$80="",referentie_warmtapwater,BA$80),toestellen_TAP,ROWS(bibliotheek!$E$136:$E$141),FALSE)=1,AY112+BA112&gt;AZ112),ABS(AY112+BA112-AZ112)*BA$112/(AY112+BA112),0)</f>
        <v>0</v>
      </c>
      <c r="BB123" s="147"/>
      <c r="BC123" s="147"/>
      <c r="BD123" s="147"/>
      <c r="BE123" s="147"/>
      <c r="BF123" s="147"/>
      <c r="BG123" s="147"/>
      <c r="BH123" s="255"/>
    </row>
    <row r="124" spans="1:60" hidden="1" x14ac:dyDescent="0.2">
      <c r="A124" s="648"/>
      <c r="B124" s="492" t="s">
        <v>205</v>
      </c>
      <c r="C124" s="656" t="s">
        <v>199</v>
      </c>
      <c r="D124" s="747"/>
      <c r="E124" s="221" t="s">
        <v>231</v>
      </c>
      <c r="F124" s="220"/>
      <c r="G124" s="220"/>
      <c r="H124" s="221" t="s">
        <v>232</v>
      </c>
      <c r="I124" s="146"/>
      <c r="J124" s="230"/>
      <c r="K124" s="121"/>
      <c r="L124" s="121"/>
      <c r="M124" s="230"/>
      <c r="N124" s="90"/>
      <c r="O124" s="625">
        <f>HLOOKUP(IF(O$80="",referentie_verwarming,O$80),toestellen_RV,ROWS(bibliotheek!$E$79:$E$113),FALSE)</f>
        <v>0</v>
      </c>
      <c r="P124" s="625">
        <f>HLOOKUP(IF(P$80="",referentie_koeling,P$80),toestellen_KOEL,ROWS(bibliotheek!$E$170:$E$188),FALSE)</f>
        <v>0</v>
      </c>
      <c r="Q124" s="625">
        <f>HLOOKUP(IF(Q$80="",referentie_warmtapwater,Q$80),toestellen_TAP,ROWS(bibliotheek!$E$136:$E$162),FALSE)</f>
        <v>0</v>
      </c>
      <c r="R124" s="447"/>
      <c r="S124" s="447"/>
      <c r="T124" s="447"/>
      <c r="U124" s="447"/>
      <c r="V124" s="447"/>
      <c r="W124" s="447"/>
      <c r="X124" s="487"/>
      <c r="Y124" s="230"/>
      <c r="Z124" s="90"/>
      <c r="AA124" s="625">
        <f>HLOOKUP(IF(AA$80="",referentie_verwarming,AA$80),toestellen_RV,ROWS(bibliotheek!$E$79:$E$113),FALSE)</f>
        <v>0</v>
      </c>
      <c r="AB124" s="625">
        <f>HLOOKUP(IF(AB$80="",referentie_koeling,AB$80),toestellen_KOEL,ROWS(bibliotheek!$E$170:$E$188),FALSE)</f>
        <v>0</v>
      </c>
      <c r="AC124" s="625">
        <f>HLOOKUP(IF(AC$80="",referentie_warmtapwater,AC$80),toestellen_TAP,ROWS(bibliotheek!$E$136:$E$162),FALSE)</f>
        <v>0</v>
      </c>
      <c r="AD124" s="447"/>
      <c r="AE124" s="447"/>
      <c r="AF124" s="447"/>
      <c r="AG124" s="447"/>
      <c r="AH124" s="447"/>
      <c r="AI124" s="447"/>
      <c r="AJ124" s="487"/>
      <c r="AK124" s="230"/>
      <c r="AL124" s="90"/>
      <c r="AM124" s="625">
        <f>HLOOKUP(IF(AM$80="",referentie_verwarming,AM$80),toestellen_RV,ROWS(bibliotheek!$E$79:$E$113),FALSE)</f>
        <v>0</v>
      </c>
      <c r="AN124" s="625">
        <f>HLOOKUP(IF(AN$80="",referentie_koeling,AN$80),toestellen_KOEL,ROWS(bibliotheek!$E$170:$E$188),FALSE)</f>
        <v>0</v>
      </c>
      <c r="AO124" s="625">
        <f>HLOOKUP(IF(AO$80="",referentie_warmtapwater,AO$80),toestellen_TAP,ROWS(bibliotheek!$E$136:$E$162),FALSE)</f>
        <v>0</v>
      </c>
      <c r="AP124" s="447"/>
      <c r="AQ124" s="447"/>
      <c r="AR124" s="447"/>
      <c r="AS124" s="447"/>
      <c r="AT124" s="447"/>
      <c r="AU124" s="447"/>
      <c r="AV124" s="487"/>
      <c r="AW124" s="230"/>
      <c r="AX124" s="90"/>
      <c r="AY124" s="625">
        <f>HLOOKUP(IF(AY$80="",referentie_verwarming,AY$80),toestellen_RV,ROWS(bibliotheek!$E$79:$E$113),FALSE)</f>
        <v>0</v>
      </c>
      <c r="AZ124" s="625">
        <f>HLOOKUP(IF(AZ$80="",referentie_koeling,AZ$80),toestellen_KOEL,ROWS(bibliotheek!$E$170:$E$188),FALSE)</f>
        <v>0</v>
      </c>
      <c r="BA124" s="625">
        <f>HLOOKUP(IF(BA$80="",referentie_warmtapwater,BA$80),toestellen_TAP,ROWS(bibliotheek!$E$136:$E$162),FALSE)</f>
        <v>0</v>
      </c>
      <c r="BB124" s="447"/>
      <c r="BC124" s="447"/>
      <c r="BD124" s="447"/>
      <c r="BE124" s="447"/>
      <c r="BF124" s="447"/>
      <c r="BG124" s="447"/>
      <c r="BH124" s="255"/>
    </row>
    <row r="125" spans="1:60" x14ac:dyDescent="0.2">
      <c r="A125" s="648"/>
      <c r="B125" s="492" t="s">
        <v>205</v>
      </c>
      <c r="C125" s="656" t="s">
        <v>127</v>
      </c>
      <c r="D125" s="747"/>
      <c r="E125" s="354" t="s">
        <v>233</v>
      </c>
      <c r="F125" s="316"/>
      <c r="G125" s="316"/>
      <c r="H125" s="354" t="s">
        <v>70</v>
      </c>
      <c r="I125" s="88"/>
      <c r="J125" s="352"/>
      <c r="K125" s="88"/>
      <c r="L125" s="88"/>
      <c r="M125" s="352"/>
      <c r="N125" s="90"/>
      <c r="O125" s="452">
        <f>IF(HLOOKUP(IF(O$80="",referentie_verwarming,O$80),toestellen_RV,ROWS(bibliotheek!$E$79:$E$97),FALSE)=0,0,IF(O126&lt;&gt;"",O126,HLOOKUP(IF(O$80="",referentie_verwarming,O$80),toestellen_RV,ROWS(bibliotheek!$E$79:$E$97),FALSE)))</f>
        <v>0</v>
      </c>
      <c r="P125" s="452">
        <f>IF(HLOOKUP(IF(P$80="",referentie_koeling,P$80),toestellen_KOEL,ROWS(bibliotheek!$E$170:$E$181),FALSE)=0,0,IF(P126&lt;&gt;"",P126,HLOOKUP(IF(P$80="",referentie_koeling,P$80),toestellen_KOEL,ROWS(bibliotheek!$E$170:$E$181),FALSE)))</f>
        <v>0</v>
      </c>
      <c r="Q125" s="452">
        <f>IF(HLOOKUP(IF(Q$80="",referentie_warmtapwater,Q$80),toestellen_TAP,ROWS(bibliotheek!$E$136:$E$154),FALSE)=0,0,IF(Q126&lt;&gt;"",Q126,HLOOKUP(IF(Q$80="",referentie_warmtapwater,Q$80),toestellen_TAP,ROWS(bibliotheek!$E$136:$E$154),FALSE)))</f>
        <v>0</v>
      </c>
      <c r="R125" s="156"/>
      <c r="S125" s="156"/>
      <c r="T125" s="156"/>
      <c r="U125" s="156"/>
      <c r="V125" s="156"/>
      <c r="W125" s="156"/>
      <c r="X125" s="126"/>
      <c r="Y125" s="352"/>
      <c r="Z125" s="90"/>
      <c r="AA125" s="452">
        <f>IF(HLOOKUP(IF(AA$80="",referentie_verwarming,AA$80),toestellen_RV,ROWS(bibliotheek!$E$79:$E$97),FALSE)=0,0,IF(AA126&lt;&gt;"",AA126,HLOOKUP(IF(AA$80="",referentie_verwarming,AA$80),toestellen_RV,ROWS(bibliotheek!$E$79:$E$97),FALSE)))</f>
        <v>0</v>
      </c>
      <c r="AB125" s="452">
        <f>IF(HLOOKUP(IF(AB$80="",referentie_koeling,AB$80),toestellen_KOEL,ROWS(bibliotheek!$E$170:$E$181),FALSE)=0,0,IF(AB126&lt;&gt;"",AB126,HLOOKUP(IF(AB$80="",referentie_koeling,AB$80),toestellen_KOEL,ROWS(bibliotheek!$E$170:$E$181),FALSE)))</f>
        <v>0</v>
      </c>
      <c r="AC125" s="452">
        <f>IF(HLOOKUP(IF(AC$80="",referentie_warmtapwater,AC$80),toestellen_TAP,ROWS(bibliotheek!$E$136:$E$154),FALSE)=0,0,IF(AC126&lt;&gt;"",AC126,HLOOKUP(IF(AC$80="",referentie_warmtapwater,AC$80),toestellen_TAP,ROWS(bibliotheek!$E$136:$E$154),FALSE)))</f>
        <v>0</v>
      </c>
      <c r="AD125" s="156"/>
      <c r="AE125" s="156"/>
      <c r="AF125" s="156"/>
      <c r="AG125" s="156"/>
      <c r="AH125" s="156"/>
      <c r="AI125" s="156"/>
      <c r="AJ125" s="126"/>
      <c r="AK125" s="352"/>
      <c r="AL125" s="90"/>
      <c r="AM125" s="452">
        <f>IF(HLOOKUP(IF(AM$80="",referentie_verwarming,AM$80),toestellen_RV,ROWS(bibliotheek!$E$79:$E$97),FALSE)=0,0,IF(AM126&lt;&gt;"",AM126,HLOOKUP(IF(AM$80="",referentie_verwarming,AM$80),toestellen_RV,ROWS(bibliotheek!$E$79:$E$97),FALSE)))</f>
        <v>0</v>
      </c>
      <c r="AN125" s="452">
        <f>IF(HLOOKUP(IF(AN$80="",referentie_koeling,AN$80),toestellen_KOEL,ROWS(bibliotheek!$E$170:$E$181),FALSE)=0,0,IF(AN126&lt;&gt;"",AN126,HLOOKUP(IF(AN$80="",referentie_koeling,AN$80),toestellen_KOEL,ROWS(bibliotheek!$E$170:$E$181),FALSE)))</f>
        <v>0</v>
      </c>
      <c r="AO125" s="452">
        <f>IF(HLOOKUP(IF(AO$80="",referentie_warmtapwater,AO$80),toestellen_TAP,ROWS(bibliotheek!$E$136:$E$154),FALSE)=0,0,IF(AO126&lt;&gt;"",AO126,HLOOKUP(IF(AO$80="",referentie_warmtapwater,AO$80),toestellen_TAP,ROWS(bibliotheek!$E$136:$E$154),FALSE)))</f>
        <v>0</v>
      </c>
      <c r="AP125" s="156"/>
      <c r="AQ125" s="156"/>
      <c r="AR125" s="156"/>
      <c r="AS125" s="156"/>
      <c r="AT125" s="156"/>
      <c r="AU125" s="156"/>
      <c r="AV125" s="126"/>
      <c r="AW125" s="352"/>
      <c r="AX125" s="90"/>
      <c r="AY125" s="452">
        <f>IF(HLOOKUP(IF(AY$80="",referentie_verwarming,AY$80),toestellen_RV,ROWS(bibliotheek!$E$79:$E$97),FALSE)=0,0,IF(AY126&lt;&gt;"",AY126,HLOOKUP(IF(AY$80="",referentie_verwarming,AY$80),toestellen_RV,ROWS(bibliotheek!$E$79:$E$97),FALSE)))</f>
        <v>0</v>
      </c>
      <c r="AZ125" s="452">
        <f>IF(HLOOKUP(IF(AZ$80="",referentie_koeling,AZ$80),toestellen_KOEL,ROWS(bibliotheek!$E$170:$E$181),FALSE)=0,0,IF(AZ126&lt;&gt;"",AZ126,HLOOKUP(IF(AZ$80="",referentie_koeling,AZ$80),toestellen_KOEL,ROWS(bibliotheek!$E$170:$E$181),FALSE)))</f>
        <v>0</v>
      </c>
      <c r="BA125" s="452">
        <f>IF(HLOOKUP(IF(BA$80="",referentie_warmtapwater,BA$80),toestellen_TAP,ROWS(bibliotheek!$E$136:$E$154),FALSE)=0,0,IF(BA126&lt;&gt;"",BA126,HLOOKUP(IF(BA$80="",referentie_warmtapwater,BA$80),toestellen_TAP,ROWS(bibliotheek!$E$136:$E$154),FALSE)))</f>
        <v>0</v>
      </c>
      <c r="BB125" s="156"/>
      <c r="BC125" s="156"/>
      <c r="BD125" s="156"/>
      <c r="BE125" s="156"/>
      <c r="BF125" s="156"/>
      <c r="BG125" s="156"/>
      <c r="BH125" s="214"/>
    </row>
    <row r="126" spans="1:60" x14ac:dyDescent="0.2">
      <c r="A126" s="648"/>
      <c r="B126" s="492" t="s">
        <v>205</v>
      </c>
      <c r="C126" s="656" t="s">
        <v>127</v>
      </c>
      <c r="D126" s="747"/>
      <c r="E126" s="412" t="s">
        <v>234</v>
      </c>
      <c r="F126" s="317"/>
      <c r="G126" s="317"/>
      <c r="H126" s="355"/>
      <c r="I126" s="88"/>
      <c r="J126" s="362"/>
      <c r="K126" s="88"/>
      <c r="L126" s="88"/>
      <c r="M126" s="239"/>
      <c r="N126" s="90"/>
      <c r="O126" s="337"/>
      <c r="P126" s="712"/>
      <c r="Q126" s="337"/>
      <c r="R126" s="157"/>
      <c r="S126" s="157"/>
      <c r="T126" s="157"/>
      <c r="U126" s="157"/>
      <c r="V126" s="157"/>
      <c r="W126" s="157"/>
      <c r="X126" s="87"/>
      <c r="Y126" s="239"/>
      <c r="Z126" s="90"/>
      <c r="AA126" s="337"/>
      <c r="AB126" s="712"/>
      <c r="AC126" s="337"/>
      <c r="AD126" s="157"/>
      <c r="AE126" s="157"/>
      <c r="AF126" s="157"/>
      <c r="AG126" s="157"/>
      <c r="AH126" s="157"/>
      <c r="AI126" s="157"/>
      <c r="AJ126" s="87"/>
      <c r="AK126" s="239"/>
      <c r="AL126" s="90"/>
      <c r="AM126" s="337"/>
      <c r="AN126" s="712"/>
      <c r="AO126" s="337"/>
      <c r="AP126" s="157"/>
      <c r="AQ126" s="157"/>
      <c r="AR126" s="157"/>
      <c r="AS126" s="157"/>
      <c r="AT126" s="157"/>
      <c r="AU126" s="157"/>
      <c r="AV126" s="87"/>
      <c r="AW126" s="239"/>
      <c r="AX126" s="90"/>
      <c r="AY126" s="337"/>
      <c r="AZ126" s="712"/>
      <c r="BA126" s="337"/>
      <c r="BB126" s="157"/>
      <c r="BC126" s="157"/>
      <c r="BD126" s="157"/>
      <c r="BE126" s="157"/>
      <c r="BF126" s="157"/>
      <c r="BG126" s="157"/>
      <c r="BH126" s="214"/>
    </row>
    <row r="127" spans="1:60" x14ac:dyDescent="0.2">
      <c r="A127" s="648"/>
      <c r="B127" s="492" t="s">
        <v>205</v>
      </c>
      <c r="C127" s="656" t="s">
        <v>104</v>
      </c>
      <c r="D127" s="747"/>
      <c r="E127" s="90"/>
      <c r="F127" s="90"/>
      <c r="G127" s="90"/>
      <c r="H127" s="96"/>
      <c r="I127" s="90"/>
      <c r="J127" s="93"/>
      <c r="K127" s="90"/>
      <c r="L127" s="90"/>
      <c r="M127" s="93"/>
      <c r="N127" s="93"/>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3"/>
      <c r="AN127" s="93"/>
      <c r="AO127" s="93"/>
      <c r="AP127" s="93"/>
      <c r="AQ127" s="93"/>
      <c r="AR127" s="93"/>
      <c r="AS127" s="93"/>
      <c r="AT127" s="93"/>
      <c r="AU127" s="93"/>
      <c r="AV127" s="93"/>
      <c r="AW127" s="93"/>
      <c r="AX127" s="93"/>
      <c r="AY127" s="93"/>
      <c r="AZ127" s="93"/>
      <c r="BA127" s="93"/>
      <c r="BB127" s="93"/>
      <c r="BC127" s="93"/>
      <c r="BD127" s="93"/>
      <c r="BE127" s="93"/>
      <c r="BF127" s="93"/>
      <c r="BG127" s="93"/>
      <c r="BH127" s="1"/>
    </row>
    <row r="128" spans="1:60" x14ac:dyDescent="0.2">
      <c r="A128" s="648"/>
      <c r="B128" s="492" t="s">
        <v>235</v>
      </c>
      <c r="C128" s="656" t="s">
        <v>104</v>
      </c>
      <c r="D128" s="747"/>
      <c r="E128" s="90"/>
      <c r="F128" s="90"/>
      <c r="G128" s="90"/>
      <c r="H128" s="96"/>
      <c r="I128" s="90"/>
      <c r="J128" s="93"/>
      <c r="K128" s="90"/>
      <c r="L128" s="90"/>
      <c r="M128" s="93"/>
      <c r="N128" s="93"/>
      <c r="O128" s="93"/>
      <c r="P128" s="93"/>
      <c r="Q128" s="93"/>
      <c r="R128" s="93"/>
      <c r="S128" s="93"/>
      <c r="T128" s="93"/>
      <c r="U128" s="93"/>
      <c r="V128" s="93"/>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1"/>
    </row>
    <row r="129" spans="1:60" ht="21" x14ac:dyDescent="0.2">
      <c r="A129" s="648"/>
      <c r="B129" s="492" t="s">
        <v>235</v>
      </c>
      <c r="C129" s="739" t="s">
        <v>104</v>
      </c>
      <c r="D129" s="750" t="s">
        <v>50</v>
      </c>
      <c r="E129" s="240" t="s">
        <v>236</v>
      </c>
      <c r="F129" s="240"/>
      <c r="G129" s="240"/>
      <c r="H129" s="240"/>
      <c r="I129" s="88"/>
      <c r="J129" s="241" t="s">
        <v>58</v>
      </c>
      <c r="K129" s="142"/>
      <c r="L129" s="142"/>
      <c r="M129" s="216" t="s">
        <v>237</v>
      </c>
      <c r="N129" s="222"/>
      <c r="O129" s="217" t="str">
        <f>$O$10</f>
        <v>verwarming</v>
      </c>
      <c r="P129" s="217" t="str">
        <f>$P$10</f>
        <v>koeling</v>
      </c>
      <c r="Q129" s="217" t="str">
        <f>$Q$10</f>
        <v>tapwater</v>
      </c>
      <c r="R129" s="217"/>
      <c r="S129" s="217"/>
      <c r="T129" s="217"/>
      <c r="U129" s="217"/>
      <c r="V129" s="217"/>
      <c r="W129" s="217"/>
      <c r="X129" s="214"/>
      <c r="Y129" s="216" t="s">
        <v>237</v>
      </c>
      <c r="Z129" s="222"/>
      <c r="AA129" s="217" t="str">
        <f>$O$10</f>
        <v>verwarming</v>
      </c>
      <c r="AB129" s="217" t="str">
        <f>$P$10</f>
        <v>koeling</v>
      </c>
      <c r="AC129" s="217" t="str">
        <f>$Q$10</f>
        <v>tapwater</v>
      </c>
      <c r="AD129" s="217"/>
      <c r="AE129" s="217"/>
      <c r="AF129" s="217"/>
      <c r="AG129" s="217"/>
      <c r="AH129" s="217"/>
      <c r="AI129" s="217"/>
      <c r="AJ129" s="214"/>
      <c r="AK129" s="216" t="s">
        <v>237</v>
      </c>
      <c r="AL129" s="222"/>
      <c r="AM129" s="217" t="str">
        <f>$O$10</f>
        <v>verwarming</v>
      </c>
      <c r="AN129" s="217" t="str">
        <f>$P$10</f>
        <v>koeling</v>
      </c>
      <c r="AO129" s="217" t="str">
        <f>$Q$10</f>
        <v>tapwater</v>
      </c>
      <c r="AP129" s="217"/>
      <c r="AQ129" s="217"/>
      <c r="AR129" s="217"/>
      <c r="AS129" s="217"/>
      <c r="AT129" s="217"/>
      <c r="AU129" s="217"/>
      <c r="AV129" s="214"/>
      <c r="AW129" s="216" t="s">
        <v>237</v>
      </c>
      <c r="AX129" s="222"/>
      <c r="AY129" s="217" t="str">
        <f>$O$10</f>
        <v>verwarming</v>
      </c>
      <c r="AZ129" s="217" t="str">
        <f>$P$10</f>
        <v>koeling</v>
      </c>
      <c r="BA129" s="217" t="str">
        <f>$Q$10</f>
        <v>tapwater</v>
      </c>
      <c r="BB129" s="217"/>
      <c r="BC129" s="217"/>
      <c r="BD129" s="217"/>
      <c r="BE129" s="217"/>
      <c r="BF129" s="217"/>
      <c r="BG129" s="217"/>
      <c r="BH129" s="1"/>
    </row>
    <row r="130" spans="1:60" ht="18.75" x14ac:dyDescent="0.2">
      <c r="A130" s="648"/>
      <c r="B130" s="492" t="s">
        <v>235</v>
      </c>
      <c r="C130" s="739" t="s">
        <v>104</v>
      </c>
      <c r="D130" s="747"/>
      <c r="E130" s="144" t="s">
        <v>210</v>
      </c>
      <c r="F130" s="231"/>
      <c r="G130" s="231"/>
      <c r="H130" s="89"/>
      <c r="I130" s="232"/>
      <c r="J130" s="231"/>
      <c r="K130" s="232"/>
      <c r="L130" s="232"/>
      <c r="M130" s="231"/>
      <c r="N130" s="232"/>
      <c r="O130" s="232"/>
      <c r="P130" s="232"/>
      <c r="Q130" s="232"/>
      <c r="R130" s="232"/>
      <c r="S130" s="232"/>
      <c r="T130" s="232"/>
      <c r="U130" s="232"/>
      <c r="V130" s="232"/>
      <c r="W130" s="232"/>
      <c r="X130" s="232"/>
      <c r="Y130" s="232"/>
      <c r="Z130" s="232"/>
      <c r="AA130" s="232"/>
      <c r="AB130" s="232"/>
      <c r="AC130" s="232"/>
      <c r="AD130" s="232"/>
      <c r="AE130" s="232"/>
      <c r="AF130" s="232"/>
      <c r="AG130" s="232"/>
      <c r="AH130" s="232"/>
      <c r="AI130" s="232"/>
      <c r="AJ130" s="232"/>
      <c r="AK130" s="232"/>
      <c r="AL130" s="232"/>
      <c r="AM130" s="232"/>
      <c r="AN130" s="232"/>
      <c r="AO130" s="232"/>
      <c r="AP130" s="232"/>
      <c r="AQ130" s="232"/>
      <c r="AR130" s="232"/>
      <c r="AS130" s="232"/>
      <c r="AT130" s="232"/>
      <c r="AU130" s="232"/>
      <c r="AV130" s="232"/>
      <c r="AW130" s="232"/>
      <c r="AX130" s="232"/>
      <c r="AY130" s="232"/>
      <c r="AZ130" s="232"/>
      <c r="BA130" s="232"/>
      <c r="BB130" s="232"/>
      <c r="BC130" s="232"/>
      <c r="BD130" s="232"/>
      <c r="BE130" s="232"/>
      <c r="BF130" s="232"/>
      <c r="BG130" s="232"/>
      <c r="BH130" s="38"/>
    </row>
    <row r="131" spans="1:60" ht="25.5" x14ac:dyDescent="0.2">
      <c r="A131" s="648"/>
      <c r="B131" s="492" t="s">
        <v>235</v>
      </c>
      <c r="C131" s="656" t="s">
        <v>127</v>
      </c>
      <c r="D131" s="747"/>
      <c r="E131" s="326" t="s">
        <v>238</v>
      </c>
      <c r="F131" s="326"/>
      <c r="G131" s="326"/>
      <c r="H131" s="327" t="s">
        <v>70</v>
      </c>
      <c r="I131" s="115"/>
      <c r="J131" s="330"/>
      <c r="K131" s="115"/>
      <c r="L131" s="115"/>
      <c r="M131" s="330" t="str">
        <f>IF(OR(M$12=0,O134=0),"-","RV: "&amp;O131)</f>
        <v>-</v>
      </c>
      <c r="N131" s="136"/>
      <c r="O131" s="346" t="str">
        <f>IF(O$105=1,geen,HLOOKUP(IF(O$80="",referentie_verwarming,O$80),toestellen_RV,ROWS(bibliotheek!$E$79:$E$100),FALSE))</f>
        <v>elektrisch element</v>
      </c>
      <c r="P131" s="346" t="str">
        <f>IF(OR(P$101=geen,P$105=1),geen,HLOOKUP(IF(P$80="",referentie_koeling,P$80),toestellen_KOEL,ROWS(bibliotheek!$E$170:$E$183),FALSE))</f>
        <v>geen</v>
      </c>
      <c r="Q131" s="346" t="str">
        <f>IF(Q105=1,geen,HLOOKUP(IF(Q$80="",referentie_warmtapwater,Q$80),toestellen_TAP,ROWS(bibliotheek!$E$136:$E$157),FALSE))</f>
        <v>elektrisch element</v>
      </c>
      <c r="R131" s="331"/>
      <c r="S131" s="331"/>
      <c r="T131" s="331"/>
      <c r="U131" s="331"/>
      <c r="V131" s="331"/>
      <c r="W131" s="331"/>
      <c r="X131" s="130"/>
      <c r="Y131" s="330" t="str">
        <f>IF(OR(Y$12=0,AA134=0),"-","RV: "&amp;AA131)</f>
        <v>-</v>
      </c>
      <c r="Z131" s="136"/>
      <c r="AA131" s="346" t="str">
        <f>IF(AA$105=1,geen,HLOOKUP(IF(AA$80="",referentie_verwarming,AA$80),toestellen_RV,ROWS(bibliotheek!$E$79:$E$100),FALSE))</f>
        <v>elektrisch element</v>
      </c>
      <c r="AB131" s="346" t="str">
        <f>IF(OR(AB$101=geen,AB$105=1),geen,HLOOKUP(IF(AB$80="",referentie_koeling,AB$80),toestellen_KOEL,ROWS(bibliotheek!$E$170:$E$183),FALSE))</f>
        <v>geen</v>
      </c>
      <c r="AC131" s="346" t="str">
        <f>IF(AC105=1,geen,HLOOKUP(IF(AC$80="",referentie_warmtapwater,AC$80),toestellen_TAP,ROWS(bibliotheek!$E$136:$E$157),FALSE))</f>
        <v>elektrisch element</v>
      </c>
      <c r="AD131" s="331"/>
      <c r="AE131" s="331"/>
      <c r="AF131" s="331"/>
      <c r="AG131" s="331"/>
      <c r="AH131" s="331"/>
      <c r="AI131" s="331"/>
      <c r="AJ131" s="130"/>
      <c r="AK131" s="330" t="str">
        <f>IF(OR(AK$12=0,AM134=0),"-","RV: "&amp;AM131)</f>
        <v>-</v>
      </c>
      <c r="AL131" s="136"/>
      <c r="AM131" s="346" t="str">
        <f>IF(AM$105=1,geen,HLOOKUP(IF(AM$80="",referentie_verwarming,AM$80),toestellen_RV,ROWS(bibliotheek!$E$79:$E$100),FALSE))</f>
        <v>elektrisch element</v>
      </c>
      <c r="AN131" s="346" t="str">
        <f>IF(OR(AN$101=geen,AN$105=1),geen,HLOOKUP(IF(AN$80="",referentie_koeling,AN$80),toestellen_KOEL,ROWS(bibliotheek!$E$170:$E$183),FALSE))</f>
        <v>geen</v>
      </c>
      <c r="AO131" s="346" t="str">
        <f>IF(AO105=1,geen,HLOOKUP(IF(AO$80="",referentie_warmtapwater,AO$80),toestellen_TAP,ROWS(bibliotheek!$E$136:$E$157),FALSE))</f>
        <v>elektrisch element</v>
      </c>
      <c r="AP131" s="331"/>
      <c r="AQ131" s="331"/>
      <c r="AR131" s="331"/>
      <c r="AS131" s="331"/>
      <c r="AT131" s="331"/>
      <c r="AU131" s="331"/>
      <c r="AV131" s="130"/>
      <c r="AW131" s="330" t="str">
        <f>IF(OR(AW$12=0,AY134=0),"-","RV: "&amp;AY131)</f>
        <v>-</v>
      </c>
      <c r="AX131" s="136"/>
      <c r="AY131" s="346" t="str">
        <f>IF(AY$105=1,geen,HLOOKUP(IF(AY$80="",referentie_verwarming,AY$80),toestellen_RV,ROWS(bibliotheek!$E$79:$E$100),FALSE))</f>
        <v>elektrisch element</v>
      </c>
      <c r="AZ131" s="346" t="str">
        <f>IF(OR(AZ$101=geen,AZ$105=1),geen,HLOOKUP(IF(AZ$80="",referentie_koeling,AZ$80),toestellen_KOEL,ROWS(bibliotheek!$E$170:$E$183),FALSE))</f>
        <v>geen</v>
      </c>
      <c r="BA131" s="346" t="str">
        <f>IF(BA105=1,geen,HLOOKUP(IF(BA$80="",referentie_warmtapwater,BA$80),toestellen_TAP,ROWS(bibliotheek!$E$136:$E$157),FALSE))</f>
        <v>elektrisch element</v>
      </c>
      <c r="BB131" s="331"/>
      <c r="BC131" s="331"/>
      <c r="BD131" s="331"/>
      <c r="BE131" s="331"/>
      <c r="BF131" s="331"/>
      <c r="BG131" s="331"/>
      <c r="BH131" s="266"/>
    </row>
    <row r="132" spans="1:60" hidden="1" x14ac:dyDescent="0.2">
      <c r="A132" s="648"/>
      <c r="B132" s="492" t="s">
        <v>235</v>
      </c>
      <c r="C132" s="656" t="s">
        <v>199</v>
      </c>
      <c r="D132" s="747"/>
      <c r="E132" s="220" t="s">
        <v>208</v>
      </c>
      <c r="F132" s="220"/>
      <c r="G132" s="220"/>
      <c r="H132" s="221" t="s">
        <v>70</v>
      </c>
      <c r="I132" s="90"/>
      <c r="J132" s="230"/>
      <c r="K132" s="90"/>
      <c r="L132" s="90"/>
      <c r="M132" s="230"/>
      <c r="N132" s="129"/>
      <c r="O132" s="347" t="str">
        <f>IF(O131=geen,nvt,HLOOKUP(IF(O$80="",referentie_verwarming,O$80),toestellen_RV,ROWS(bibliotheek!$E$79:$E$101),FALSE))</f>
        <v>elektriciteit</v>
      </c>
      <c r="P132" s="208" t="str">
        <f>IF(P131=geen,nvt,HLOOKUP(IF(P$80="",referentie_koeling,P$80),toestellen_KOEL,ROWS(bibliotheek!$E$170:$E$184),FALSE))</f>
        <v>nvt</v>
      </c>
      <c r="Q132" s="272" t="str">
        <f>IF(Q131=geen,nvt,HLOOKUP(IF(Q$80="",referentie_warmtapwater,Q$80),toestellen_TAP,ROWS(bibliotheek!$E$136:$E$158),FALSE))</f>
        <v>elektriciteit</v>
      </c>
      <c r="R132" s="332"/>
      <c r="S132" s="332"/>
      <c r="T132" s="332"/>
      <c r="U132" s="332"/>
      <c r="V132" s="332"/>
      <c r="W132" s="332"/>
      <c r="X132" s="122"/>
      <c r="Y132" s="230"/>
      <c r="Z132" s="129"/>
      <c r="AA132" s="347" t="str">
        <f>IF(AA131=geen,nvt,HLOOKUP(IF(AA$80="",referentie_verwarming,AA$80),toestellen_RV,ROWS(bibliotheek!$E$79:$E$101),FALSE))</f>
        <v>elektriciteit</v>
      </c>
      <c r="AB132" s="208" t="str">
        <f>IF(AB131=geen,nvt,HLOOKUP(IF(AB$80="",referentie_koeling,AB$80),toestellen_KOEL,ROWS(bibliotheek!$E$170:$E$184),FALSE))</f>
        <v>nvt</v>
      </c>
      <c r="AC132" s="272" t="str">
        <f>IF(AC131=geen,nvt,HLOOKUP(IF(AC$80="",referentie_warmtapwater,AC$80),toestellen_TAP,ROWS(bibliotheek!$E$136:$E$158),FALSE))</f>
        <v>elektriciteit</v>
      </c>
      <c r="AD132" s="332"/>
      <c r="AE132" s="332"/>
      <c r="AF132" s="332"/>
      <c r="AG132" s="332"/>
      <c r="AH132" s="332"/>
      <c r="AI132" s="332"/>
      <c r="AJ132" s="122"/>
      <c r="AK132" s="230"/>
      <c r="AL132" s="129"/>
      <c r="AM132" s="347" t="str">
        <f>IF(AM131=geen,nvt,HLOOKUP(IF(AM$80="",referentie_verwarming,AM$80),toestellen_RV,ROWS(bibliotheek!$E$79:$E$101),FALSE))</f>
        <v>elektriciteit</v>
      </c>
      <c r="AN132" s="208" t="str">
        <f>IF(AN131=geen,nvt,HLOOKUP(IF(AN$80="",referentie_koeling,AN$80),toestellen_KOEL,ROWS(bibliotheek!$E$170:$E$184),FALSE))</f>
        <v>nvt</v>
      </c>
      <c r="AO132" s="272" t="str">
        <f>IF(AO131=geen,nvt,HLOOKUP(IF(AO$80="",referentie_warmtapwater,AO$80),toestellen_TAP,ROWS(bibliotheek!$E$136:$E$158),FALSE))</f>
        <v>elektriciteit</v>
      </c>
      <c r="AP132" s="332"/>
      <c r="AQ132" s="332"/>
      <c r="AR132" s="332"/>
      <c r="AS132" s="332"/>
      <c r="AT132" s="332"/>
      <c r="AU132" s="332"/>
      <c r="AV132" s="122"/>
      <c r="AW132" s="230"/>
      <c r="AX132" s="129"/>
      <c r="AY132" s="347" t="str">
        <f>IF(AY131=geen,nvt,HLOOKUP(IF(AY$80="",referentie_verwarming,AY$80),toestellen_RV,ROWS(bibliotheek!$E$79:$E$101),FALSE))</f>
        <v>elektriciteit</v>
      </c>
      <c r="AZ132" s="208" t="str">
        <f>IF(AZ131=geen,nvt,HLOOKUP(IF(AZ$80="",referentie_koeling,AZ$80),toestellen_KOEL,ROWS(bibliotheek!$E$170:$E$184),FALSE))</f>
        <v>nvt</v>
      </c>
      <c r="BA132" s="272" t="str">
        <f>IF(BA131=geen,nvt,HLOOKUP(IF(BA$80="",referentie_warmtapwater,BA$80),toestellen_TAP,ROWS(bibliotheek!$E$136:$E$158),FALSE))</f>
        <v>elektriciteit</v>
      </c>
      <c r="BB132" s="332"/>
      <c r="BC132" s="332"/>
      <c r="BD132" s="332"/>
      <c r="BE132" s="332"/>
      <c r="BF132" s="332"/>
      <c r="BG132" s="332"/>
      <c r="BH132" s="214"/>
    </row>
    <row r="133" spans="1:60" hidden="1" x14ac:dyDescent="0.2">
      <c r="A133" s="648"/>
      <c r="B133" s="492" t="s">
        <v>235</v>
      </c>
      <c r="C133" s="739" t="s">
        <v>199</v>
      </c>
      <c r="D133" s="747"/>
      <c r="E133" s="221" t="s">
        <v>209</v>
      </c>
      <c r="F133" s="220"/>
      <c r="G133" s="220"/>
      <c r="H133" s="221" t="s">
        <v>70</v>
      </c>
      <c r="I133" s="146"/>
      <c r="J133" s="230"/>
      <c r="K133" s="822"/>
      <c r="L133" s="822"/>
      <c r="M133" s="230"/>
      <c r="N133" s="129"/>
      <c r="O133" s="347" t="str">
        <f>INDEX(energiedragers_index_fPren,MATCH(O132,energiedragers_namen,0))</f>
        <v>nren</v>
      </c>
      <c r="P133" s="208" t="str">
        <f>INDEX(energiedragers_index_fPren,MATCH(P132,energiedragers_namen,0))</f>
        <v>nren</v>
      </c>
      <c r="Q133" s="272" t="str">
        <f>INDEX(energiedragers_index_fPren,MATCH(Q132,energiedragers_namen,0))</f>
        <v>nren</v>
      </c>
      <c r="R133" s="333"/>
      <c r="S133" s="333"/>
      <c r="T133" s="333"/>
      <c r="U133" s="333"/>
      <c r="V133" s="333"/>
      <c r="W133" s="333"/>
      <c r="X133" s="889"/>
      <c r="Y133" s="230"/>
      <c r="Z133" s="129"/>
      <c r="AA133" s="347" t="str">
        <f>INDEX(energiedragers_index_fPren,MATCH(AA132,energiedragers_namen,0))</f>
        <v>nren</v>
      </c>
      <c r="AB133" s="208" t="str">
        <f>INDEX(energiedragers_index_fPren,MATCH(AB132,energiedragers_namen,0))</f>
        <v>nren</v>
      </c>
      <c r="AC133" s="272" t="str">
        <f>INDEX(energiedragers_index_fPren,MATCH(AC132,energiedragers_namen,0))</f>
        <v>nren</v>
      </c>
      <c r="AD133" s="333"/>
      <c r="AE133" s="333"/>
      <c r="AF133" s="333"/>
      <c r="AG133" s="333"/>
      <c r="AH133" s="333"/>
      <c r="AI133" s="333"/>
      <c r="AJ133" s="889"/>
      <c r="AK133" s="230"/>
      <c r="AL133" s="129"/>
      <c r="AM133" s="347" t="str">
        <f>INDEX(energiedragers_index_fPren,MATCH(AM132,energiedragers_namen,0))</f>
        <v>nren</v>
      </c>
      <c r="AN133" s="208" t="str">
        <f>INDEX(energiedragers_index_fPren,MATCH(AN132,energiedragers_namen,0))</f>
        <v>nren</v>
      </c>
      <c r="AO133" s="272" t="str">
        <f>INDEX(energiedragers_index_fPren,MATCH(AO132,energiedragers_namen,0))</f>
        <v>nren</v>
      </c>
      <c r="AP133" s="333"/>
      <c r="AQ133" s="333"/>
      <c r="AR133" s="333"/>
      <c r="AS133" s="333"/>
      <c r="AT133" s="333"/>
      <c r="AU133" s="333"/>
      <c r="AV133" s="889"/>
      <c r="AW133" s="230"/>
      <c r="AX133" s="129"/>
      <c r="AY133" s="347" t="str">
        <f>INDEX(energiedragers_index_fPren,MATCH(AY132,energiedragers_namen,0))</f>
        <v>nren</v>
      </c>
      <c r="AZ133" s="208" t="str">
        <f>INDEX(energiedragers_index_fPren,MATCH(AZ132,energiedragers_namen,0))</f>
        <v>nren</v>
      </c>
      <c r="BA133" s="272" t="str">
        <f>INDEX(energiedragers_index_fPren,MATCH(BA132,energiedragers_namen,0))</f>
        <v>nren</v>
      </c>
      <c r="BB133" s="333"/>
      <c r="BC133" s="333"/>
      <c r="BD133" s="333"/>
      <c r="BE133" s="333"/>
      <c r="BF133" s="333"/>
      <c r="BG133" s="333"/>
      <c r="BH133" s="264"/>
    </row>
    <row r="134" spans="1:60" hidden="1" x14ac:dyDescent="0.2">
      <c r="A134" s="648"/>
      <c r="B134" s="492" t="s">
        <v>235</v>
      </c>
      <c r="C134" s="656" t="s">
        <v>199</v>
      </c>
      <c r="D134" s="747"/>
      <c r="E134" s="220" t="s">
        <v>211</v>
      </c>
      <c r="F134" s="220"/>
      <c r="G134" s="220"/>
      <c r="H134" s="221" t="s">
        <v>70</v>
      </c>
      <c r="I134" s="90"/>
      <c r="J134" s="230"/>
      <c r="K134" s="115"/>
      <c r="L134" s="115"/>
      <c r="M134" s="230"/>
      <c r="N134" s="129"/>
      <c r="O134" s="348">
        <f>1-O105</f>
        <v>9.9999999999999978E-2</v>
      </c>
      <c r="P134" s="348">
        <f>1-P105</f>
        <v>0</v>
      </c>
      <c r="Q134" s="348">
        <f>1-Q105</f>
        <v>9.9999999999999978E-2</v>
      </c>
      <c r="R134" s="334"/>
      <c r="S134" s="334"/>
      <c r="T134" s="334"/>
      <c r="U134" s="334"/>
      <c r="V134" s="334"/>
      <c r="W134" s="334"/>
      <c r="X134" s="122"/>
      <c r="Y134" s="230"/>
      <c r="Z134" s="129"/>
      <c r="AA134" s="348">
        <f>1-AA105</f>
        <v>9.9999999999999978E-2</v>
      </c>
      <c r="AB134" s="348">
        <f>1-AB105</f>
        <v>0</v>
      </c>
      <c r="AC134" s="348">
        <f>1-AC105</f>
        <v>9.9999999999999978E-2</v>
      </c>
      <c r="AD134" s="334"/>
      <c r="AE134" s="334"/>
      <c r="AF134" s="334"/>
      <c r="AG134" s="334"/>
      <c r="AH134" s="334"/>
      <c r="AI134" s="334"/>
      <c r="AJ134" s="122"/>
      <c r="AK134" s="230"/>
      <c r="AL134" s="129"/>
      <c r="AM134" s="348">
        <f>1-AM105</f>
        <v>9.9999999999999978E-2</v>
      </c>
      <c r="AN134" s="348">
        <f>1-AN105</f>
        <v>0</v>
      </c>
      <c r="AO134" s="348">
        <f>1-AO105</f>
        <v>9.9999999999999978E-2</v>
      </c>
      <c r="AP134" s="334"/>
      <c r="AQ134" s="334"/>
      <c r="AR134" s="334"/>
      <c r="AS134" s="334"/>
      <c r="AT134" s="334"/>
      <c r="AU134" s="334"/>
      <c r="AV134" s="122"/>
      <c r="AW134" s="230"/>
      <c r="AX134" s="129"/>
      <c r="AY134" s="348">
        <f>1-AY105</f>
        <v>9.9999999999999978E-2</v>
      </c>
      <c r="AZ134" s="348">
        <f>1-AZ105</f>
        <v>0</v>
      </c>
      <c r="BA134" s="348">
        <f>1-BA105</f>
        <v>9.9999999999999978E-2</v>
      </c>
      <c r="BB134" s="334"/>
      <c r="BC134" s="334"/>
      <c r="BD134" s="334"/>
      <c r="BE134" s="334"/>
      <c r="BF134" s="334"/>
      <c r="BG134" s="334"/>
      <c r="BH134" s="214"/>
    </row>
    <row r="135" spans="1:60" hidden="1" x14ac:dyDescent="0.2">
      <c r="A135" s="648"/>
      <c r="B135" s="492" t="s">
        <v>235</v>
      </c>
      <c r="C135" s="656" t="s">
        <v>199</v>
      </c>
      <c r="D135" s="747"/>
      <c r="E135" s="220" t="s">
        <v>239</v>
      </c>
      <c r="F135" s="220"/>
      <c r="G135" s="220"/>
      <c r="H135" s="221" t="s">
        <v>177</v>
      </c>
      <c r="I135" s="90"/>
      <c r="J135" s="243">
        <f>M135+Y135+AK135+AW135</f>
        <v>0</v>
      </c>
      <c r="K135" s="294"/>
      <c r="L135" s="294"/>
      <c r="M135" s="243">
        <f>SUM(O135:X135)</f>
        <v>0</v>
      </c>
      <c r="N135" s="129"/>
      <c r="O135" s="207">
        <f>O$94*O134</f>
        <v>0</v>
      </c>
      <c r="P135" s="207">
        <f>P$94*P134</f>
        <v>0</v>
      </c>
      <c r="Q135" s="207">
        <f>Q$94*Q134</f>
        <v>0</v>
      </c>
      <c r="R135" s="335"/>
      <c r="S135" s="335"/>
      <c r="T135" s="335"/>
      <c r="U135" s="335"/>
      <c r="V135" s="335"/>
      <c r="W135" s="335"/>
      <c r="X135" s="118"/>
      <c r="Y135" s="243">
        <f>SUM(AA135:AJ135)</f>
        <v>0</v>
      </c>
      <c r="Z135" s="129"/>
      <c r="AA135" s="207">
        <f>AA$94*AA134</f>
        <v>0</v>
      </c>
      <c r="AB135" s="207">
        <f>AB$94*AB134</f>
        <v>0</v>
      </c>
      <c r="AC135" s="207">
        <f>AC$94*AC134</f>
        <v>0</v>
      </c>
      <c r="AD135" s="335"/>
      <c r="AE135" s="335"/>
      <c r="AF135" s="335"/>
      <c r="AG135" s="335"/>
      <c r="AH135" s="335"/>
      <c r="AI135" s="335"/>
      <c r="AJ135" s="118"/>
      <c r="AK135" s="243">
        <f>SUM(AM135:AV135)</f>
        <v>0</v>
      </c>
      <c r="AL135" s="129"/>
      <c r="AM135" s="207">
        <f>AM$94*AM134</f>
        <v>0</v>
      </c>
      <c r="AN135" s="207">
        <f>AN$94*AN134</f>
        <v>0</v>
      </c>
      <c r="AO135" s="207">
        <f>AO$94*AO134</f>
        <v>0</v>
      </c>
      <c r="AP135" s="335"/>
      <c r="AQ135" s="335"/>
      <c r="AR135" s="335"/>
      <c r="AS135" s="335"/>
      <c r="AT135" s="335"/>
      <c r="AU135" s="335"/>
      <c r="AV135" s="118"/>
      <c r="AW135" s="243">
        <f>SUM(AY135:BH135)</f>
        <v>0</v>
      </c>
      <c r="AX135" s="129"/>
      <c r="AY135" s="207">
        <f>AY$94*AY134</f>
        <v>0</v>
      </c>
      <c r="AZ135" s="207">
        <f>AZ$94*AZ134</f>
        <v>0</v>
      </c>
      <c r="BA135" s="207">
        <f>BA$94*BA134</f>
        <v>0</v>
      </c>
      <c r="BB135" s="335"/>
      <c r="BC135" s="335"/>
      <c r="BD135" s="335"/>
      <c r="BE135" s="335"/>
      <c r="BF135" s="335"/>
      <c r="BG135" s="335"/>
      <c r="BH135" s="255"/>
    </row>
    <row r="136" spans="1:60" x14ac:dyDescent="0.2">
      <c r="A136" s="648"/>
      <c r="B136" s="492" t="s">
        <v>235</v>
      </c>
      <c r="C136" s="656" t="s">
        <v>127</v>
      </c>
      <c r="D136" s="747"/>
      <c r="E136" s="316" t="s">
        <v>240</v>
      </c>
      <c r="F136" s="316"/>
      <c r="G136" s="316"/>
      <c r="H136" s="354" t="s">
        <v>70</v>
      </c>
      <c r="I136" s="90"/>
      <c r="J136" s="229"/>
      <c r="K136" s="90"/>
      <c r="L136" s="90"/>
      <c r="M136" s="229"/>
      <c r="N136" s="131"/>
      <c r="O136" s="415">
        <f>IF(O137&lt;&gt;"",O137,HLOOKUP(IF(O$80="",referentie_verwarming,O$80),toestellen_RV,ROWS(bibliotheek!$E$79:$E$103),FALSE))</f>
        <v>1</v>
      </c>
      <c r="P136" s="415">
        <f>IF(P137&lt;&gt;"",P137,HLOOKUP(IF(P$80="",referentie_koeling,P$80),toestellen_KOEL,ROWS(bibliotheek!$E$170:$E$186),FALSE))</f>
        <v>0</v>
      </c>
      <c r="Q136" s="415">
        <f>IF(Q137&lt;&gt;"",Q137,HLOOKUP(IF(Q$80="",referentie_warmtapwater,Q$80),toestellen_TAP,ROWS(bibliotheek!$E$136:$E$160),FALSE))</f>
        <v>1</v>
      </c>
      <c r="R136" s="416"/>
      <c r="S136" s="416"/>
      <c r="T136" s="416"/>
      <c r="U136" s="416"/>
      <c r="V136" s="416"/>
      <c r="W136" s="416"/>
      <c r="X136" s="417"/>
      <c r="Y136" s="418"/>
      <c r="Z136" s="129"/>
      <c r="AA136" s="415">
        <f>IF(AA137&lt;&gt;"",AA137,HLOOKUP(IF(AA$80="",referentie_verwarming,AA$80),toestellen_RV,ROWS(bibliotheek!$E$79:$E$103),FALSE))</f>
        <v>1</v>
      </c>
      <c r="AB136" s="415">
        <f>IF(AB137&lt;&gt;"",AB137,HLOOKUP(IF(AB$80="",referentie_koeling,AB$80),toestellen_KOEL,ROWS(bibliotheek!$E$170:$E$186),FALSE))</f>
        <v>0</v>
      </c>
      <c r="AC136" s="415">
        <f>IF(AC137&lt;&gt;"",AC137,HLOOKUP(IF(AC$80="",referentie_warmtapwater,AC$80),toestellen_TAP,ROWS(bibliotheek!$E$136:$E$160),FALSE))</f>
        <v>1</v>
      </c>
      <c r="AD136" s="416"/>
      <c r="AE136" s="416"/>
      <c r="AF136" s="416"/>
      <c r="AG136" s="416"/>
      <c r="AH136" s="416"/>
      <c r="AI136" s="416"/>
      <c r="AJ136" s="417"/>
      <c r="AK136" s="418"/>
      <c r="AL136" s="129"/>
      <c r="AM136" s="415">
        <f>IF(AM137&lt;&gt;"",AM137,HLOOKUP(IF(AM$80="",referentie_verwarming,AM$80),toestellen_RV,ROWS(bibliotheek!$E$79:$E$103),FALSE))</f>
        <v>1</v>
      </c>
      <c r="AN136" s="415">
        <f>IF(AN137&lt;&gt;"",AN137,HLOOKUP(IF(AN$80="",referentie_koeling,AN$80),toestellen_KOEL,ROWS(bibliotheek!$E$170:$E$186),FALSE))</f>
        <v>0</v>
      </c>
      <c r="AO136" s="415">
        <f>IF(AO137&lt;&gt;"",AO137,HLOOKUP(IF(AO$80="",referentie_warmtapwater,AO$80),toestellen_TAP,ROWS(bibliotheek!$E$136:$E$160),FALSE))</f>
        <v>1</v>
      </c>
      <c r="AP136" s="416"/>
      <c r="AQ136" s="416"/>
      <c r="AR136" s="416"/>
      <c r="AS136" s="416"/>
      <c r="AT136" s="416"/>
      <c r="AU136" s="416"/>
      <c r="AV136" s="417"/>
      <c r="AW136" s="418"/>
      <c r="AX136" s="129"/>
      <c r="AY136" s="415">
        <f>IF(AY137&lt;&gt;"",AY137,HLOOKUP(IF(AY$80="",referentie_verwarming,AY$80),toestellen_RV,ROWS(bibliotheek!$E$79:$E$103),FALSE))</f>
        <v>1</v>
      </c>
      <c r="AZ136" s="415">
        <f>IF(AZ137&lt;&gt;"",AZ137,HLOOKUP(IF(AZ$80="",referentie_koeling,AZ$80),toestellen_KOEL,ROWS(bibliotheek!$E$170:$E$186),FALSE))</f>
        <v>0</v>
      </c>
      <c r="BA136" s="415">
        <f>IF(BA137&lt;&gt;"",BA137,HLOOKUP(IF(BA$80="",referentie_warmtapwater,BA$80),toestellen_TAP,ROWS(bibliotheek!$E$136:$E$160),FALSE))</f>
        <v>1</v>
      </c>
      <c r="BB136" s="363"/>
      <c r="BC136" s="363"/>
      <c r="BD136" s="363"/>
      <c r="BE136" s="363"/>
      <c r="BF136" s="363"/>
      <c r="BG136" s="363"/>
      <c r="BH136" s="214"/>
    </row>
    <row r="137" spans="1:60" x14ac:dyDescent="0.2">
      <c r="A137" s="648"/>
      <c r="B137" s="492" t="s">
        <v>235</v>
      </c>
      <c r="C137" s="656" t="s">
        <v>127</v>
      </c>
      <c r="D137" s="747"/>
      <c r="E137" s="412" t="s">
        <v>215</v>
      </c>
      <c r="F137" s="317"/>
      <c r="G137" s="317"/>
      <c r="H137" s="355"/>
      <c r="I137" s="90"/>
      <c r="J137" s="362"/>
      <c r="K137" s="90"/>
      <c r="L137" s="90"/>
      <c r="M137" s="239"/>
      <c r="N137" s="196"/>
      <c r="O137" s="723"/>
      <c r="P137" s="724"/>
      <c r="Q137" s="723"/>
      <c r="R137" s="725"/>
      <c r="S137" s="725"/>
      <c r="T137" s="725"/>
      <c r="U137" s="725"/>
      <c r="V137" s="725"/>
      <c r="W137" s="725"/>
      <c r="X137" s="414"/>
      <c r="Y137" s="726"/>
      <c r="Z137" s="129"/>
      <c r="AA137" s="723"/>
      <c r="AB137" s="724"/>
      <c r="AC137" s="723"/>
      <c r="AD137" s="725"/>
      <c r="AE137" s="725"/>
      <c r="AF137" s="725"/>
      <c r="AG137" s="725"/>
      <c r="AH137" s="725"/>
      <c r="AI137" s="725"/>
      <c r="AJ137" s="414"/>
      <c r="AK137" s="726"/>
      <c r="AL137" s="129"/>
      <c r="AM137" s="723"/>
      <c r="AN137" s="724"/>
      <c r="AO137" s="723"/>
      <c r="AP137" s="725"/>
      <c r="AQ137" s="725"/>
      <c r="AR137" s="725"/>
      <c r="AS137" s="725"/>
      <c r="AT137" s="725"/>
      <c r="AU137" s="725"/>
      <c r="AV137" s="414"/>
      <c r="AW137" s="726"/>
      <c r="AX137" s="129"/>
      <c r="AY137" s="723"/>
      <c r="AZ137" s="724"/>
      <c r="BA137" s="723"/>
      <c r="BB137" s="364"/>
      <c r="BC137" s="364"/>
      <c r="BD137" s="364"/>
      <c r="BE137" s="364"/>
      <c r="BF137" s="364"/>
      <c r="BG137" s="364"/>
      <c r="BH137" s="214"/>
    </row>
    <row r="138" spans="1:60" hidden="1" x14ac:dyDescent="0.2">
      <c r="A138" s="648"/>
      <c r="B138" s="492" t="s">
        <v>235</v>
      </c>
      <c r="C138" s="656" t="s">
        <v>199</v>
      </c>
      <c r="D138" s="747"/>
      <c r="E138" s="220" t="s">
        <v>241</v>
      </c>
      <c r="F138" s="220"/>
      <c r="G138" s="220"/>
      <c r="H138" s="221" t="s">
        <v>220</v>
      </c>
      <c r="I138" s="90"/>
      <c r="J138" s="243">
        <f>M138+Y138+AK138+AW138</f>
        <v>0</v>
      </c>
      <c r="K138" s="294"/>
      <c r="L138" s="294"/>
      <c r="M138" s="243">
        <f>SUM(O138:X138)</f>
        <v>0</v>
      </c>
      <c r="N138" s="129"/>
      <c r="O138" s="207">
        <f>IF(O$136=0,0,O$135/O$136)</f>
        <v>0</v>
      </c>
      <c r="P138" s="207">
        <f>IF(P$136=0,0,P$135/P$136)</f>
        <v>0</v>
      </c>
      <c r="Q138" s="207">
        <f>IF(Q$136=0,0,Q$135/Q$136)</f>
        <v>0</v>
      </c>
      <c r="R138" s="335"/>
      <c r="S138" s="335"/>
      <c r="T138" s="335"/>
      <c r="U138" s="335"/>
      <c r="V138" s="335"/>
      <c r="W138" s="335"/>
      <c r="X138" s="118"/>
      <c r="Y138" s="243">
        <f>SUM(AA138:AJ138)</f>
        <v>0</v>
      </c>
      <c r="Z138" s="129"/>
      <c r="AA138" s="207">
        <f>IF(AA$136=0,0,AA$135/AA$136)</f>
        <v>0</v>
      </c>
      <c r="AB138" s="207">
        <f>IF(AB$136=0,0,AB$135/AB$136)</f>
        <v>0</v>
      </c>
      <c r="AC138" s="207">
        <f>IF(AC$136=0,0,AC$135/AC$136)</f>
        <v>0</v>
      </c>
      <c r="AD138" s="335"/>
      <c r="AE138" s="335"/>
      <c r="AF138" s="335"/>
      <c r="AG138" s="335"/>
      <c r="AH138" s="335"/>
      <c r="AI138" s="335"/>
      <c r="AJ138" s="118"/>
      <c r="AK138" s="243">
        <f>SUM(AM138:AV138)</f>
        <v>0</v>
      </c>
      <c r="AL138" s="129"/>
      <c r="AM138" s="207">
        <f>IF(AM$136=0,0,AM$135/AM$136)</f>
        <v>0</v>
      </c>
      <c r="AN138" s="207">
        <f>IF(AN$136=0,0,AN$135/AN$136)</f>
        <v>0</v>
      </c>
      <c r="AO138" s="207">
        <f>IF(AO$136=0,0,AO$135/AO$136)</f>
        <v>0</v>
      </c>
      <c r="AP138" s="335"/>
      <c r="AQ138" s="335"/>
      <c r="AR138" s="335"/>
      <c r="AS138" s="335"/>
      <c r="AT138" s="335"/>
      <c r="AU138" s="335"/>
      <c r="AV138" s="118"/>
      <c r="AW138" s="243">
        <f>SUM(AY138:BH138)</f>
        <v>0</v>
      </c>
      <c r="AX138" s="129"/>
      <c r="AY138" s="207">
        <f>IF(AY$136=0,0,AY$135/AY$136)</f>
        <v>0</v>
      </c>
      <c r="AZ138" s="207">
        <f>IF(AZ$136=0,0,AZ$135/AZ$136)</f>
        <v>0</v>
      </c>
      <c r="BA138" s="207">
        <f>IF(BA$136=0,0,BA$135/BA$136)</f>
        <v>0</v>
      </c>
      <c r="BB138" s="335"/>
      <c r="BC138" s="335"/>
      <c r="BD138" s="335"/>
      <c r="BE138" s="335"/>
      <c r="BF138" s="335"/>
      <c r="BG138" s="335"/>
      <c r="BH138" s="255"/>
    </row>
    <row r="139" spans="1:60" ht="18.75" x14ac:dyDescent="0.2">
      <c r="A139" s="648"/>
      <c r="B139" s="492" t="s">
        <v>235</v>
      </c>
      <c r="C139" s="739" t="s">
        <v>104</v>
      </c>
      <c r="D139" s="747"/>
      <c r="E139" s="144" t="s">
        <v>114</v>
      </c>
      <c r="F139" s="231"/>
      <c r="G139" s="231"/>
      <c r="H139" s="89"/>
      <c r="I139" s="232"/>
      <c r="J139" s="231"/>
      <c r="K139" s="232"/>
      <c r="L139" s="232"/>
      <c r="M139" s="231"/>
      <c r="N139" s="232"/>
      <c r="O139" s="232"/>
      <c r="P139" s="232"/>
      <c r="Q139" s="232"/>
      <c r="R139" s="232"/>
      <c r="S139" s="232"/>
      <c r="T139" s="232"/>
      <c r="U139" s="232"/>
      <c r="V139" s="232"/>
      <c r="W139" s="232"/>
      <c r="X139" s="232"/>
      <c r="Y139" s="231"/>
      <c r="Z139" s="232"/>
      <c r="AA139" s="232"/>
      <c r="AB139" s="232"/>
      <c r="AC139" s="232"/>
      <c r="AD139" s="232"/>
      <c r="AE139" s="232"/>
      <c r="AF139" s="232"/>
      <c r="AG139" s="232"/>
      <c r="AH139" s="232"/>
      <c r="AI139" s="232"/>
      <c r="AJ139" s="232"/>
      <c r="AK139" s="231"/>
      <c r="AL139" s="232"/>
      <c r="AM139" s="232"/>
      <c r="AN139" s="232"/>
      <c r="AO139" s="232"/>
      <c r="AP139" s="232"/>
      <c r="AQ139" s="232"/>
      <c r="AR139" s="232"/>
      <c r="AS139" s="232"/>
      <c r="AT139" s="232"/>
      <c r="AU139" s="232"/>
      <c r="AV139" s="232"/>
      <c r="AW139" s="231"/>
      <c r="AX139" s="232"/>
      <c r="AY139" s="232"/>
      <c r="AZ139" s="232"/>
      <c r="BA139" s="232"/>
      <c r="BB139" s="232"/>
      <c r="BC139" s="232"/>
      <c r="BD139" s="232"/>
      <c r="BE139" s="232"/>
      <c r="BF139" s="232"/>
      <c r="BG139" s="232"/>
      <c r="BH139" s="38"/>
    </row>
    <row r="140" spans="1:60" x14ac:dyDescent="0.2">
      <c r="A140" s="648"/>
      <c r="B140" s="492" t="s">
        <v>235</v>
      </c>
      <c r="C140" s="656" t="s">
        <v>127</v>
      </c>
      <c r="D140" s="750" t="s">
        <v>50</v>
      </c>
      <c r="E140" s="316" t="s">
        <v>222</v>
      </c>
      <c r="F140" s="316"/>
      <c r="G140" s="316"/>
      <c r="H140" s="354" t="s">
        <v>223</v>
      </c>
      <c r="I140" s="90"/>
      <c r="J140" s="229"/>
      <c r="K140" s="90"/>
      <c r="L140" s="90"/>
      <c r="M140" s="229"/>
      <c r="N140" s="131"/>
      <c r="O140" s="353">
        <f>IF(O135=0,0,IF(O141&lt;&gt;"",O141,IF(O132=elektriciteit,$G$5,HLOOKUP(O132,ENERGIEDRAGERS,ROWS(bibliotheek!$E$221:$E$223),FALSE))))</f>
        <v>0</v>
      </c>
      <c r="P140" s="353">
        <f>IF(P135=0,0,IF(P141&lt;&gt;"",P141,IF(HLOOKUP(P132,ENERGIEDRAGERS,ROWS(bibliotheek!$E$221:$E$222),FALSE)=0,$G$5,HLOOKUP(P132,ENERGIEDRAGERS,ROWS(bibliotheek!$E$221:$E$223),FALSE))))</f>
        <v>0</v>
      </c>
      <c r="Q140" s="353">
        <f>IF(Q135=0,0,IF(Q141&lt;&gt;"",Q141,IF(Q132=elektriciteit,$G$5,HLOOKUP(Q132,ENERGIEDRAGERS,ROWS(bibliotheek!$E$221:$E$223),FALSE))))</f>
        <v>0</v>
      </c>
      <c r="R140" s="365"/>
      <c r="S140" s="365"/>
      <c r="T140" s="365"/>
      <c r="U140" s="365"/>
      <c r="V140" s="365"/>
      <c r="W140" s="365"/>
      <c r="X140" s="122"/>
      <c r="Y140" s="229"/>
      <c r="Z140" s="131"/>
      <c r="AA140" s="353">
        <f>IF(AA135=0,0,IF(AA141&lt;&gt;"",AA141,IF(AA132=elektriciteit,$G$5,HLOOKUP(AA132,ENERGIEDRAGERS,ROWS(bibliotheek!$E$221:$E$223),FALSE))))</f>
        <v>0</v>
      </c>
      <c r="AB140" s="353">
        <f>IF(AB135=0,0,IF(AB141&lt;&gt;"",AB141,IF(HLOOKUP(AB132,ENERGIEDRAGERS,ROWS(bibliotheek!$E$221:$E$222),FALSE)=0,$G$5,HLOOKUP(AB132,ENERGIEDRAGERS,ROWS(bibliotheek!$E$221:$E$223),FALSE))))</f>
        <v>0</v>
      </c>
      <c r="AC140" s="353">
        <f>IF(AC135=0,0,IF(AC141&lt;&gt;"",AC141,IF(AC132=elektriciteit,$G$5,HLOOKUP(AC132,ENERGIEDRAGERS,ROWS(bibliotheek!$E$221:$E$223),FALSE))))</f>
        <v>0</v>
      </c>
      <c r="AD140" s="365"/>
      <c r="AE140" s="365"/>
      <c r="AF140" s="365"/>
      <c r="AG140" s="365"/>
      <c r="AH140" s="365"/>
      <c r="AI140" s="365"/>
      <c r="AJ140" s="122"/>
      <c r="AK140" s="229"/>
      <c r="AL140" s="131"/>
      <c r="AM140" s="353">
        <f>IF(AM135=0,0,IF(AM141&lt;&gt;"",AM141,IF(AM132=elektriciteit,$G$5,HLOOKUP(AM132,ENERGIEDRAGERS,ROWS(bibliotheek!$E$221:$E$223),FALSE))))</f>
        <v>0</v>
      </c>
      <c r="AN140" s="353">
        <f>IF(AN135=0,0,IF(AN141&lt;&gt;"",AN141,IF(HLOOKUP(AN132,ENERGIEDRAGERS,ROWS(bibliotheek!$E$221:$E$222),FALSE)=0,$G$5,HLOOKUP(AN132,ENERGIEDRAGERS,ROWS(bibliotheek!$E$221:$E$223),FALSE))))</f>
        <v>0</v>
      </c>
      <c r="AO140" s="353">
        <f>IF(AO135=0,0,IF(AO141&lt;&gt;"",AO141,IF(AO132=elektriciteit,$G$5,HLOOKUP(AO132,ENERGIEDRAGERS,ROWS(bibliotheek!$E$221:$E$223),FALSE))))</f>
        <v>0</v>
      </c>
      <c r="AP140" s="365"/>
      <c r="AQ140" s="365"/>
      <c r="AR140" s="365"/>
      <c r="AS140" s="365"/>
      <c r="AT140" s="365"/>
      <c r="AU140" s="365"/>
      <c r="AV140" s="122"/>
      <c r="AW140" s="229"/>
      <c r="AX140" s="131"/>
      <c r="AY140" s="353">
        <f>IF(AY135=0,0,IF(AY141&lt;&gt;"",AY141,IF(AY132=elektriciteit,$G$5,HLOOKUP(AY132,ENERGIEDRAGERS,ROWS(bibliotheek!$E$221:$E$223),FALSE))))</f>
        <v>0</v>
      </c>
      <c r="AZ140" s="353">
        <f>IF(AZ135=0,0,IF(AZ141&lt;&gt;"",AZ141,IF(HLOOKUP(AZ132,ENERGIEDRAGERS,ROWS(bibliotheek!$E$221:$E$222),FALSE)=0,$G$5,HLOOKUP(AZ132,ENERGIEDRAGERS,ROWS(bibliotheek!$E$221:$E$223),FALSE))))</f>
        <v>0</v>
      </c>
      <c r="BA140" s="353">
        <f>IF(BA135=0,0,IF(BA141&lt;&gt;"",BA141,IF(BA132=elektriciteit,$G$5,HLOOKUP(BA132,ENERGIEDRAGERS,ROWS(bibliotheek!$E$221:$E$223),FALSE))))</f>
        <v>0</v>
      </c>
      <c r="BB140" s="365"/>
      <c r="BC140" s="365"/>
      <c r="BD140" s="365"/>
      <c r="BE140" s="365"/>
      <c r="BF140" s="365"/>
      <c r="BG140" s="365"/>
      <c r="BH140" s="214"/>
    </row>
    <row r="141" spans="1:60" x14ac:dyDescent="0.2">
      <c r="A141" s="648"/>
      <c r="B141" s="492" t="s">
        <v>235</v>
      </c>
      <c r="C141" s="656" t="s">
        <v>127</v>
      </c>
      <c r="D141" s="747"/>
      <c r="E141" s="412" t="s">
        <v>224</v>
      </c>
      <c r="F141" s="317"/>
      <c r="G141" s="317"/>
      <c r="H141" s="355"/>
      <c r="I141" s="90"/>
      <c r="J141" s="362"/>
      <c r="K141" s="90"/>
      <c r="L141" s="90"/>
      <c r="M141" s="239"/>
      <c r="N141" s="196"/>
      <c r="O141" s="723"/>
      <c r="P141" s="724"/>
      <c r="Q141" s="723"/>
      <c r="R141" s="725"/>
      <c r="S141" s="725"/>
      <c r="T141" s="725"/>
      <c r="U141" s="725"/>
      <c r="V141" s="725"/>
      <c r="W141" s="725"/>
      <c r="X141" s="414"/>
      <c r="Y141" s="726"/>
      <c r="Z141" s="129"/>
      <c r="AA141" s="723"/>
      <c r="AB141" s="724"/>
      <c r="AC141" s="723"/>
      <c r="AD141" s="725"/>
      <c r="AE141" s="725"/>
      <c r="AF141" s="725"/>
      <c r="AG141" s="725"/>
      <c r="AH141" s="725"/>
      <c r="AI141" s="725"/>
      <c r="AJ141" s="414"/>
      <c r="AK141" s="726"/>
      <c r="AL141" s="129"/>
      <c r="AM141" s="723"/>
      <c r="AN141" s="724"/>
      <c r="AO141" s="723"/>
      <c r="AP141" s="725"/>
      <c r="AQ141" s="725"/>
      <c r="AR141" s="725"/>
      <c r="AS141" s="725"/>
      <c r="AT141" s="725"/>
      <c r="AU141" s="725"/>
      <c r="AV141" s="414"/>
      <c r="AW141" s="726"/>
      <c r="AX141" s="129"/>
      <c r="AY141" s="723"/>
      <c r="AZ141" s="724"/>
      <c r="BA141" s="723"/>
      <c r="BB141" s="364"/>
      <c r="BC141" s="364"/>
      <c r="BD141" s="364"/>
      <c r="BE141" s="364"/>
      <c r="BF141" s="364"/>
      <c r="BG141" s="364"/>
      <c r="BH141" s="214"/>
    </row>
    <row r="142" spans="1:60" x14ac:dyDescent="0.2">
      <c r="A142" s="648"/>
      <c r="B142" s="492" t="s">
        <v>235</v>
      </c>
      <c r="C142" s="656" t="s">
        <v>113</v>
      </c>
      <c r="D142" s="747"/>
      <c r="E142" s="220" t="s">
        <v>114</v>
      </c>
      <c r="F142" s="221"/>
      <c r="G142" s="221"/>
      <c r="H142" s="221" t="s">
        <v>115</v>
      </c>
      <c r="I142" s="90"/>
      <c r="J142" s="243">
        <f>M142+Y142+AK142+AW142</f>
        <v>0</v>
      </c>
      <c r="K142" s="823"/>
      <c r="L142" s="823"/>
      <c r="M142" s="243">
        <f>SUM(O142:X142)</f>
        <v>0</v>
      </c>
      <c r="N142" s="129"/>
      <c r="O142" s="207">
        <f>O$138*O$140</f>
        <v>0</v>
      </c>
      <c r="P142" s="207">
        <f>P$138*P$140</f>
        <v>0</v>
      </c>
      <c r="Q142" s="207">
        <f>Q$138*Q$140</f>
        <v>0</v>
      </c>
      <c r="R142" s="335"/>
      <c r="S142" s="335"/>
      <c r="T142" s="335"/>
      <c r="U142" s="335"/>
      <c r="V142" s="335"/>
      <c r="W142" s="335"/>
      <c r="X142" s="128"/>
      <c r="Y142" s="243">
        <f>SUM(AA142:AJ142)</f>
        <v>0</v>
      </c>
      <c r="Z142" s="129"/>
      <c r="AA142" s="207">
        <f>AA$138*AA$140</f>
        <v>0</v>
      </c>
      <c r="AB142" s="207">
        <f>AB$138*AB$140</f>
        <v>0</v>
      </c>
      <c r="AC142" s="207">
        <f>AC$138*AC$140</f>
        <v>0</v>
      </c>
      <c r="AD142" s="335"/>
      <c r="AE142" s="335"/>
      <c r="AF142" s="335"/>
      <c r="AG142" s="335"/>
      <c r="AH142" s="335"/>
      <c r="AI142" s="335"/>
      <c r="AJ142" s="128"/>
      <c r="AK142" s="243">
        <f>SUM(AM142:AV142)</f>
        <v>0</v>
      </c>
      <c r="AL142" s="129"/>
      <c r="AM142" s="207">
        <f>AM$138*AM$140</f>
        <v>0</v>
      </c>
      <c r="AN142" s="207">
        <f>AN$138*AN$140</f>
        <v>0</v>
      </c>
      <c r="AO142" s="207">
        <f>AO$138*AO$140</f>
        <v>0</v>
      </c>
      <c r="AP142" s="335"/>
      <c r="AQ142" s="335"/>
      <c r="AR142" s="335"/>
      <c r="AS142" s="335"/>
      <c r="AT142" s="335"/>
      <c r="AU142" s="335"/>
      <c r="AV142" s="128"/>
      <c r="AW142" s="243">
        <f>SUM(AY142:BH142)</f>
        <v>0</v>
      </c>
      <c r="AX142" s="129"/>
      <c r="AY142" s="207">
        <f>AY$138*AY$140</f>
        <v>0</v>
      </c>
      <c r="AZ142" s="207">
        <f>AZ$138*AZ$140</f>
        <v>0</v>
      </c>
      <c r="BA142" s="207">
        <f>BA$138*BA$140</f>
        <v>0</v>
      </c>
      <c r="BB142" s="335"/>
      <c r="BC142" s="335"/>
      <c r="BD142" s="335"/>
      <c r="BE142" s="335"/>
      <c r="BF142" s="335"/>
      <c r="BG142" s="335"/>
      <c r="BH142" s="255"/>
    </row>
    <row r="143" spans="1:60" ht="18.75" x14ac:dyDescent="0.2">
      <c r="A143" s="648"/>
      <c r="B143" s="492" t="s">
        <v>235</v>
      </c>
      <c r="C143" s="739" t="s">
        <v>104</v>
      </c>
      <c r="D143" s="747"/>
      <c r="E143" s="231" t="s">
        <v>116</v>
      </c>
      <c r="F143" s="231"/>
      <c r="G143" s="231"/>
      <c r="H143" s="89"/>
      <c r="I143" s="232"/>
      <c r="J143" s="231"/>
      <c r="K143" s="232"/>
      <c r="L143" s="232"/>
      <c r="M143" s="231"/>
      <c r="N143" s="232"/>
      <c r="O143" s="232"/>
      <c r="P143" s="232"/>
      <c r="Q143" s="232"/>
      <c r="R143" s="232"/>
      <c r="S143" s="232"/>
      <c r="T143" s="232"/>
      <c r="U143" s="232"/>
      <c r="V143" s="232"/>
      <c r="W143" s="232"/>
      <c r="X143" s="232"/>
      <c r="Y143" s="231"/>
      <c r="Z143" s="232"/>
      <c r="AA143" s="232"/>
      <c r="AB143" s="232"/>
      <c r="AC143" s="232"/>
      <c r="AD143" s="232"/>
      <c r="AE143" s="232"/>
      <c r="AF143" s="232"/>
      <c r="AG143" s="232"/>
      <c r="AH143" s="232"/>
      <c r="AI143" s="232"/>
      <c r="AJ143" s="232"/>
      <c r="AK143" s="231"/>
      <c r="AL143" s="232"/>
      <c r="AM143" s="232"/>
      <c r="AN143" s="232"/>
      <c r="AO143" s="232"/>
      <c r="AP143" s="232"/>
      <c r="AQ143" s="232"/>
      <c r="AR143" s="232"/>
      <c r="AS143" s="232"/>
      <c r="AT143" s="232"/>
      <c r="AU143" s="232"/>
      <c r="AV143" s="232"/>
      <c r="AW143" s="231"/>
      <c r="AX143" s="232"/>
      <c r="AY143" s="232"/>
      <c r="AZ143" s="232"/>
      <c r="BA143" s="232"/>
      <c r="BB143" s="232"/>
      <c r="BC143" s="232"/>
      <c r="BD143" s="232"/>
      <c r="BE143" s="232"/>
      <c r="BF143" s="232"/>
      <c r="BG143" s="232"/>
      <c r="BH143" s="38"/>
    </row>
    <row r="144" spans="1:60" x14ac:dyDescent="0.2">
      <c r="A144" s="648"/>
      <c r="B144" s="492" t="s">
        <v>235</v>
      </c>
      <c r="C144" s="656" t="s">
        <v>127</v>
      </c>
      <c r="D144" s="747"/>
      <c r="E144" s="366" t="s">
        <v>225</v>
      </c>
      <c r="F144" s="316"/>
      <c r="G144" s="316"/>
      <c r="H144" s="354" t="s">
        <v>226</v>
      </c>
      <c r="I144" s="90"/>
      <c r="J144" s="229"/>
      <c r="K144" s="90"/>
      <c r="L144" s="90"/>
      <c r="M144" s="229"/>
      <c r="N144" s="131"/>
      <c r="O144" s="415">
        <f>IF(O135=0,0,IF(O145&lt;&gt;"",O145,IF(O132=elektriciteit,$H$5,
HLOOKUP(O132,ENERGIEDRAGERS,ROWS(bibliotheek!$E$221:$E$224),FALSE))))</f>
        <v>0</v>
      </c>
      <c r="P144" s="415">
        <f>IF(P135=0,0,IF(P145&lt;&gt;"",P145,IF(P132=elektriciteit,$H$5,
HLOOKUP(P132,ENERGIEDRAGERS,ROWS(bibliotheek!$E$221:$E$224),FALSE))))</f>
        <v>0</v>
      </c>
      <c r="Q144" s="415">
        <f>IF(Q135=0,0,IF(Q145&lt;&gt;"",Q145,IF(Q132=elektriciteit,$H$5,
HLOOKUP(Q132,ENERGIEDRAGERS,ROWS(bibliotheek!$E$221:$E$224),FALSE))))</f>
        <v>0</v>
      </c>
      <c r="R144" s="416"/>
      <c r="S144" s="416"/>
      <c r="T144" s="416"/>
      <c r="U144" s="416"/>
      <c r="V144" s="416"/>
      <c r="W144" s="416"/>
      <c r="X144" s="417"/>
      <c r="Y144" s="229"/>
      <c r="Z144" s="419"/>
      <c r="AA144" s="415">
        <f>IF(AA135=0,0,IF(AA145&lt;&gt;"",AA145,IF(AA132=elektriciteit,$H$5,
HLOOKUP(AA132,ENERGIEDRAGERS,ROWS(bibliotheek!$E$221:$E$224),FALSE))))</f>
        <v>0</v>
      </c>
      <c r="AB144" s="415">
        <f>IF(AB135=0,0,IF(AB145&lt;&gt;"",AB145,IF(AB132=elektriciteit,$H$5,
HLOOKUP(AB132,ENERGIEDRAGERS,ROWS(bibliotheek!$E$221:$E$224),FALSE))))</f>
        <v>0</v>
      </c>
      <c r="AC144" s="415">
        <f>IF(AC135=0,0,IF(AC145&lt;&gt;"",AC145,IF(AC132=elektriciteit,$H$5,
HLOOKUP(AC132,ENERGIEDRAGERS,ROWS(bibliotheek!$E$221:$E$224),FALSE))))</f>
        <v>0</v>
      </c>
      <c r="AD144" s="416"/>
      <c r="AE144" s="416"/>
      <c r="AF144" s="416"/>
      <c r="AG144" s="416"/>
      <c r="AH144" s="416"/>
      <c r="AI144" s="416"/>
      <c r="AJ144" s="417"/>
      <c r="AK144" s="229"/>
      <c r="AL144" s="419"/>
      <c r="AM144" s="415">
        <f>IF(AM135=0,0,IF(AM145&lt;&gt;"",AM145,IF(AM132=elektriciteit,$H$5,
HLOOKUP(AM132,ENERGIEDRAGERS,ROWS(bibliotheek!$E$221:$E$224),FALSE))))</f>
        <v>0</v>
      </c>
      <c r="AN144" s="415">
        <f>IF(AN135=0,0,IF(AN145&lt;&gt;"",AN145,IF(AN132=elektriciteit,$H$5,
HLOOKUP(AN132,ENERGIEDRAGERS,ROWS(bibliotheek!$E$221:$E$224),FALSE))))</f>
        <v>0</v>
      </c>
      <c r="AO144" s="415">
        <f>IF(AO135=0,0,IF(AO145&lt;&gt;"",AO145,IF(AO132=elektriciteit,$H$5,
HLOOKUP(AO132,ENERGIEDRAGERS,ROWS(bibliotheek!$E$221:$E$224),FALSE))))</f>
        <v>0</v>
      </c>
      <c r="AP144" s="416"/>
      <c r="AQ144" s="416"/>
      <c r="AR144" s="416"/>
      <c r="AS144" s="416"/>
      <c r="AT144" s="416"/>
      <c r="AU144" s="416"/>
      <c r="AV144" s="417"/>
      <c r="AW144" s="229"/>
      <c r="AX144" s="419"/>
      <c r="AY144" s="415">
        <f>IF(AY135=0,0,IF(AY145&lt;&gt;"",AY145,IF(AY132=elektriciteit,$H$5,
HLOOKUP(AY132,ENERGIEDRAGERS,ROWS(bibliotheek!$E$221:$E$224),FALSE))))</f>
        <v>0</v>
      </c>
      <c r="AZ144" s="415">
        <f>IF(AZ135=0,0,IF(AZ145&lt;&gt;"",AZ145,IF(AZ132=elektriciteit,$H$5,
HLOOKUP(AZ132,ENERGIEDRAGERS,ROWS(bibliotheek!$E$221:$E$224),FALSE))))</f>
        <v>0</v>
      </c>
      <c r="BA144" s="415">
        <f>IF(BA135=0,0,IF(BA145&lt;&gt;"",BA145,IF(BA132=elektriciteit,$H$5,
HLOOKUP(BA132,ENERGIEDRAGERS,ROWS(bibliotheek!$E$221:$E$224),FALSE))))</f>
        <v>0</v>
      </c>
      <c r="BB144" s="365"/>
      <c r="BC144" s="365"/>
      <c r="BD144" s="365"/>
      <c r="BE144" s="365"/>
      <c r="BF144" s="365"/>
      <c r="BG144" s="365"/>
      <c r="BH144" s="214"/>
    </row>
    <row r="145" spans="1:60" x14ac:dyDescent="0.2">
      <c r="A145" s="648"/>
      <c r="B145" s="492" t="s">
        <v>235</v>
      </c>
      <c r="C145" s="656" t="s">
        <v>127</v>
      </c>
      <c r="D145" s="747"/>
      <c r="E145" s="412" t="s">
        <v>227</v>
      </c>
      <c r="F145" s="317"/>
      <c r="G145" s="317"/>
      <c r="H145" s="355"/>
      <c r="I145" s="90"/>
      <c r="J145" s="362"/>
      <c r="K145" s="90"/>
      <c r="L145" s="90"/>
      <c r="M145" s="239"/>
      <c r="N145" s="196"/>
      <c r="O145" s="723"/>
      <c r="P145" s="724"/>
      <c r="Q145" s="723"/>
      <c r="R145" s="725"/>
      <c r="S145" s="725"/>
      <c r="T145" s="725"/>
      <c r="U145" s="725"/>
      <c r="V145" s="725"/>
      <c r="W145" s="725"/>
      <c r="X145" s="414"/>
      <c r="Y145" s="726"/>
      <c r="Z145" s="129"/>
      <c r="AA145" s="723"/>
      <c r="AB145" s="724"/>
      <c r="AC145" s="723"/>
      <c r="AD145" s="725"/>
      <c r="AE145" s="725"/>
      <c r="AF145" s="725"/>
      <c r="AG145" s="725"/>
      <c r="AH145" s="725"/>
      <c r="AI145" s="725"/>
      <c r="AJ145" s="414"/>
      <c r="AK145" s="726"/>
      <c r="AL145" s="129"/>
      <c r="AM145" s="723"/>
      <c r="AN145" s="724"/>
      <c r="AO145" s="723"/>
      <c r="AP145" s="725"/>
      <c r="AQ145" s="725"/>
      <c r="AR145" s="725"/>
      <c r="AS145" s="725"/>
      <c r="AT145" s="725"/>
      <c r="AU145" s="725"/>
      <c r="AV145" s="414"/>
      <c r="AW145" s="726"/>
      <c r="AX145" s="129"/>
      <c r="AY145" s="723"/>
      <c r="AZ145" s="724"/>
      <c r="BA145" s="723"/>
      <c r="BB145" s="364"/>
      <c r="BC145" s="364"/>
      <c r="BD145" s="364"/>
      <c r="BE145" s="364"/>
      <c r="BF145" s="364"/>
      <c r="BG145" s="364"/>
      <c r="BH145" s="214"/>
    </row>
    <row r="146" spans="1:60" x14ac:dyDescent="0.2">
      <c r="A146" s="648"/>
      <c r="B146" s="492" t="s">
        <v>235</v>
      </c>
      <c r="C146" s="656" t="s">
        <v>113</v>
      </c>
      <c r="D146" s="747"/>
      <c r="E146" s="220" t="s">
        <v>116</v>
      </c>
      <c r="F146" s="221"/>
      <c r="G146" s="221"/>
      <c r="H146" s="221" t="s">
        <v>117</v>
      </c>
      <c r="I146" s="90"/>
      <c r="J146" s="243">
        <f>M146+Y146+AK146+AW146</f>
        <v>0</v>
      </c>
      <c r="K146" s="823"/>
      <c r="L146" s="823"/>
      <c r="M146" s="243">
        <f>SUM(O146:X146)</f>
        <v>0</v>
      </c>
      <c r="N146" s="129"/>
      <c r="O146" s="207">
        <f>O$138*O$144</f>
        <v>0</v>
      </c>
      <c r="P146" s="207">
        <f>P$138*P$144</f>
        <v>0</v>
      </c>
      <c r="Q146" s="207">
        <f>Q$138*Q$144</f>
        <v>0</v>
      </c>
      <c r="R146" s="335"/>
      <c r="S146" s="335"/>
      <c r="T146" s="335"/>
      <c r="U146" s="335"/>
      <c r="V146" s="335"/>
      <c r="W146" s="335"/>
      <c r="X146" s="128"/>
      <c r="Y146" s="243">
        <f>SUM(AA146:AJ146)</f>
        <v>0</v>
      </c>
      <c r="Z146" s="129"/>
      <c r="AA146" s="207">
        <f>AA$138*AA$144</f>
        <v>0</v>
      </c>
      <c r="AB146" s="207">
        <f>AB$138*AB$144</f>
        <v>0</v>
      </c>
      <c r="AC146" s="207">
        <f>AC$138*AC$144</f>
        <v>0</v>
      </c>
      <c r="AD146" s="335"/>
      <c r="AE146" s="335"/>
      <c r="AF146" s="335"/>
      <c r="AG146" s="335"/>
      <c r="AH146" s="335"/>
      <c r="AI146" s="335"/>
      <c r="AJ146" s="128"/>
      <c r="AK146" s="243">
        <f>SUM(AM146:AV146)</f>
        <v>0</v>
      </c>
      <c r="AL146" s="129"/>
      <c r="AM146" s="207">
        <f>AM$138*AM$144</f>
        <v>0</v>
      </c>
      <c r="AN146" s="207">
        <f>AN$138*AN$144</f>
        <v>0</v>
      </c>
      <c r="AO146" s="207">
        <f>AO$138*AO$144</f>
        <v>0</v>
      </c>
      <c r="AP146" s="335"/>
      <c r="AQ146" s="335"/>
      <c r="AR146" s="335"/>
      <c r="AS146" s="335"/>
      <c r="AT146" s="335"/>
      <c r="AU146" s="335"/>
      <c r="AV146" s="128"/>
      <c r="AW146" s="243">
        <f>SUM(AY146:BH146)</f>
        <v>0</v>
      </c>
      <c r="AX146" s="129"/>
      <c r="AY146" s="207">
        <f>AY$138*AY$144</f>
        <v>0</v>
      </c>
      <c r="AZ146" s="207">
        <f>AZ$138*AZ$144</f>
        <v>0</v>
      </c>
      <c r="BA146" s="207">
        <f>BA$138*BA$144</f>
        <v>0</v>
      </c>
      <c r="BB146" s="335"/>
      <c r="BC146" s="335"/>
      <c r="BD146" s="335"/>
      <c r="BE146" s="335"/>
      <c r="BF146" s="335"/>
      <c r="BG146" s="335"/>
      <c r="BH146" s="255"/>
    </row>
    <row r="147" spans="1:60" x14ac:dyDescent="0.2">
      <c r="A147" s="648"/>
      <c r="B147" s="741" t="s">
        <v>242</v>
      </c>
      <c r="C147" s="656" t="s">
        <v>113</v>
      </c>
      <c r="D147" s="747"/>
      <c r="E147" s="90"/>
      <c r="F147" s="90"/>
      <c r="G147" s="90"/>
      <c r="H147" s="96"/>
      <c r="I147" s="90"/>
      <c r="J147" s="93"/>
      <c r="K147" s="90"/>
      <c r="L147" s="90"/>
      <c r="M147" s="93"/>
      <c r="N147" s="90"/>
      <c r="O147" s="90"/>
      <c r="P147" s="90"/>
      <c r="Q147" s="90"/>
      <c r="R147" s="93"/>
      <c r="S147" s="93"/>
      <c r="T147" s="93"/>
      <c r="U147" s="93"/>
      <c r="V147" s="93"/>
      <c r="W147" s="93"/>
      <c r="X147" s="93"/>
      <c r="Y147" s="93"/>
      <c r="Z147" s="90"/>
      <c r="AA147" s="187"/>
      <c r="AB147" s="187"/>
      <c r="AC147" s="187"/>
      <c r="AD147" s="93"/>
      <c r="AE147" s="93"/>
      <c r="AF147" s="93"/>
      <c r="AG147" s="93"/>
      <c r="AH147" s="93"/>
      <c r="AI147" s="93"/>
      <c r="AJ147" s="93"/>
      <c r="AK147" s="93"/>
      <c r="AL147" s="90"/>
      <c r="AM147" s="187"/>
      <c r="AN147" s="187"/>
      <c r="AO147" s="187"/>
      <c r="AP147" s="93"/>
      <c r="AQ147" s="93"/>
      <c r="AR147" s="93"/>
      <c r="AS147" s="93"/>
      <c r="AT147" s="93"/>
      <c r="AU147" s="93"/>
      <c r="AV147" s="93"/>
      <c r="AW147" s="93"/>
      <c r="AX147" s="90"/>
      <c r="AY147" s="187"/>
      <c r="AZ147" s="187"/>
      <c r="BA147" s="187"/>
      <c r="BB147" s="93"/>
      <c r="BC147" s="93"/>
      <c r="BD147" s="93"/>
      <c r="BE147" s="93"/>
      <c r="BF147" s="93"/>
      <c r="BG147" s="93"/>
      <c r="BH147" s="1"/>
    </row>
    <row r="148" spans="1:60" x14ac:dyDescent="0.2">
      <c r="A148" s="648"/>
      <c r="B148" s="492" t="s">
        <v>243</v>
      </c>
      <c r="C148" s="656" t="s">
        <v>104</v>
      </c>
      <c r="D148" s="747"/>
      <c r="E148" s="90"/>
      <c r="F148" s="90"/>
      <c r="G148" s="90"/>
      <c r="H148" s="96"/>
      <c r="I148" s="90"/>
      <c r="J148" s="93"/>
      <c r="K148" s="90"/>
      <c r="L148" s="90"/>
      <c r="M148" s="93"/>
      <c r="N148" s="90"/>
      <c r="O148" s="128"/>
      <c r="P148" s="93"/>
      <c r="Q148" s="93"/>
      <c r="R148" s="93"/>
      <c r="S148" s="93"/>
      <c r="T148" s="93"/>
      <c r="U148" s="93"/>
      <c r="V148" s="93"/>
      <c r="W148" s="93"/>
      <c r="X148" s="93"/>
      <c r="Y148" s="93"/>
      <c r="Z148" s="90"/>
      <c r="AA148" s="128"/>
      <c r="AB148" s="93"/>
      <c r="AC148" s="93"/>
      <c r="AD148" s="93"/>
      <c r="AE148" s="93"/>
      <c r="AF148" s="93"/>
      <c r="AG148" s="93"/>
      <c r="AH148" s="93"/>
      <c r="AI148" s="93"/>
      <c r="AJ148" s="93"/>
      <c r="AK148" s="93"/>
      <c r="AL148" s="90"/>
      <c r="AM148" s="128"/>
      <c r="AN148" s="93"/>
      <c r="AO148" s="93"/>
      <c r="AP148" s="93"/>
      <c r="AQ148" s="93"/>
      <c r="AR148" s="93"/>
      <c r="AS148" s="93"/>
      <c r="AT148" s="93"/>
      <c r="AU148" s="93"/>
      <c r="AV148" s="93"/>
      <c r="AW148" s="93"/>
      <c r="AX148" s="90"/>
      <c r="AY148" s="128"/>
      <c r="AZ148" s="93"/>
      <c r="BA148" s="93"/>
      <c r="BB148" s="93"/>
      <c r="BC148" s="93"/>
      <c r="BD148" s="93"/>
      <c r="BE148" s="93"/>
      <c r="BF148" s="93"/>
      <c r="BG148" s="93"/>
      <c r="BH148" s="1"/>
    </row>
    <row r="149" spans="1:60" ht="21" x14ac:dyDescent="0.2">
      <c r="A149" s="648"/>
      <c r="B149" s="492" t="s">
        <v>243</v>
      </c>
      <c r="C149" s="739" t="s">
        <v>104</v>
      </c>
      <c r="D149" s="750" t="s">
        <v>50</v>
      </c>
      <c r="E149" s="240" t="s">
        <v>244</v>
      </c>
      <c r="F149" s="240"/>
      <c r="G149" s="825"/>
      <c r="H149" s="216"/>
      <c r="I149" s="88"/>
      <c r="J149" s="241" t="s">
        <v>58</v>
      </c>
      <c r="K149" s="142"/>
      <c r="L149" s="142"/>
      <c r="M149" s="216" t="s">
        <v>237</v>
      </c>
      <c r="N149" s="222"/>
      <c r="O149" s="217" t="str">
        <f t="shared" ref="O149:V149" si="93">O$10</f>
        <v>verwarming</v>
      </c>
      <c r="P149" s="217" t="str">
        <f t="shared" si="93"/>
        <v>koeling</v>
      </c>
      <c r="Q149" s="217" t="str">
        <f t="shared" si="93"/>
        <v>tapwater</v>
      </c>
      <c r="R149" s="217" t="str">
        <f t="shared" si="93"/>
        <v>verlichting</v>
      </c>
      <c r="S149" s="217" t="str">
        <f t="shared" si="93"/>
        <v>ventilatoren</v>
      </c>
      <c r="T149" s="217" t="str">
        <f t="shared" si="93"/>
        <v>kookgas</v>
      </c>
      <c r="U149" s="217" t="str">
        <f t="shared" si="93"/>
        <v>overig elektra</v>
      </c>
      <c r="V149" s="217" t="str">
        <f t="shared" si="93"/>
        <v>mobiliteit</v>
      </c>
      <c r="W149" s="217"/>
      <c r="X149" s="214"/>
      <c r="Y149" s="216" t="s">
        <v>237</v>
      </c>
      <c r="Z149" s="222"/>
      <c r="AA149" s="217" t="str">
        <f t="shared" ref="AA149:AH149" si="94">AA$10</f>
        <v>verwarming</v>
      </c>
      <c r="AB149" s="217" t="str">
        <f t="shared" si="94"/>
        <v>koeling</v>
      </c>
      <c r="AC149" s="217" t="str">
        <f t="shared" si="94"/>
        <v>tapwater</v>
      </c>
      <c r="AD149" s="217" t="str">
        <f t="shared" si="94"/>
        <v>verlichting</v>
      </c>
      <c r="AE149" s="217" t="str">
        <f t="shared" si="94"/>
        <v>ventilatoren</v>
      </c>
      <c r="AF149" s="217" t="str">
        <f t="shared" si="94"/>
        <v>kookgas</v>
      </c>
      <c r="AG149" s="217" t="str">
        <f t="shared" si="94"/>
        <v>overig elektra</v>
      </c>
      <c r="AH149" s="217" t="str">
        <f t="shared" si="94"/>
        <v>mobiliteit</v>
      </c>
      <c r="AI149" s="217"/>
      <c r="AJ149" s="214"/>
      <c r="AK149" s="216" t="s">
        <v>237</v>
      </c>
      <c r="AL149" s="222"/>
      <c r="AM149" s="217" t="str">
        <f>AM$10</f>
        <v>verwarming</v>
      </c>
      <c r="AN149" s="217" t="str">
        <f t="shared" ref="AN149:AT149" si="95">AN$10</f>
        <v>koeling</v>
      </c>
      <c r="AO149" s="217" t="str">
        <f t="shared" si="95"/>
        <v>tapwater</v>
      </c>
      <c r="AP149" s="217" t="str">
        <f t="shared" si="95"/>
        <v>verlichting</v>
      </c>
      <c r="AQ149" s="217" t="str">
        <f t="shared" si="95"/>
        <v>ventilatoren</v>
      </c>
      <c r="AR149" s="217" t="str">
        <f t="shared" si="95"/>
        <v>kookgas</v>
      </c>
      <c r="AS149" s="217" t="str">
        <f t="shared" si="95"/>
        <v>overig elektra</v>
      </c>
      <c r="AT149" s="217" t="str">
        <f t="shared" si="95"/>
        <v>mobiliteit</v>
      </c>
      <c r="AU149" s="217"/>
      <c r="AV149" s="214"/>
      <c r="AW149" s="216" t="s">
        <v>237</v>
      </c>
      <c r="AX149" s="222"/>
      <c r="AY149" s="217" t="str">
        <f>AY$10</f>
        <v>verwarming</v>
      </c>
      <c r="AZ149" s="217" t="str">
        <f t="shared" ref="AZ149:BF149" si="96">AZ$10</f>
        <v>koeling</v>
      </c>
      <c r="BA149" s="217" t="str">
        <f t="shared" si="96"/>
        <v>tapwater</v>
      </c>
      <c r="BB149" s="217" t="str">
        <f t="shared" si="96"/>
        <v>verlichting</v>
      </c>
      <c r="BC149" s="217" t="str">
        <f t="shared" si="96"/>
        <v>ventilatoren</v>
      </c>
      <c r="BD149" s="217" t="str">
        <f t="shared" si="96"/>
        <v>kookgas</v>
      </c>
      <c r="BE149" s="217" t="str">
        <f t="shared" si="96"/>
        <v>overig elektra</v>
      </c>
      <c r="BF149" s="217" t="str">
        <f t="shared" si="96"/>
        <v>mobiliteit</v>
      </c>
      <c r="BG149" s="217"/>
      <c r="BH149" s="1"/>
    </row>
    <row r="150" spans="1:60" ht="18.75" x14ac:dyDescent="0.2">
      <c r="A150" s="648"/>
      <c r="B150" s="492" t="s">
        <v>243</v>
      </c>
      <c r="C150" s="739" t="s">
        <v>104</v>
      </c>
      <c r="D150" s="747"/>
      <c r="E150" s="231" t="s">
        <v>245</v>
      </c>
      <c r="F150" s="231"/>
      <c r="G150" s="231"/>
      <c r="H150" s="89"/>
      <c r="I150" s="232"/>
      <c r="J150" s="231"/>
      <c r="K150" s="232"/>
      <c r="L150" s="232"/>
      <c r="M150" s="231"/>
      <c r="N150" s="232"/>
      <c r="O150" s="232"/>
      <c r="P150" s="232"/>
      <c r="Q150" s="232"/>
      <c r="R150" s="232"/>
      <c r="S150" s="232"/>
      <c r="T150" s="232"/>
      <c r="U150" s="232"/>
      <c r="V150" s="232"/>
      <c r="W150" s="232"/>
      <c r="X150" s="232"/>
      <c r="Y150" s="231"/>
      <c r="Z150" s="232"/>
      <c r="AA150" s="232"/>
      <c r="AB150" s="232"/>
      <c r="AC150" s="232"/>
      <c r="AD150" s="232"/>
      <c r="AE150" s="232"/>
      <c r="AF150" s="232"/>
      <c r="AG150" s="232"/>
      <c r="AH150" s="232"/>
      <c r="AI150" s="232"/>
      <c r="AJ150" s="232"/>
      <c r="AK150" s="231"/>
      <c r="AL150" s="232"/>
      <c r="AM150" s="232"/>
      <c r="AN150" s="232"/>
      <c r="AO150" s="232"/>
      <c r="AP150" s="232"/>
      <c r="AQ150" s="232"/>
      <c r="AR150" s="232"/>
      <c r="AS150" s="232"/>
      <c r="AT150" s="232"/>
      <c r="AU150" s="232"/>
      <c r="AV150" s="232"/>
      <c r="AW150" s="231"/>
      <c r="AX150" s="232"/>
      <c r="AY150" s="232"/>
      <c r="AZ150" s="232"/>
      <c r="BA150" s="232"/>
      <c r="BB150" s="232"/>
      <c r="BC150" s="232"/>
      <c r="BD150" s="232"/>
      <c r="BE150" s="232"/>
      <c r="BF150" s="232"/>
      <c r="BG150" s="232"/>
      <c r="BH150" s="38"/>
    </row>
    <row r="151" spans="1:60" x14ac:dyDescent="0.2">
      <c r="A151" s="648"/>
      <c r="B151" s="492" t="s">
        <v>243</v>
      </c>
      <c r="C151" s="656" t="s">
        <v>127</v>
      </c>
      <c r="D151" s="747"/>
      <c r="E151" s="316" t="s">
        <v>246</v>
      </c>
      <c r="F151" s="316"/>
      <c r="G151" s="316"/>
      <c r="H151" s="354" t="s">
        <v>232</v>
      </c>
      <c r="I151" s="232"/>
      <c r="J151" s="368"/>
      <c r="K151" s="294"/>
      <c r="L151" s="294"/>
      <c r="M151" s="368"/>
      <c r="N151" s="444"/>
      <c r="O151" s="445">
        <f>IF(O152&lt;&gt;"",O152,HLOOKUP(IF(O$80="",referentie_verwarming,O$80),toestellen_RV,ROWS(bibliotheek!$E$79:$E$114),FALSE))</f>
        <v>0</v>
      </c>
      <c r="P151" s="445">
        <f>IF(P152&lt;&gt;"",P152,HLOOKUP(IF(P$80="",referentie_koeling,P$80),toestellen_KOEL,ROWS(bibliotheek!$E$170:$E$189),FALSE))</f>
        <v>0</v>
      </c>
      <c r="Q151" s="445">
        <f>IF(Q152&lt;&gt;"",Q152,HLOOKUP(IF(Q$80="",referentie_warmtapwater,Q$80),toestellen_TAP,ROWS(bibliotheek!$E$136:$E$163),FALSE))</f>
        <v>4.4999999999999998E-2</v>
      </c>
      <c r="R151" s="446"/>
      <c r="S151" s="446"/>
      <c r="T151" s="446"/>
      <c r="U151" s="446"/>
      <c r="V151" s="446"/>
      <c r="W151" s="446"/>
      <c r="X151" s="422"/>
      <c r="Y151" s="352"/>
      <c r="Z151" s="444"/>
      <c r="AA151" s="445">
        <f>IF(AA152&lt;&gt;"",AA152,HLOOKUP(IF(AA$80="",referentie_verwarming,AA$80),toestellen_RV,ROWS(bibliotheek!$E$79:$E$114),FALSE))</f>
        <v>0</v>
      </c>
      <c r="AB151" s="445">
        <f>IF(AB152&lt;&gt;"",AB152,HLOOKUP(IF(AB$80="",referentie_koeling,AB$80),toestellen_KOEL,ROWS(bibliotheek!$E$170:$E$189),FALSE))</f>
        <v>0</v>
      </c>
      <c r="AC151" s="445">
        <f>IF(AC152&lt;&gt;"",AC152,HLOOKUP(IF(AC$80="",referentie_warmtapwater,AC$80),toestellen_TAP,ROWS(bibliotheek!$E$136:$E$163),FALSE))</f>
        <v>4.4999999999999998E-2</v>
      </c>
      <c r="AD151" s="446"/>
      <c r="AE151" s="446"/>
      <c r="AF151" s="446"/>
      <c r="AG151" s="446"/>
      <c r="AH151" s="446"/>
      <c r="AI151" s="446"/>
      <c r="AJ151" s="422"/>
      <c r="AK151" s="352"/>
      <c r="AL151" s="444"/>
      <c r="AM151" s="445">
        <f>IF(AM152&lt;&gt;"",AM152,HLOOKUP(IF(AM$80="",referentie_verwarming,AM$80),toestellen_RV,ROWS(bibliotheek!$E$79:$E$114),FALSE))</f>
        <v>0</v>
      </c>
      <c r="AN151" s="445">
        <f>IF(AN152&lt;&gt;"",AN152,HLOOKUP(IF(AN$80="",referentie_koeling,AN$80),toestellen_KOEL,ROWS(bibliotheek!$E$170:$E$189),FALSE))</f>
        <v>0</v>
      </c>
      <c r="AO151" s="445">
        <f>IF(AO152&lt;&gt;"",AO152,HLOOKUP(IF(AO$80="",referentie_warmtapwater,AO$80),toestellen_TAP,ROWS(bibliotheek!$E$136:$E$163),FALSE))</f>
        <v>4.4999999999999998E-2</v>
      </c>
      <c r="AP151" s="446"/>
      <c r="AQ151" s="446"/>
      <c r="AR151" s="446"/>
      <c r="AS151" s="446"/>
      <c r="AT151" s="446"/>
      <c r="AU151" s="446"/>
      <c r="AV151" s="422"/>
      <c r="AW151" s="352"/>
      <c r="AX151" s="444"/>
      <c r="AY151" s="445">
        <f>IF(AY152&lt;&gt;"",AY152,HLOOKUP(IF(AY$80="",referentie_verwarming,AY$80),toestellen_RV,ROWS(bibliotheek!$E$79:$E$114),FALSE))</f>
        <v>0</v>
      </c>
      <c r="AZ151" s="445">
        <f>IF(AZ152&lt;&gt;"",AZ152,HLOOKUP(IF(AZ$80="",referentie_koeling,AZ$80),toestellen_KOEL,ROWS(bibliotheek!$E$170:$E$189),FALSE))</f>
        <v>0</v>
      </c>
      <c r="BA151" s="445">
        <f>IF(BA152&lt;&gt;"",BA152,HLOOKUP(IF(BA$80="",referentie_warmtapwater,BA$80),toestellen_TAP,ROWS(bibliotheek!$E$136:$E$163),FALSE))</f>
        <v>4.4999999999999998E-2</v>
      </c>
      <c r="BB151" s="369"/>
      <c r="BC151" s="369"/>
      <c r="BD151" s="369"/>
      <c r="BE151" s="369"/>
      <c r="BF151" s="369"/>
      <c r="BG151" s="369"/>
      <c r="BH151" s="214"/>
    </row>
    <row r="152" spans="1:60" x14ac:dyDescent="0.2">
      <c r="A152" s="648"/>
      <c r="B152" s="492" t="s">
        <v>243</v>
      </c>
      <c r="C152" s="656" t="s">
        <v>127</v>
      </c>
      <c r="D152" s="747"/>
      <c r="E152" s="412" t="s">
        <v>227</v>
      </c>
      <c r="F152" s="317"/>
      <c r="G152" s="317"/>
      <c r="H152" s="355"/>
      <c r="I152" s="232"/>
      <c r="J152" s="362"/>
      <c r="K152" s="294"/>
      <c r="L152" s="294"/>
      <c r="M152" s="370"/>
      <c r="N152" s="371"/>
      <c r="O152" s="338"/>
      <c r="P152" s="344"/>
      <c r="Q152" s="338"/>
      <c r="R152" s="372"/>
      <c r="S152" s="372"/>
      <c r="T152" s="372"/>
      <c r="U152" s="372"/>
      <c r="V152" s="372"/>
      <c r="W152" s="372"/>
      <c r="X152" s="128"/>
      <c r="Y152" s="370"/>
      <c r="Z152" s="371"/>
      <c r="AA152" s="338"/>
      <c r="AB152" s="344"/>
      <c r="AC152" s="338"/>
      <c r="AD152" s="372"/>
      <c r="AE152" s="372"/>
      <c r="AF152" s="372"/>
      <c r="AG152" s="372"/>
      <c r="AH152" s="372"/>
      <c r="AI152" s="372"/>
      <c r="AJ152" s="128"/>
      <c r="AK152" s="370"/>
      <c r="AL152" s="371"/>
      <c r="AM152" s="338"/>
      <c r="AN152" s="344"/>
      <c r="AO152" s="338"/>
      <c r="AP152" s="372"/>
      <c r="AQ152" s="372"/>
      <c r="AR152" s="372"/>
      <c r="AS152" s="372"/>
      <c r="AT152" s="372"/>
      <c r="AU152" s="372"/>
      <c r="AV152" s="128"/>
      <c r="AW152" s="370"/>
      <c r="AX152" s="371"/>
      <c r="AY152" s="338"/>
      <c r="AZ152" s="344"/>
      <c r="BA152" s="338"/>
      <c r="BB152" s="372"/>
      <c r="BC152" s="372"/>
      <c r="BD152" s="372"/>
      <c r="BE152" s="372"/>
      <c r="BF152" s="372"/>
      <c r="BG152" s="372"/>
      <c r="BH152" s="214"/>
    </row>
    <row r="153" spans="1:60" x14ac:dyDescent="0.2">
      <c r="A153" s="650"/>
      <c r="B153" s="492" t="s">
        <v>243</v>
      </c>
      <c r="C153" s="656" t="s">
        <v>127</v>
      </c>
      <c r="D153" s="752"/>
      <c r="E153" s="298" t="s">
        <v>247</v>
      </c>
      <c r="F153" s="298"/>
      <c r="G153" s="298"/>
      <c r="H153" s="242" t="s">
        <v>220</v>
      </c>
      <c r="I153" s="232"/>
      <c r="J153" s="243">
        <f>M153+Y153+AK153+AW153</f>
        <v>0</v>
      </c>
      <c r="K153" s="294"/>
      <c r="L153" s="294"/>
      <c r="M153" s="243">
        <f>SUM(O153:X153)</f>
        <v>0</v>
      </c>
      <c r="N153" s="100"/>
      <c r="O153" s="207">
        <f>O$123*O$151</f>
        <v>0</v>
      </c>
      <c r="P153" s="207">
        <f>P$123*P$151</f>
        <v>0</v>
      </c>
      <c r="Q153" s="207">
        <f>Q$123*Q$151</f>
        <v>0</v>
      </c>
      <c r="R153" s="335"/>
      <c r="S153" s="335"/>
      <c r="T153" s="335"/>
      <c r="U153" s="335"/>
      <c r="V153" s="335"/>
      <c r="W153" s="335"/>
      <c r="X153" s="118"/>
      <c r="Y153" s="243">
        <f>SUM(AA153:AJ153)</f>
        <v>0</v>
      </c>
      <c r="Z153" s="100"/>
      <c r="AA153" s="207">
        <f>AA$123*AA$151</f>
        <v>0</v>
      </c>
      <c r="AB153" s="207">
        <f>AB$123*AB$151</f>
        <v>0</v>
      </c>
      <c r="AC153" s="207">
        <f>AC$123*AC$151</f>
        <v>0</v>
      </c>
      <c r="AD153" s="335"/>
      <c r="AE153" s="335"/>
      <c r="AF153" s="335"/>
      <c r="AG153" s="335"/>
      <c r="AH153" s="335"/>
      <c r="AI153" s="335"/>
      <c r="AJ153" s="118"/>
      <c r="AK153" s="243">
        <f>SUM(AM153:AV153)</f>
        <v>0</v>
      </c>
      <c r="AL153" s="100"/>
      <c r="AM153" s="207">
        <f>AM$123*AM$151</f>
        <v>0</v>
      </c>
      <c r="AN153" s="207">
        <f>AN$123*AN$151</f>
        <v>0</v>
      </c>
      <c r="AO153" s="207">
        <f>AO$123*AO$151</f>
        <v>0</v>
      </c>
      <c r="AP153" s="335"/>
      <c r="AQ153" s="335"/>
      <c r="AR153" s="335"/>
      <c r="AS153" s="335"/>
      <c r="AT153" s="335"/>
      <c r="AU153" s="335"/>
      <c r="AV153" s="118"/>
      <c r="AW153" s="243">
        <f>SUM(AY153:BH153)</f>
        <v>0</v>
      </c>
      <c r="AX153" s="100"/>
      <c r="AY153" s="207">
        <f>AY$123*AY$151</f>
        <v>0</v>
      </c>
      <c r="AZ153" s="207">
        <f>AZ$123*AZ$151</f>
        <v>0</v>
      </c>
      <c r="BA153" s="207">
        <f>BA$123*BA$151</f>
        <v>0</v>
      </c>
      <c r="BB153" s="335"/>
      <c r="BC153" s="335"/>
      <c r="BD153" s="335"/>
      <c r="BE153" s="335"/>
      <c r="BF153" s="335"/>
      <c r="BG153" s="335"/>
      <c r="BH153" s="214"/>
    </row>
    <row r="154" spans="1:60" hidden="1" x14ac:dyDescent="0.2">
      <c r="A154" s="650"/>
      <c r="B154" s="492" t="s">
        <v>243</v>
      </c>
      <c r="C154" s="740" t="s">
        <v>199</v>
      </c>
      <c r="D154" s="752" t="s">
        <v>50</v>
      </c>
      <c r="E154" s="298" t="s">
        <v>248</v>
      </c>
      <c r="F154" s="298"/>
      <c r="G154" s="298"/>
      <c r="H154" s="242" t="s">
        <v>220</v>
      </c>
      <c r="I154" s="232"/>
      <c r="J154" s="243">
        <f>M154+Y154+AK154+AW154</f>
        <v>0</v>
      </c>
      <c r="K154" s="294"/>
      <c r="L154" s="294"/>
      <c r="M154" s="243">
        <f>SUM(O154:X154)</f>
        <v>0</v>
      </c>
      <c r="N154" s="100"/>
      <c r="O154" s="207">
        <f>IF(O33=0,0,
(O$95*IFERROR((  INDEX(bibliotheek!$E$105:$AT$105,MATCH(O$80,toestellen_RV_kopregel,0)) +
INDEX(bibliotheek!$E$106:$AT$106,MATCH(O$80,toestellen_RV_kopregel,0))  *(O$94*1000/O$95)/
(  INDEX(bibliotheek!$E$107:$AT$107,MATCH(O$80,toestellen_RV_kopregel,0)) *
INDEX(bibliotheek!$E$108:$AT$108,MATCH(O$80,toestellen_RV_kopregel,0)) ) ),0)+
O$95*INDEX(bibliotheek!$E$109:$AT$109,MATCH(O$80,toestellen_RV_kopregel,0))+
O$96*INDEX(bibliotheek!$E$110:$AT$110,MATCH(O$80,toestellen_RV_kopregel,0)))/1000)</f>
        <v>0</v>
      </c>
      <c r="P154" s="335"/>
      <c r="Q154" s="335"/>
      <c r="R154" s="207">
        <f>R$75</f>
        <v>0</v>
      </c>
      <c r="S154" s="207">
        <f>S$75</f>
        <v>0</v>
      </c>
      <c r="T154" s="335"/>
      <c r="U154" s="207">
        <f>U$75</f>
        <v>0</v>
      </c>
      <c r="V154" s="207">
        <f>V$75</f>
        <v>0</v>
      </c>
      <c r="W154" s="335"/>
      <c r="X154" s="118"/>
      <c r="Y154" s="243">
        <f>SUM(AA154:AJ154)</f>
        <v>0</v>
      </c>
      <c r="Z154" s="100"/>
      <c r="AA154" s="207">
        <f>IF(AA33=0,0,
(AA$95*IFERROR((  INDEX(bibliotheek!$E$105:$AT$105,MATCH(AA$80,toestellen_RV_kopregel,0)) +
INDEX(bibliotheek!$E$106:$AT$106,MATCH(AA$80,toestellen_RV_kopregel,0))  *(AA$94*1000/AA$95)/
(  INDEX(bibliotheek!$E$107:$AT$107,MATCH(AA$80,toestellen_RV_kopregel,0)) *
INDEX(bibliotheek!$E$108:$AT$108,MATCH(AA$80,toestellen_RV_kopregel,0)) ) ),0)+
AA$95*INDEX(bibliotheek!$E$109:$AT$109,MATCH(AA$80,toestellen_RV_kopregel,0))+
AA$96*INDEX(bibliotheek!$E$110:$AT$110,MATCH(AA$80,toestellen_RV_kopregel,0)))/1000)</f>
        <v>0</v>
      </c>
      <c r="AB154" s="335"/>
      <c r="AC154" s="335"/>
      <c r="AD154" s="207">
        <f>AD$75</f>
        <v>0</v>
      </c>
      <c r="AE154" s="207">
        <f>AE$75</f>
        <v>0</v>
      </c>
      <c r="AF154" s="335"/>
      <c r="AG154" s="207">
        <f>AG$75</f>
        <v>0</v>
      </c>
      <c r="AH154" s="207">
        <f>AH$75</f>
        <v>0</v>
      </c>
      <c r="AI154" s="335"/>
      <c r="AJ154" s="118"/>
      <c r="AK154" s="243">
        <f>SUM(AM154:AV154)</f>
        <v>0</v>
      </c>
      <c r="AL154" s="100"/>
      <c r="AM154" s="207">
        <f>IF(AM33=0,0,
(AM$95*IFERROR((  INDEX(bibliotheek!$E$105:$AT$105,MATCH(AM$80,toestellen_RV_kopregel,0)) +
INDEX(bibliotheek!$E$106:$AT$106,MATCH(AM$80,toestellen_RV_kopregel,0))  *(AM$94*1000/AM$95)/
(  INDEX(bibliotheek!$E$107:$AT$107,MATCH(AM$80,toestellen_RV_kopregel,0)) *
INDEX(bibliotheek!$E$108:$AT$108,MATCH(AM$80,toestellen_RV_kopregel,0)) ) ),0)+
AM$95*INDEX(bibliotheek!$E$109:$AT$109,MATCH(AM$80,toestellen_RV_kopregel,0))+
AM$96*INDEX(bibliotheek!$E$110:$AT$110,MATCH(AM$80,toestellen_RV_kopregel,0)))/1000)</f>
        <v>0</v>
      </c>
      <c r="AN154" s="335"/>
      <c r="AO154" s="335"/>
      <c r="AP154" s="207">
        <f>AP$75</f>
        <v>0</v>
      </c>
      <c r="AQ154" s="207">
        <f>AQ$75</f>
        <v>0</v>
      </c>
      <c r="AR154" s="335"/>
      <c r="AS154" s="207">
        <f>AS$75</f>
        <v>0</v>
      </c>
      <c r="AT154" s="207">
        <f>AT$75</f>
        <v>0</v>
      </c>
      <c r="AU154" s="335"/>
      <c r="AV154" s="118"/>
      <c r="AW154" s="243">
        <f>SUM(AY154:BH154)</f>
        <v>0</v>
      </c>
      <c r="AX154" s="100"/>
      <c r="AY154" s="207">
        <f>IF(AY33=0,0,
(AY$95*IFERROR((  INDEX(bibliotheek!$E$105:$AT$105,MATCH(AY$80,toestellen_RV_kopregel,0)) +
INDEX(bibliotheek!$E$106:$AT$106,MATCH(AY$80,toestellen_RV_kopregel,0))  *(AY$94*1000/AY$95)/
(  INDEX(bibliotheek!$E$107:$AT$107,MATCH(AY$80,toestellen_RV_kopregel,0)) *
INDEX(bibliotheek!$E$108:$AT$108,MATCH(AY$80,toestellen_RV_kopregel,0)) ) ),0)+
AY$95*INDEX(bibliotheek!$E$109:$AT$109,MATCH(AY$80,toestellen_RV_kopregel,0))+
AY$96*INDEX(bibliotheek!$E$110:$AT$110,MATCH(AY$80,toestellen_RV_kopregel,0)))/1000)</f>
        <v>0</v>
      </c>
      <c r="AZ154" s="335"/>
      <c r="BA154" s="335"/>
      <c r="BB154" s="207">
        <f>BB$75</f>
        <v>0</v>
      </c>
      <c r="BC154" s="207">
        <f>BC$75</f>
        <v>0</v>
      </c>
      <c r="BD154" s="335"/>
      <c r="BE154" s="207">
        <f>BE$75</f>
        <v>0</v>
      </c>
      <c r="BF154" s="207">
        <f>BF$75</f>
        <v>0</v>
      </c>
      <c r="BG154" s="335"/>
      <c r="BH154" s="214"/>
    </row>
    <row r="155" spans="1:60" hidden="1" x14ac:dyDescent="0.2">
      <c r="A155" s="650"/>
      <c r="B155" s="492" t="s">
        <v>243</v>
      </c>
      <c r="C155" s="740" t="s">
        <v>199</v>
      </c>
      <c r="D155" s="752"/>
      <c r="E155" s="298" t="s">
        <v>249</v>
      </c>
      <c r="F155" s="298"/>
      <c r="G155" s="298"/>
      <c r="H155" s="242" t="s">
        <v>220</v>
      </c>
      <c r="I155" s="232"/>
      <c r="J155" s="243">
        <f>M155+Y155+AK155+AW155</f>
        <v>0</v>
      </c>
      <c r="K155" s="294"/>
      <c r="L155" s="294"/>
      <c r="M155" s="243">
        <f>SUM(O155:X155)</f>
        <v>0</v>
      </c>
      <c r="N155" s="100"/>
      <c r="O155" s="207">
        <f>O$94*O$124+IF(O$111=0,0,O112/O$111)</f>
        <v>0</v>
      </c>
      <c r="P155" s="207">
        <f>P$94*P$124+IF(P$111=0,0,P112/P$111)</f>
        <v>0</v>
      </c>
      <c r="Q155" s="207">
        <f>Q$94*Q$124+IF(Q$111=0,0,Q112/Q$111)</f>
        <v>0</v>
      </c>
      <c r="R155" s="335"/>
      <c r="S155" s="335"/>
      <c r="T155" s="335"/>
      <c r="U155" s="335"/>
      <c r="V155" s="335"/>
      <c r="W155" s="335"/>
      <c r="X155" s="118"/>
      <c r="Y155" s="243">
        <f>SUM(AA155:AJ155)</f>
        <v>0</v>
      </c>
      <c r="Z155" s="100"/>
      <c r="AA155" s="207">
        <f>AA$94*AA$124+IF(AA$111=0,0,AA112/AA$111)</f>
        <v>0</v>
      </c>
      <c r="AB155" s="207">
        <f>AB$94*AB$124+IF(AB$111=0,0,AB112/AB$111)</f>
        <v>0</v>
      </c>
      <c r="AC155" s="207">
        <f>AC$94*AC$124+IF(AC$111=0,0,AC112/AC$111)</f>
        <v>0</v>
      </c>
      <c r="AD155" s="335"/>
      <c r="AE155" s="335"/>
      <c r="AF155" s="335"/>
      <c r="AG155" s="335"/>
      <c r="AH155" s="335"/>
      <c r="AI155" s="335"/>
      <c r="AJ155" s="118"/>
      <c r="AK155" s="243">
        <f>SUM(AM155:AV155)</f>
        <v>0</v>
      </c>
      <c r="AL155" s="100"/>
      <c r="AM155" s="207">
        <f>AM$94*AM$124+IF(AM$111=0,0,AM112/AM$111)</f>
        <v>0</v>
      </c>
      <c r="AN155" s="207">
        <f>AN$94*AN$124+IF(AN$111=0,0,AN112/AN$111)</f>
        <v>0</v>
      </c>
      <c r="AO155" s="207">
        <f>AO$94*AO$124+IF(AO$111=0,0,AO112/AO$111)</f>
        <v>0</v>
      </c>
      <c r="AP155" s="335"/>
      <c r="AQ155" s="335"/>
      <c r="AR155" s="335"/>
      <c r="AS155" s="335"/>
      <c r="AT155" s="335"/>
      <c r="AU155" s="335"/>
      <c r="AV155" s="118"/>
      <c r="AW155" s="243">
        <f>SUM(AY155:BH155)</f>
        <v>0</v>
      </c>
      <c r="AX155" s="100"/>
      <c r="AY155" s="207">
        <f>AY$94*AY$124+IF(AY$111=0,0,AY112/AY$111)</f>
        <v>0</v>
      </c>
      <c r="AZ155" s="207">
        <f>AZ$94*AZ$124+IF(AZ$111=0,0,AZ112/AZ$111)</f>
        <v>0</v>
      </c>
      <c r="BA155" s="207">
        <f>BA$94*BA$124+IF(BA$111=0,0,BA112/BA$111)</f>
        <v>0</v>
      </c>
      <c r="BB155" s="335"/>
      <c r="BC155" s="335"/>
      <c r="BD155" s="335"/>
      <c r="BE155" s="335"/>
      <c r="BF155" s="335"/>
      <c r="BG155" s="335"/>
      <c r="BH155" s="214"/>
    </row>
    <row r="156" spans="1:60" hidden="1" x14ac:dyDescent="0.2">
      <c r="A156" s="650"/>
      <c r="B156" s="492" t="s">
        <v>243</v>
      </c>
      <c r="C156" s="740" t="s">
        <v>199</v>
      </c>
      <c r="D156" s="752"/>
      <c r="E156" s="298" t="s">
        <v>109</v>
      </c>
      <c r="F156" s="298"/>
      <c r="G156" s="298"/>
      <c r="H156" s="242" t="s">
        <v>220</v>
      </c>
      <c r="I156" s="232"/>
      <c r="J156" s="243">
        <f>M156+Y156+AK156+AW156</f>
        <v>0</v>
      </c>
      <c r="K156" s="294"/>
      <c r="L156" s="294"/>
      <c r="M156" s="243">
        <f>SUM(O156:X156)</f>
        <v>0</v>
      </c>
      <c r="N156" s="100"/>
      <c r="O156" s="335"/>
      <c r="P156" s="335"/>
      <c r="Q156" s="335"/>
      <c r="R156" s="335"/>
      <c r="S156" s="335"/>
      <c r="T156" s="207">
        <f>T75</f>
        <v>0</v>
      </c>
      <c r="U156" s="335"/>
      <c r="V156" s="335"/>
      <c r="W156" s="335"/>
      <c r="X156" s="118"/>
      <c r="Y156" s="243">
        <f>SUM(AA156:AJ156)</f>
        <v>0</v>
      </c>
      <c r="Z156" s="100"/>
      <c r="AA156" s="207"/>
      <c r="AB156" s="207"/>
      <c r="AC156" s="207"/>
      <c r="AD156" s="335"/>
      <c r="AE156" s="335"/>
      <c r="AF156" s="207">
        <f>AF75</f>
        <v>0</v>
      </c>
      <c r="AG156" s="335"/>
      <c r="AH156" s="335"/>
      <c r="AI156" s="335"/>
      <c r="AJ156" s="118"/>
      <c r="AK156" s="243">
        <f>SUM(AM156:AV156)</f>
        <v>0</v>
      </c>
      <c r="AL156" s="100"/>
      <c r="AM156" s="207"/>
      <c r="AN156" s="207"/>
      <c r="AO156" s="207"/>
      <c r="AP156" s="335"/>
      <c r="AQ156" s="335"/>
      <c r="AR156" s="207">
        <f>AR75</f>
        <v>0</v>
      </c>
      <c r="AS156" s="335"/>
      <c r="AT156" s="335"/>
      <c r="AU156" s="335"/>
      <c r="AV156" s="118"/>
      <c r="AW156" s="243">
        <f>SUM(AY156:BH156)</f>
        <v>0</v>
      </c>
      <c r="AX156" s="100"/>
      <c r="AY156" s="207"/>
      <c r="AZ156" s="207"/>
      <c r="BA156" s="207"/>
      <c r="BB156" s="335"/>
      <c r="BC156" s="335"/>
      <c r="BD156" s="207">
        <f>BD75</f>
        <v>0</v>
      </c>
      <c r="BE156" s="335"/>
      <c r="BF156" s="335"/>
      <c r="BG156" s="335"/>
      <c r="BH156" s="214"/>
    </row>
    <row r="157" spans="1:60" ht="18.75" x14ac:dyDescent="0.2">
      <c r="A157" s="648"/>
      <c r="B157" s="492" t="s">
        <v>243</v>
      </c>
      <c r="C157" s="739" t="s">
        <v>104</v>
      </c>
      <c r="D157" s="747"/>
      <c r="E157" s="303" t="s">
        <v>250</v>
      </c>
      <c r="F157" s="303"/>
      <c r="G157" s="303"/>
      <c r="H157" s="305"/>
      <c r="I157" s="232"/>
      <c r="J157" s="303"/>
      <c r="K157" s="232"/>
      <c r="L157" s="232"/>
      <c r="M157" s="303"/>
      <c r="N157" s="304"/>
      <c r="O157" s="304"/>
      <c r="P157" s="304"/>
      <c r="Q157" s="304"/>
      <c r="R157" s="304"/>
      <c r="S157" s="304"/>
      <c r="T157" s="304"/>
      <c r="U157" s="304"/>
      <c r="V157" s="304"/>
      <c r="W157" s="304"/>
      <c r="X157" s="232"/>
      <c r="Y157" s="303"/>
      <c r="Z157" s="304"/>
      <c r="AA157" s="304"/>
      <c r="AB157" s="304"/>
      <c r="AC157" s="304"/>
      <c r="AD157" s="304"/>
      <c r="AE157" s="304"/>
      <c r="AF157" s="304"/>
      <c r="AG157" s="304"/>
      <c r="AH157" s="304"/>
      <c r="AI157" s="304"/>
      <c r="AJ157" s="232"/>
      <c r="AK157" s="303"/>
      <c r="AL157" s="304"/>
      <c r="AM157" s="304"/>
      <c r="AN157" s="304"/>
      <c r="AO157" s="304"/>
      <c r="AP157" s="304"/>
      <c r="AQ157" s="304"/>
      <c r="AR157" s="304"/>
      <c r="AS157" s="304"/>
      <c r="AT157" s="304"/>
      <c r="AU157" s="304"/>
      <c r="AV157" s="232"/>
      <c r="AW157" s="303"/>
      <c r="AX157" s="304"/>
      <c r="AY157" s="304"/>
      <c r="AZ157" s="304"/>
      <c r="BA157" s="304"/>
      <c r="BB157" s="304"/>
      <c r="BC157" s="304"/>
      <c r="BD157" s="304"/>
      <c r="BE157" s="304"/>
      <c r="BF157" s="304"/>
      <c r="BG157" s="304"/>
      <c r="BH157" s="38"/>
    </row>
    <row r="158" spans="1:60" hidden="1" x14ac:dyDescent="0.2">
      <c r="A158" s="648"/>
      <c r="B158" s="492" t="s">
        <v>243</v>
      </c>
      <c r="C158" s="656" t="s">
        <v>199</v>
      </c>
      <c r="D158" s="747"/>
      <c r="E158" s="316" t="s">
        <v>222</v>
      </c>
      <c r="F158" s="316"/>
      <c r="G158" s="316"/>
      <c r="H158" s="354" t="s">
        <v>223</v>
      </c>
      <c r="I158" s="232"/>
      <c r="J158" s="229"/>
      <c r="K158" s="90"/>
      <c r="L158" s="90"/>
      <c r="M158" s="229"/>
      <c r="N158" s="131"/>
      <c r="O158" s="184">
        <f>$G$5</f>
        <v>1.45</v>
      </c>
      <c r="P158" s="184">
        <f>$G$5</f>
        <v>1.45</v>
      </c>
      <c r="Q158" s="184">
        <f>$G$5</f>
        <v>1.45</v>
      </c>
      <c r="R158" s="184">
        <f>$G$5</f>
        <v>1.45</v>
      </c>
      <c r="S158" s="184">
        <f>$G$5</f>
        <v>1.45</v>
      </c>
      <c r="T158" s="184">
        <f>bibliotheek!$K$223</f>
        <v>1</v>
      </c>
      <c r="U158" s="184">
        <f>$G$5</f>
        <v>1.45</v>
      </c>
      <c r="V158" s="184">
        <f>$G$5</f>
        <v>1.45</v>
      </c>
      <c r="W158" s="452"/>
      <c r="X158" s="139"/>
      <c r="Y158" s="706"/>
      <c r="Z158" s="707"/>
      <c r="AA158" s="184">
        <f>$G$5</f>
        <v>1.45</v>
      </c>
      <c r="AB158" s="184">
        <f>$G$5</f>
        <v>1.45</v>
      </c>
      <c r="AC158" s="184">
        <f>$G$5</f>
        <v>1.45</v>
      </c>
      <c r="AD158" s="184">
        <f>$G$5</f>
        <v>1.45</v>
      </c>
      <c r="AE158" s="184">
        <f>$G$5</f>
        <v>1.45</v>
      </c>
      <c r="AF158" s="272">
        <f>bibliotheek!$K$223</f>
        <v>1</v>
      </c>
      <c r="AG158" s="184">
        <f>$G$5</f>
        <v>1.45</v>
      </c>
      <c r="AH158" s="184">
        <f>$G$5</f>
        <v>1.45</v>
      </c>
      <c r="AI158" s="452"/>
      <c r="AJ158" s="139"/>
      <c r="AK158" s="706"/>
      <c r="AL158" s="707"/>
      <c r="AM158" s="184">
        <f>$G$5</f>
        <v>1.45</v>
      </c>
      <c r="AN158" s="184">
        <f>$G$5</f>
        <v>1.45</v>
      </c>
      <c r="AO158" s="184">
        <f>$G$5</f>
        <v>1.45</v>
      </c>
      <c r="AP158" s="184">
        <f>$G$5</f>
        <v>1.45</v>
      </c>
      <c r="AQ158" s="184">
        <f>$G$5</f>
        <v>1.45</v>
      </c>
      <c r="AR158" s="272">
        <f>bibliotheek!$K$223</f>
        <v>1</v>
      </c>
      <c r="AS158" s="184">
        <f>$G$5</f>
        <v>1.45</v>
      </c>
      <c r="AT158" s="184">
        <f>$G$5</f>
        <v>1.45</v>
      </c>
      <c r="AU158" s="452"/>
      <c r="AV158" s="139"/>
      <c r="AW158" s="706"/>
      <c r="AX158" s="707"/>
      <c r="AY158" s="184">
        <f>$G$5</f>
        <v>1.45</v>
      </c>
      <c r="AZ158" s="184">
        <f>$G$5</f>
        <v>1.45</v>
      </c>
      <c r="BA158" s="184">
        <f>$G$5</f>
        <v>1.45</v>
      </c>
      <c r="BB158" s="184">
        <f>$G$5</f>
        <v>1.45</v>
      </c>
      <c r="BC158" s="184">
        <f>$G$5</f>
        <v>1.45</v>
      </c>
      <c r="BD158" s="272">
        <f>bibliotheek!$K$223</f>
        <v>1</v>
      </c>
      <c r="BE158" s="184">
        <f>$G$5</f>
        <v>1.45</v>
      </c>
      <c r="BF158" s="184">
        <f>$G$5</f>
        <v>1.45</v>
      </c>
      <c r="BG158" s="452"/>
      <c r="BH158" s="214"/>
    </row>
    <row r="159" spans="1:60" x14ac:dyDescent="0.2">
      <c r="A159" s="650"/>
      <c r="B159" s="492" t="s">
        <v>243</v>
      </c>
      <c r="C159" s="740" t="s">
        <v>113</v>
      </c>
      <c r="D159" s="752" t="s">
        <v>50</v>
      </c>
      <c r="E159" s="298" t="s">
        <v>114</v>
      </c>
      <c r="F159" s="242"/>
      <c r="G159" s="242"/>
      <c r="H159" s="242" t="s">
        <v>115</v>
      </c>
      <c r="I159" s="232"/>
      <c r="J159" s="243">
        <f>M159+Y159+AK159+AW159</f>
        <v>0</v>
      </c>
      <c r="K159" s="823"/>
      <c r="L159" s="823"/>
      <c r="M159" s="243">
        <f>SUM(O159:X159)</f>
        <v>0</v>
      </c>
      <c r="N159" s="100"/>
      <c r="O159" s="207">
        <f t="shared" ref="O159:V159" si="97">SUM(O$153:O$156)*O$158</f>
        <v>0</v>
      </c>
      <c r="P159" s="207">
        <f t="shared" si="97"/>
        <v>0</v>
      </c>
      <c r="Q159" s="207">
        <f t="shared" si="97"/>
        <v>0</v>
      </c>
      <c r="R159" s="207">
        <f t="shared" si="97"/>
        <v>0</v>
      </c>
      <c r="S159" s="207">
        <f t="shared" si="97"/>
        <v>0</v>
      </c>
      <c r="T159" s="207">
        <f t="shared" si="97"/>
        <v>0</v>
      </c>
      <c r="U159" s="207">
        <f>SUM(U$153:U$156)*U$158</f>
        <v>0</v>
      </c>
      <c r="V159" s="207">
        <f t="shared" si="97"/>
        <v>0</v>
      </c>
      <c r="W159" s="335"/>
      <c r="X159" s="128"/>
      <c r="Y159" s="243">
        <f>SUM(AA159:AJ159)</f>
        <v>0</v>
      </c>
      <c r="Z159" s="100"/>
      <c r="AA159" s="207">
        <f t="shared" ref="AA159:AH159" si="98">SUM(AA$153:AA$156)*AA$158</f>
        <v>0</v>
      </c>
      <c r="AB159" s="207">
        <f t="shared" si="98"/>
        <v>0</v>
      </c>
      <c r="AC159" s="207">
        <f t="shared" si="98"/>
        <v>0</v>
      </c>
      <c r="AD159" s="207">
        <f t="shared" si="98"/>
        <v>0</v>
      </c>
      <c r="AE159" s="207">
        <f t="shared" si="98"/>
        <v>0</v>
      </c>
      <c r="AF159" s="207">
        <f t="shared" si="98"/>
        <v>0</v>
      </c>
      <c r="AG159" s="207">
        <f t="shared" si="98"/>
        <v>0</v>
      </c>
      <c r="AH159" s="207">
        <f t="shared" si="98"/>
        <v>0</v>
      </c>
      <c r="AI159" s="335"/>
      <c r="AJ159" s="128"/>
      <c r="AK159" s="243">
        <f>SUM(AM159:AV159)</f>
        <v>0</v>
      </c>
      <c r="AL159" s="100"/>
      <c r="AM159" s="207">
        <f>SUM(AM$153:AM$156)*AM$158</f>
        <v>0</v>
      </c>
      <c r="AN159" s="207">
        <f t="shared" ref="AN159:AT159" si="99">SUM(AN$153:AN$156)*AN$158</f>
        <v>0</v>
      </c>
      <c r="AO159" s="207">
        <f t="shared" si="99"/>
        <v>0</v>
      </c>
      <c r="AP159" s="207">
        <f t="shared" si="99"/>
        <v>0</v>
      </c>
      <c r="AQ159" s="207">
        <f t="shared" si="99"/>
        <v>0</v>
      </c>
      <c r="AR159" s="207">
        <f t="shared" si="99"/>
        <v>0</v>
      </c>
      <c r="AS159" s="207">
        <f t="shared" si="99"/>
        <v>0</v>
      </c>
      <c r="AT159" s="207">
        <f t="shared" si="99"/>
        <v>0</v>
      </c>
      <c r="AU159" s="335"/>
      <c r="AV159" s="128"/>
      <c r="AW159" s="243">
        <f>SUM(AY159:BH159)</f>
        <v>0</v>
      </c>
      <c r="AX159" s="100"/>
      <c r="AY159" s="207">
        <f>SUM(AY$153:AY$156)*AY$158</f>
        <v>0</v>
      </c>
      <c r="AZ159" s="207">
        <f t="shared" ref="AZ159:BF159" si="100">SUM(AZ$153:AZ$156)*AZ$158</f>
        <v>0</v>
      </c>
      <c r="BA159" s="207">
        <f t="shared" si="100"/>
        <v>0</v>
      </c>
      <c r="BB159" s="207">
        <f t="shared" si="100"/>
        <v>0</v>
      </c>
      <c r="BC159" s="207">
        <f t="shared" si="100"/>
        <v>0</v>
      </c>
      <c r="BD159" s="207">
        <f t="shared" si="100"/>
        <v>0</v>
      </c>
      <c r="BE159" s="207">
        <f t="shared" si="100"/>
        <v>0</v>
      </c>
      <c r="BF159" s="207">
        <f t="shared" si="100"/>
        <v>0</v>
      </c>
      <c r="BG159" s="335"/>
      <c r="BH159" s="214"/>
    </row>
    <row r="160" spans="1:60" ht="18.75" x14ac:dyDescent="0.2">
      <c r="A160" s="648"/>
      <c r="B160" s="492" t="s">
        <v>243</v>
      </c>
      <c r="C160" s="739" t="s">
        <v>104</v>
      </c>
      <c r="D160" s="747"/>
      <c r="E160" s="303" t="s">
        <v>251</v>
      </c>
      <c r="F160" s="303"/>
      <c r="G160" s="303"/>
      <c r="H160" s="305"/>
      <c r="I160" s="232"/>
      <c r="J160" s="303"/>
      <c r="K160" s="232"/>
      <c r="L160" s="232"/>
      <c r="M160" s="303"/>
      <c r="N160" s="304"/>
      <c r="O160" s="304"/>
      <c r="P160" s="304"/>
      <c r="Q160" s="304"/>
      <c r="R160" s="304"/>
      <c r="S160" s="304"/>
      <c r="T160" s="304"/>
      <c r="U160" s="304"/>
      <c r="V160" s="304"/>
      <c r="W160" s="304"/>
      <c r="X160" s="232"/>
      <c r="Y160" s="303"/>
      <c r="Z160" s="304"/>
      <c r="AA160" s="304"/>
      <c r="AB160" s="304"/>
      <c r="AC160" s="304"/>
      <c r="AD160" s="304"/>
      <c r="AE160" s="304"/>
      <c r="AF160" s="304"/>
      <c r="AG160" s="304"/>
      <c r="AH160" s="304"/>
      <c r="AI160" s="304"/>
      <c r="AJ160" s="232"/>
      <c r="AK160" s="303"/>
      <c r="AL160" s="304"/>
      <c r="AM160" s="304"/>
      <c r="AN160" s="304"/>
      <c r="AO160" s="304"/>
      <c r="AP160" s="304"/>
      <c r="AQ160" s="304"/>
      <c r="AR160" s="304"/>
      <c r="AS160" s="304"/>
      <c r="AT160" s="304"/>
      <c r="AU160" s="304"/>
      <c r="AV160" s="232"/>
      <c r="AW160" s="303"/>
      <c r="AX160" s="304"/>
      <c r="AY160" s="304"/>
      <c r="AZ160" s="304"/>
      <c r="BA160" s="304"/>
      <c r="BB160" s="304"/>
      <c r="BC160" s="304"/>
      <c r="BD160" s="304"/>
      <c r="BE160" s="304"/>
      <c r="BF160" s="304"/>
      <c r="BG160" s="304"/>
      <c r="BH160" s="38"/>
    </row>
    <row r="161" spans="1:60" hidden="1" x14ac:dyDescent="0.2">
      <c r="A161" s="648"/>
      <c r="B161" s="492" t="s">
        <v>243</v>
      </c>
      <c r="C161" s="656" t="s">
        <v>199</v>
      </c>
      <c r="D161" s="747"/>
      <c r="E161" s="220" t="s">
        <v>225</v>
      </c>
      <c r="F161" s="220"/>
      <c r="G161" s="220"/>
      <c r="H161" s="221" t="s">
        <v>226</v>
      </c>
      <c r="I161" s="232"/>
      <c r="J161" s="230"/>
      <c r="K161" s="90"/>
      <c r="L161" s="90"/>
      <c r="M161" s="230"/>
      <c r="N161" s="129"/>
      <c r="O161" s="273">
        <f>$H$5</f>
        <v>0.34</v>
      </c>
      <c r="P161" s="273">
        <f t="shared" ref="P161:V161" si="101">$H$5</f>
        <v>0.34</v>
      </c>
      <c r="Q161" s="273">
        <f t="shared" si="101"/>
        <v>0.34</v>
      </c>
      <c r="R161" s="273">
        <f t="shared" si="101"/>
        <v>0.34</v>
      </c>
      <c r="S161" s="273">
        <f t="shared" si="101"/>
        <v>0.34</v>
      </c>
      <c r="T161" s="273">
        <f t="shared" si="101"/>
        <v>0.34</v>
      </c>
      <c r="U161" s="273">
        <f t="shared" si="101"/>
        <v>0.34</v>
      </c>
      <c r="V161" s="273">
        <f t="shared" si="101"/>
        <v>0.34</v>
      </c>
      <c r="W161" s="421"/>
      <c r="X161" s="422"/>
      <c r="Y161" s="230"/>
      <c r="Z161" s="424"/>
      <c r="AA161" s="273">
        <f>$H$5</f>
        <v>0.34</v>
      </c>
      <c r="AB161" s="273">
        <f t="shared" ref="AB161:AH161" si="102">$H$5</f>
        <v>0.34</v>
      </c>
      <c r="AC161" s="273">
        <f t="shared" si="102"/>
        <v>0.34</v>
      </c>
      <c r="AD161" s="273">
        <f t="shared" si="102"/>
        <v>0.34</v>
      </c>
      <c r="AE161" s="273">
        <f t="shared" si="102"/>
        <v>0.34</v>
      </c>
      <c r="AF161" s="207">
        <f t="shared" si="102"/>
        <v>0.34</v>
      </c>
      <c r="AG161" s="273">
        <f t="shared" si="102"/>
        <v>0.34</v>
      </c>
      <c r="AH161" s="273">
        <f t="shared" si="102"/>
        <v>0.34</v>
      </c>
      <c r="AI161" s="421"/>
      <c r="AJ161" s="422"/>
      <c r="AK161" s="230"/>
      <c r="AL161" s="424"/>
      <c r="AM161" s="273">
        <f>$H$5</f>
        <v>0.34</v>
      </c>
      <c r="AN161" s="273">
        <f t="shared" ref="AN161:AT161" si="103">$H$5</f>
        <v>0.34</v>
      </c>
      <c r="AO161" s="273">
        <f t="shared" si="103"/>
        <v>0.34</v>
      </c>
      <c r="AP161" s="273">
        <f t="shared" si="103"/>
        <v>0.34</v>
      </c>
      <c r="AQ161" s="273">
        <f t="shared" si="103"/>
        <v>0.34</v>
      </c>
      <c r="AR161" s="207">
        <f t="shared" si="103"/>
        <v>0.34</v>
      </c>
      <c r="AS161" s="273">
        <f t="shared" si="103"/>
        <v>0.34</v>
      </c>
      <c r="AT161" s="273">
        <f t="shared" si="103"/>
        <v>0.34</v>
      </c>
      <c r="AU161" s="421"/>
      <c r="AV161" s="422"/>
      <c r="AW161" s="230"/>
      <c r="AX161" s="424"/>
      <c r="AY161" s="273">
        <f>$H$5</f>
        <v>0.34</v>
      </c>
      <c r="AZ161" s="273">
        <f t="shared" ref="AZ161:BF161" si="104">$H$5</f>
        <v>0.34</v>
      </c>
      <c r="BA161" s="273">
        <f t="shared" si="104"/>
        <v>0.34</v>
      </c>
      <c r="BB161" s="273">
        <f t="shared" si="104"/>
        <v>0.34</v>
      </c>
      <c r="BC161" s="273">
        <f t="shared" si="104"/>
        <v>0.34</v>
      </c>
      <c r="BD161" s="207">
        <f t="shared" si="104"/>
        <v>0.34</v>
      </c>
      <c r="BE161" s="273">
        <f t="shared" si="104"/>
        <v>0.34</v>
      </c>
      <c r="BF161" s="273">
        <f t="shared" si="104"/>
        <v>0.34</v>
      </c>
      <c r="BG161" s="336"/>
      <c r="BH161" s="214"/>
    </row>
    <row r="162" spans="1:60" x14ac:dyDescent="0.2">
      <c r="A162" s="650"/>
      <c r="B162" s="492" t="s">
        <v>243</v>
      </c>
      <c r="C162" s="740" t="s">
        <v>113</v>
      </c>
      <c r="D162" s="752"/>
      <c r="E162" s="298" t="s">
        <v>116</v>
      </c>
      <c r="F162" s="242"/>
      <c r="G162" s="242"/>
      <c r="H162" s="242" t="s">
        <v>228</v>
      </c>
      <c r="I162" s="232"/>
      <c r="J162" s="243">
        <f>M162+Y162+AK162+AW162</f>
        <v>0</v>
      </c>
      <c r="K162" s="823"/>
      <c r="L162" s="823"/>
      <c r="M162" s="243">
        <f>SUM(O162:X162)</f>
        <v>0</v>
      </c>
      <c r="N162" s="100"/>
      <c r="O162" s="207">
        <f t="shared" ref="O162:V162" si="105">SUM(O$153:O$156)*O$161</f>
        <v>0</v>
      </c>
      <c r="P162" s="207">
        <f t="shared" si="105"/>
        <v>0</v>
      </c>
      <c r="Q162" s="207">
        <f t="shared" si="105"/>
        <v>0</v>
      </c>
      <c r="R162" s="207">
        <f t="shared" si="105"/>
        <v>0</v>
      </c>
      <c r="S162" s="207">
        <f t="shared" si="105"/>
        <v>0</v>
      </c>
      <c r="T162" s="207">
        <f t="shared" si="105"/>
        <v>0</v>
      </c>
      <c r="U162" s="207">
        <f t="shared" si="105"/>
        <v>0</v>
      </c>
      <c r="V162" s="207">
        <f t="shared" si="105"/>
        <v>0</v>
      </c>
      <c r="W162" s="335"/>
      <c r="X162" s="128"/>
      <c r="Y162" s="243">
        <f>SUM(AA162:AJ162)</f>
        <v>0</v>
      </c>
      <c r="Z162" s="100"/>
      <c r="AA162" s="207">
        <f t="shared" ref="AA162:AH162" si="106">SUM(AA$153:AA$156)*AA$161</f>
        <v>0</v>
      </c>
      <c r="AB162" s="207">
        <f t="shared" si="106"/>
        <v>0</v>
      </c>
      <c r="AC162" s="207">
        <f t="shared" si="106"/>
        <v>0</v>
      </c>
      <c r="AD162" s="207">
        <f t="shared" si="106"/>
        <v>0</v>
      </c>
      <c r="AE162" s="207">
        <f t="shared" si="106"/>
        <v>0</v>
      </c>
      <c r="AF162" s="207">
        <f t="shared" si="106"/>
        <v>0</v>
      </c>
      <c r="AG162" s="207">
        <f t="shared" si="106"/>
        <v>0</v>
      </c>
      <c r="AH162" s="207">
        <f t="shared" si="106"/>
        <v>0</v>
      </c>
      <c r="AI162" s="335"/>
      <c r="AJ162" s="128"/>
      <c r="AK162" s="243">
        <f>SUM(AM162:AV162)</f>
        <v>0</v>
      </c>
      <c r="AL162" s="100"/>
      <c r="AM162" s="207">
        <f>SUM(AM$153:AM$156)*AM$161</f>
        <v>0</v>
      </c>
      <c r="AN162" s="207">
        <f t="shared" ref="AN162:AT162" si="107">SUM(AN$153:AN$156)*AN$161</f>
        <v>0</v>
      </c>
      <c r="AO162" s="207">
        <f t="shared" si="107"/>
        <v>0</v>
      </c>
      <c r="AP162" s="207">
        <f t="shared" si="107"/>
        <v>0</v>
      </c>
      <c r="AQ162" s="207">
        <f t="shared" si="107"/>
        <v>0</v>
      </c>
      <c r="AR162" s="207">
        <f t="shared" si="107"/>
        <v>0</v>
      </c>
      <c r="AS162" s="207">
        <f t="shared" si="107"/>
        <v>0</v>
      </c>
      <c r="AT162" s="207">
        <f t="shared" si="107"/>
        <v>0</v>
      </c>
      <c r="AU162" s="335"/>
      <c r="AV162" s="128"/>
      <c r="AW162" s="243">
        <f>SUM(AY162:BH162)</f>
        <v>0</v>
      </c>
      <c r="AX162" s="100"/>
      <c r="AY162" s="207">
        <f>SUM(AY$153:AY$156)*AY$161</f>
        <v>0</v>
      </c>
      <c r="AZ162" s="207">
        <f t="shared" ref="AZ162:BF162" si="108">SUM(AZ$153:AZ$156)*AZ$161</f>
        <v>0</v>
      </c>
      <c r="BA162" s="207">
        <f t="shared" si="108"/>
        <v>0</v>
      </c>
      <c r="BB162" s="207">
        <f t="shared" si="108"/>
        <v>0</v>
      </c>
      <c r="BC162" s="207">
        <f t="shared" si="108"/>
        <v>0</v>
      </c>
      <c r="BD162" s="207">
        <f t="shared" si="108"/>
        <v>0</v>
      </c>
      <c r="BE162" s="207">
        <f t="shared" si="108"/>
        <v>0</v>
      </c>
      <c r="BF162" s="207">
        <f t="shared" si="108"/>
        <v>0</v>
      </c>
      <c r="BG162" s="335"/>
      <c r="BH162" s="214"/>
    </row>
    <row r="163" spans="1:60" x14ac:dyDescent="0.2">
      <c r="A163" s="648"/>
      <c r="B163" s="492" t="s">
        <v>243</v>
      </c>
      <c r="C163" s="739" t="s">
        <v>104</v>
      </c>
      <c r="D163" s="747"/>
      <c r="E163" s="90"/>
      <c r="F163" s="90"/>
      <c r="G163" s="90"/>
      <c r="H163" s="96"/>
      <c r="I163" s="232"/>
      <c r="J163" s="93"/>
      <c r="K163" s="90"/>
      <c r="L163" s="90"/>
      <c r="M163" s="93"/>
      <c r="N163" s="90"/>
      <c r="O163" s="132"/>
      <c r="P163" s="93"/>
      <c r="Q163" s="132"/>
      <c r="R163" s="93"/>
      <c r="S163" s="93"/>
      <c r="T163" s="93"/>
      <c r="U163" s="93"/>
      <c r="V163" s="93"/>
      <c r="W163" s="93"/>
      <c r="X163" s="93"/>
      <c r="Y163" s="93"/>
      <c r="Z163" s="90"/>
      <c r="AA163" s="132"/>
      <c r="AB163" s="93"/>
      <c r="AC163" s="132"/>
      <c r="AD163" s="93"/>
      <c r="AE163" s="93"/>
      <c r="AF163" s="93"/>
      <c r="AG163" s="93"/>
      <c r="AH163" s="93"/>
      <c r="AI163" s="93"/>
      <c r="AJ163" s="93"/>
      <c r="AK163" s="93"/>
      <c r="AL163" s="90"/>
      <c r="AM163" s="132"/>
      <c r="AN163" s="93"/>
      <c r="AO163" s="132"/>
      <c r="AP163" s="93"/>
      <c r="AQ163" s="93"/>
      <c r="AR163" s="93"/>
      <c r="AS163" s="93"/>
      <c r="AT163" s="93"/>
      <c r="AU163" s="93"/>
      <c r="AV163" s="93"/>
      <c r="AW163" s="93"/>
      <c r="AX163" s="90"/>
      <c r="AY163" s="132"/>
      <c r="AZ163" s="93"/>
      <c r="BA163" s="132"/>
      <c r="BB163" s="93"/>
      <c r="BC163" s="93"/>
      <c r="BD163" s="93"/>
      <c r="BE163" s="93"/>
      <c r="BF163" s="93"/>
      <c r="BG163" s="93"/>
      <c r="BH163" s="1"/>
    </row>
    <row r="164" spans="1:60" x14ac:dyDescent="0.2">
      <c r="A164" s="648"/>
      <c r="B164" s="492" t="s">
        <v>252</v>
      </c>
      <c r="C164" s="656" t="s">
        <v>104</v>
      </c>
      <c r="D164" s="747"/>
      <c r="E164" s="90"/>
      <c r="F164" s="90"/>
      <c r="G164" s="90"/>
      <c r="H164" s="96"/>
      <c r="I164" s="90"/>
      <c r="J164" s="93"/>
      <c r="K164" s="90"/>
      <c r="L164" s="90"/>
      <c r="M164" s="93"/>
      <c r="N164" s="90"/>
      <c r="O164" s="132"/>
      <c r="P164" s="93"/>
      <c r="Q164" s="132"/>
      <c r="R164" s="93"/>
      <c r="S164" s="93"/>
      <c r="T164" s="93"/>
      <c r="U164" s="93"/>
      <c r="V164" s="93"/>
      <c r="W164" s="93"/>
      <c r="X164" s="93"/>
      <c r="Y164" s="93"/>
      <c r="Z164" s="90"/>
      <c r="AA164" s="132"/>
      <c r="AB164" s="93"/>
      <c r="AC164" s="132"/>
      <c r="AD164" s="93"/>
      <c r="AE164" s="93"/>
      <c r="AF164" s="93"/>
      <c r="AG164" s="93"/>
      <c r="AH164" s="93"/>
      <c r="AI164" s="93"/>
      <c r="AJ164" s="93"/>
      <c r="AK164" s="93"/>
      <c r="AL164" s="90"/>
      <c r="AM164" s="132"/>
      <c r="AN164" s="93"/>
      <c r="AO164" s="132"/>
      <c r="AP164" s="93"/>
      <c r="AQ164" s="93"/>
      <c r="AR164" s="93"/>
      <c r="AS164" s="93"/>
      <c r="AT164" s="93"/>
      <c r="AU164" s="93"/>
      <c r="AV164" s="93"/>
      <c r="AW164" s="93"/>
      <c r="AX164" s="90"/>
      <c r="AY164" s="132"/>
      <c r="AZ164" s="93"/>
      <c r="BA164" s="132"/>
      <c r="BB164" s="93"/>
      <c r="BC164" s="93"/>
      <c r="BD164" s="93"/>
      <c r="BE164" s="93"/>
      <c r="BF164" s="93"/>
      <c r="BG164" s="93"/>
      <c r="BH164" s="1"/>
    </row>
    <row r="165" spans="1:60" ht="21" x14ac:dyDescent="0.2">
      <c r="A165" s="648"/>
      <c r="B165" s="492" t="s">
        <v>252</v>
      </c>
      <c r="C165" s="739" t="s">
        <v>104</v>
      </c>
      <c r="D165" s="752"/>
      <c r="E165" s="240" t="s">
        <v>253</v>
      </c>
      <c r="F165" s="240"/>
      <c r="G165" s="240"/>
      <c r="H165" s="240"/>
      <c r="I165" s="88"/>
      <c r="J165" s="241" t="str">
        <f>J$10</f>
        <v>totaal</v>
      </c>
      <c r="K165" s="142"/>
      <c r="L165" s="142"/>
      <c r="M165" s="216" t="s">
        <v>254</v>
      </c>
      <c r="N165" s="222"/>
      <c r="O165" s="217" t="str">
        <f t="shared" ref="O165:W165" si="109">O$10</f>
        <v>verwarming</v>
      </c>
      <c r="P165" s="217" t="str">
        <f t="shared" si="109"/>
        <v>koeling</v>
      </c>
      <c r="Q165" s="217" t="str">
        <f t="shared" si="109"/>
        <v>tapwater</v>
      </c>
      <c r="R165" s="217" t="str">
        <f t="shared" si="109"/>
        <v>verlichting</v>
      </c>
      <c r="S165" s="217" t="str">
        <f t="shared" si="109"/>
        <v>ventilatoren</v>
      </c>
      <c r="T165" s="217" t="str">
        <f t="shared" si="109"/>
        <v>kookgas</v>
      </c>
      <c r="U165" s="217" t="str">
        <f t="shared" si="109"/>
        <v>overig elektra</v>
      </c>
      <c r="V165" s="217" t="str">
        <f t="shared" si="109"/>
        <v>mobiliteit</v>
      </c>
      <c r="W165" s="217" t="str">
        <f t="shared" si="109"/>
        <v>zonnepanelen</v>
      </c>
      <c r="X165" s="214"/>
      <c r="Y165" s="216" t="s">
        <v>254</v>
      </c>
      <c r="Z165" s="222"/>
      <c r="AA165" s="217" t="str">
        <f t="shared" ref="AA165:AI165" si="110">AA$10</f>
        <v>verwarming</v>
      </c>
      <c r="AB165" s="217" t="str">
        <f t="shared" si="110"/>
        <v>koeling</v>
      </c>
      <c r="AC165" s="217" t="str">
        <f t="shared" si="110"/>
        <v>tapwater</v>
      </c>
      <c r="AD165" s="217" t="str">
        <f t="shared" si="110"/>
        <v>verlichting</v>
      </c>
      <c r="AE165" s="217" t="str">
        <f t="shared" si="110"/>
        <v>ventilatoren</v>
      </c>
      <c r="AF165" s="217" t="str">
        <f t="shared" si="110"/>
        <v>kookgas</v>
      </c>
      <c r="AG165" s="217" t="str">
        <f t="shared" si="110"/>
        <v>overig elektra</v>
      </c>
      <c r="AH165" s="217" t="str">
        <f t="shared" si="110"/>
        <v>mobiliteit</v>
      </c>
      <c r="AI165" s="217" t="str">
        <f t="shared" si="110"/>
        <v>zonnepanelen</v>
      </c>
      <c r="AJ165" s="214"/>
      <c r="AK165" s="216" t="s">
        <v>254</v>
      </c>
      <c r="AL165" s="222"/>
      <c r="AM165" s="217" t="str">
        <f>AM$10</f>
        <v>verwarming</v>
      </c>
      <c r="AN165" s="217" t="str">
        <f>AN$10</f>
        <v>koeling</v>
      </c>
      <c r="AO165" s="217" t="str">
        <f>AO$10</f>
        <v>tapwater</v>
      </c>
      <c r="AP165" s="217" t="str">
        <f t="shared" ref="AP165:AU165" si="111">AP$10</f>
        <v>verlichting</v>
      </c>
      <c r="AQ165" s="217" t="str">
        <f t="shared" si="111"/>
        <v>ventilatoren</v>
      </c>
      <c r="AR165" s="217" t="str">
        <f t="shared" si="111"/>
        <v>kookgas</v>
      </c>
      <c r="AS165" s="217" t="str">
        <f t="shared" si="111"/>
        <v>overig elektra</v>
      </c>
      <c r="AT165" s="217" t="str">
        <f t="shared" si="111"/>
        <v>mobiliteit</v>
      </c>
      <c r="AU165" s="217" t="str">
        <f t="shared" si="111"/>
        <v>zonnepanelen</v>
      </c>
      <c r="AV165" s="214"/>
      <c r="AW165" s="216" t="s">
        <v>255</v>
      </c>
      <c r="AX165" s="222"/>
      <c r="AY165" s="217" t="str">
        <f>AY$10</f>
        <v>verwarming</v>
      </c>
      <c r="AZ165" s="217" t="str">
        <f>AZ$10</f>
        <v>koeling</v>
      </c>
      <c r="BA165" s="217" t="str">
        <f>BA$10</f>
        <v>tapwater</v>
      </c>
      <c r="BB165" s="217" t="str">
        <f t="shared" ref="BB165:BG165" si="112">BB$10</f>
        <v>verlichting</v>
      </c>
      <c r="BC165" s="217" t="str">
        <f t="shared" si="112"/>
        <v>ventilatoren</v>
      </c>
      <c r="BD165" s="217" t="str">
        <f t="shared" si="112"/>
        <v>kookgas</v>
      </c>
      <c r="BE165" s="217" t="str">
        <f t="shared" si="112"/>
        <v>overig elektra</v>
      </c>
      <c r="BF165" s="217" t="str">
        <f t="shared" si="112"/>
        <v>mobiliteit</v>
      </c>
      <c r="BG165" s="217" t="str">
        <f t="shared" si="112"/>
        <v>zonnepanelen</v>
      </c>
      <c r="BH165" s="1"/>
    </row>
    <row r="166" spans="1:60" ht="18.75" x14ac:dyDescent="0.2">
      <c r="A166" s="648"/>
      <c r="B166" s="492" t="s">
        <v>252</v>
      </c>
      <c r="C166" s="739" t="s">
        <v>104</v>
      </c>
      <c r="D166" s="747"/>
      <c r="E166" s="231" t="s">
        <v>256</v>
      </c>
      <c r="F166" s="231"/>
      <c r="G166" s="231"/>
      <c r="H166" s="89"/>
      <c r="I166" s="232"/>
      <c r="J166" s="231"/>
      <c r="K166" s="232"/>
      <c r="L166" s="232"/>
      <c r="M166" s="231"/>
      <c r="N166" s="232"/>
      <c r="O166" s="232"/>
      <c r="P166" s="232"/>
      <c r="Q166" s="232"/>
      <c r="R166" s="232"/>
      <c r="S166" s="232"/>
      <c r="T166" s="232"/>
      <c r="U166" s="232"/>
      <c r="V166" s="232"/>
      <c r="W166" s="232"/>
      <c r="X166" s="232"/>
      <c r="Y166" s="231"/>
      <c r="Z166" s="232"/>
      <c r="AA166" s="232"/>
      <c r="AB166" s="232"/>
      <c r="AC166" s="232"/>
      <c r="AD166" s="232"/>
      <c r="AE166" s="232"/>
      <c r="AF166" s="232"/>
      <c r="AG166" s="232"/>
      <c r="AH166" s="232"/>
      <c r="AI166" s="232"/>
      <c r="AJ166" s="232"/>
      <c r="AK166" s="231"/>
      <c r="AL166" s="232"/>
      <c r="AM166" s="232"/>
      <c r="AN166" s="232"/>
      <c r="AO166" s="232"/>
      <c r="AP166" s="232"/>
      <c r="AQ166" s="232"/>
      <c r="AR166" s="232"/>
      <c r="AS166" s="232"/>
      <c r="AT166" s="232"/>
      <c r="AU166" s="232"/>
      <c r="AV166" s="232"/>
      <c r="AW166" s="231"/>
      <c r="AX166" s="232"/>
      <c r="AY166" s="232"/>
      <c r="AZ166" s="232"/>
      <c r="BA166" s="232"/>
      <c r="BB166" s="232"/>
      <c r="BC166" s="232"/>
      <c r="BD166" s="232"/>
      <c r="BE166" s="232"/>
      <c r="BF166" s="232"/>
      <c r="BG166" s="232"/>
      <c r="BH166" s="38"/>
    </row>
    <row r="167" spans="1:60" s="2" customFormat="1" hidden="1" x14ac:dyDescent="0.2">
      <c r="A167" s="649"/>
      <c r="B167" s="492" t="s">
        <v>252</v>
      </c>
      <c r="C167" s="739" t="s">
        <v>199</v>
      </c>
      <c r="D167" s="753"/>
      <c r="E167" s="220" t="s">
        <v>257</v>
      </c>
      <c r="F167" s="220"/>
      <c r="G167" s="220"/>
      <c r="H167" s="221" t="s">
        <v>177</v>
      </c>
      <c r="I167" s="129"/>
      <c r="J167" s="243">
        <f>M167+Y167+AK167+AW167</f>
        <v>0</v>
      </c>
      <c r="K167" s="294"/>
      <c r="L167" s="294"/>
      <c r="M167" s="243">
        <f>SUM(N167:X167)</f>
        <v>0</v>
      </c>
      <c r="N167" s="100"/>
      <c r="O167" s="207">
        <f>O$113*O$125</f>
        <v>0</v>
      </c>
      <c r="P167" s="207">
        <f>P$113*P$125</f>
        <v>0</v>
      </c>
      <c r="Q167" s="207">
        <f>Q$113*Q$125</f>
        <v>0</v>
      </c>
      <c r="R167" s="335"/>
      <c r="S167" s="335"/>
      <c r="T167" s="335"/>
      <c r="U167" s="335"/>
      <c r="V167" s="335"/>
      <c r="W167" s="335"/>
      <c r="X167" s="128"/>
      <c r="Y167" s="243">
        <f>SUM(Z167:AJ167)</f>
        <v>0</v>
      </c>
      <c r="Z167" s="100"/>
      <c r="AA167" s="207">
        <f>AA$113*AA$125</f>
        <v>0</v>
      </c>
      <c r="AB167" s="207">
        <f>AB$113*AB$125</f>
        <v>0</v>
      </c>
      <c r="AC167" s="207">
        <f>AC$113*AC$125</f>
        <v>0</v>
      </c>
      <c r="AD167" s="335"/>
      <c r="AE167" s="335"/>
      <c r="AF167" s="335"/>
      <c r="AG167" s="335"/>
      <c r="AH167" s="335"/>
      <c r="AI167" s="335"/>
      <c r="AJ167" s="128"/>
      <c r="AK167" s="243">
        <f>SUM(AL167:AV167)</f>
        <v>0</v>
      </c>
      <c r="AL167" s="100"/>
      <c r="AM167" s="207">
        <f>AM$113*AM$125</f>
        <v>0</v>
      </c>
      <c r="AN167" s="207">
        <f>AN$113*AN$125</f>
        <v>0</v>
      </c>
      <c r="AO167" s="207">
        <f>AO$113*AO$125</f>
        <v>0</v>
      </c>
      <c r="AP167" s="335"/>
      <c r="AQ167" s="335"/>
      <c r="AR167" s="335"/>
      <c r="AS167" s="335"/>
      <c r="AT167" s="335"/>
      <c r="AU167" s="335"/>
      <c r="AV167" s="128"/>
      <c r="AW167" s="243">
        <f>SUM(AX167:BH167)</f>
        <v>0</v>
      </c>
      <c r="AX167" s="100"/>
      <c r="AY167" s="207">
        <f>AY$113*AY$125</f>
        <v>0</v>
      </c>
      <c r="AZ167" s="207">
        <f>AZ$113*AZ$125</f>
        <v>0</v>
      </c>
      <c r="BA167" s="207">
        <f>BA$113*BA$125</f>
        <v>0</v>
      </c>
      <c r="BB167" s="335"/>
      <c r="BC167" s="335"/>
      <c r="BD167" s="335"/>
      <c r="BE167" s="335"/>
      <c r="BF167" s="335"/>
      <c r="BG167" s="335"/>
      <c r="BH167" s="255"/>
    </row>
    <row r="168" spans="1:60" s="2" customFormat="1" hidden="1" x14ac:dyDescent="0.2">
      <c r="A168" s="649"/>
      <c r="B168" s="492" t="s">
        <v>252</v>
      </c>
      <c r="C168" s="739" t="s">
        <v>199</v>
      </c>
      <c r="D168" s="754" t="s">
        <v>50</v>
      </c>
      <c r="E168" s="220" t="s">
        <v>112</v>
      </c>
      <c r="F168" s="220"/>
      <c r="G168" s="220"/>
      <c r="H168" s="221" t="s">
        <v>177</v>
      </c>
      <c r="I168" s="129"/>
      <c r="J168" s="243">
        <f>M168+Y168+AK168+AW168</f>
        <v>0</v>
      </c>
      <c r="K168" s="294"/>
      <c r="L168" s="294"/>
      <c r="M168" s="243">
        <f>SUM(N168:X168)</f>
        <v>0</v>
      </c>
      <c r="N168" s="100"/>
      <c r="O168" s="335"/>
      <c r="P168" s="335"/>
      <c r="Q168" s="335"/>
      <c r="R168" s="335"/>
      <c r="S168" s="335"/>
      <c r="T168" s="335"/>
      <c r="U168" s="335"/>
      <c r="V168" s="335"/>
      <c r="W168" s="207">
        <f>-W75</f>
        <v>0</v>
      </c>
      <c r="X168" s="128"/>
      <c r="Y168" s="243">
        <f>SUM(Z168:AJ168)</f>
        <v>0</v>
      </c>
      <c r="Z168" s="100"/>
      <c r="AA168" s="335"/>
      <c r="AB168" s="335"/>
      <c r="AC168" s="335"/>
      <c r="AD168" s="335"/>
      <c r="AE168" s="335"/>
      <c r="AF168" s="335"/>
      <c r="AG168" s="335"/>
      <c r="AH168" s="335"/>
      <c r="AI168" s="207">
        <f>-AI75</f>
        <v>0</v>
      </c>
      <c r="AJ168" s="128"/>
      <c r="AK168" s="243">
        <f>SUM(AL168:AV168)</f>
        <v>0</v>
      </c>
      <c r="AL168" s="100"/>
      <c r="AM168" s="335"/>
      <c r="AN168" s="335"/>
      <c r="AO168" s="335"/>
      <c r="AP168" s="335"/>
      <c r="AQ168" s="335"/>
      <c r="AR168" s="335"/>
      <c r="AS168" s="335"/>
      <c r="AT168" s="335"/>
      <c r="AU168" s="207">
        <f>-AU75</f>
        <v>0</v>
      </c>
      <c r="AV168" s="128"/>
      <c r="AW168" s="243">
        <f>SUM(AX168:BH168)</f>
        <v>0</v>
      </c>
      <c r="AX168" s="100"/>
      <c r="AY168" s="335"/>
      <c r="AZ168" s="335"/>
      <c r="BA168" s="335"/>
      <c r="BB168" s="335"/>
      <c r="BC168" s="335"/>
      <c r="BD168" s="335"/>
      <c r="BE168" s="335"/>
      <c r="BF168" s="335"/>
      <c r="BG168" s="207">
        <f>-BG75</f>
        <v>0</v>
      </c>
      <c r="BH168" s="255"/>
    </row>
    <row r="169" spans="1:60" s="2" customFormat="1" hidden="1" x14ac:dyDescent="0.2">
      <c r="A169" s="649"/>
      <c r="B169" s="492" t="s">
        <v>252</v>
      </c>
      <c r="C169" s="739" t="s">
        <v>199</v>
      </c>
      <c r="D169" s="753"/>
      <c r="E169" s="220" t="s">
        <v>258</v>
      </c>
      <c r="F169" s="220"/>
      <c r="G169" s="220"/>
      <c r="H169" s="221" t="s">
        <v>177</v>
      </c>
      <c r="I169" s="129"/>
      <c r="J169" s="243">
        <f>J167+J168</f>
        <v>0</v>
      </c>
      <c r="K169" s="294"/>
      <c r="L169" s="294"/>
      <c r="M169" s="243">
        <f>M167+M168</f>
        <v>0</v>
      </c>
      <c r="N169" s="100"/>
      <c r="O169" s="207">
        <f t="shared" ref="O169:W169" si="113">O167+O168</f>
        <v>0</v>
      </c>
      <c r="P169" s="207">
        <f t="shared" si="113"/>
        <v>0</v>
      </c>
      <c r="Q169" s="207">
        <f t="shared" si="113"/>
        <v>0</v>
      </c>
      <c r="R169" s="207"/>
      <c r="S169" s="207"/>
      <c r="T169" s="207"/>
      <c r="U169" s="207"/>
      <c r="V169" s="207"/>
      <c r="W169" s="207">
        <f t="shared" si="113"/>
        <v>0</v>
      </c>
      <c r="X169" s="128"/>
      <c r="Y169" s="243">
        <f>Y167+Y168</f>
        <v>0</v>
      </c>
      <c r="Z169" s="100"/>
      <c r="AA169" s="207">
        <f>AA167+AA168</f>
        <v>0</v>
      </c>
      <c r="AB169" s="207">
        <f>AB167+AB168</f>
        <v>0</v>
      </c>
      <c r="AC169" s="207">
        <f>AC167+AC168</f>
        <v>0</v>
      </c>
      <c r="AD169" s="335"/>
      <c r="AE169" s="335"/>
      <c r="AF169" s="335"/>
      <c r="AG169" s="335"/>
      <c r="AH169" s="335"/>
      <c r="AI169" s="207">
        <f>AI167+AI168</f>
        <v>0</v>
      </c>
      <c r="AJ169" s="128"/>
      <c r="AK169" s="243">
        <f>AK167+AK168</f>
        <v>0</v>
      </c>
      <c r="AL169" s="100"/>
      <c r="AM169" s="207">
        <f>AM167+AM168</f>
        <v>0</v>
      </c>
      <c r="AN169" s="207">
        <f>AN167+AN168</f>
        <v>0</v>
      </c>
      <c r="AO169" s="207">
        <f>AO167+AO168</f>
        <v>0</v>
      </c>
      <c r="AP169" s="335"/>
      <c r="AQ169" s="335"/>
      <c r="AR169" s="335"/>
      <c r="AS169" s="335"/>
      <c r="AT169" s="335"/>
      <c r="AU169" s="207">
        <f>AU167+AU168</f>
        <v>0</v>
      </c>
      <c r="AV169" s="128"/>
      <c r="AW169" s="243">
        <f>AW167+AW168</f>
        <v>0</v>
      </c>
      <c r="AX169" s="100"/>
      <c r="AY169" s="207">
        <f>AY167+AY168</f>
        <v>0</v>
      </c>
      <c r="AZ169" s="207">
        <f>AZ167+AZ168</f>
        <v>0</v>
      </c>
      <c r="BA169" s="207">
        <f>BA167+BA168</f>
        <v>0</v>
      </c>
      <c r="BB169" s="335"/>
      <c r="BC169" s="335"/>
      <c r="BD169" s="335"/>
      <c r="BE169" s="335"/>
      <c r="BF169" s="335"/>
      <c r="BG169" s="207">
        <f>BG167+BG168</f>
        <v>0</v>
      </c>
      <c r="BH169" s="255"/>
    </row>
    <row r="170" spans="1:60" s="2" customFormat="1" ht="18.75" x14ac:dyDescent="0.2">
      <c r="A170" s="649"/>
      <c r="B170" s="492" t="s">
        <v>252</v>
      </c>
      <c r="C170" s="739" t="s">
        <v>104</v>
      </c>
      <c r="D170" s="753"/>
      <c r="E170" s="310" t="s">
        <v>259</v>
      </c>
      <c r="F170" s="310"/>
      <c r="G170" s="310"/>
      <c r="H170" s="311"/>
      <c r="I170" s="312"/>
      <c r="J170" s="310"/>
      <c r="K170" s="313"/>
      <c r="L170" s="313"/>
      <c r="M170" s="310"/>
      <c r="N170" s="312"/>
      <c r="O170" s="312"/>
      <c r="P170" s="312"/>
      <c r="Q170" s="312"/>
      <c r="R170" s="312"/>
      <c r="S170" s="312"/>
      <c r="T170" s="312"/>
      <c r="U170" s="312"/>
      <c r="V170" s="312"/>
      <c r="W170" s="312"/>
      <c r="X170" s="313"/>
      <c r="Y170" s="310"/>
      <c r="Z170" s="312"/>
      <c r="AA170" s="312"/>
      <c r="AB170" s="312"/>
      <c r="AC170" s="312"/>
      <c r="AD170" s="312"/>
      <c r="AE170" s="312"/>
      <c r="AF170" s="312"/>
      <c r="AG170" s="312"/>
      <c r="AH170" s="312"/>
      <c r="AI170" s="312"/>
      <c r="AJ170" s="313"/>
      <c r="AK170" s="310"/>
      <c r="AL170" s="312"/>
      <c r="AM170" s="312"/>
      <c r="AN170" s="312"/>
      <c r="AO170" s="312"/>
      <c r="AP170" s="312"/>
      <c r="AQ170" s="312"/>
      <c r="AR170" s="312"/>
      <c r="AS170" s="312"/>
      <c r="AT170" s="312"/>
      <c r="AU170" s="312"/>
      <c r="AV170" s="313"/>
      <c r="AW170" s="310"/>
      <c r="AX170" s="312"/>
      <c r="AY170" s="312"/>
      <c r="AZ170" s="312"/>
      <c r="BA170" s="312"/>
      <c r="BB170" s="312"/>
      <c r="BC170" s="312"/>
      <c r="BD170" s="312"/>
      <c r="BE170" s="312"/>
      <c r="BF170" s="312"/>
      <c r="BG170" s="312"/>
    </row>
    <row r="171" spans="1:60" s="2" customFormat="1" hidden="1" x14ac:dyDescent="0.2">
      <c r="A171" s="649"/>
      <c r="B171" s="492" t="s">
        <v>252</v>
      </c>
      <c r="C171" s="739" t="s">
        <v>199</v>
      </c>
      <c r="D171" s="753"/>
      <c r="E171" s="220" t="s">
        <v>260</v>
      </c>
      <c r="F171" s="220"/>
      <c r="G171" s="220"/>
      <c r="H171" s="221" t="s">
        <v>220</v>
      </c>
      <c r="I171" s="129"/>
      <c r="J171" s="243">
        <f>M171+Y171+AK171+AW171</f>
        <v>0</v>
      </c>
      <c r="K171" s="294"/>
      <c r="L171" s="294"/>
      <c r="M171" s="306">
        <f>SUM(N171:X171)</f>
        <v>0</v>
      </c>
      <c r="N171" s="100"/>
      <c r="O171" s="308">
        <f>AND(O$81=gebouw,O$102=elektriciteit)*O$113+AND(O$81=gebouw,O$132=elektriciteit)*O$138+SUM(O$153:O$155)</f>
        <v>0</v>
      </c>
      <c r="P171" s="308">
        <f>AND(P$81=gebouw,P$102=elektriciteit)*P$113+AND(P$81=gebouw,P$132=elektriciteit)*P$138+SUM(P$153:P$155)</f>
        <v>0</v>
      </c>
      <c r="Q171" s="308">
        <f>AND(Q$81=gebouw,Q$102=elektriciteit)*Q$113+AND(Q$81=gebouw,Q$132=elektriciteit)*Q$138+SUM(Q$153:Q$155)</f>
        <v>0</v>
      </c>
      <c r="R171" s="308">
        <f>SUM(R$153:R$155)</f>
        <v>0</v>
      </c>
      <c r="S171" s="308">
        <f>SUM(S$153:S$155)</f>
        <v>0</v>
      </c>
      <c r="T171" s="335"/>
      <c r="U171" s="308">
        <f>SUM(U$153:U$155)</f>
        <v>0</v>
      </c>
      <c r="V171" s="308">
        <f>SUM(V$153:V$155)</f>
        <v>0</v>
      </c>
      <c r="W171" s="703"/>
      <c r="X171" s="133"/>
      <c r="Y171" s="306">
        <f>SUM(Z171:AJ171)</f>
        <v>0</v>
      </c>
      <c r="Z171" s="100"/>
      <c r="AA171" s="308">
        <f>AND(AA$81=gebouw,AA$102=elektriciteit)*AA$113+AND(AA$81=gebouw,AA$132=elektriciteit)*AA$138+SUM(AA$153:AA$155)</f>
        <v>0</v>
      </c>
      <c r="AB171" s="308">
        <f>AND(AB$81=gebouw,AB$102=elektriciteit)*AB$113+AND(AB$81=gebouw,AB$132=elektriciteit)*AB$138+SUM(AB$153:AB$155)</f>
        <v>0</v>
      </c>
      <c r="AC171" s="308">
        <f>AND(AC$81=gebouw,AC$102=elektriciteit)*AC$113+AND(AC$81=gebouw,AC$132=elektriciteit)*AC$138+SUM(AC$153:AC$155)</f>
        <v>0</v>
      </c>
      <c r="AD171" s="308">
        <f>SUM(AD$153:AD$155)</f>
        <v>0</v>
      </c>
      <c r="AE171" s="308">
        <f>SUM(AE$153:AE$155)</f>
        <v>0</v>
      </c>
      <c r="AF171" s="335"/>
      <c r="AG171" s="308">
        <f>SUM(AG$153:AG$155)</f>
        <v>0</v>
      </c>
      <c r="AH171" s="308">
        <f>SUM(AH$153:AH$155)</f>
        <v>0</v>
      </c>
      <c r="AI171" s="703"/>
      <c r="AJ171" s="133"/>
      <c r="AK171" s="306">
        <f>SUM(AL171:AV171)</f>
        <v>0</v>
      </c>
      <c r="AL171" s="100"/>
      <c r="AM171" s="308">
        <f>AND(AM$81=gebouw,AM$102=elektriciteit)*AM$113+AND(AM$81=gebouw,AM$132=elektriciteit)*AM$138+SUM(AM$153:AM$155)</f>
        <v>0</v>
      </c>
      <c r="AN171" s="308">
        <f>AND(AN$81=gebouw,AN$102=elektriciteit)*AN$113+AND(AN$81=gebouw,AN$132=elektriciteit)*AN$138+SUM(AN$153:AN$155)</f>
        <v>0</v>
      </c>
      <c r="AO171" s="308">
        <f>AND(AO$81=gebouw,AO$102=elektriciteit)*AO$113+AND(AO$81=gebouw,AO$132=elektriciteit)*AO$138+SUM(AO$153:AO$155)</f>
        <v>0</v>
      </c>
      <c r="AP171" s="308">
        <f>SUM(AP$153:AP$155)</f>
        <v>0</v>
      </c>
      <c r="AQ171" s="308">
        <f>SUM(AQ$153:AQ$155)</f>
        <v>0</v>
      </c>
      <c r="AR171" s="335"/>
      <c r="AS171" s="308">
        <f>SUM(AS$153:AS$155)</f>
        <v>0</v>
      </c>
      <c r="AT171" s="308">
        <f>SUM(AT$153:AT$155)</f>
        <v>0</v>
      </c>
      <c r="AU171" s="703"/>
      <c r="AV171" s="133"/>
      <c r="AW171" s="306">
        <f>SUM(AX171:BH171)</f>
        <v>0</v>
      </c>
      <c r="AX171" s="100"/>
      <c r="AY171" s="308">
        <f>AND(AY$81=gebouw,AY$102=elektriciteit)*AY$113+AND(AY$81=gebouw,AY$132=elektriciteit)*AY$138+SUM(AY$153:AY$155)</f>
        <v>0</v>
      </c>
      <c r="AZ171" s="308">
        <f>AND(AZ$81=gebouw,AZ$102=elektriciteit)*AZ$113+AND(AZ$81=gebouw,AZ$132=elektriciteit)*AZ$138+SUM(AZ$153:AZ$155)</f>
        <v>0</v>
      </c>
      <c r="BA171" s="308">
        <f>AND(BA$81=gebouw,BA$102=elektriciteit)*BA$113+AND(BA$81=gebouw,BA$132=elektriciteit)*BA$138+SUM(BA$153:BA$155)</f>
        <v>0</v>
      </c>
      <c r="BB171" s="308">
        <f>SUM(BB$153:BB$155)</f>
        <v>0</v>
      </c>
      <c r="BC171" s="308">
        <f>SUM(BC$153:BC$155)</f>
        <v>0</v>
      </c>
      <c r="BD171" s="308"/>
      <c r="BE171" s="308">
        <f>SUM(BE$153:BE$155)</f>
        <v>0</v>
      </c>
      <c r="BF171" s="308">
        <f>SUM(BF$153:BF$155)</f>
        <v>0</v>
      </c>
      <c r="BG171" s="703"/>
      <c r="BH171" s="267"/>
    </row>
    <row r="172" spans="1:60" s="2" customFormat="1" hidden="1" x14ac:dyDescent="0.2">
      <c r="A172" s="649"/>
      <c r="B172" s="492" t="s">
        <v>252</v>
      </c>
      <c r="C172" s="739" t="s">
        <v>199</v>
      </c>
      <c r="D172" s="753"/>
      <c r="E172" s="220" t="s">
        <v>261</v>
      </c>
      <c r="F172" s="220"/>
      <c r="G172" s="220"/>
      <c r="H172" s="221" t="s">
        <v>220</v>
      </c>
      <c r="I172" s="129"/>
      <c r="J172" s="243">
        <f>M172+Y172+AK172+AW172</f>
        <v>0</v>
      </c>
      <c r="K172" s="294"/>
      <c r="L172" s="294"/>
      <c r="M172" s="306">
        <f>MIN(M171,M169)</f>
        <v>0</v>
      </c>
      <c r="N172" s="100"/>
      <c r="O172" s="703"/>
      <c r="P172" s="703"/>
      <c r="Q172" s="703"/>
      <c r="R172" s="703"/>
      <c r="S172" s="703"/>
      <c r="T172" s="703"/>
      <c r="U172" s="703"/>
      <c r="V172" s="703"/>
      <c r="W172" s="703"/>
      <c r="X172" s="133"/>
      <c r="Y172" s="306">
        <f>MIN(Y171,Y169)</f>
        <v>0</v>
      </c>
      <c r="Z172" s="100"/>
      <c r="AA172" s="703"/>
      <c r="AB172" s="703"/>
      <c r="AC172" s="703"/>
      <c r="AD172" s="703"/>
      <c r="AE172" s="703"/>
      <c r="AF172" s="703"/>
      <c r="AG172" s="703"/>
      <c r="AH172" s="703"/>
      <c r="AI172" s="703"/>
      <c r="AJ172" s="133"/>
      <c r="AK172" s="306">
        <f>MIN(AK171,AK169)</f>
        <v>0</v>
      </c>
      <c r="AL172" s="100"/>
      <c r="AM172" s="703"/>
      <c r="AN172" s="703"/>
      <c r="AO172" s="703"/>
      <c r="AP172" s="703"/>
      <c r="AQ172" s="703"/>
      <c r="AR172" s="703"/>
      <c r="AS172" s="703"/>
      <c r="AT172" s="703"/>
      <c r="AU172" s="703"/>
      <c r="AV172" s="133"/>
      <c r="AW172" s="306">
        <f>MIN(AW171,AW169)</f>
        <v>0</v>
      </c>
      <c r="AX172" s="100"/>
      <c r="AY172" s="703"/>
      <c r="AZ172" s="703"/>
      <c r="BA172" s="703"/>
      <c r="BB172" s="703"/>
      <c r="BC172" s="703"/>
      <c r="BD172" s="703"/>
      <c r="BE172" s="703"/>
      <c r="BF172" s="703"/>
      <c r="BG172" s="703"/>
      <c r="BH172" s="267"/>
    </row>
    <row r="173" spans="1:60" s="2" customFormat="1" hidden="1" x14ac:dyDescent="0.2">
      <c r="A173" s="649"/>
      <c r="B173" s="492" t="s">
        <v>252</v>
      </c>
      <c r="C173" s="739" t="s">
        <v>199</v>
      </c>
      <c r="D173" s="753"/>
      <c r="E173" s="220" t="s">
        <v>262</v>
      </c>
      <c r="F173" s="220"/>
      <c r="G173" s="220"/>
      <c r="H173" s="221" t="s">
        <v>220</v>
      </c>
      <c r="I173" s="129"/>
      <c r="J173" s="243">
        <f>M173+Y173+AK173+AW173</f>
        <v>0</v>
      </c>
      <c r="K173" s="294"/>
      <c r="L173" s="294"/>
      <c r="M173" s="306">
        <f>MAX(0,M169-M172)</f>
        <v>0</v>
      </c>
      <c r="N173" s="100"/>
      <c r="O173" s="703"/>
      <c r="P173" s="703"/>
      <c r="Q173" s="703"/>
      <c r="R173" s="703"/>
      <c r="S173" s="703"/>
      <c r="T173" s="703"/>
      <c r="U173" s="703"/>
      <c r="V173" s="703"/>
      <c r="W173" s="703"/>
      <c r="X173" s="133"/>
      <c r="Y173" s="306">
        <f>MAX(0,Y167+Y168-Y172)</f>
        <v>0</v>
      </c>
      <c r="Z173" s="100"/>
      <c r="AA173" s="703"/>
      <c r="AB173" s="703"/>
      <c r="AC173" s="703"/>
      <c r="AD173" s="703"/>
      <c r="AE173" s="703"/>
      <c r="AF173" s="703"/>
      <c r="AG173" s="703"/>
      <c r="AH173" s="703"/>
      <c r="AI173" s="703"/>
      <c r="AJ173" s="133"/>
      <c r="AK173" s="306">
        <f>MAX(0,AK167+AK168-AK172)</f>
        <v>0</v>
      </c>
      <c r="AL173" s="100"/>
      <c r="AM173" s="703"/>
      <c r="AN173" s="703"/>
      <c r="AO173" s="703"/>
      <c r="AP173" s="703"/>
      <c r="AQ173" s="703"/>
      <c r="AR173" s="703"/>
      <c r="AS173" s="703"/>
      <c r="AT173" s="703"/>
      <c r="AU173" s="703"/>
      <c r="AV173" s="133"/>
      <c r="AW173" s="306">
        <f>MAX(0,AW167+AW168-AW172)</f>
        <v>0</v>
      </c>
      <c r="AX173" s="100"/>
      <c r="AY173" s="703"/>
      <c r="AZ173" s="703"/>
      <c r="BA173" s="703"/>
      <c r="BB173" s="703"/>
      <c r="BC173" s="703"/>
      <c r="BD173" s="703"/>
      <c r="BE173" s="703"/>
      <c r="BF173" s="703"/>
      <c r="BG173" s="703"/>
      <c r="BH173" s="267"/>
    </row>
    <row r="174" spans="1:60" s="2" customFormat="1" ht="18.75" x14ac:dyDescent="0.2">
      <c r="A174" s="649"/>
      <c r="B174" s="492" t="s">
        <v>252</v>
      </c>
      <c r="C174" s="739" t="s">
        <v>104</v>
      </c>
      <c r="D174" s="753"/>
      <c r="E174" s="310" t="s">
        <v>263</v>
      </c>
      <c r="F174" s="310"/>
      <c r="G174" s="310"/>
      <c r="H174" s="311"/>
      <c r="I174" s="312"/>
      <c r="J174" s="310"/>
      <c r="K174" s="313"/>
      <c r="L174" s="313"/>
      <c r="M174" s="310"/>
      <c r="N174" s="312"/>
      <c r="O174" s="312"/>
      <c r="P174" s="312"/>
      <c r="Q174" s="312"/>
      <c r="R174" s="312"/>
      <c r="S174" s="312"/>
      <c r="T174" s="312"/>
      <c r="U174" s="312"/>
      <c r="V174" s="312"/>
      <c r="W174" s="312"/>
      <c r="X174" s="313"/>
      <c r="Y174" s="310"/>
      <c r="Z174" s="312"/>
      <c r="AA174" s="312"/>
      <c r="AB174" s="312"/>
      <c r="AC174" s="312"/>
      <c r="AD174" s="312"/>
      <c r="AE174" s="312"/>
      <c r="AF174" s="312"/>
      <c r="AG174" s="312"/>
      <c r="AH174" s="312"/>
      <c r="AI174" s="312"/>
      <c r="AJ174" s="313"/>
      <c r="AK174" s="310"/>
      <c r="AL174" s="312"/>
      <c r="AM174" s="312"/>
      <c r="AN174" s="312"/>
      <c r="AO174" s="312"/>
      <c r="AP174" s="312"/>
      <c r="AQ174" s="312"/>
      <c r="AR174" s="312"/>
      <c r="AS174" s="312"/>
      <c r="AT174" s="312"/>
      <c r="AU174" s="312"/>
      <c r="AV174" s="313"/>
      <c r="AW174" s="310"/>
      <c r="AX174" s="312"/>
      <c r="AY174" s="312"/>
      <c r="AZ174" s="312"/>
      <c r="BA174" s="312"/>
      <c r="BB174" s="312"/>
      <c r="BC174" s="312"/>
      <c r="BD174" s="312"/>
      <c r="BE174" s="312"/>
      <c r="BF174" s="312"/>
      <c r="BG174" s="312"/>
    </row>
    <row r="175" spans="1:60" s="2" customFormat="1" hidden="1" x14ac:dyDescent="0.2">
      <c r="A175" s="649"/>
      <c r="B175" s="492" t="s">
        <v>252</v>
      </c>
      <c r="C175" s="739" t="s">
        <v>199</v>
      </c>
      <c r="D175" s="753"/>
      <c r="E175" s="220" t="s">
        <v>264</v>
      </c>
      <c r="F175" s="220"/>
      <c r="G175" s="220"/>
      <c r="H175" s="221" t="s">
        <v>223</v>
      </c>
      <c r="I175" s="129"/>
      <c r="J175" s="230"/>
      <c r="K175" s="90"/>
      <c r="L175" s="90"/>
      <c r="M175" s="307">
        <f>$G$5</f>
        <v>1.45</v>
      </c>
      <c r="N175" s="129"/>
      <c r="O175" s="401"/>
      <c r="P175" s="401"/>
      <c r="Q175" s="401"/>
      <c r="R175" s="401"/>
      <c r="S175" s="401"/>
      <c r="T175" s="401"/>
      <c r="U175" s="401"/>
      <c r="V175" s="401"/>
      <c r="W175" s="401"/>
      <c r="X175" s="123"/>
      <c r="Y175" s="307">
        <f>$G$5</f>
        <v>1.45</v>
      </c>
      <c r="Z175" s="129"/>
      <c r="AA175" s="401"/>
      <c r="AB175" s="401"/>
      <c r="AC175" s="401"/>
      <c r="AD175" s="401"/>
      <c r="AE175" s="401"/>
      <c r="AF175" s="401"/>
      <c r="AG175" s="401"/>
      <c r="AH175" s="401"/>
      <c r="AI175" s="401"/>
      <c r="AJ175" s="123"/>
      <c r="AK175" s="307">
        <f>$G$5</f>
        <v>1.45</v>
      </c>
      <c r="AL175" s="129"/>
      <c r="AM175" s="401"/>
      <c r="AN175" s="401"/>
      <c r="AO175" s="401"/>
      <c r="AP175" s="401"/>
      <c r="AQ175" s="401"/>
      <c r="AR175" s="401"/>
      <c r="AS175" s="401"/>
      <c r="AT175" s="401"/>
      <c r="AU175" s="401"/>
      <c r="AV175" s="123"/>
      <c r="AW175" s="307">
        <f>$G$5</f>
        <v>1.45</v>
      </c>
      <c r="AX175" s="129"/>
      <c r="AY175" s="401"/>
      <c r="AZ175" s="401"/>
      <c r="BA175" s="401"/>
      <c r="BB175" s="401"/>
      <c r="BC175" s="401"/>
      <c r="BD175" s="401"/>
      <c r="BE175" s="401"/>
      <c r="BF175" s="401"/>
      <c r="BG175" s="401"/>
      <c r="BH175" s="264"/>
    </row>
    <row r="176" spans="1:60" s="2" customFormat="1" hidden="1" x14ac:dyDescent="0.2">
      <c r="A176" s="649"/>
      <c r="B176" s="492" t="s">
        <v>252</v>
      </c>
      <c r="C176" s="739" t="s">
        <v>199</v>
      </c>
      <c r="D176" s="753"/>
      <c r="E176" s="220" t="s">
        <v>265</v>
      </c>
      <c r="F176" s="220"/>
      <c r="G176" s="220"/>
      <c r="H176" s="221" t="s">
        <v>223</v>
      </c>
      <c r="I176" s="129"/>
      <c r="J176" s="230"/>
      <c r="K176" s="90"/>
      <c r="L176" s="90"/>
      <c r="M176" s="307">
        <f>HLOOKUP($F$5,elektriciteit_primaire_energiefactor,ROWS(bibliotheek!$E$261:$E$263),FALSE)</f>
        <v>1.45</v>
      </c>
      <c r="N176" s="129"/>
      <c r="O176" s="401"/>
      <c r="P176" s="401"/>
      <c r="Q176" s="401"/>
      <c r="R176" s="401"/>
      <c r="S176" s="401"/>
      <c r="T176" s="401"/>
      <c r="U176" s="401"/>
      <c r="V176" s="401"/>
      <c r="W176" s="401"/>
      <c r="X176" s="123"/>
      <c r="Y176" s="307">
        <f>HLOOKUP($F$5,elektriciteit_primaire_energiefactor,ROWS(bibliotheek!$E$261:$E$263),FALSE)</f>
        <v>1.45</v>
      </c>
      <c r="Z176" s="129"/>
      <c r="AA176" s="401"/>
      <c r="AB176" s="401"/>
      <c r="AC176" s="401"/>
      <c r="AD176" s="401"/>
      <c r="AE176" s="401"/>
      <c r="AF176" s="401"/>
      <c r="AG176" s="401"/>
      <c r="AH176" s="401"/>
      <c r="AI176" s="401"/>
      <c r="AJ176" s="123"/>
      <c r="AK176" s="307">
        <f>HLOOKUP($F$5,elektriciteit_primaire_energiefactor,ROWS(bibliotheek!$E$261:$E$263),FALSE)</f>
        <v>1.45</v>
      </c>
      <c r="AL176" s="129"/>
      <c r="AM176" s="401"/>
      <c r="AN176" s="401"/>
      <c r="AO176" s="401"/>
      <c r="AP176" s="401"/>
      <c r="AQ176" s="401"/>
      <c r="AR176" s="401"/>
      <c r="AS176" s="401"/>
      <c r="AT176" s="401"/>
      <c r="AU176" s="401"/>
      <c r="AV176" s="123"/>
      <c r="AW176" s="307">
        <f>HLOOKUP($F$5,elektriciteit_primaire_energiefactor,ROWS(bibliotheek!$E$261:$E$263),FALSE)</f>
        <v>1.45</v>
      </c>
      <c r="AX176" s="129"/>
      <c r="AY176" s="401"/>
      <c r="AZ176" s="401"/>
      <c r="BA176" s="401"/>
      <c r="BB176" s="401"/>
      <c r="BC176" s="401"/>
      <c r="BD176" s="401"/>
      <c r="BE176" s="401"/>
      <c r="BF176" s="401"/>
      <c r="BG176" s="401"/>
      <c r="BH176" s="264"/>
    </row>
    <row r="177" spans="1:60" s="2" customFormat="1" x14ac:dyDescent="0.2">
      <c r="A177" s="649"/>
      <c r="B177" s="492" t="s">
        <v>252</v>
      </c>
      <c r="C177" s="739" t="s">
        <v>113</v>
      </c>
      <c r="D177" s="754"/>
      <c r="E177" s="220" t="s">
        <v>266</v>
      </c>
      <c r="F177" s="221"/>
      <c r="G177" s="221"/>
      <c r="H177" s="221" t="s">
        <v>115</v>
      </c>
      <c r="I177" s="129"/>
      <c r="J177" s="243">
        <f>M177+Y177+AK177+AW177</f>
        <v>0</v>
      </c>
      <c r="K177" s="823"/>
      <c r="L177" s="823"/>
      <c r="M177" s="306">
        <f>(M172*M175+M173*M176)</f>
        <v>0</v>
      </c>
      <c r="N177" s="100"/>
      <c r="O177" s="207">
        <f>IF($M$169=0,0,O$169/$M$169*$M177)</f>
        <v>0</v>
      </c>
      <c r="P177" s="207">
        <f>IF($M$169=0,0,P$169/$M$169*$M177)</f>
        <v>0</v>
      </c>
      <c r="Q177" s="207">
        <f>IF($M$169=0,0,Q$169/$M$169*$M177)</f>
        <v>0</v>
      </c>
      <c r="R177" s="335"/>
      <c r="S177" s="335"/>
      <c r="T177" s="335"/>
      <c r="U177" s="335"/>
      <c r="V177" s="335"/>
      <c r="W177" s="207">
        <f>IF($M$169=0,0,W$169/$M$169*$M177)</f>
        <v>0</v>
      </c>
      <c r="X177" s="128"/>
      <c r="Y177" s="306">
        <f>(Y172*Y175+Y173*Y176)</f>
        <v>0</v>
      </c>
      <c r="Z177" s="100"/>
      <c r="AA177" s="207">
        <f>IF($Y$169=0,0,AA$169/$Y$169*$Y177)</f>
        <v>0</v>
      </c>
      <c r="AB177" s="207">
        <f>IF($Y$169=0,0,AB$169/$Y$169*$Y177)</f>
        <v>0</v>
      </c>
      <c r="AC177" s="207">
        <f>IF($Y$169=0,0,AC$169/$Y$169*$Y177)</f>
        <v>0</v>
      </c>
      <c r="AD177" s="335"/>
      <c r="AE177" s="335"/>
      <c r="AF177" s="335"/>
      <c r="AG177" s="335"/>
      <c r="AH177" s="335"/>
      <c r="AI177" s="207">
        <f>IF($Y$169=0,0,AI$169/$Y$169*$Y177)</f>
        <v>0</v>
      </c>
      <c r="AJ177" s="128"/>
      <c r="AK177" s="306">
        <f>(AK172*AK175+AK173*AK176)</f>
        <v>0</v>
      </c>
      <c r="AL177" s="100"/>
      <c r="AM177" s="207">
        <f>IF($AK$169=0,0,AM$169/$AK$169*$AK177)</f>
        <v>0</v>
      </c>
      <c r="AN177" s="207">
        <f>IF($AK$169=0,0,AN$169/$AK$169*$AK177)</f>
        <v>0</v>
      </c>
      <c r="AO177" s="207">
        <f>IF($AK$169=0,0,AO$169/$AK$169*$AK177)</f>
        <v>0</v>
      </c>
      <c r="AP177" s="335"/>
      <c r="AQ177" s="335"/>
      <c r="AR177" s="335"/>
      <c r="AS177" s="335"/>
      <c r="AT177" s="335"/>
      <c r="AU177" s="207">
        <f>IF($AK$169=0,0,AU$169/$AK$169*$AK177)</f>
        <v>0</v>
      </c>
      <c r="AV177" s="128"/>
      <c r="AW177" s="306">
        <f>(AW172*AW175+AW173*AW176)</f>
        <v>0</v>
      </c>
      <c r="AX177" s="100"/>
      <c r="AY177" s="207">
        <f>IF($AW$169=0,0,AY$169/$AW$169*$AW177)</f>
        <v>0</v>
      </c>
      <c r="AZ177" s="207">
        <f>IF($AW$169=0,0,AZ$169/$AW$169*$AW177)</f>
        <v>0</v>
      </c>
      <c r="BA177" s="207">
        <f>IF($AW$169=0,0,BA$169/$AW$169*$AW177)</f>
        <v>0</v>
      </c>
      <c r="BB177" s="335"/>
      <c r="BC177" s="335"/>
      <c r="BD177" s="335"/>
      <c r="BE177" s="335"/>
      <c r="BF177" s="335"/>
      <c r="BG177" s="207">
        <f>IF($AW$169=0,0,BG$169/$AW$169*$AW177)</f>
        <v>0</v>
      </c>
      <c r="BH177" s="255"/>
    </row>
    <row r="178" spans="1:60" s="2" customFormat="1" ht="18.75" x14ac:dyDescent="0.2">
      <c r="A178" s="649"/>
      <c r="B178" s="492" t="s">
        <v>252</v>
      </c>
      <c r="C178" s="739" t="s">
        <v>104</v>
      </c>
      <c r="D178" s="753"/>
      <c r="E178" s="310" t="s">
        <v>267</v>
      </c>
      <c r="F178" s="310"/>
      <c r="G178" s="310"/>
      <c r="H178" s="311"/>
      <c r="I178" s="312"/>
      <c r="J178" s="310"/>
      <c r="K178" s="313"/>
      <c r="L178" s="313"/>
      <c r="M178" s="310"/>
      <c r="N178" s="312"/>
      <c r="O178" s="312"/>
      <c r="P178" s="312"/>
      <c r="Q178" s="312"/>
      <c r="R178" s="312"/>
      <c r="S178" s="312"/>
      <c r="T178" s="312"/>
      <c r="U178" s="312"/>
      <c r="V178" s="312"/>
      <c r="W178" s="312"/>
      <c r="X178" s="313"/>
      <c r="Y178" s="310"/>
      <c r="Z178" s="312"/>
      <c r="AA178" s="312"/>
      <c r="AB178" s="312"/>
      <c r="AC178" s="312"/>
      <c r="AD178" s="312"/>
      <c r="AE178" s="312"/>
      <c r="AF178" s="312"/>
      <c r="AG178" s="312"/>
      <c r="AH178" s="312"/>
      <c r="AI178" s="312"/>
      <c r="AJ178" s="313"/>
      <c r="AK178" s="310"/>
      <c r="AL178" s="312"/>
      <c r="AM178" s="312"/>
      <c r="AN178" s="312"/>
      <c r="AO178" s="312"/>
      <c r="AP178" s="312"/>
      <c r="AQ178" s="312"/>
      <c r="AR178" s="312"/>
      <c r="AS178" s="312"/>
      <c r="AT178" s="312"/>
      <c r="AU178" s="312"/>
      <c r="AV178" s="313"/>
      <c r="AW178" s="310"/>
      <c r="AX178" s="312"/>
      <c r="AY178" s="312"/>
      <c r="AZ178" s="312"/>
      <c r="BA178" s="312"/>
      <c r="BB178" s="312"/>
      <c r="BC178" s="312"/>
      <c r="BD178" s="312"/>
      <c r="BE178" s="312"/>
      <c r="BF178" s="312"/>
      <c r="BG178" s="312"/>
    </row>
    <row r="179" spans="1:60" s="2" customFormat="1" hidden="1" x14ac:dyDescent="0.2">
      <c r="A179" s="649"/>
      <c r="B179" s="492" t="s">
        <v>252</v>
      </c>
      <c r="C179" s="739" t="s">
        <v>199</v>
      </c>
      <c r="D179" s="753"/>
      <c r="E179" s="220" t="s">
        <v>268</v>
      </c>
      <c r="F179" s="220"/>
      <c r="G179" s="220"/>
      <c r="H179" s="221" t="s">
        <v>226</v>
      </c>
      <c r="I179" s="129"/>
      <c r="J179" s="230"/>
      <c r="K179" s="90"/>
      <c r="L179" s="90"/>
      <c r="M179" s="425">
        <f>$H$5</f>
        <v>0.34</v>
      </c>
      <c r="N179" s="424"/>
      <c r="O179" s="402"/>
      <c r="P179" s="402"/>
      <c r="Q179" s="402"/>
      <c r="R179" s="402"/>
      <c r="S179" s="402"/>
      <c r="T179" s="402"/>
      <c r="U179" s="402"/>
      <c r="V179" s="402"/>
      <c r="W179" s="402"/>
      <c r="X179" s="426"/>
      <c r="Y179" s="425">
        <f>$H$5</f>
        <v>0.34</v>
      </c>
      <c r="Z179" s="424"/>
      <c r="AA179" s="402"/>
      <c r="AB179" s="402"/>
      <c r="AC179" s="402"/>
      <c r="AD179" s="402"/>
      <c r="AE179" s="402"/>
      <c r="AF179" s="402"/>
      <c r="AG179" s="402"/>
      <c r="AH179" s="402"/>
      <c r="AI179" s="402"/>
      <c r="AJ179" s="426"/>
      <c r="AK179" s="425">
        <f>$H$5</f>
        <v>0.34</v>
      </c>
      <c r="AL179" s="424"/>
      <c r="AM179" s="402"/>
      <c r="AN179" s="402"/>
      <c r="AO179" s="402"/>
      <c r="AP179" s="402"/>
      <c r="AQ179" s="402"/>
      <c r="AR179" s="402"/>
      <c r="AS179" s="402"/>
      <c r="AT179" s="402"/>
      <c r="AU179" s="402"/>
      <c r="AV179" s="426"/>
      <c r="AW179" s="425">
        <f>$H$5</f>
        <v>0.34</v>
      </c>
      <c r="AX179" s="129"/>
      <c r="AY179" s="401"/>
      <c r="AZ179" s="401"/>
      <c r="BA179" s="401"/>
      <c r="BB179" s="401"/>
      <c r="BC179" s="401"/>
      <c r="BD179" s="401"/>
      <c r="BE179" s="401"/>
      <c r="BF179" s="401"/>
      <c r="BG179" s="401"/>
      <c r="BH179" s="264"/>
    </row>
    <row r="180" spans="1:60" s="2" customFormat="1" hidden="1" x14ac:dyDescent="0.2">
      <c r="A180" s="649"/>
      <c r="B180" s="492" t="s">
        <v>252</v>
      </c>
      <c r="C180" s="739" t="s">
        <v>199</v>
      </c>
      <c r="D180" s="753"/>
      <c r="E180" s="220" t="s">
        <v>269</v>
      </c>
      <c r="F180" s="220"/>
      <c r="G180" s="220"/>
      <c r="H180" s="221" t="s">
        <v>226</v>
      </c>
      <c r="I180" s="129"/>
      <c r="J180" s="230"/>
      <c r="K180" s="90"/>
      <c r="L180" s="90"/>
      <c r="M180" s="425">
        <f>HLOOKUP($F$5,elektriciteit_primaire_energiefactor,ROWS(bibliotheek!$E$261:$E$265),FALSE)</f>
        <v>0.34</v>
      </c>
      <c r="N180" s="424"/>
      <c r="O180" s="402"/>
      <c r="P180" s="402"/>
      <c r="Q180" s="402"/>
      <c r="R180" s="402"/>
      <c r="S180" s="402"/>
      <c r="T180" s="402"/>
      <c r="U180" s="402"/>
      <c r="V180" s="402"/>
      <c r="W180" s="402"/>
      <c r="X180" s="426"/>
      <c r="Y180" s="425">
        <f>HLOOKUP($F$5,elektriciteit_primaire_energiefactor,ROWS(bibliotheek!$E$261:$E$265),FALSE)</f>
        <v>0.34</v>
      </c>
      <c r="Z180" s="424"/>
      <c r="AA180" s="402"/>
      <c r="AB180" s="402"/>
      <c r="AC180" s="402"/>
      <c r="AD180" s="402"/>
      <c r="AE180" s="402"/>
      <c r="AF180" s="402"/>
      <c r="AG180" s="402"/>
      <c r="AH180" s="402"/>
      <c r="AI180" s="402"/>
      <c r="AJ180" s="426"/>
      <c r="AK180" s="425">
        <f>HLOOKUP($F$5,elektriciteit_primaire_energiefactor,ROWS(bibliotheek!$E$261:$E$265),FALSE)</f>
        <v>0.34</v>
      </c>
      <c r="AL180" s="424"/>
      <c r="AM180" s="402"/>
      <c r="AN180" s="402"/>
      <c r="AO180" s="402"/>
      <c r="AP180" s="402"/>
      <c r="AQ180" s="402"/>
      <c r="AR180" s="402"/>
      <c r="AS180" s="402"/>
      <c r="AT180" s="402"/>
      <c r="AU180" s="402"/>
      <c r="AV180" s="426"/>
      <c r="AW180" s="425">
        <f>HLOOKUP($F$5,elektriciteit_primaire_energiefactor,ROWS(bibliotheek!$E$261:$E$265),FALSE)</f>
        <v>0.34</v>
      </c>
      <c r="AX180" s="129"/>
      <c r="AY180" s="401"/>
      <c r="AZ180" s="401"/>
      <c r="BA180" s="401"/>
      <c r="BB180" s="401"/>
      <c r="BC180" s="401"/>
      <c r="BD180" s="401"/>
      <c r="BE180" s="401"/>
      <c r="BF180" s="401"/>
      <c r="BG180" s="401"/>
      <c r="BH180" s="264"/>
    </row>
    <row r="181" spans="1:60" s="2" customFormat="1" x14ac:dyDescent="0.2">
      <c r="A181" s="649"/>
      <c r="B181" s="492" t="s">
        <v>252</v>
      </c>
      <c r="C181" s="739" t="s">
        <v>113</v>
      </c>
      <c r="D181" s="753"/>
      <c r="E181" s="220" t="s">
        <v>270</v>
      </c>
      <c r="F181" s="221"/>
      <c r="G181" s="221"/>
      <c r="H181" s="221" t="s">
        <v>228</v>
      </c>
      <c r="I181" s="129"/>
      <c r="J181" s="243">
        <f>M181+Y181+AK181+AW181</f>
        <v>0</v>
      </c>
      <c r="K181" s="823"/>
      <c r="L181" s="823"/>
      <c r="M181" s="243">
        <f>M172*M179+M173*M180</f>
        <v>0</v>
      </c>
      <c r="N181" s="100"/>
      <c r="O181" s="207">
        <f>IF($M$169=0,0,O$169/$M$169*$M181)</f>
        <v>0</v>
      </c>
      <c r="P181" s="207">
        <f>IF($M$169=0,0,P$169/$M$169*$M181)</f>
        <v>0</v>
      </c>
      <c r="Q181" s="207">
        <f>IF($M$169=0,0,Q$169/$M$169*$M181)</f>
        <v>0</v>
      </c>
      <c r="R181" s="335"/>
      <c r="S181" s="335"/>
      <c r="T181" s="335"/>
      <c r="U181" s="335"/>
      <c r="V181" s="335"/>
      <c r="W181" s="207">
        <f>IF($M$169=0,0,W$169/$M$169*$M181)</f>
        <v>0</v>
      </c>
      <c r="X181" s="128"/>
      <c r="Y181" s="243">
        <f>Y172*Y179+Y173*Y180</f>
        <v>0</v>
      </c>
      <c r="Z181" s="100"/>
      <c r="AA181" s="207">
        <f>IF($Y$169=0,0,AA$169/$Y$169*$Y181)</f>
        <v>0</v>
      </c>
      <c r="AB181" s="207">
        <f>IF($Y$169=0,0,AB$169/$Y$169*$Y181)</f>
        <v>0</v>
      </c>
      <c r="AC181" s="207">
        <f>IF($Y$169=0,0,AC$169/$Y$169*$Y181)</f>
        <v>0</v>
      </c>
      <c r="AD181" s="335"/>
      <c r="AE181" s="335"/>
      <c r="AF181" s="335"/>
      <c r="AG181" s="335"/>
      <c r="AH181" s="335"/>
      <c r="AI181" s="207">
        <f>IF($Y$169=0,0,AI$169/$Y$169*$Y181)</f>
        <v>0</v>
      </c>
      <c r="AJ181" s="128"/>
      <c r="AK181" s="243">
        <f>AK172*AK179+AK173*AK180</f>
        <v>0</v>
      </c>
      <c r="AL181" s="100"/>
      <c r="AM181" s="207">
        <f>IF($AK$169=0,0,AM$169/$AK$169*$AK181)</f>
        <v>0</v>
      </c>
      <c r="AN181" s="207">
        <f>IF($AK$169=0,0,AN$169/$AK$169*$AK181)</f>
        <v>0</v>
      </c>
      <c r="AO181" s="207">
        <f>IF($AK$169=0,0,AO$169/$AK$169*$AK181)</f>
        <v>0</v>
      </c>
      <c r="AP181" s="335"/>
      <c r="AQ181" s="335"/>
      <c r="AR181" s="335"/>
      <c r="AS181" s="335"/>
      <c r="AT181" s="335"/>
      <c r="AU181" s="207">
        <f>IF($AK$169=0,0,AU$169/$AK$169*$AK181)</f>
        <v>0</v>
      </c>
      <c r="AV181" s="128"/>
      <c r="AW181" s="243">
        <f>AW172*AW179+AW173*AW180</f>
        <v>0</v>
      </c>
      <c r="AX181" s="100"/>
      <c r="AY181" s="207">
        <f>IF($AW$169=0,0,AY$169/$AW$169*$AW181)</f>
        <v>0</v>
      </c>
      <c r="AZ181" s="207">
        <f>IF($AW$169=0,0,AZ$169/$AW$169*$AW181)</f>
        <v>0</v>
      </c>
      <c r="BA181" s="207">
        <f>IF($AW$169=0,0,BA$169/$AW$169*$AW181)</f>
        <v>0</v>
      </c>
      <c r="BB181" s="335"/>
      <c r="BC181" s="335"/>
      <c r="BD181" s="335"/>
      <c r="BE181" s="335"/>
      <c r="BF181" s="335"/>
      <c r="BG181" s="207">
        <f>IF($AW$169=0,0,BG$169/$AW$169*$AW181)</f>
        <v>0</v>
      </c>
      <c r="BH181" s="255"/>
    </row>
    <row r="182" spans="1:60" x14ac:dyDescent="0.2">
      <c r="A182" s="648"/>
      <c r="B182" s="492" t="s">
        <v>252</v>
      </c>
      <c r="C182" s="739" t="s">
        <v>104</v>
      </c>
      <c r="D182" s="747"/>
      <c r="E182" s="90"/>
      <c r="F182" s="90"/>
      <c r="G182" s="90"/>
      <c r="H182" s="96"/>
      <c r="I182" s="90"/>
      <c r="J182" s="93"/>
      <c r="K182" s="90"/>
      <c r="L182" s="90"/>
      <c r="M182" s="93"/>
      <c r="N182" s="90"/>
      <c r="O182" s="122"/>
      <c r="P182" s="122"/>
      <c r="Q182" s="122"/>
      <c r="R182" s="93"/>
      <c r="S182" s="93"/>
      <c r="T182" s="93"/>
      <c r="U182" s="93"/>
      <c r="V182" s="93"/>
      <c r="W182" s="93"/>
      <c r="X182" s="93"/>
      <c r="Y182" s="93"/>
      <c r="Z182" s="90"/>
      <c r="AA182" s="122"/>
      <c r="AB182" s="122"/>
      <c r="AC182" s="122"/>
      <c r="AD182" s="93"/>
      <c r="AE182" s="93"/>
      <c r="AF182" s="93"/>
      <c r="AG182" s="93"/>
      <c r="AH182" s="93"/>
      <c r="AI182" s="93"/>
      <c r="AJ182" s="93"/>
      <c r="AK182" s="93"/>
      <c r="AL182" s="90"/>
      <c r="AM182" s="122"/>
      <c r="AN182" s="122"/>
      <c r="AO182" s="122"/>
      <c r="AP182" s="93"/>
      <c r="AQ182" s="93"/>
      <c r="AR182" s="93"/>
      <c r="AS182" s="93"/>
      <c r="AT182" s="93"/>
      <c r="AU182" s="93"/>
      <c r="AV182" s="93"/>
      <c r="AW182" s="93"/>
      <c r="AX182" s="90"/>
      <c r="AY182" s="122"/>
      <c r="AZ182" s="122"/>
      <c r="BA182" s="122"/>
      <c r="BB182" s="122"/>
      <c r="BC182" s="122"/>
      <c r="BD182" s="122"/>
      <c r="BE182" s="122"/>
      <c r="BF182" s="122"/>
      <c r="BG182" s="122"/>
      <c r="BH182" s="1"/>
    </row>
    <row r="183" spans="1:60" x14ac:dyDescent="0.2">
      <c r="A183" s="648"/>
      <c r="B183" s="492" t="s">
        <v>271</v>
      </c>
      <c r="C183" s="656" t="s">
        <v>104</v>
      </c>
      <c r="D183" s="747"/>
      <c r="E183" s="134"/>
      <c r="F183" s="90"/>
      <c r="G183" s="90"/>
      <c r="H183" s="96"/>
      <c r="I183" s="90"/>
      <c r="J183" s="93"/>
      <c r="K183" s="90"/>
      <c r="L183" s="90"/>
      <c r="M183" s="93"/>
      <c r="N183" s="90"/>
      <c r="O183" s="93"/>
      <c r="P183" s="93"/>
      <c r="Q183" s="93"/>
      <c r="R183" s="93"/>
      <c r="S183" s="93"/>
      <c r="T183" s="93"/>
      <c r="U183" s="93"/>
      <c r="V183" s="93"/>
      <c r="W183" s="93"/>
      <c r="X183" s="93"/>
      <c r="Y183" s="93"/>
      <c r="Z183" s="90"/>
      <c r="AA183" s="93"/>
      <c r="AB183" s="93"/>
      <c r="AC183" s="93"/>
      <c r="AD183" s="93"/>
      <c r="AE183" s="93"/>
      <c r="AF183" s="93"/>
      <c r="AG183" s="93"/>
      <c r="AH183" s="93"/>
      <c r="AI183" s="93"/>
      <c r="AJ183" s="93"/>
      <c r="AK183" s="93"/>
      <c r="AL183" s="90"/>
      <c r="AM183" s="93"/>
      <c r="AN183" s="93"/>
      <c r="AO183" s="93"/>
      <c r="AP183" s="93"/>
      <c r="AQ183" s="93"/>
      <c r="AR183" s="93"/>
      <c r="AS183" s="93"/>
      <c r="AT183" s="93"/>
      <c r="AU183" s="93"/>
      <c r="AV183" s="93"/>
      <c r="AW183" s="93"/>
      <c r="AX183" s="90"/>
      <c r="AY183" s="93"/>
      <c r="AZ183" s="93"/>
      <c r="BA183" s="93"/>
      <c r="BB183" s="93"/>
      <c r="BC183" s="93"/>
      <c r="BD183" s="93"/>
      <c r="BE183" s="93"/>
      <c r="BF183" s="93"/>
      <c r="BG183" s="93"/>
      <c r="BH183" s="1"/>
    </row>
    <row r="184" spans="1:60" ht="21" x14ac:dyDescent="0.2">
      <c r="A184" s="648"/>
      <c r="B184" s="492" t="s">
        <v>271</v>
      </c>
      <c r="C184" s="739" t="s">
        <v>104</v>
      </c>
      <c r="D184" s="752"/>
      <c r="E184" s="240" t="s">
        <v>272</v>
      </c>
      <c r="F184" s="240"/>
      <c r="G184" s="825"/>
      <c r="H184" s="216"/>
      <c r="I184" s="88"/>
      <c r="J184" s="241"/>
      <c r="K184" s="142"/>
      <c r="L184" s="142"/>
      <c r="M184" s="216" t="str">
        <f>M$10</f>
        <v>totaal</v>
      </c>
      <c r="N184" s="222"/>
      <c r="O184" s="217" t="str">
        <f t="shared" ref="O184:W184" si="114">O$10</f>
        <v>verwarming</v>
      </c>
      <c r="P184" s="217" t="str">
        <f t="shared" si="114"/>
        <v>koeling</v>
      </c>
      <c r="Q184" s="217" t="str">
        <f t="shared" si="114"/>
        <v>tapwater</v>
      </c>
      <c r="R184" s="217" t="str">
        <f t="shared" si="114"/>
        <v>verlichting</v>
      </c>
      <c r="S184" s="217" t="str">
        <f t="shared" si="114"/>
        <v>ventilatoren</v>
      </c>
      <c r="T184" s="217" t="str">
        <f t="shared" si="114"/>
        <v>kookgas</v>
      </c>
      <c r="U184" s="217" t="str">
        <f t="shared" si="114"/>
        <v>overig elektra</v>
      </c>
      <c r="V184" s="217" t="str">
        <f t="shared" si="114"/>
        <v>mobiliteit</v>
      </c>
      <c r="W184" s="217" t="str">
        <f t="shared" si="114"/>
        <v>zonnepanelen</v>
      </c>
      <c r="X184" s="214"/>
      <c r="Y184" s="216" t="str">
        <f>Y$10</f>
        <v>totaal</v>
      </c>
      <c r="Z184" s="222"/>
      <c r="AA184" s="217" t="str">
        <f t="shared" ref="AA184:AI184" si="115">AA$10</f>
        <v>verwarming</v>
      </c>
      <c r="AB184" s="217" t="str">
        <f t="shared" si="115"/>
        <v>koeling</v>
      </c>
      <c r="AC184" s="217" t="str">
        <f t="shared" si="115"/>
        <v>tapwater</v>
      </c>
      <c r="AD184" s="217" t="str">
        <f t="shared" si="115"/>
        <v>verlichting</v>
      </c>
      <c r="AE184" s="217" t="str">
        <f t="shared" si="115"/>
        <v>ventilatoren</v>
      </c>
      <c r="AF184" s="217" t="str">
        <f t="shared" si="115"/>
        <v>kookgas</v>
      </c>
      <c r="AG184" s="217" t="str">
        <f t="shared" si="115"/>
        <v>overig elektra</v>
      </c>
      <c r="AH184" s="217" t="str">
        <f t="shared" si="115"/>
        <v>mobiliteit</v>
      </c>
      <c r="AI184" s="217" t="str">
        <f t="shared" si="115"/>
        <v>zonnepanelen</v>
      </c>
      <c r="AJ184" s="214"/>
      <c r="AK184" s="216" t="str">
        <f>AK$10</f>
        <v>totaal</v>
      </c>
      <c r="AL184" s="222"/>
      <c r="AM184" s="217" t="str">
        <f>AM$10</f>
        <v>verwarming</v>
      </c>
      <c r="AN184" s="217" t="str">
        <f t="shared" ref="AN184:AU184" si="116">AN$10</f>
        <v>koeling</v>
      </c>
      <c r="AO184" s="217" t="str">
        <f t="shared" si="116"/>
        <v>tapwater</v>
      </c>
      <c r="AP184" s="217" t="str">
        <f t="shared" si="116"/>
        <v>verlichting</v>
      </c>
      <c r="AQ184" s="217" t="str">
        <f t="shared" si="116"/>
        <v>ventilatoren</v>
      </c>
      <c r="AR184" s="217" t="str">
        <f t="shared" si="116"/>
        <v>kookgas</v>
      </c>
      <c r="AS184" s="217" t="str">
        <f t="shared" si="116"/>
        <v>overig elektra</v>
      </c>
      <c r="AT184" s="217" t="str">
        <f t="shared" si="116"/>
        <v>mobiliteit</v>
      </c>
      <c r="AU184" s="217" t="str">
        <f t="shared" si="116"/>
        <v>zonnepanelen</v>
      </c>
      <c r="AV184" s="214"/>
      <c r="AW184" s="216" t="str">
        <f>AW$10</f>
        <v>totaal</v>
      </c>
      <c r="AX184" s="222"/>
      <c r="AY184" s="217" t="str">
        <f t="shared" ref="AY184:BG184" si="117">AY$10</f>
        <v>verwarming</v>
      </c>
      <c r="AZ184" s="217" t="str">
        <f t="shared" si="117"/>
        <v>koeling</v>
      </c>
      <c r="BA184" s="217" t="str">
        <f t="shared" si="117"/>
        <v>tapwater</v>
      </c>
      <c r="BB184" s="217" t="str">
        <f t="shared" si="117"/>
        <v>verlichting</v>
      </c>
      <c r="BC184" s="217" t="str">
        <f t="shared" si="117"/>
        <v>ventilatoren</v>
      </c>
      <c r="BD184" s="217" t="str">
        <f t="shared" si="117"/>
        <v>kookgas</v>
      </c>
      <c r="BE184" s="217" t="str">
        <f t="shared" si="117"/>
        <v>overig elektra</v>
      </c>
      <c r="BF184" s="217" t="str">
        <f t="shared" si="117"/>
        <v>mobiliteit</v>
      </c>
      <c r="BG184" s="217" t="str">
        <f t="shared" si="117"/>
        <v>zonnepanelen</v>
      </c>
      <c r="BH184" s="1"/>
    </row>
    <row r="185" spans="1:60" ht="18.75" x14ac:dyDescent="0.2">
      <c r="A185" s="648"/>
      <c r="B185" s="492" t="s">
        <v>271</v>
      </c>
      <c r="C185" s="739" t="s">
        <v>104</v>
      </c>
      <c r="D185" s="747"/>
      <c r="E185" s="231" t="s">
        <v>273</v>
      </c>
      <c r="F185" s="231"/>
      <c r="G185" s="231"/>
      <c r="H185" s="89"/>
      <c r="I185" s="232"/>
      <c r="J185" s="231"/>
      <c r="K185" s="232"/>
      <c r="L185" s="232"/>
      <c r="M185" s="231"/>
      <c r="N185" s="232"/>
      <c r="O185" s="232"/>
      <c r="P185" s="232"/>
      <c r="Q185" s="232"/>
      <c r="R185" s="232"/>
      <c r="S185" s="232"/>
      <c r="T185" s="232"/>
      <c r="U185" s="232"/>
      <c r="V185" s="232"/>
      <c r="W185" s="232"/>
      <c r="X185" s="232"/>
      <c r="Y185" s="232"/>
      <c r="Z185" s="232"/>
      <c r="AA185" s="232"/>
      <c r="AB185" s="232"/>
      <c r="AC185" s="232"/>
      <c r="AD185" s="232"/>
      <c r="AE185" s="232"/>
      <c r="AF185" s="232"/>
      <c r="AG185" s="232"/>
      <c r="AH185" s="232"/>
      <c r="AI185" s="232"/>
      <c r="AJ185" s="232"/>
      <c r="AK185" s="232"/>
      <c r="AL185" s="232"/>
      <c r="AM185" s="232"/>
      <c r="AN185" s="232"/>
      <c r="AO185" s="232"/>
      <c r="AP185" s="232"/>
      <c r="AQ185" s="232"/>
      <c r="AR185" s="232"/>
      <c r="AS185" s="232"/>
      <c r="AT185" s="232"/>
      <c r="AU185" s="232"/>
      <c r="AV185" s="232"/>
      <c r="AW185" s="232"/>
      <c r="AX185" s="232"/>
      <c r="AY185" s="232"/>
      <c r="AZ185" s="232"/>
      <c r="BA185" s="232"/>
      <c r="BB185" s="232"/>
      <c r="BC185" s="232"/>
      <c r="BD185" s="232"/>
      <c r="BE185" s="232"/>
      <c r="BF185" s="232"/>
      <c r="BG185" s="232"/>
      <c r="BH185" s="38"/>
    </row>
    <row r="186" spans="1:60" x14ac:dyDescent="0.2">
      <c r="A186" s="648"/>
      <c r="B186" s="492" t="s">
        <v>271</v>
      </c>
      <c r="C186" s="656" t="s">
        <v>113</v>
      </c>
      <c r="D186" s="750"/>
      <c r="E186" s="220" t="s">
        <v>274</v>
      </c>
      <c r="F186" s="220"/>
      <c r="G186" s="220"/>
      <c r="H186" s="242" t="str">
        <f>m3gas&amp;"/won.geb"</f>
        <v>m3/won.geb</v>
      </c>
      <c r="I186" s="129"/>
      <c r="J186" s="243"/>
      <c r="K186" s="279"/>
      <c r="L186" s="279"/>
      <c r="M186" s="230">
        <f>SUM(N186:X186)</f>
        <v>0</v>
      </c>
      <c r="N186" s="135"/>
      <c r="O186" s="223">
        <f>IF(O$29=0,0,((AND(O$81=gebouw,O$102=aardgas))*O$113+(AND(O$81=gebouw,O$132=aardgas))*O$138)*1000/bibliotheek!$I$530/O$29)</f>
        <v>0</v>
      </c>
      <c r="P186" s="223">
        <f>IF(P$29=0,0,((AND(P$81=gebouw,P$102=aardgas))*P$113+(AND(P$81=gebouw,P$132=aardgas))*P$138)*1000/bibliotheek!$I$530/P$29)</f>
        <v>0</v>
      </c>
      <c r="Q186" s="223">
        <f>IF(Q$29=0,0,((AND(Q$81=gebouw,Q$102=aardgas))*Q$113+(AND(Q$81=gebouw,Q$132=aardgas))*Q$138)*1000/bibliotheek!$I$530/Q$29)</f>
        <v>0</v>
      </c>
      <c r="R186" s="373"/>
      <c r="S186" s="373"/>
      <c r="T186" s="223">
        <f>IF(T$29=0,0,T$75*1000/bibliotheek!$I$530/T$29)</f>
        <v>0</v>
      </c>
      <c r="U186" s="373"/>
      <c r="V186" s="373"/>
      <c r="W186" s="373"/>
      <c r="X186" s="122"/>
      <c r="Y186" s="230">
        <f>SUM(Z186:AJ186)</f>
        <v>0</v>
      </c>
      <c r="Z186" s="135"/>
      <c r="AA186" s="223">
        <f>IF(AA$29=0,0,((AND(AA$81=gebouw,AA$102=aardgas))*AA$113+(AND(AA$81=gebouw,AA$132=aardgas))*AA$138)*1000/bibliotheek!$I$530/AA$29)</f>
        <v>0</v>
      </c>
      <c r="AB186" s="223">
        <f>IF(AB$29=0,0,((AND(AB$81=gebouw,AB$102=aardgas))*AB$113+(AND(AB$81=gebouw,AB$132=aardgas))*AB$138)*1000/bibliotheek!$I$530/AB$29)</f>
        <v>0</v>
      </c>
      <c r="AC186" s="223">
        <f>IF(AC$29=0,0,((AND(AC$81=gebouw,AC$102=aardgas))*AC$113+(AND(AC$81=gebouw,AC$132=aardgas))*AC$138)*1000/bibliotheek!$I$530/AC$29)</f>
        <v>0</v>
      </c>
      <c r="AD186" s="373"/>
      <c r="AE186" s="373"/>
      <c r="AF186" s="223">
        <f>IF(AF$29=0,0,AF$75*1000/bibliotheek!$I$530/AF$29)</f>
        <v>0</v>
      </c>
      <c r="AG186" s="373"/>
      <c r="AH186" s="373"/>
      <c r="AI186" s="373"/>
      <c r="AJ186" s="122"/>
      <c r="AK186" s="230">
        <f>SUM(AL186:AV186)</f>
        <v>0</v>
      </c>
      <c r="AL186" s="135"/>
      <c r="AM186" s="223">
        <f>IF(AM$29=0,0,((AND(AM$81=gebouw,AM$102=aardgas))*AM$113+(AND(AM$81=gebouw,AM$132=aardgas))*AM$138)*1000/bibliotheek!$I$530/AM$29)</f>
        <v>0</v>
      </c>
      <c r="AN186" s="223">
        <f>IF(AN$29=0,0,((AND(AN$81=gebouw,AN$102=aardgas))*AN$113+(AND(AN$81=gebouw,AN$132=aardgas))*AN$138)*1000/bibliotheek!$I$530/AN$29)</f>
        <v>0</v>
      </c>
      <c r="AO186" s="223">
        <f>IF(AO$29=0,0,((AND(AO$81=gebouw,AO$102=aardgas))*AO$113+(AND(AO$81=gebouw,AO$132=aardgas))*AO$138)*1000/bibliotheek!$I$530/AO$29)</f>
        <v>0</v>
      </c>
      <c r="AP186" s="373"/>
      <c r="AQ186" s="373"/>
      <c r="AR186" s="223">
        <f>IF(AR$29=0,0,AR$75*1000/bibliotheek!$I$530/AR$29)</f>
        <v>0</v>
      </c>
      <c r="AS186" s="373"/>
      <c r="AT186" s="373"/>
      <c r="AU186" s="373"/>
      <c r="AV186" s="122"/>
      <c r="AW186" s="230">
        <f>SUM(AX186:BH186)</f>
        <v>0</v>
      </c>
      <c r="AX186" s="135"/>
      <c r="AY186" s="223">
        <f>IF(AY$29=0,0,((AND(AY$81=gebouw,AY$102=aardgas))*AY$113+(AND(AY$81=gebouw,AY$132=aardgas))*AY$138)*1000/bibliotheek!$I$530/AY$29)</f>
        <v>0</v>
      </c>
      <c r="AZ186" s="223">
        <f>IF(AZ$29=0,0,((AND(AZ$81=gebouw,AZ$102=aardgas))*AZ$113+(AND(AZ$81=gebouw,AZ$132=aardgas))*AZ$138)*1000/bibliotheek!$I$530/AZ$29)</f>
        <v>0</v>
      </c>
      <c r="BA186" s="223">
        <f>IF(BA$29=0,0,((AND(BA$81=gebouw,BA$102=aardgas))*BA$113+(AND(BA$81=gebouw,BA$132=aardgas))*BA$138)*1000/bibliotheek!$I$530/BA$29)</f>
        <v>0</v>
      </c>
      <c r="BB186" s="373"/>
      <c r="BC186" s="373"/>
      <c r="BD186" s="223">
        <f>IF(BD$29=0,0,BD$75*1000/bibliotheek!$I$530/BD$29)</f>
        <v>0</v>
      </c>
      <c r="BE186" s="373"/>
      <c r="BF186" s="373"/>
      <c r="BG186" s="373"/>
      <c r="BH186" s="255"/>
    </row>
    <row r="187" spans="1:60" x14ac:dyDescent="0.2">
      <c r="A187" s="648"/>
      <c r="B187" s="492" t="s">
        <v>271</v>
      </c>
      <c r="C187" s="656" t="s">
        <v>113</v>
      </c>
      <c r="D187" s="750"/>
      <c r="E187" s="220" t="s">
        <v>156</v>
      </c>
      <c r="F187" s="220"/>
      <c r="G187" s="220"/>
      <c r="H187" s="242" t="str">
        <f>kWh&amp;"/won.geb"</f>
        <v>kWh/won.geb</v>
      </c>
      <c r="I187" s="129"/>
      <c r="J187" s="243"/>
      <c r="K187" s="279"/>
      <c r="L187" s="279"/>
      <c r="M187" s="230">
        <f>SUM(N187:X187)</f>
        <v>0</v>
      </c>
      <c r="N187" s="135"/>
      <c r="O187" s="223">
        <f>IF(O$29=0,0,(O$171-O$167)*1000/O$29)</f>
        <v>0</v>
      </c>
      <c r="P187" s="223">
        <f>IF(OR(P$29=0,P$33=0),0,(P$171-P$167)*1000/P$29)</f>
        <v>0</v>
      </c>
      <c r="Q187" s="223">
        <f>IF(OR(Q$29=0,Q$33=0),0,(Q$171-Q$167)*1000/Q$29)</f>
        <v>0</v>
      </c>
      <c r="R187" s="223">
        <f>IF(R$29=0,0,R$171*1000/R$29)</f>
        <v>0</v>
      </c>
      <c r="S187" s="223">
        <f>IF(S$29=0,0,S$171*1000/S$29)</f>
        <v>0</v>
      </c>
      <c r="T187" s="335"/>
      <c r="U187" s="223">
        <f>IF(U$29=0,0,U$171*1000/U$29)</f>
        <v>0</v>
      </c>
      <c r="V187" s="223">
        <f>IF(V$29=0,0,V$171*1000/V$29)</f>
        <v>0</v>
      </c>
      <c r="W187" s="223">
        <f>IF(W$29=0,0,-W$168*1000/W$29)</f>
        <v>0</v>
      </c>
      <c r="X187" s="122"/>
      <c r="Y187" s="230">
        <f>SUM(Z187:AJ187)</f>
        <v>0</v>
      </c>
      <c r="Z187" s="135"/>
      <c r="AA187" s="223">
        <f>IF(AA$29=0,0,(AA$171-AA$167)*1000/AA$29)</f>
        <v>0</v>
      </c>
      <c r="AB187" s="223">
        <f>IF(OR(AB$29=0,AB$33=0),0,(AB$171-AB$167)*1000/AB$29)</f>
        <v>0</v>
      </c>
      <c r="AC187" s="223">
        <f>IF(OR(AC$29=0,AC$33=0),0,(AC$171-AC$167)*1000/AC$29)</f>
        <v>0</v>
      </c>
      <c r="AD187" s="223">
        <f>IF(AD$29=0,0,AD$171*1000/AD$29)</f>
        <v>0</v>
      </c>
      <c r="AE187" s="223">
        <f>IF(AE$29=0,0,AE$171*1000/AE$29)</f>
        <v>0</v>
      </c>
      <c r="AF187" s="335"/>
      <c r="AG187" s="223">
        <f>IF(AG$29=0,0,AG$171*1000/AG$29)</f>
        <v>0</v>
      </c>
      <c r="AH187" s="223">
        <f>IF(AH$29=0,0,AH$171*1000/AH$29)</f>
        <v>0</v>
      </c>
      <c r="AI187" s="223">
        <f>IF(AI$29=0,0,-AI$168*1000/AI$29)</f>
        <v>0</v>
      </c>
      <c r="AJ187" s="122"/>
      <c r="AK187" s="230">
        <f>SUM(AL187:AV187)</f>
        <v>0</v>
      </c>
      <c r="AL187" s="135"/>
      <c r="AM187" s="223">
        <f>IF(AM$29=0,0,(AM$171-AM$167)*1000/AM$29)</f>
        <v>0</v>
      </c>
      <c r="AN187" s="223">
        <f>IF(OR(AN$29=0,AN$33=0),0,(AN$171-AN$167)*1000/AN$29)</f>
        <v>0</v>
      </c>
      <c r="AO187" s="223">
        <f>IF(OR(AO$29=0,AO$33=0),0,(AO$171-AO$167)*1000/AO$29)</f>
        <v>0</v>
      </c>
      <c r="AP187" s="223">
        <f>IF(AP$29=0,0,AP$171*1000/AP$29)</f>
        <v>0</v>
      </c>
      <c r="AQ187" s="223">
        <f>IF(AQ$29=0,0,AQ$171*1000/AQ$29)</f>
        <v>0</v>
      </c>
      <c r="AR187" s="207"/>
      <c r="AS187" s="223">
        <f>IF(AS$29=0,0,AS$171*1000/AS$29)</f>
        <v>0</v>
      </c>
      <c r="AT187" s="223">
        <f>IF(AT$29=0,0,AT$171*1000/AT$29)</f>
        <v>0</v>
      </c>
      <c r="AU187" s="223">
        <f>IF(AU$29=0,0,-AU$168*1000/AU$29)</f>
        <v>0</v>
      </c>
      <c r="AV187" s="122"/>
      <c r="AW187" s="230">
        <f>SUM(AX187:BH187)</f>
        <v>0</v>
      </c>
      <c r="AX187" s="135"/>
      <c r="AY187" s="223">
        <f>IF(AY$29=0,0,(AY$171-AY$167)*1000/AY$29)</f>
        <v>0</v>
      </c>
      <c r="AZ187" s="223">
        <f>IF(OR(AZ$29=0,AZ$33=0),0,(AZ$171-AZ$167)*1000/AZ$29)</f>
        <v>0</v>
      </c>
      <c r="BA187" s="223">
        <f>IF(OR(BA$29=0,BA$33=0),0,(BA$171-BA$167)*1000/BA$29)</f>
        <v>0</v>
      </c>
      <c r="BB187" s="223">
        <f>IF(BB$29=0,0,BB$171*1000/BB$29)</f>
        <v>0</v>
      </c>
      <c r="BC187" s="223">
        <f>IF(BC$29=0,0,BC$171*1000/BC$29)</f>
        <v>0</v>
      </c>
      <c r="BD187" s="335"/>
      <c r="BE187" s="223">
        <f>IF(BE$29=0,0,BE$171*1000/BE$29)</f>
        <v>0</v>
      </c>
      <c r="BF187" s="223">
        <f>IF(BF$29=0,0,BF$171*1000/BF$29)</f>
        <v>0</v>
      </c>
      <c r="BG187" s="223">
        <f>IF(BG$29=0,0,-BG$168*1000/BG$29)</f>
        <v>0</v>
      </c>
      <c r="BH187" s="255"/>
    </row>
    <row r="188" spans="1:60" x14ac:dyDescent="0.2">
      <c r="A188" s="648"/>
      <c r="B188" s="492" t="s">
        <v>271</v>
      </c>
      <c r="C188" s="656" t="s">
        <v>113</v>
      </c>
      <c r="D188" s="750"/>
      <c r="E188" s="220" t="s">
        <v>275</v>
      </c>
      <c r="F188" s="220"/>
      <c r="G188" s="220"/>
      <c r="H188" s="242" t="str">
        <f>GJ&amp;"/won.geb"</f>
        <v>GJ/won.geb</v>
      </c>
      <c r="I188" s="129"/>
      <c r="J188" s="243"/>
      <c r="K188" s="279"/>
      <c r="L188" s="279"/>
      <c r="M188" s="243">
        <f>SUM(N188:X188)</f>
        <v>0</v>
      </c>
      <c r="N188" s="100"/>
      <c r="O188" s="207">
        <f>IF(O$29=0,0,(O$81&lt;&gt;gebouw)*(O$75+O$85-O$88)*3.6/O$29)</f>
        <v>0</v>
      </c>
      <c r="P188" s="207">
        <f>IF(P$29=0,0,(P$81&lt;&gt;gebouw)*(P$75+P$85-P$88)*3.6/P$29)</f>
        <v>0</v>
      </c>
      <c r="Q188" s="207">
        <f>IF(Q$29=0,0,(Q$81&lt;&gt;gebouw)*(Q$75+Q$85-Q$88)*3.6/Q$29)</f>
        <v>0</v>
      </c>
      <c r="R188" s="335"/>
      <c r="S188" s="335"/>
      <c r="T188" s="335"/>
      <c r="U188" s="335"/>
      <c r="V188" s="335"/>
      <c r="W188" s="335"/>
      <c r="X188" s="128"/>
      <c r="Y188" s="243">
        <f>SUM(Z188:AJ188)</f>
        <v>0</v>
      </c>
      <c r="Z188" s="100"/>
      <c r="AA188" s="207">
        <f>IF(AA$29=0,0,(AA$81&lt;&gt;gebouw)*(AA$75+AA$85-AA$88)*3.6/AA$29)</f>
        <v>0</v>
      </c>
      <c r="AB188" s="207">
        <f>IF(AB$29=0,0,(AB$81&lt;&gt;gebouw)*(AB$75+AB$85-AB$88)*3.6/AB$29)</f>
        <v>0</v>
      </c>
      <c r="AC188" s="207">
        <f>IF(AC$29=0,0,(AC$81&lt;&gt;gebouw)*(AC$75+AC$85-AC$88)*3.6/AC$29)</f>
        <v>0</v>
      </c>
      <c r="AD188" s="335"/>
      <c r="AE188" s="335"/>
      <c r="AF188" s="335"/>
      <c r="AG188" s="335"/>
      <c r="AH188" s="335"/>
      <c r="AI188" s="335"/>
      <c r="AJ188" s="128"/>
      <c r="AK188" s="243">
        <f>SUM(AL188:AV188)</f>
        <v>0</v>
      </c>
      <c r="AL188" s="100"/>
      <c r="AM188" s="207">
        <f>IF(AM$29=0,0,(AM$81&lt;&gt;gebouw)*(AM$75+AM$85-AM$88)*3.6/AM$29)</f>
        <v>0</v>
      </c>
      <c r="AN188" s="207">
        <f>IF(AN$29=0,0,(AN$81&lt;&gt;gebouw)*(AN$75+AN$85-AN$88)*3.6/AN$29)</f>
        <v>0</v>
      </c>
      <c r="AO188" s="207">
        <f>IF(AO$29=0,0,(AO$81&lt;&gt;gebouw)*(AO$75+AO$85-AO$88)*3.6/AO$29)</f>
        <v>0</v>
      </c>
      <c r="AP188" s="207"/>
      <c r="AQ188" s="207"/>
      <c r="AR188" s="207"/>
      <c r="AS188" s="207"/>
      <c r="AT188" s="207"/>
      <c r="AU188" s="207"/>
      <c r="AV188" s="128"/>
      <c r="AW188" s="243">
        <f>SUM(AX188:BH188)</f>
        <v>0</v>
      </c>
      <c r="AX188" s="100"/>
      <c r="AY188" s="207">
        <f>IF(AY$29=0,0,(AY$81&lt;&gt;gebouw)*(AY$75+AY$85-AY$88)*3.6/AY$29)</f>
        <v>0</v>
      </c>
      <c r="AZ188" s="207">
        <f>IF(AZ$29=0,0,(AZ$81&lt;&gt;gebouw)*(AZ$75+AZ$85-AZ$88)*3.6/AZ$29)</f>
        <v>0</v>
      </c>
      <c r="BA188" s="207">
        <f>IF(BA$29=0,0,(BA$81&lt;&gt;gebouw)*(BA$75+BA$85-BA$88)*3.6/BA$29)</f>
        <v>0</v>
      </c>
      <c r="BB188" s="335"/>
      <c r="BC188" s="335"/>
      <c r="BD188" s="335"/>
      <c r="BE188" s="335"/>
      <c r="BF188" s="335"/>
      <c r="BG188" s="335"/>
      <c r="BH188" s="255"/>
    </row>
    <row r="189" spans="1:60" ht="18.75" x14ac:dyDescent="0.2">
      <c r="A189" s="648"/>
      <c r="B189" s="492" t="s">
        <v>271</v>
      </c>
      <c r="C189" s="739" t="s">
        <v>104</v>
      </c>
      <c r="D189" s="750"/>
      <c r="E189" s="231" t="s">
        <v>276</v>
      </c>
      <c r="F189" s="231"/>
      <c r="G189" s="231"/>
      <c r="H189" s="89"/>
      <c r="I189" s="232"/>
      <c r="J189" s="231"/>
      <c r="K189" s="232"/>
      <c r="L189" s="232"/>
      <c r="M189" s="231"/>
      <c r="N189" s="232"/>
      <c r="O189" s="232"/>
      <c r="P189" s="232"/>
      <c r="Q189" s="232"/>
      <c r="R189" s="232"/>
      <c r="S189" s="232"/>
      <c r="T189" s="232"/>
      <c r="U189" s="232"/>
      <c r="V189" s="232"/>
      <c r="W189" s="232"/>
      <c r="X189" s="232"/>
      <c r="Y189" s="232"/>
      <c r="Z189" s="232"/>
      <c r="AA189" s="232"/>
      <c r="AB189" s="232"/>
      <c r="AC189" s="232"/>
      <c r="AD189" s="232"/>
      <c r="AE189" s="232"/>
      <c r="AF189" s="232"/>
      <c r="AG189" s="232"/>
      <c r="AH189" s="232"/>
      <c r="AI189" s="232"/>
      <c r="AJ189" s="232"/>
      <c r="AK189" s="232"/>
      <c r="AL189" s="232"/>
      <c r="AM189" s="232"/>
      <c r="AN189" s="232"/>
      <c r="AO189" s="232"/>
      <c r="AP189" s="232"/>
      <c r="AQ189" s="232"/>
      <c r="AR189" s="232"/>
      <c r="AS189" s="232"/>
      <c r="AT189" s="232"/>
      <c r="AU189" s="232"/>
      <c r="AV189" s="232"/>
      <c r="AW189" s="232"/>
      <c r="AX189" s="232"/>
      <c r="AY189" s="232"/>
      <c r="AZ189" s="232"/>
      <c r="BA189" s="232"/>
      <c r="BB189" s="232"/>
      <c r="BC189" s="232"/>
      <c r="BD189" s="232"/>
      <c r="BE189" s="232"/>
      <c r="BF189" s="232"/>
      <c r="BG189" s="232"/>
      <c r="BH189" s="38"/>
    </row>
    <row r="190" spans="1:60" x14ac:dyDescent="0.2">
      <c r="A190" s="648"/>
      <c r="B190" s="492" t="s">
        <v>271</v>
      </c>
      <c r="C190" s="656" t="s">
        <v>113</v>
      </c>
      <c r="D190" s="750"/>
      <c r="E190" s="220" t="s">
        <v>274</v>
      </c>
      <c r="F190" s="220"/>
      <c r="G190" s="220"/>
      <c r="H190" s="242" t="s">
        <v>277</v>
      </c>
      <c r="I190" s="129"/>
      <c r="J190" s="243"/>
      <c r="K190" s="279"/>
      <c r="L190" s="279"/>
      <c r="M190" s="243">
        <f>IF(M$31=0,0,M186*M$24/M$31)</f>
        <v>0</v>
      </c>
      <c r="N190" s="100"/>
      <c r="O190" s="207">
        <f t="shared" ref="O190:Q192" si="118">IF(OR(O$33="",O$33=0),0,O$29*O186/O$33)</f>
        <v>0</v>
      </c>
      <c r="P190" s="207">
        <f t="shared" si="118"/>
        <v>0</v>
      </c>
      <c r="Q190" s="207">
        <f t="shared" si="118"/>
        <v>0</v>
      </c>
      <c r="R190" s="335"/>
      <c r="S190" s="335"/>
      <c r="T190" s="207">
        <f>IF(OR(T$33="",T$33=0),0,T$29*T186/T$33)</f>
        <v>0</v>
      </c>
      <c r="U190" s="335"/>
      <c r="V190" s="335"/>
      <c r="W190" s="335"/>
      <c r="X190" s="128"/>
      <c r="Y190" s="243">
        <f>IF(Y$31=0,0,Y186*Y$24/Y$31)</f>
        <v>0</v>
      </c>
      <c r="Z190" s="100"/>
      <c r="AA190" s="207">
        <f t="shared" ref="AA190:AC192" si="119">IF(OR(AA$33="",AA$33=0),0,AA$29*AA186/AA$33)</f>
        <v>0</v>
      </c>
      <c r="AB190" s="207">
        <f t="shared" si="119"/>
        <v>0</v>
      </c>
      <c r="AC190" s="207">
        <f t="shared" si="119"/>
        <v>0</v>
      </c>
      <c r="AD190" s="335"/>
      <c r="AE190" s="335"/>
      <c r="AF190" s="207">
        <f>IF(OR(AF$33="",AF$33=0),0,AF$29*AF186/AF$33)</f>
        <v>0</v>
      </c>
      <c r="AG190" s="335"/>
      <c r="AH190" s="335"/>
      <c r="AI190" s="335"/>
      <c r="AJ190" s="128"/>
      <c r="AK190" s="243">
        <f>IF(AK$31=0,0,AK186*AK$24/AK$31)</f>
        <v>0</v>
      </c>
      <c r="AL190" s="100"/>
      <c r="AM190" s="207">
        <f>IF(OR(AM$33="",AM$33=0),0,AM$29*AM186/AM$33)</f>
        <v>0</v>
      </c>
      <c r="AN190" s="207">
        <f t="shared" ref="AN190:AO192" si="120">IF(OR(AN$33="",AN$33=0),0,AN$29*AN186/AN$33)</f>
        <v>0</v>
      </c>
      <c r="AO190" s="207">
        <f t="shared" si="120"/>
        <v>0</v>
      </c>
      <c r="AP190" s="335"/>
      <c r="AQ190" s="335"/>
      <c r="AR190" s="207">
        <f>IF(OR(AR$33="",AR$33=0),0,AR$29*AR186/AR$33)</f>
        <v>0</v>
      </c>
      <c r="AS190" s="335"/>
      <c r="AT190" s="335"/>
      <c r="AU190" s="335"/>
      <c r="AV190" s="128"/>
      <c r="AW190" s="243">
        <f>IF(AW$31=0,0,AW186*AW$24/AW$31)</f>
        <v>0</v>
      </c>
      <c r="AX190" s="100"/>
      <c r="AY190" s="207">
        <f t="shared" ref="AY190:BA192" si="121">IF(OR(AY$33="",AY$33=0),0,AY$29*AY186/AY$33)</f>
        <v>0</v>
      </c>
      <c r="AZ190" s="207">
        <f t="shared" si="121"/>
        <v>0</v>
      </c>
      <c r="BA190" s="207">
        <f t="shared" si="121"/>
        <v>0</v>
      </c>
      <c r="BB190" s="335"/>
      <c r="BC190" s="335"/>
      <c r="BD190" s="207">
        <f>IF(OR(BD$33="",BD$33=0),0,BD$29*BD186/BD$33)</f>
        <v>0</v>
      </c>
      <c r="BE190" s="335"/>
      <c r="BF190" s="335"/>
      <c r="BG190" s="335"/>
      <c r="BH190" s="255"/>
    </row>
    <row r="191" spans="1:60" x14ac:dyDescent="0.2">
      <c r="A191" s="648"/>
      <c r="B191" s="492" t="s">
        <v>271</v>
      </c>
      <c r="C191" s="656" t="s">
        <v>113</v>
      </c>
      <c r="D191" s="750"/>
      <c r="E191" s="220" t="s">
        <v>156</v>
      </c>
      <c r="F191" s="220"/>
      <c r="G191" s="220"/>
      <c r="H191" s="242" t="s">
        <v>169</v>
      </c>
      <c r="I191" s="129"/>
      <c r="J191" s="243"/>
      <c r="K191" s="279"/>
      <c r="L191" s="279"/>
      <c r="M191" s="243">
        <f>IF(M$31=0,0,M187*M$24/M$31)</f>
        <v>0</v>
      </c>
      <c r="N191" s="100"/>
      <c r="O191" s="207">
        <f t="shared" si="118"/>
        <v>0</v>
      </c>
      <c r="P191" s="207">
        <f t="shared" si="118"/>
        <v>0</v>
      </c>
      <c r="Q191" s="207">
        <f t="shared" si="118"/>
        <v>0</v>
      </c>
      <c r="R191" s="207">
        <f>IF(OR(R$33="",R$33=0),0,R$29*R187/R$33)</f>
        <v>0</v>
      </c>
      <c r="S191" s="207">
        <f>IF(OR(S$33="",S$33=0),0,S$29*S187/S$33)</f>
        <v>0</v>
      </c>
      <c r="T191" s="335"/>
      <c r="U191" s="207">
        <f>IF(OR(U$33="",U$33=0),0,U$29*U187/U$33)</f>
        <v>0</v>
      </c>
      <c r="V191" s="207">
        <f>IF(OR(V$33="",V$33=0),0,V$29*V187/V$33)</f>
        <v>0</v>
      </c>
      <c r="W191" s="207">
        <f>IF(OR(W$33="",W$33=0),0,W$29*W187/W$33)</f>
        <v>0</v>
      </c>
      <c r="X191" s="128"/>
      <c r="Y191" s="243">
        <f>IF(Y$31=0,0,Y187*Y$24/Y$31)</f>
        <v>0</v>
      </c>
      <c r="Z191" s="100"/>
      <c r="AA191" s="207">
        <f t="shared" si="119"/>
        <v>0</v>
      </c>
      <c r="AB191" s="207">
        <f t="shared" si="119"/>
        <v>0</v>
      </c>
      <c r="AC191" s="207">
        <f t="shared" si="119"/>
        <v>0</v>
      </c>
      <c r="AD191" s="207">
        <f>IF(OR(AD$33="",AD$33=0),0,AD$29*AD187/AD$33)</f>
        <v>0</v>
      </c>
      <c r="AE191" s="207">
        <f>IF(OR(AE$33="",AE$33=0),0,AE$29*AE187/AE$33)</f>
        <v>0</v>
      </c>
      <c r="AF191" s="335"/>
      <c r="AG191" s="207">
        <f>IF(OR(AG$33="",AG$33=0),0,AG$29*AG187/AG$33)</f>
        <v>0</v>
      </c>
      <c r="AH191" s="207">
        <f>IF(OR(AH$33="",AH$33=0),0,AH$29*AH187/AH$33)</f>
        <v>0</v>
      </c>
      <c r="AI191" s="207">
        <f>IF(OR(AI$33="",AI$33=0),0,AI$29*AI187/AI$33)</f>
        <v>0</v>
      </c>
      <c r="AJ191" s="128"/>
      <c r="AK191" s="243">
        <f>IF(AK$31=0,0,AK187*AK$24/AK$31)</f>
        <v>0</v>
      </c>
      <c r="AL191" s="100"/>
      <c r="AM191" s="207">
        <f>IF(OR(AM$33="",AM$33=0),0,AM$29*AM187/AM$33)</f>
        <v>0</v>
      </c>
      <c r="AN191" s="207">
        <f t="shared" si="120"/>
        <v>0</v>
      </c>
      <c r="AO191" s="207">
        <f t="shared" si="120"/>
        <v>0</v>
      </c>
      <c r="AP191" s="207">
        <f>IF(OR(AP$33="",AP$33=0),0,AP$29*AP187/AP$33)</f>
        <v>0</v>
      </c>
      <c r="AQ191" s="207">
        <f>IF(OR(AQ$33="",AQ$33=0),0,AQ$29*AQ187/AQ$33)</f>
        <v>0</v>
      </c>
      <c r="AR191" s="335"/>
      <c r="AS191" s="207">
        <f>IF(OR(AS$33="",AS$33=0),0,AS$29*AS187/AS$33)</f>
        <v>0</v>
      </c>
      <c r="AT191" s="207">
        <f>IF(OR(AT$33="",AT$33=0),0,AT$29*AT187/AT$33)</f>
        <v>0</v>
      </c>
      <c r="AU191" s="207">
        <f>IF(OR(AU$33="",AU$33=0),0,AU$29*AU187/AU$33)</f>
        <v>0</v>
      </c>
      <c r="AV191" s="128"/>
      <c r="AW191" s="243">
        <f>IF(AW$31=0,0,AW187*AW$24/AW$31)</f>
        <v>0</v>
      </c>
      <c r="AX191" s="100"/>
      <c r="AY191" s="207">
        <f t="shared" si="121"/>
        <v>0</v>
      </c>
      <c r="AZ191" s="207">
        <f t="shared" si="121"/>
        <v>0</v>
      </c>
      <c r="BA191" s="207">
        <f t="shared" si="121"/>
        <v>0</v>
      </c>
      <c r="BB191" s="207">
        <f>IF(OR(BB$33="",BB$33=0),0,BB$29*BB187/BB$33)</f>
        <v>0</v>
      </c>
      <c r="BC191" s="207">
        <f>IF(OR(BC$33="",BC$33=0),0,BC$29*BC187/BC$33)</f>
        <v>0</v>
      </c>
      <c r="BD191" s="335"/>
      <c r="BE191" s="207">
        <f>IF(OR(BE$33="",BE$33=0),0,BE$29*BE187/BE$33)</f>
        <v>0</v>
      </c>
      <c r="BF191" s="207">
        <f>IF(OR(BF$33="",BF$33=0),0,BF$29*BF187/BF$33)</f>
        <v>0</v>
      </c>
      <c r="BG191" s="207">
        <f>IF(OR(BG$33="",BG$33=0),0,BG$29*BG187/BG$33)</f>
        <v>0</v>
      </c>
      <c r="BH191" s="255"/>
    </row>
    <row r="192" spans="1:60" x14ac:dyDescent="0.2">
      <c r="A192" s="648"/>
      <c r="B192" s="492" t="s">
        <v>271</v>
      </c>
      <c r="C192" s="656" t="s">
        <v>113</v>
      </c>
      <c r="D192" s="750"/>
      <c r="E192" s="220" t="s">
        <v>275</v>
      </c>
      <c r="F192" s="220"/>
      <c r="G192" s="220"/>
      <c r="H192" s="242" t="s">
        <v>278</v>
      </c>
      <c r="I192" s="129"/>
      <c r="J192" s="243"/>
      <c r="K192" s="279"/>
      <c r="L192" s="279"/>
      <c r="M192" s="243">
        <f>IF(M$31=0,0,M188*M$24/M$31)</f>
        <v>0</v>
      </c>
      <c r="N192" s="100"/>
      <c r="O192" s="207">
        <f t="shared" si="118"/>
        <v>0</v>
      </c>
      <c r="P192" s="207">
        <f t="shared" si="118"/>
        <v>0</v>
      </c>
      <c r="Q192" s="207">
        <f t="shared" si="118"/>
        <v>0</v>
      </c>
      <c r="R192" s="335"/>
      <c r="S192" s="335"/>
      <c r="T192" s="335"/>
      <c r="U192" s="335"/>
      <c r="V192" s="335"/>
      <c r="W192" s="335"/>
      <c r="X192" s="128"/>
      <c r="Y192" s="243">
        <f>IF(Y$31=0,0,Y188*Y$24/Y$31)</f>
        <v>0</v>
      </c>
      <c r="Z192" s="100"/>
      <c r="AA192" s="207">
        <f t="shared" si="119"/>
        <v>0</v>
      </c>
      <c r="AB192" s="207">
        <f t="shared" si="119"/>
        <v>0</v>
      </c>
      <c r="AC192" s="207">
        <f t="shared" si="119"/>
        <v>0</v>
      </c>
      <c r="AD192" s="335"/>
      <c r="AE192" s="335"/>
      <c r="AF192" s="335"/>
      <c r="AG192" s="335"/>
      <c r="AH192" s="335"/>
      <c r="AI192" s="335"/>
      <c r="AJ192" s="128"/>
      <c r="AK192" s="243">
        <f>IF(AK$31=0,0,AK188*AK$24/AK$31)</f>
        <v>0</v>
      </c>
      <c r="AL192" s="100"/>
      <c r="AM192" s="207">
        <f>IF(OR(AM$33="",AM$33=0),0,AM$29*AM188/AM$33)</f>
        <v>0</v>
      </c>
      <c r="AN192" s="207">
        <f t="shared" si="120"/>
        <v>0</v>
      </c>
      <c r="AO192" s="207">
        <f t="shared" si="120"/>
        <v>0</v>
      </c>
      <c r="AP192" s="335"/>
      <c r="AQ192" s="335"/>
      <c r="AR192" s="335"/>
      <c r="AS192" s="335"/>
      <c r="AT192" s="335"/>
      <c r="AU192" s="335"/>
      <c r="AV192" s="128"/>
      <c r="AW192" s="243">
        <f>IF(AW$31=0,0,AW188*AW$24/AW$31)</f>
        <v>0</v>
      </c>
      <c r="AX192" s="100"/>
      <c r="AY192" s="207">
        <f t="shared" si="121"/>
        <v>0</v>
      </c>
      <c r="AZ192" s="207">
        <f t="shared" si="121"/>
        <v>0</v>
      </c>
      <c r="BA192" s="207">
        <f t="shared" si="121"/>
        <v>0</v>
      </c>
      <c r="BB192" s="335"/>
      <c r="BC192" s="335"/>
      <c r="BD192" s="335"/>
      <c r="BE192" s="335"/>
      <c r="BF192" s="335"/>
      <c r="BG192" s="335"/>
      <c r="BH192" s="255"/>
    </row>
    <row r="193" spans="1:60" x14ac:dyDescent="0.2">
      <c r="A193" s="648"/>
      <c r="B193" s="492" t="s">
        <v>271</v>
      </c>
      <c r="C193" s="739" t="s">
        <v>104</v>
      </c>
      <c r="D193" s="747"/>
      <c r="E193" s="90"/>
      <c r="F193" s="90"/>
      <c r="G193" s="90"/>
      <c r="H193" s="96"/>
      <c r="I193" s="90"/>
      <c r="J193" s="93"/>
      <c r="K193" s="90"/>
      <c r="L193" s="90"/>
      <c r="M193" s="93"/>
      <c r="N193" s="90"/>
      <c r="O193" s="93"/>
      <c r="P193" s="93"/>
      <c r="Q193" s="93"/>
      <c r="R193" s="93"/>
      <c r="S193" s="93"/>
      <c r="T193" s="93"/>
      <c r="U193" s="93"/>
      <c r="V193" s="93"/>
      <c r="W193" s="93"/>
      <c r="X193" s="93"/>
      <c r="Y193" s="93"/>
      <c r="Z193" s="90"/>
      <c r="AA193" s="93"/>
      <c r="AB193" s="93"/>
      <c r="AC193" s="93"/>
      <c r="AD193" s="93"/>
      <c r="AE193" s="93"/>
      <c r="AF193" s="93"/>
      <c r="AG193" s="93"/>
      <c r="AH193" s="93"/>
      <c r="AI193" s="93"/>
      <c r="AJ193" s="93"/>
      <c r="AK193" s="93"/>
      <c r="AL193" s="90"/>
      <c r="AM193" s="90"/>
      <c r="AN193" s="90"/>
      <c r="AO193" s="90"/>
      <c r="AP193" s="90"/>
      <c r="AQ193" s="90"/>
      <c r="AR193" s="90"/>
      <c r="AS193" s="90"/>
      <c r="AT193" s="90"/>
      <c r="AU193" s="93"/>
      <c r="AV193" s="93"/>
      <c r="AW193" s="93"/>
      <c r="AX193" s="90"/>
      <c r="AY193" s="93"/>
      <c r="AZ193" s="93"/>
      <c r="BA193" s="93"/>
      <c r="BB193" s="93"/>
      <c r="BC193" s="93"/>
      <c r="BD193" s="93"/>
      <c r="BE193" s="93"/>
      <c r="BF193" s="93"/>
      <c r="BG193" s="93"/>
      <c r="BH193" s="1"/>
    </row>
    <row r="194" spans="1:60" x14ac:dyDescent="0.2">
      <c r="A194" s="648"/>
      <c r="B194" s="492" t="s">
        <v>279</v>
      </c>
      <c r="C194" s="656" t="s">
        <v>104</v>
      </c>
      <c r="D194" s="747"/>
      <c r="E194" s="90"/>
      <c r="F194" s="90"/>
      <c r="G194" s="90"/>
      <c r="H194" s="96"/>
      <c r="I194" s="90"/>
      <c r="J194" s="93"/>
      <c r="K194" s="90"/>
      <c r="L194" s="90"/>
      <c r="M194" s="93"/>
      <c r="N194" s="90"/>
      <c r="O194" s="93"/>
      <c r="P194" s="93"/>
      <c r="Q194" s="93"/>
      <c r="R194" s="93"/>
      <c r="S194" s="93"/>
      <c r="T194" s="93"/>
      <c r="U194" s="93"/>
      <c r="V194" s="93"/>
      <c r="W194" s="93"/>
      <c r="X194" s="93"/>
      <c r="Y194" s="93"/>
      <c r="Z194" s="90"/>
      <c r="AA194" s="93"/>
      <c r="AB194" s="93"/>
      <c r="AC194" s="93"/>
      <c r="AD194" s="93"/>
      <c r="AE194" s="93"/>
      <c r="AF194" s="93"/>
      <c r="AG194" s="93"/>
      <c r="AH194" s="93"/>
      <c r="AI194" s="93"/>
      <c r="AJ194" s="93"/>
      <c r="AK194" s="93"/>
      <c r="AL194" s="90"/>
      <c r="AM194" s="93"/>
      <c r="AN194" s="93"/>
      <c r="AO194" s="93"/>
      <c r="AP194" s="93"/>
      <c r="AQ194" s="93"/>
      <c r="AR194" s="93"/>
      <c r="AS194" s="93"/>
      <c r="AT194" s="93"/>
      <c r="AU194" s="93"/>
      <c r="AV194" s="93"/>
      <c r="AW194" s="93"/>
      <c r="AX194" s="90"/>
      <c r="AY194" s="93"/>
      <c r="AZ194" s="93"/>
      <c r="BA194" s="93"/>
      <c r="BB194" s="93"/>
      <c r="BC194" s="93"/>
      <c r="BD194" s="93"/>
      <c r="BE194" s="93"/>
      <c r="BF194" s="93"/>
      <c r="BG194" s="93"/>
      <c r="BH194" s="1"/>
    </row>
    <row r="195" spans="1:60" ht="21" x14ac:dyDescent="0.2">
      <c r="A195" s="648"/>
      <c r="B195" s="492" t="s">
        <v>279</v>
      </c>
      <c r="C195" s="739" t="s">
        <v>104</v>
      </c>
      <c r="D195" s="752"/>
      <c r="E195" s="240" t="s">
        <v>280</v>
      </c>
      <c r="F195" s="240"/>
      <c r="G195" s="240"/>
      <c r="H195" s="240"/>
      <c r="I195" s="88"/>
      <c r="J195" s="241" t="str">
        <f>J$10</f>
        <v>totaal</v>
      </c>
      <c r="K195" s="142"/>
      <c r="L195" s="142"/>
      <c r="M195" s="216" t="str">
        <f>M$10</f>
        <v>totaal</v>
      </c>
      <c r="N195" s="222"/>
      <c r="O195" s="217" t="str">
        <f t="shared" ref="O195:W195" si="122">O$10</f>
        <v>verwarming</v>
      </c>
      <c r="P195" s="217" t="str">
        <f t="shared" si="122"/>
        <v>koeling</v>
      </c>
      <c r="Q195" s="217" t="str">
        <f t="shared" si="122"/>
        <v>tapwater</v>
      </c>
      <c r="R195" s="217" t="str">
        <f t="shared" si="122"/>
        <v>verlichting</v>
      </c>
      <c r="S195" s="217" t="str">
        <f t="shared" si="122"/>
        <v>ventilatoren</v>
      </c>
      <c r="T195" s="217" t="str">
        <f t="shared" si="122"/>
        <v>kookgas</v>
      </c>
      <c r="U195" s="217" t="str">
        <f t="shared" si="122"/>
        <v>overig elektra</v>
      </c>
      <c r="V195" s="217" t="str">
        <f t="shared" si="122"/>
        <v>mobiliteit</v>
      </c>
      <c r="W195" s="217" t="str">
        <f t="shared" si="122"/>
        <v>zonnepanelen</v>
      </c>
      <c r="X195" s="214"/>
      <c r="Y195" s="216" t="str">
        <f>Y$10</f>
        <v>totaal</v>
      </c>
      <c r="Z195" s="222"/>
      <c r="AA195" s="217" t="str">
        <f t="shared" ref="AA195:AI195" si="123">AA$10</f>
        <v>verwarming</v>
      </c>
      <c r="AB195" s="217" t="str">
        <f t="shared" si="123"/>
        <v>koeling</v>
      </c>
      <c r="AC195" s="217" t="str">
        <f t="shared" si="123"/>
        <v>tapwater</v>
      </c>
      <c r="AD195" s="217" t="str">
        <f t="shared" si="123"/>
        <v>verlichting</v>
      </c>
      <c r="AE195" s="217" t="str">
        <f t="shared" si="123"/>
        <v>ventilatoren</v>
      </c>
      <c r="AF195" s="217" t="str">
        <f t="shared" si="123"/>
        <v>kookgas</v>
      </c>
      <c r="AG195" s="217" t="str">
        <f t="shared" si="123"/>
        <v>overig elektra</v>
      </c>
      <c r="AH195" s="217" t="str">
        <f t="shared" si="123"/>
        <v>mobiliteit</v>
      </c>
      <c r="AI195" s="217" t="str">
        <f t="shared" si="123"/>
        <v>zonnepanelen</v>
      </c>
      <c r="AJ195" s="214"/>
      <c r="AK195" s="216" t="str">
        <f>AK$10</f>
        <v>totaal</v>
      </c>
      <c r="AL195" s="222"/>
      <c r="AM195" s="217" t="str">
        <f>AM$10</f>
        <v>verwarming</v>
      </c>
      <c r="AN195" s="217" t="str">
        <f t="shared" ref="AN195:AU195" si="124">AN$10</f>
        <v>koeling</v>
      </c>
      <c r="AO195" s="217" t="str">
        <f t="shared" si="124"/>
        <v>tapwater</v>
      </c>
      <c r="AP195" s="217" t="str">
        <f t="shared" si="124"/>
        <v>verlichting</v>
      </c>
      <c r="AQ195" s="217" t="str">
        <f t="shared" si="124"/>
        <v>ventilatoren</v>
      </c>
      <c r="AR195" s="217" t="str">
        <f t="shared" si="124"/>
        <v>kookgas</v>
      </c>
      <c r="AS195" s="217" t="str">
        <f t="shared" si="124"/>
        <v>overig elektra</v>
      </c>
      <c r="AT195" s="217" t="str">
        <f t="shared" si="124"/>
        <v>mobiliteit</v>
      </c>
      <c r="AU195" s="217" t="str">
        <f t="shared" si="124"/>
        <v>zonnepanelen</v>
      </c>
      <c r="AV195" s="214"/>
      <c r="AW195" s="216" t="str">
        <f>AW$10</f>
        <v>totaal</v>
      </c>
      <c r="AX195" s="222"/>
      <c r="AY195" s="217" t="str">
        <f t="shared" ref="AY195:BG195" si="125">AY$10</f>
        <v>verwarming</v>
      </c>
      <c r="AZ195" s="217" t="str">
        <f t="shared" si="125"/>
        <v>koeling</v>
      </c>
      <c r="BA195" s="217" t="str">
        <f t="shared" si="125"/>
        <v>tapwater</v>
      </c>
      <c r="BB195" s="217" t="str">
        <f t="shared" si="125"/>
        <v>verlichting</v>
      </c>
      <c r="BC195" s="217" t="str">
        <f t="shared" si="125"/>
        <v>ventilatoren</v>
      </c>
      <c r="BD195" s="217" t="str">
        <f t="shared" si="125"/>
        <v>kookgas</v>
      </c>
      <c r="BE195" s="217" t="str">
        <f t="shared" si="125"/>
        <v>overig elektra</v>
      </c>
      <c r="BF195" s="217" t="str">
        <f t="shared" si="125"/>
        <v>mobiliteit</v>
      </c>
      <c r="BG195" s="217" t="str">
        <f t="shared" si="125"/>
        <v>zonnepanelen</v>
      </c>
      <c r="BH195" s="1"/>
    </row>
    <row r="196" spans="1:60" ht="18.75" x14ac:dyDescent="0.2">
      <c r="A196" s="648"/>
      <c r="B196" s="492" t="s">
        <v>279</v>
      </c>
      <c r="C196" s="739" t="s">
        <v>104</v>
      </c>
      <c r="D196" s="747"/>
      <c r="E196" s="231" t="s">
        <v>281</v>
      </c>
      <c r="F196" s="231"/>
      <c r="G196" s="231"/>
      <c r="H196" s="89"/>
      <c r="I196" s="232"/>
      <c r="J196" s="231"/>
      <c r="K196" s="232"/>
      <c r="L196" s="232"/>
      <c r="M196" s="231"/>
      <c r="N196" s="232"/>
      <c r="O196" s="232"/>
      <c r="P196" s="232"/>
      <c r="Q196" s="232"/>
      <c r="R196" s="232"/>
      <c r="S196" s="232"/>
      <c r="T196" s="232"/>
      <c r="U196" s="232"/>
      <c r="V196" s="232"/>
      <c r="W196" s="232"/>
      <c r="X196" s="232"/>
      <c r="Y196" s="232"/>
      <c r="Z196" s="232"/>
      <c r="AA196" s="232"/>
      <c r="AB196" s="232"/>
      <c r="AC196" s="232"/>
      <c r="AD196" s="232"/>
      <c r="AE196" s="232"/>
      <c r="AF196" s="232"/>
      <c r="AG196" s="232"/>
      <c r="AH196" s="232"/>
      <c r="AI196" s="232"/>
      <c r="AJ196" s="232"/>
      <c r="AK196" s="232"/>
      <c r="AL196" s="232"/>
      <c r="AM196" s="232"/>
      <c r="AN196" s="232"/>
      <c r="AO196" s="232"/>
      <c r="AP196" s="232"/>
      <c r="AQ196" s="232"/>
      <c r="AR196" s="232"/>
      <c r="AS196" s="232"/>
      <c r="AT196" s="232"/>
      <c r="AU196" s="232"/>
      <c r="AV196" s="232"/>
      <c r="AW196" s="232"/>
      <c r="AX196" s="232"/>
      <c r="AY196" s="232"/>
      <c r="AZ196" s="232"/>
      <c r="BA196" s="232"/>
      <c r="BB196" s="232"/>
      <c r="BC196" s="232"/>
      <c r="BD196" s="232"/>
      <c r="BE196" s="232"/>
      <c r="BF196" s="232"/>
      <c r="BG196" s="232"/>
      <c r="BH196" s="38"/>
    </row>
    <row r="197" spans="1:60" s="38" customFormat="1" x14ac:dyDescent="0.2">
      <c r="A197" s="648"/>
      <c r="B197" s="492" t="s">
        <v>279</v>
      </c>
      <c r="C197" s="656" t="s">
        <v>113</v>
      </c>
      <c r="D197" s="747"/>
      <c r="E197" s="287" t="s">
        <v>282</v>
      </c>
      <c r="F197" s="287" t="s">
        <v>208</v>
      </c>
      <c r="G197" s="287"/>
      <c r="H197" s="288" t="s">
        <v>70</v>
      </c>
      <c r="I197" s="289"/>
      <c r="J197" s="290"/>
      <c r="K197" s="280"/>
      <c r="L197" s="280"/>
      <c r="M197" s="290"/>
      <c r="N197" s="291"/>
      <c r="O197" s="292" t="str">
        <f>IF(AND(O$80&lt;&gt;"geen",O$102&lt;&gt;""),O$102,"")</f>
        <v>elektriciteit</v>
      </c>
      <c r="P197" s="292" t="str">
        <f>IF(AND(P$80&lt;&gt;"geen",P$102&lt;&gt;""),P$102,"")</f>
        <v/>
      </c>
      <c r="Q197" s="292" t="str">
        <f>IF(AND(Q$80&lt;&gt;"geen",Q$102&lt;&gt;""),Q$102,"")</f>
        <v>elektriciteit</v>
      </c>
      <c r="R197" s="704"/>
      <c r="S197" s="704"/>
      <c r="T197" s="704"/>
      <c r="U197" s="704"/>
      <c r="V197" s="704"/>
      <c r="W197" s="704"/>
      <c r="X197" s="137"/>
      <c r="Y197" s="290"/>
      <c r="Z197" s="291"/>
      <c r="AA197" s="292" t="str">
        <f>IF(AND(AA$80&lt;&gt;"geen",AA$102&lt;&gt;""),AA$102,"")</f>
        <v>elektriciteit</v>
      </c>
      <c r="AB197" s="292" t="str">
        <f>IF(AND(AB$80&lt;&gt;"geen",AB$102&lt;&gt;""),AB$102,"")</f>
        <v/>
      </c>
      <c r="AC197" s="292" t="str">
        <f>IF(AND(AC$80&lt;&gt;"geen",AC$102&lt;&gt;""),AC$102,"")</f>
        <v>elektriciteit</v>
      </c>
      <c r="AD197" s="704"/>
      <c r="AE197" s="704"/>
      <c r="AF197" s="704"/>
      <c r="AG197" s="704"/>
      <c r="AH197" s="704"/>
      <c r="AI197" s="704"/>
      <c r="AJ197" s="137"/>
      <c r="AK197" s="290"/>
      <c r="AL197" s="291"/>
      <c r="AM197" s="292" t="str">
        <f>IF(AND(AM$80&lt;&gt;"geen",AM$102&lt;&gt;""),AM$102,"")</f>
        <v>elektriciteit</v>
      </c>
      <c r="AN197" s="292" t="str">
        <f>IF(AND(AN$80&lt;&gt;"geen",AN$102&lt;&gt;""),AN$102,"")</f>
        <v/>
      </c>
      <c r="AO197" s="292" t="str">
        <f>IF(AND(AO$80&lt;&gt;"geen",AO$102&lt;&gt;""),AO$102,"")</f>
        <v>elektriciteit</v>
      </c>
      <c r="AP197" s="704"/>
      <c r="AQ197" s="704"/>
      <c r="AR197" s="704"/>
      <c r="AS197" s="704"/>
      <c r="AT197" s="704"/>
      <c r="AU197" s="704"/>
      <c r="AV197" s="137"/>
      <c r="AW197" s="290"/>
      <c r="AX197" s="291"/>
      <c r="AY197" s="292" t="str">
        <f>IF(AND(AY$80&lt;&gt;"geen",AY$102&lt;&gt;""),AY$102,"")</f>
        <v>elektriciteit</v>
      </c>
      <c r="AZ197" s="292" t="str">
        <f>IF(AND(AZ$80&lt;&gt;"geen",AZ$102&lt;&gt;""),AZ$102,"")</f>
        <v/>
      </c>
      <c r="BA197" s="292" t="str">
        <f>IF(AND(BA$80&lt;&gt;"geen",BA$102&lt;&gt;""),BA$102,"")</f>
        <v>elektriciteit</v>
      </c>
      <c r="BB197" s="704"/>
      <c r="BC197" s="704"/>
      <c r="BD197" s="704"/>
      <c r="BE197" s="704"/>
      <c r="BF197" s="704"/>
      <c r="BG197" s="704"/>
      <c r="BH197" s="269"/>
    </row>
    <row r="198" spans="1:60" s="2" customFormat="1" x14ac:dyDescent="0.2">
      <c r="A198" s="649"/>
      <c r="B198" s="492" t="s">
        <v>279</v>
      </c>
      <c r="C198" s="739" t="s">
        <v>113</v>
      </c>
      <c r="D198" s="753"/>
      <c r="E198" s="413"/>
      <c r="F198" s="317" t="s">
        <v>283</v>
      </c>
      <c r="G198" s="317"/>
      <c r="H198" s="427" t="s">
        <v>115</v>
      </c>
      <c r="I198" s="196"/>
      <c r="J198" s="370">
        <f>M198+Y198+AK198+AW198</f>
        <v>0</v>
      </c>
      <c r="K198" s="428"/>
      <c r="L198" s="428"/>
      <c r="M198" s="370">
        <f>SUM(N198:X198)</f>
        <v>0</v>
      </c>
      <c r="N198" s="371"/>
      <c r="O198" s="429">
        <f>IF(O197="","",(O$102=O197)*O$117)</f>
        <v>0</v>
      </c>
      <c r="P198" s="429" t="str">
        <f>IF(P197="","",(P$102=P197)*P$117)</f>
        <v/>
      </c>
      <c r="Q198" s="429">
        <f>IF(Q197="","",(Q$102=Q197)*Q$117)</f>
        <v>0</v>
      </c>
      <c r="R198" s="372"/>
      <c r="S198" s="372"/>
      <c r="T198" s="372"/>
      <c r="U198" s="372"/>
      <c r="V198" s="372"/>
      <c r="W198" s="372"/>
      <c r="X198" s="128"/>
      <c r="Y198" s="370">
        <f>SUM(Z198:AJ198)</f>
        <v>0</v>
      </c>
      <c r="Z198" s="371"/>
      <c r="AA198" s="429">
        <f>IF(AA197="","",(AA$102=AA197)*AA$117)</f>
        <v>0</v>
      </c>
      <c r="AB198" s="429" t="str">
        <f>IF(AB197="","",(AB$102=AB197)*AB$117)</f>
        <v/>
      </c>
      <c r="AC198" s="429">
        <f>IF(AC197="","",(AC$102=AC197)*AC$117)</f>
        <v>0</v>
      </c>
      <c r="AD198" s="372"/>
      <c r="AE198" s="372"/>
      <c r="AF198" s="372"/>
      <c r="AG198" s="372"/>
      <c r="AH198" s="372"/>
      <c r="AI198" s="372"/>
      <c r="AJ198" s="128"/>
      <c r="AK198" s="370">
        <f>SUM(AL198:AV198)</f>
        <v>0</v>
      </c>
      <c r="AL198" s="371"/>
      <c r="AM198" s="429">
        <f>IF(AM197="","",(AM$102=AM197)*AM$117)</f>
        <v>0</v>
      </c>
      <c r="AN198" s="429" t="str">
        <f>IF(AN197="","",(AN$102=AN197)*AN$117)</f>
        <v/>
      </c>
      <c r="AO198" s="429">
        <f>IF(AO197="","",(AO$102=AO197)*AO$117)</f>
        <v>0</v>
      </c>
      <c r="AP198" s="372"/>
      <c r="AQ198" s="372"/>
      <c r="AR198" s="372"/>
      <c r="AS198" s="372"/>
      <c r="AT198" s="372"/>
      <c r="AU198" s="372"/>
      <c r="AV198" s="128"/>
      <c r="AW198" s="370">
        <f>SUM(AX198:BH198)</f>
        <v>0</v>
      </c>
      <c r="AX198" s="371"/>
      <c r="AY198" s="429">
        <f>IF(AY197="","",(AY$102=AY197)*AY$117)</f>
        <v>0</v>
      </c>
      <c r="AZ198" s="429" t="str">
        <f>IF(AZ197="","",(AZ$102=AZ197)*AZ$117)</f>
        <v/>
      </c>
      <c r="BA198" s="429">
        <f>IF(BA197="","",(BA$102=BA197)*BA$117)</f>
        <v>0</v>
      </c>
      <c r="BB198" s="372"/>
      <c r="BC198" s="372"/>
      <c r="BD198" s="372"/>
      <c r="BE198" s="372"/>
      <c r="BF198" s="372"/>
      <c r="BG198" s="372"/>
      <c r="BH198" s="267"/>
    </row>
    <row r="199" spans="1:60" s="2" customFormat="1" x14ac:dyDescent="0.2">
      <c r="A199" s="649"/>
      <c r="B199" s="492" t="s">
        <v>279</v>
      </c>
      <c r="C199" s="739" t="s">
        <v>113</v>
      </c>
      <c r="D199" s="753"/>
      <c r="E199" s="316" t="s">
        <v>284</v>
      </c>
      <c r="F199" s="366" t="s">
        <v>208</v>
      </c>
      <c r="G199" s="366"/>
      <c r="H199" s="430" t="s">
        <v>70</v>
      </c>
      <c r="I199" s="431"/>
      <c r="J199" s="432"/>
      <c r="K199" s="433"/>
      <c r="L199" s="433"/>
      <c r="M199" s="432"/>
      <c r="N199" s="434"/>
      <c r="O199" s="435" t="str">
        <f>IF(AND(O$131&lt;&gt;"",O$131&lt;&gt;"geen"),O$132,"")</f>
        <v>elektriciteit</v>
      </c>
      <c r="P199" s="435" t="str">
        <f>IF(AND(P$131&lt;&gt;"",P$131&lt;&gt;"geen"),P$132,"")</f>
        <v/>
      </c>
      <c r="Q199" s="435" t="str">
        <f>IF(AND(Q$131&lt;&gt;"",Q$131&lt;&gt;"geen"),Q$132,"")</f>
        <v>elektriciteit</v>
      </c>
      <c r="R199" s="705"/>
      <c r="S199" s="705"/>
      <c r="T199" s="705"/>
      <c r="U199" s="705"/>
      <c r="V199" s="705"/>
      <c r="W199" s="705"/>
      <c r="X199" s="133"/>
      <c r="Y199" s="432"/>
      <c r="Z199" s="434"/>
      <c r="AA199" s="435" t="str">
        <f>IF(AND(AA$131&lt;&gt;"",AA$131&lt;&gt;"geen"),AA$132,"")</f>
        <v>elektriciteit</v>
      </c>
      <c r="AB199" s="435" t="str">
        <f>IF(AND(AB$131&lt;&gt;"",AB$131&lt;&gt;"geen"),AB$132,"")</f>
        <v/>
      </c>
      <c r="AC199" s="435" t="str">
        <f>IF(AND(AC$131&lt;&gt;"",AC$131&lt;&gt;"geen"),AC$132,"")</f>
        <v>elektriciteit</v>
      </c>
      <c r="AD199" s="705"/>
      <c r="AE199" s="705"/>
      <c r="AF199" s="705"/>
      <c r="AG199" s="705"/>
      <c r="AH199" s="705"/>
      <c r="AI199" s="705"/>
      <c r="AJ199" s="133"/>
      <c r="AK199" s="432"/>
      <c r="AL199" s="434"/>
      <c r="AM199" s="435" t="str">
        <f>IF(AND(AM$131&lt;&gt;"",AM$131&lt;&gt;"geen"),AM$132,"")</f>
        <v>elektriciteit</v>
      </c>
      <c r="AN199" s="435" t="str">
        <f>IF(AND(AN$131&lt;&gt;"",AN$131&lt;&gt;"geen"),AN$132,"")</f>
        <v/>
      </c>
      <c r="AO199" s="435" t="str">
        <f>IF(AND(AO$131&lt;&gt;"",AO$131&lt;&gt;"geen"),AO$132,"")</f>
        <v>elektriciteit</v>
      </c>
      <c r="AP199" s="705"/>
      <c r="AQ199" s="705"/>
      <c r="AR199" s="705"/>
      <c r="AS199" s="705"/>
      <c r="AT199" s="705"/>
      <c r="AU199" s="705"/>
      <c r="AV199" s="133"/>
      <c r="AW199" s="432"/>
      <c r="AX199" s="434"/>
      <c r="AY199" s="435" t="str">
        <f>IF(AND(AY$131&lt;&gt;"",AY$131&lt;&gt;"geen"),AY$132,"")</f>
        <v>elektriciteit</v>
      </c>
      <c r="AZ199" s="435" t="str">
        <f>IF(AND(AZ$131&lt;&gt;"",AZ$131&lt;&gt;"geen"),AZ$132,"")</f>
        <v/>
      </c>
      <c r="BA199" s="435" t="str">
        <f>IF(AND(BA$131&lt;&gt;"",BA$131&lt;&gt;"geen"),BA$132,"")</f>
        <v>elektriciteit</v>
      </c>
      <c r="BB199" s="705"/>
      <c r="BC199" s="705"/>
      <c r="BD199" s="705"/>
      <c r="BE199" s="705"/>
      <c r="BF199" s="705"/>
      <c r="BG199" s="705"/>
      <c r="BH199" s="267"/>
    </row>
    <row r="200" spans="1:60" s="2" customFormat="1" x14ac:dyDescent="0.2">
      <c r="A200" s="649"/>
      <c r="B200" s="492" t="s">
        <v>279</v>
      </c>
      <c r="C200" s="739" t="s">
        <v>113</v>
      </c>
      <c r="D200" s="753"/>
      <c r="E200" s="413"/>
      <c r="F200" s="317" t="s">
        <v>283</v>
      </c>
      <c r="G200" s="317"/>
      <c r="H200" s="427" t="s">
        <v>115</v>
      </c>
      <c r="I200" s="196"/>
      <c r="J200" s="370">
        <f>M200+Y200+AK200+AW200</f>
        <v>0</v>
      </c>
      <c r="K200" s="428"/>
      <c r="L200" s="428"/>
      <c r="M200" s="370">
        <f>SUM(N200:X200)</f>
        <v>0</v>
      </c>
      <c r="N200" s="371"/>
      <c r="O200" s="429">
        <f>IF(O199="",0,(O$132=O199)*O$142)</f>
        <v>0</v>
      </c>
      <c r="P200" s="429">
        <f>IF(P199="",0,(P$132=P199)*P$142)</f>
        <v>0</v>
      </c>
      <c r="Q200" s="429">
        <f>IF(Q199="",0,(Q$132=Q199)*Q$142)</f>
        <v>0</v>
      </c>
      <c r="R200" s="372"/>
      <c r="S200" s="372"/>
      <c r="T200" s="372"/>
      <c r="U200" s="372"/>
      <c r="V200" s="372"/>
      <c r="W200" s="372"/>
      <c r="X200" s="128"/>
      <c r="Y200" s="370">
        <f>SUM(Z200:AJ200)</f>
        <v>0</v>
      </c>
      <c r="Z200" s="371"/>
      <c r="AA200" s="429">
        <f>IF(AA199="",0,(AA$132=AA199)*AA$142)</f>
        <v>0</v>
      </c>
      <c r="AB200" s="429">
        <f>IF(AB199="",0,(AB$132=AB199)*AB$142)</f>
        <v>0</v>
      </c>
      <c r="AC200" s="429">
        <f>IF(AC199="",0,(AC$132=AC199)*AC$142)</f>
        <v>0</v>
      </c>
      <c r="AD200" s="372"/>
      <c r="AE200" s="372"/>
      <c r="AF200" s="372"/>
      <c r="AG200" s="372"/>
      <c r="AH200" s="372"/>
      <c r="AI200" s="372"/>
      <c r="AJ200" s="128"/>
      <c r="AK200" s="370">
        <f>SUM(AL200:AV200)</f>
        <v>0</v>
      </c>
      <c r="AL200" s="371"/>
      <c r="AM200" s="429">
        <f>IF(AM199="",0,(AM$132=AM199)*AM$142)</f>
        <v>0</v>
      </c>
      <c r="AN200" s="429">
        <f>IF(AN199="",0,(AN$132=AN199)*AN$142)</f>
        <v>0</v>
      </c>
      <c r="AO200" s="429">
        <f>IF(AO199="",0,(AO$132=AO199)*AO$142)</f>
        <v>0</v>
      </c>
      <c r="AP200" s="372"/>
      <c r="AQ200" s="372"/>
      <c r="AR200" s="372"/>
      <c r="AS200" s="372"/>
      <c r="AT200" s="372"/>
      <c r="AU200" s="372"/>
      <c r="AV200" s="128"/>
      <c r="AW200" s="370">
        <f>SUM(AX200:BH200)</f>
        <v>0</v>
      </c>
      <c r="AX200" s="371"/>
      <c r="AY200" s="429">
        <f>IF(AY199="",0,(AY$132=AY199)*AY$142)</f>
        <v>0</v>
      </c>
      <c r="AZ200" s="429">
        <f>IF(AZ199="",0,(AZ$132=AZ199)*AZ$142)</f>
        <v>0</v>
      </c>
      <c r="BA200" s="429">
        <f>IF(BA199="",0,(BA$132=BA199)*BA$142)</f>
        <v>0</v>
      </c>
      <c r="BB200" s="372"/>
      <c r="BC200" s="372"/>
      <c r="BD200" s="372"/>
      <c r="BE200" s="372"/>
      <c r="BF200" s="372"/>
      <c r="BG200" s="372"/>
      <c r="BH200" s="267"/>
    </row>
    <row r="201" spans="1:60" s="2" customFormat="1" x14ac:dyDescent="0.2">
      <c r="A201" s="649"/>
      <c r="B201" s="492" t="s">
        <v>279</v>
      </c>
      <c r="C201" s="739" t="s">
        <v>113</v>
      </c>
      <c r="D201" s="753"/>
      <c r="E201" s="316" t="s">
        <v>285</v>
      </c>
      <c r="F201" s="366" t="s">
        <v>208</v>
      </c>
      <c r="G201" s="366"/>
      <c r="H201" s="430" t="s">
        <v>70</v>
      </c>
      <c r="I201" s="431"/>
      <c r="J201" s="436"/>
      <c r="K201" s="433"/>
      <c r="L201" s="433"/>
      <c r="M201" s="432"/>
      <c r="N201" s="434"/>
      <c r="O201" s="435" t="str">
        <f t="shared" ref="O201:W201" si="126">elektriciteit</f>
        <v>elektriciteit</v>
      </c>
      <c r="P201" s="435" t="str">
        <f t="shared" si="126"/>
        <v>elektriciteit</v>
      </c>
      <c r="Q201" s="435" t="str">
        <f t="shared" si="126"/>
        <v>elektriciteit</v>
      </c>
      <c r="R201" s="435" t="str">
        <f t="shared" si="126"/>
        <v>elektriciteit</v>
      </c>
      <c r="S201" s="435" t="str">
        <f t="shared" si="126"/>
        <v>elektriciteit</v>
      </c>
      <c r="T201" s="435" t="str">
        <f>aardgas</f>
        <v>aardgas</v>
      </c>
      <c r="U201" s="435" t="str">
        <f t="shared" si="126"/>
        <v>elektriciteit</v>
      </c>
      <c r="V201" s="435" t="str">
        <f t="shared" si="126"/>
        <v>elektriciteit</v>
      </c>
      <c r="W201" s="435" t="str">
        <f t="shared" si="126"/>
        <v>elektriciteit</v>
      </c>
      <c r="X201" s="133"/>
      <c r="Y201" s="432"/>
      <c r="Z201" s="434"/>
      <c r="AA201" s="435" t="str">
        <f t="shared" ref="AA201:AI201" si="127">elektriciteit</f>
        <v>elektriciteit</v>
      </c>
      <c r="AB201" s="435" t="str">
        <f t="shared" si="127"/>
        <v>elektriciteit</v>
      </c>
      <c r="AC201" s="435" t="str">
        <f t="shared" si="127"/>
        <v>elektriciteit</v>
      </c>
      <c r="AD201" s="435" t="str">
        <f t="shared" si="127"/>
        <v>elektriciteit</v>
      </c>
      <c r="AE201" s="435" t="str">
        <f t="shared" si="127"/>
        <v>elektriciteit</v>
      </c>
      <c r="AF201" s="435" t="str">
        <f>aardgas</f>
        <v>aardgas</v>
      </c>
      <c r="AG201" s="435" t="str">
        <f t="shared" si="127"/>
        <v>elektriciteit</v>
      </c>
      <c r="AH201" s="435" t="str">
        <f t="shared" si="127"/>
        <v>elektriciteit</v>
      </c>
      <c r="AI201" s="435" t="str">
        <f t="shared" si="127"/>
        <v>elektriciteit</v>
      </c>
      <c r="AJ201" s="133"/>
      <c r="AK201" s="432"/>
      <c r="AL201" s="434"/>
      <c r="AM201" s="435" t="str">
        <f t="shared" ref="AM201:AU201" si="128">elektriciteit</f>
        <v>elektriciteit</v>
      </c>
      <c r="AN201" s="435" t="str">
        <f t="shared" si="128"/>
        <v>elektriciteit</v>
      </c>
      <c r="AO201" s="435" t="str">
        <f t="shared" si="128"/>
        <v>elektriciteit</v>
      </c>
      <c r="AP201" s="435" t="str">
        <f t="shared" si="128"/>
        <v>elektriciteit</v>
      </c>
      <c r="AQ201" s="435" t="str">
        <f t="shared" si="128"/>
        <v>elektriciteit</v>
      </c>
      <c r="AR201" s="435" t="str">
        <f>aardgas</f>
        <v>aardgas</v>
      </c>
      <c r="AS201" s="435" t="str">
        <f t="shared" si="128"/>
        <v>elektriciteit</v>
      </c>
      <c r="AT201" s="435" t="str">
        <f t="shared" si="128"/>
        <v>elektriciteit</v>
      </c>
      <c r="AU201" s="435" t="str">
        <f t="shared" si="128"/>
        <v>elektriciteit</v>
      </c>
      <c r="AV201" s="133"/>
      <c r="AW201" s="432"/>
      <c r="AX201" s="434"/>
      <c r="AY201" s="435" t="str">
        <f t="shared" ref="AY201:BG201" si="129">elektriciteit</f>
        <v>elektriciteit</v>
      </c>
      <c r="AZ201" s="435" t="str">
        <f t="shared" si="129"/>
        <v>elektriciteit</v>
      </c>
      <c r="BA201" s="435" t="str">
        <f t="shared" si="129"/>
        <v>elektriciteit</v>
      </c>
      <c r="BB201" s="435" t="str">
        <f t="shared" si="129"/>
        <v>elektriciteit</v>
      </c>
      <c r="BC201" s="435" t="str">
        <f t="shared" si="129"/>
        <v>elektriciteit</v>
      </c>
      <c r="BD201" s="435" t="str">
        <f>aardgas</f>
        <v>aardgas</v>
      </c>
      <c r="BE201" s="435" t="str">
        <f t="shared" si="129"/>
        <v>elektriciteit</v>
      </c>
      <c r="BF201" s="435" t="str">
        <f t="shared" si="129"/>
        <v>elektriciteit</v>
      </c>
      <c r="BG201" s="435" t="str">
        <f t="shared" si="129"/>
        <v>elektriciteit</v>
      </c>
      <c r="BH201" s="264"/>
    </row>
    <row r="202" spans="1:60" s="2" customFormat="1" x14ac:dyDescent="0.2">
      <c r="A202" s="649"/>
      <c r="B202" s="492" t="s">
        <v>279</v>
      </c>
      <c r="C202" s="739" t="s">
        <v>113</v>
      </c>
      <c r="D202" s="753"/>
      <c r="E202" s="317" t="s">
        <v>286</v>
      </c>
      <c r="F202" s="317" t="s">
        <v>283</v>
      </c>
      <c r="G202" s="317"/>
      <c r="H202" s="427" t="s">
        <v>115</v>
      </c>
      <c r="I202" s="196"/>
      <c r="J202" s="370">
        <f>M202+Y202+AK202+AW202</f>
        <v>0</v>
      </c>
      <c r="K202" s="428"/>
      <c r="L202" s="428"/>
      <c r="M202" s="370">
        <f>SUM(N202:X202)</f>
        <v>0</v>
      </c>
      <c r="N202" s="371"/>
      <c r="O202" s="429">
        <f>IF(O201=elektriciteit,O$159-O$177,O$75*bibliotheek!$K$223)</f>
        <v>0</v>
      </c>
      <c r="P202" s="429">
        <f>IF(P201=elektriciteit,P$159-P$177,P$75*bibliotheek!$K$223)</f>
        <v>0</v>
      </c>
      <c r="Q202" s="429">
        <f>IF(Q201=elektriciteit,Q$159-Q$177,Q$75*bibliotheek!$K$223)</f>
        <v>0</v>
      </c>
      <c r="R202" s="429">
        <f>IF(R201=elektriciteit,R$159-R$177,R$75*bibliotheek!$K$223)</f>
        <v>0</v>
      </c>
      <c r="S202" s="429">
        <f>IF(S201=elektriciteit,S$159-S$177,S$75*bibliotheek!$K$223)</f>
        <v>0</v>
      </c>
      <c r="T202" s="429">
        <f>IF(T201=elektriciteit,T$159-T$177,T$75*bibliotheek!$K$223)</f>
        <v>0</v>
      </c>
      <c r="U202" s="429">
        <f>IF(U201=elektriciteit,U$159-U$177,U$75*bibliotheek!$K$223)</f>
        <v>0</v>
      </c>
      <c r="V202" s="429">
        <f>IF(V201=elektriciteit,V$159-V$177,V$75*bibliotheek!$K$223)</f>
        <v>0</v>
      </c>
      <c r="W202" s="429">
        <f>IF(W201=elektriciteit,W$159-W$177,W$75*bibliotheek!$K$223)</f>
        <v>0</v>
      </c>
      <c r="X202" s="128"/>
      <c r="Y202" s="370">
        <f>SUM(Z202:AJ202)</f>
        <v>0</v>
      </c>
      <c r="Z202" s="371"/>
      <c r="AA202" s="429">
        <f>IF(AA201=elektriciteit,AA$159-AA$177,AA$75*bibliotheek!$K$223)</f>
        <v>0</v>
      </c>
      <c r="AB202" s="429">
        <f>IF(AB201=elektriciteit,AB$159-AB$177,AB$75*bibliotheek!$K$223)</f>
        <v>0</v>
      </c>
      <c r="AC202" s="429">
        <f>IF(AC201=elektriciteit,AC$159-AC$177,AC$75*bibliotheek!$K$223)</f>
        <v>0</v>
      </c>
      <c r="AD202" s="429">
        <f>IF(AD201=elektriciteit,AD$159-AD$177,AD$75*bibliotheek!$K$223)</f>
        <v>0</v>
      </c>
      <c r="AE202" s="429">
        <f>IF(AE201=elektriciteit,AE$159-AE$177,AE$75*bibliotheek!$K$223)</f>
        <v>0</v>
      </c>
      <c r="AF202" s="429">
        <f>IF(AF201=elektriciteit,AF$159-AF$177,AF$75*bibliotheek!$K$223)</f>
        <v>0</v>
      </c>
      <c r="AG202" s="429">
        <f>IF(AG201=elektriciteit,AG$159-AG$177,AG$75*bibliotheek!$K$223)</f>
        <v>0</v>
      </c>
      <c r="AH202" s="429">
        <f>IF(AH201=elektriciteit,AH$159-AH$177,AH$75*bibliotheek!$K$223)</f>
        <v>0</v>
      </c>
      <c r="AI202" s="429">
        <f>IF(AI201=elektriciteit,AI$159-AI$177,AI$75*bibliotheek!$K$223)</f>
        <v>0</v>
      </c>
      <c r="AJ202" s="128"/>
      <c r="AK202" s="370">
        <f>SUM(AL202:AV202)</f>
        <v>0</v>
      </c>
      <c r="AL202" s="371"/>
      <c r="AM202" s="429">
        <f>IF(AM201=elektriciteit,AM$159-AM$177,AM$75*bibliotheek!$K$223)</f>
        <v>0</v>
      </c>
      <c r="AN202" s="429">
        <f>IF(AN201=elektriciteit,AN$159-AN$177,AN$75*bibliotheek!$K$223)</f>
        <v>0</v>
      </c>
      <c r="AO202" s="429">
        <f>IF(AO201=elektriciteit,AO$159-AO$177,AO$75*bibliotheek!$K$223)</f>
        <v>0</v>
      </c>
      <c r="AP202" s="429">
        <f>IF(AP201=elektriciteit,AP$159-AP$177,AP$75*bibliotheek!$K$223)</f>
        <v>0</v>
      </c>
      <c r="AQ202" s="429">
        <f>IF(AQ201=elektriciteit,AQ$159-AQ$177,AQ$75*bibliotheek!$K$223)</f>
        <v>0</v>
      </c>
      <c r="AR202" s="429">
        <f>IF(AR201=elektriciteit,AR$159-AR$177,AR$75*bibliotheek!$K$223)</f>
        <v>0</v>
      </c>
      <c r="AS202" s="429">
        <f>IF(AS201=elektriciteit,AS$159-AS$177,AS$75*bibliotheek!$K$223)</f>
        <v>0</v>
      </c>
      <c r="AT202" s="429">
        <f>IF(AT201=elektriciteit,AT$159-AT$177,AT$75*bibliotheek!$K$223)</f>
        <v>0</v>
      </c>
      <c r="AU202" s="429">
        <f>IF(AU201=elektriciteit,AU$159-AU$177,AU$75*bibliotheek!$K$223)</f>
        <v>0</v>
      </c>
      <c r="AV202" s="128"/>
      <c r="AW202" s="370">
        <f>SUM(AX202:BH202)</f>
        <v>0</v>
      </c>
      <c r="AX202" s="371"/>
      <c r="AY202" s="429">
        <f>IF(AY201=elektriciteit,AY$159-AY$177,AY$75*bibliotheek!$K$223)</f>
        <v>0</v>
      </c>
      <c r="AZ202" s="429">
        <f>IF(AZ201=elektriciteit,AZ$159-AZ$177,AZ$75*bibliotheek!$K$223)</f>
        <v>0</v>
      </c>
      <c r="BA202" s="429">
        <f>IF(BA201=elektriciteit,BA$159-BA$177,BA$75*bibliotheek!$K$223)</f>
        <v>0</v>
      </c>
      <c r="BB202" s="429">
        <f>IF(BB201=elektriciteit,BB$159-BB$177,BB$75*bibliotheek!$K$223)</f>
        <v>0</v>
      </c>
      <c r="BC202" s="429">
        <f>IF(BC201=elektriciteit,BC$159-BC$177,BC$75*bibliotheek!$K$223)</f>
        <v>0</v>
      </c>
      <c r="BD202" s="429">
        <f>IF(BD201=elektriciteit,BD$159-BD$177,BD$75*bibliotheek!$K$223)</f>
        <v>0</v>
      </c>
      <c r="BE202" s="429">
        <f>IF(BE201=elektriciteit,BE$159-BE$177,BE$75*bibliotheek!$K$223)</f>
        <v>0</v>
      </c>
      <c r="BF202" s="429">
        <f>IF(BF201=elektriciteit,BF$159-BF$177,BF$75*bibliotheek!$K$223)</f>
        <v>0</v>
      </c>
      <c r="BG202" s="429">
        <f>IF(BG201=elektriciteit,BG$159-BG$177,BG$75*bibliotheek!$K$223)</f>
        <v>0</v>
      </c>
      <c r="BH202" s="267"/>
    </row>
    <row r="203" spans="1:60" ht="18.75" x14ac:dyDescent="0.2">
      <c r="A203" s="648"/>
      <c r="B203" s="492" t="s">
        <v>279</v>
      </c>
      <c r="C203" s="739" t="s">
        <v>104</v>
      </c>
      <c r="D203" s="747"/>
      <c r="E203" s="231" t="s">
        <v>287</v>
      </c>
      <c r="F203" s="231"/>
      <c r="G203" s="231"/>
      <c r="H203" s="89"/>
      <c r="I203" s="232"/>
      <c r="J203" s="285"/>
      <c r="K203" s="285"/>
      <c r="L203" s="285"/>
      <c r="M203" s="285"/>
      <c r="N203" s="285"/>
      <c r="O203" s="285"/>
      <c r="P203" s="285"/>
      <c r="Q203" s="285"/>
      <c r="R203" s="285"/>
      <c r="S203" s="285"/>
      <c r="T203" s="285"/>
      <c r="U203" s="285"/>
      <c r="V203" s="285"/>
      <c r="W203" s="285"/>
      <c r="X203" s="285"/>
      <c r="Y203" s="285"/>
      <c r="Z203" s="285"/>
      <c r="AA203" s="285"/>
      <c r="AB203" s="285"/>
      <c r="AC203" s="285"/>
      <c r="AD203" s="285"/>
      <c r="AE203" s="285"/>
      <c r="AF203" s="285"/>
      <c r="AG203" s="285"/>
      <c r="AH203" s="285"/>
      <c r="AI203" s="285"/>
      <c r="AJ203" s="285"/>
      <c r="AK203" s="285"/>
      <c r="AL203" s="285"/>
      <c r="AM203" s="285"/>
      <c r="AN203" s="285"/>
      <c r="AO203" s="285"/>
      <c r="AP203" s="285"/>
      <c r="AQ203" s="285"/>
      <c r="AR203" s="285"/>
      <c r="AS203" s="285"/>
      <c r="AT203" s="285"/>
      <c r="AU203" s="285"/>
      <c r="AV203" s="285"/>
      <c r="AW203" s="285"/>
      <c r="AX203" s="285"/>
      <c r="AY203" s="285"/>
      <c r="AZ203" s="285"/>
      <c r="BA203" s="285"/>
      <c r="BB203" s="285"/>
      <c r="BC203" s="285"/>
      <c r="BD203" s="285"/>
      <c r="BE203" s="285"/>
      <c r="BF203" s="285"/>
      <c r="BG203" s="285"/>
      <c r="BH203" s="38"/>
    </row>
    <row r="204" spans="1:60" s="38" customFormat="1" x14ac:dyDescent="0.2">
      <c r="A204" s="648"/>
      <c r="B204" s="492" t="s">
        <v>279</v>
      </c>
      <c r="C204" s="656" t="s">
        <v>113</v>
      </c>
      <c r="D204" s="747"/>
      <c r="E204" s="182" t="s">
        <v>288</v>
      </c>
      <c r="F204" s="182" t="s">
        <v>283</v>
      </c>
      <c r="G204" s="182"/>
      <c r="H204" s="281" t="s">
        <v>115</v>
      </c>
      <c r="I204" s="235"/>
      <c r="J204" s="282">
        <f>M204+Y204+AK204+AW204</f>
        <v>0</v>
      </c>
      <c r="K204" s="283"/>
      <c r="L204" s="283"/>
      <c r="M204" s="282">
        <f>SUM(N204:X204)</f>
        <v>0</v>
      </c>
      <c r="N204" s="99"/>
      <c r="O204" s="180">
        <f>O198+O200+O202</f>
        <v>0</v>
      </c>
      <c r="P204" s="180">
        <f t="shared" ref="P204:W204" si="130">P202+IF(P198="",0,P198)+IF(P200="",0,P200)</f>
        <v>0</v>
      </c>
      <c r="Q204" s="180">
        <f t="shared" si="130"/>
        <v>0</v>
      </c>
      <c r="R204" s="180">
        <f t="shared" si="130"/>
        <v>0</v>
      </c>
      <c r="S204" s="180">
        <f t="shared" si="130"/>
        <v>0</v>
      </c>
      <c r="T204" s="180">
        <f t="shared" si="130"/>
        <v>0</v>
      </c>
      <c r="U204" s="180">
        <f t="shared" si="130"/>
        <v>0</v>
      </c>
      <c r="V204" s="180">
        <f t="shared" si="130"/>
        <v>0</v>
      </c>
      <c r="W204" s="180">
        <f t="shared" si="130"/>
        <v>0</v>
      </c>
      <c r="X204" s="284"/>
      <c r="Y204" s="282">
        <f>SUM(Z204:AJ204)</f>
        <v>0</v>
      </c>
      <c r="Z204" s="99"/>
      <c r="AA204" s="180">
        <f>AA198+AA200+AA202</f>
        <v>0</v>
      </c>
      <c r="AB204" s="180">
        <f t="shared" ref="AB204:AI204" si="131">AB202+IF(AB198="",0,AB198)+IF(AB200="",0,AB200)</f>
        <v>0</v>
      </c>
      <c r="AC204" s="180">
        <f t="shared" si="131"/>
        <v>0</v>
      </c>
      <c r="AD204" s="180">
        <f t="shared" si="131"/>
        <v>0</v>
      </c>
      <c r="AE204" s="180">
        <f t="shared" si="131"/>
        <v>0</v>
      </c>
      <c r="AF204" s="180">
        <f t="shared" si="131"/>
        <v>0</v>
      </c>
      <c r="AG204" s="180">
        <f t="shared" si="131"/>
        <v>0</v>
      </c>
      <c r="AH204" s="180">
        <f t="shared" si="131"/>
        <v>0</v>
      </c>
      <c r="AI204" s="180">
        <f t="shared" si="131"/>
        <v>0</v>
      </c>
      <c r="AJ204" s="284"/>
      <c r="AK204" s="282">
        <f>SUM(AL204:AV204)</f>
        <v>0</v>
      </c>
      <c r="AL204" s="99"/>
      <c r="AM204" s="180">
        <f>AM198+AM200+AM202</f>
        <v>0</v>
      </c>
      <c r="AN204" s="180">
        <f t="shared" ref="AN204:AU204" si="132">AN202+IF(AN198="",0,AN198)+IF(AN200="",0,AN200)</f>
        <v>0</v>
      </c>
      <c r="AO204" s="180">
        <f t="shared" si="132"/>
        <v>0</v>
      </c>
      <c r="AP204" s="180">
        <f t="shared" si="132"/>
        <v>0</v>
      </c>
      <c r="AQ204" s="180">
        <f t="shared" si="132"/>
        <v>0</v>
      </c>
      <c r="AR204" s="180">
        <f t="shared" si="132"/>
        <v>0</v>
      </c>
      <c r="AS204" s="180">
        <f t="shared" si="132"/>
        <v>0</v>
      </c>
      <c r="AT204" s="180">
        <f t="shared" si="132"/>
        <v>0</v>
      </c>
      <c r="AU204" s="180">
        <f t="shared" si="132"/>
        <v>0</v>
      </c>
      <c r="AV204" s="284"/>
      <c r="AW204" s="282">
        <f>SUM(AX204:BH204)</f>
        <v>0</v>
      </c>
      <c r="AX204" s="99"/>
      <c r="AY204" s="180">
        <f>AY198+AY200+AY202</f>
        <v>0</v>
      </c>
      <c r="AZ204" s="180">
        <f t="shared" ref="AZ204:BG204" si="133">AZ202+IF(AZ198="",0,AZ198)+IF(AZ200="",0,AZ200)</f>
        <v>0</v>
      </c>
      <c r="BA204" s="180">
        <f t="shared" si="133"/>
        <v>0</v>
      </c>
      <c r="BB204" s="180">
        <f t="shared" si="133"/>
        <v>0</v>
      </c>
      <c r="BC204" s="180">
        <f t="shared" si="133"/>
        <v>0</v>
      </c>
      <c r="BD204" s="180">
        <f t="shared" si="133"/>
        <v>0</v>
      </c>
      <c r="BE204" s="180">
        <f t="shared" si="133"/>
        <v>0</v>
      </c>
      <c r="BF204" s="180">
        <f t="shared" si="133"/>
        <v>0</v>
      </c>
      <c r="BG204" s="180">
        <f t="shared" si="133"/>
        <v>0</v>
      </c>
      <c r="BH204" s="269"/>
    </row>
    <row r="205" spans="1:60" x14ac:dyDescent="0.2">
      <c r="A205" s="648"/>
      <c r="B205" s="492" t="s">
        <v>279</v>
      </c>
      <c r="C205" s="739" t="s">
        <v>104</v>
      </c>
      <c r="D205" s="747"/>
      <c r="E205" s="90"/>
      <c r="F205" s="90"/>
      <c r="G205" s="90"/>
      <c r="H205" s="93"/>
      <c r="I205" s="138"/>
      <c r="J205" s="128"/>
      <c r="K205" s="90"/>
      <c r="L205" s="90"/>
      <c r="M205" s="128"/>
      <c r="N205" s="90"/>
      <c r="O205" s="96"/>
      <c r="P205" s="96"/>
      <c r="Q205" s="93"/>
      <c r="R205" s="93"/>
      <c r="S205" s="93"/>
      <c r="T205" s="93"/>
      <c r="U205" s="93"/>
      <c r="V205" s="93"/>
      <c r="W205" s="93"/>
      <c r="X205" s="93"/>
      <c r="Y205" s="128"/>
      <c r="Z205" s="90"/>
      <c r="AA205" s="96"/>
      <c r="AB205" s="96"/>
      <c r="AC205" s="93"/>
      <c r="AD205" s="93"/>
      <c r="AE205" s="93"/>
      <c r="AF205" s="93"/>
      <c r="AG205" s="93"/>
      <c r="AH205" s="93"/>
      <c r="AI205" s="93"/>
      <c r="AJ205" s="93"/>
      <c r="AK205" s="128"/>
      <c r="AL205" s="90"/>
      <c r="AM205" s="96"/>
      <c r="AN205" s="96"/>
      <c r="AO205" s="93"/>
      <c r="AP205" s="93"/>
      <c r="AQ205" s="93"/>
      <c r="AR205" s="93"/>
      <c r="AS205" s="93"/>
      <c r="AT205" s="93"/>
      <c r="AU205" s="93"/>
      <c r="AV205" s="93"/>
      <c r="AW205" s="128"/>
      <c r="AX205" s="90"/>
      <c r="AY205" s="93"/>
      <c r="AZ205" s="93"/>
      <c r="BA205" s="93"/>
      <c r="BB205" s="93"/>
      <c r="BC205" s="93"/>
      <c r="BD205" s="93"/>
      <c r="BE205" s="93"/>
      <c r="BF205" s="93"/>
      <c r="BG205" s="93"/>
      <c r="BH205" s="1"/>
    </row>
    <row r="206" spans="1:60" x14ac:dyDescent="0.2">
      <c r="A206" s="648"/>
      <c r="B206" s="492" t="s">
        <v>289</v>
      </c>
      <c r="C206" s="739" t="s">
        <v>104</v>
      </c>
      <c r="D206" s="747"/>
      <c r="E206" s="90"/>
      <c r="F206" s="90"/>
      <c r="G206" s="90"/>
      <c r="H206" s="96"/>
      <c r="I206" s="90"/>
      <c r="J206" s="93"/>
      <c r="K206" s="90"/>
      <c r="L206" s="90"/>
      <c r="M206" s="93"/>
      <c r="N206" s="90"/>
      <c r="O206" s="93"/>
      <c r="P206" s="93"/>
      <c r="Q206" s="93"/>
      <c r="R206" s="93"/>
      <c r="S206" s="93"/>
      <c r="T206" s="93"/>
      <c r="U206" s="93"/>
      <c r="V206" s="93"/>
      <c r="W206" s="93"/>
      <c r="X206" s="93"/>
      <c r="Y206" s="93"/>
      <c r="Z206" s="90"/>
      <c r="AA206" s="93"/>
      <c r="AB206" s="93"/>
      <c r="AC206" s="93"/>
      <c r="AD206" s="93"/>
      <c r="AE206" s="93"/>
      <c r="AF206" s="93"/>
      <c r="AG206" s="93"/>
      <c r="AH206" s="93"/>
      <c r="AI206" s="93"/>
      <c r="AJ206" s="93"/>
      <c r="AK206" s="93"/>
      <c r="AL206" s="90"/>
      <c r="AM206" s="93"/>
      <c r="AN206" s="93"/>
      <c r="AO206" s="93"/>
      <c r="AP206" s="93"/>
      <c r="AQ206" s="93"/>
      <c r="AR206" s="93"/>
      <c r="AS206" s="93"/>
      <c r="AT206" s="93"/>
      <c r="AU206" s="93"/>
      <c r="AV206" s="93"/>
      <c r="AW206" s="93"/>
      <c r="AX206" s="90"/>
      <c r="AY206" s="93"/>
      <c r="AZ206" s="93"/>
      <c r="BA206" s="93"/>
      <c r="BB206" s="93"/>
      <c r="BC206" s="93"/>
      <c r="BD206" s="93"/>
      <c r="BE206" s="93"/>
      <c r="BF206" s="93"/>
      <c r="BG206" s="93"/>
      <c r="BH206" s="1"/>
    </row>
    <row r="207" spans="1:60" ht="21" x14ac:dyDescent="0.2">
      <c r="A207" s="648"/>
      <c r="B207" s="492" t="s">
        <v>289</v>
      </c>
      <c r="C207" s="739" t="s">
        <v>104</v>
      </c>
      <c r="D207" s="752"/>
      <c r="E207" s="240" t="s">
        <v>290</v>
      </c>
      <c r="F207" s="240"/>
      <c r="G207" s="240"/>
      <c r="H207" s="240"/>
      <c r="I207" s="88"/>
      <c r="J207" s="216" t="str">
        <f>J$10</f>
        <v>totaal</v>
      </c>
      <c r="K207" s="142"/>
      <c r="L207" s="142"/>
      <c r="M207" s="216" t="str">
        <f>M$10</f>
        <v>totaal</v>
      </c>
      <c r="N207" s="222"/>
      <c r="O207" s="217" t="str">
        <f>O$10</f>
        <v>verwarming</v>
      </c>
      <c r="P207" s="217" t="str">
        <f>P$10</f>
        <v>koeling</v>
      </c>
      <c r="Q207" s="217" t="str">
        <f>Q$10</f>
        <v>tapwater</v>
      </c>
      <c r="R207" s="217"/>
      <c r="S207" s="217"/>
      <c r="T207" s="217"/>
      <c r="U207" s="217"/>
      <c r="V207" s="217"/>
      <c r="W207" s="488" t="str">
        <f>W$10</f>
        <v>zonnepanelen</v>
      </c>
      <c r="X207" s="214"/>
      <c r="Y207" s="216" t="str">
        <f>Y$10</f>
        <v>totaal</v>
      </c>
      <c r="Z207" s="222"/>
      <c r="AA207" s="217" t="str">
        <f>AA$10</f>
        <v>verwarming</v>
      </c>
      <c r="AB207" s="217" t="str">
        <f>AB$10</f>
        <v>koeling</v>
      </c>
      <c r="AC207" s="217" t="str">
        <f>AC$10</f>
        <v>tapwater</v>
      </c>
      <c r="AD207" s="217"/>
      <c r="AE207" s="217"/>
      <c r="AF207" s="217"/>
      <c r="AG207" s="217"/>
      <c r="AH207" s="217"/>
      <c r="AI207" s="488" t="str">
        <f>AI$10</f>
        <v>zonnepanelen</v>
      </c>
      <c r="AJ207" s="214"/>
      <c r="AK207" s="216" t="str">
        <f>AK$10</f>
        <v>totaal</v>
      </c>
      <c r="AL207" s="222"/>
      <c r="AM207" s="217" t="str">
        <f>AM$10</f>
        <v>verwarming</v>
      </c>
      <c r="AN207" s="217" t="str">
        <f>AN$10</f>
        <v>koeling</v>
      </c>
      <c r="AO207" s="217" t="str">
        <f>AO$10</f>
        <v>tapwater</v>
      </c>
      <c r="AP207" s="217"/>
      <c r="AQ207" s="217"/>
      <c r="AR207" s="217"/>
      <c r="AS207" s="217"/>
      <c r="AT207" s="217"/>
      <c r="AU207" s="488" t="str">
        <f>AU$10</f>
        <v>zonnepanelen</v>
      </c>
      <c r="AV207" s="214"/>
      <c r="AW207" s="216" t="str">
        <f>AW$10</f>
        <v>totaal</v>
      </c>
      <c r="AX207" s="222"/>
      <c r="AY207" s="217" t="str">
        <f>AY$10</f>
        <v>verwarming</v>
      </c>
      <c r="AZ207" s="217" t="str">
        <f>AZ$10</f>
        <v>koeling</v>
      </c>
      <c r="BA207" s="217" t="str">
        <f>BA$10</f>
        <v>tapwater</v>
      </c>
      <c r="BB207" s="217"/>
      <c r="BC207" s="217"/>
      <c r="BD207" s="217"/>
      <c r="BE207" s="217"/>
      <c r="BF207" s="217"/>
      <c r="BG207" s="488" t="str">
        <f>BG$10</f>
        <v>zonnepanelen</v>
      </c>
      <c r="BH207" s="1"/>
    </row>
    <row r="208" spans="1:60" ht="18.75" x14ac:dyDescent="0.2">
      <c r="A208" s="648"/>
      <c r="B208" s="492" t="s">
        <v>289</v>
      </c>
      <c r="C208" s="739" t="s">
        <v>104</v>
      </c>
      <c r="D208" s="747"/>
      <c r="E208" s="231" t="s">
        <v>291</v>
      </c>
      <c r="F208" s="231"/>
      <c r="G208" s="231"/>
      <c r="H208" s="89"/>
      <c r="I208" s="232"/>
      <c r="J208" s="231"/>
      <c r="K208" s="232"/>
      <c r="L208" s="232"/>
      <c r="M208" s="231"/>
      <c r="N208" s="232"/>
      <c r="O208" s="232"/>
      <c r="P208" s="232"/>
      <c r="Q208" s="232"/>
      <c r="R208" s="232"/>
      <c r="S208" s="232"/>
      <c r="T208" s="232"/>
      <c r="U208" s="232"/>
      <c r="V208" s="232"/>
      <c r="W208" s="232"/>
      <c r="X208" s="232"/>
      <c r="Y208" s="232"/>
      <c r="Z208" s="232"/>
      <c r="AA208" s="285"/>
      <c r="AB208" s="285"/>
      <c r="AC208" s="285"/>
      <c r="AD208" s="232"/>
      <c r="AE208" s="232"/>
      <c r="AF208" s="232"/>
      <c r="AG208" s="232"/>
      <c r="AH208" s="232"/>
      <c r="AI208" s="232"/>
      <c r="AJ208" s="232"/>
      <c r="AK208" s="232"/>
      <c r="AL208" s="232"/>
      <c r="AM208" s="232"/>
      <c r="AN208" s="232"/>
      <c r="AO208" s="232"/>
      <c r="AP208" s="232"/>
      <c r="AQ208" s="232"/>
      <c r="AR208" s="232"/>
      <c r="AS208" s="232"/>
      <c r="AT208" s="232"/>
      <c r="AU208" s="232"/>
      <c r="AV208" s="232"/>
      <c r="AW208" s="232"/>
      <c r="AX208" s="232"/>
      <c r="AY208" s="232"/>
      <c r="AZ208" s="232"/>
      <c r="BA208" s="232"/>
      <c r="BB208" s="232"/>
      <c r="BC208" s="232"/>
      <c r="BD208" s="232"/>
      <c r="BE208" s="232"/>
      <c r="BF208" s="232"/>
      <c r="BG208" s="232"/>
      <c r="BH208" s="38"/>
    </row>
    <row r="209" spans="1:60" x14ac:dyDescent="0.2">
      <c r="A209" s="648"/>
      <c r="B209" s="492" t="s">
        <v>289</v>
      </c>
      <c r="C209" s="656" t="s">
        <v>113</v>
      </c>
      <c r="D209" s="750" t="s">
        <v>50</v>
      </c>
      <c r="E209" s="220" t="s">
        <v>292</v>
      </c>
      <c r="F209" s="220"/>
      <c r="G209" s="220"/>
      <c r="H209" s="242" t="s">
        <v>177</v>
      </c>
      <c r="I209" s="129"/>
      <c r="J209" s="243">
        <f t="shared" ref="J209:J215" si="134">M209+Y209+AK209+AW209</f>
        <v>0</v>
      </c>
      <c r="K209" s="236"/>
      <c r="L209" s="236"/>
      <c r="M209" s="243">
        <f t="shared" ref="M209:M215" si="135">SUM(N209:X209)</f>
        <v>0</v>
      </c>
      <c r="N209" s="129"/>
      <c r="O209" s="207">
        <f>IF(OR(O$108=0,O$108=""),0,HLOOKUP(IF(O$80="",referentie_verwarming,O$80),toestellen_RV,ROWS(bibliotheek!$E$79:$E$83),FALSE)*O$107*(1-1/O$108)*f_P_renheat)</f>
        <v>0</v>
      </c>
      <c r="P209" s="207">
        <f>IF(OR(P$108=0,P$108=""),0,HLOOKUP(IF(P$80="",referentie_koeling,P$80),toestellen_KOEL,ROWS(bibliotheek!$E$170:$E$173),FALSE)*P$107*(1-1/P$108)*f_P_rencold)</f>
        <v>0</v>
      </c>
      <c r="Q209" s="207">
        <f>IF(OR(Q$108=0,Q$108=""),0,HLOOKUP(IF(Q$80="",referentie_warmtapwater,Q$80),toestellen_TAP,ROWS(bibliotheek!$E$136:$E$140),FALSE)*Q$107*(1-1/Q$108)*f_P_renheat)</f>
        <v>0</v>
      </c>
      <c r="R209" s="335"/>
      <c r="S209" s="335"/>
      <c r="T209" s="335"/>
      <c r="U209" s="335"/>
      <c r="V209" s="335"/>
      <c r="W209" s="335"/>
      <c r="X209" s="128"/>
      <c r="Y209" s="243">
        <f t="shared" ref="Y209:Y215" si="136">SUM(Z209:AJ209)</f>
        <v>0</v>
      </c>
      <c r="Z209" s="129"/>
      <c r="AA209" s="207">
        <f>IF(OR(AA$108=0,AA$108=""),0,HLOOKUP(IF(AA$80="",referentie_verwarming,AA$80),toestellen_RV,ROWS(bibliotheek!$E$79:$E$83),FALSE)*AA$107*(1-1/AA$108)*f_P_renheat)</f>
        <v>0</v>
      </c>
      <c r="AB209" s="207">
        <f>IF(OR(AB$108=0,AB$108=""),0,HLOOKUP(IF(AB$80="",referentie_koeling,AB$80),toestellen_KOEL,ROWS(bibliotheek!$E$170:$E$173),FALSE)*AB$107*(1-1/AB$108)*f_P_rencold)</f>
        <v>0</v>
      </c>
      <c r="AC209" s="207">
        <f>IF(OR(AC$108=0,AC$108=""),0,HLOOKUP(IF(AC$80="",referentie_warmtapwater,AC$80),toestellen_TAP,ROWS(bibliotheek!$E$136:$E$140),FALSE)*AC$107*(1-1/AC$108)*f_P_renheat)</f>
        <v>0</v>
      </c>
      <c r="AD209" s="335"/>
      <c r="AE209" s="335"/>
      <c r="AF209" s="335"/>
      <c r="AG209" s="335"/>
      <c r="AH209" s="335"/>
      <c r="AI209" s="335"/>
      <c r="AJ209" s="128"/>
      <c r="AK209" s="243">
        <f t="shared" ref="AK209:AK215" si="137">SUM(AL209:AV209)</f>
        <v>0</v>
      </c>
      <c r="AL209" s="129"/>
      <c r="AM209" s="207">
        <f>IF(OR(AM$108=0,AM$108=""),0,HLOOKUP(IF(AM$80="",referentie_verwarming,AM$80),toestellen_RV,ROWS(bibliotheek!$E$79:$E$83),FALSE)*AM$107*(1-1/AM$108)*f_P_renheat)</f>
        <v>0</v>
      </c>
      <c r="AN209" s="207">
        <f>IF(OR(AN$108=0,AN$108=""),0,HLOOKUP(IF(AN$80="",referentie_koeling,AN$80),toestellen_KOEL,ROWS(bibliotheek!$E$170:$E$173),FALSE)*AN$107*(1-1/AN$108)*f_P_rencold)</f>
        <v>0</v>
      </c>
      <c r="AO209" s="207">
        <f>IF(OR(AO$108=0,AO$108=""),0,HLOOKUP(IF(AO$80="",referentie_warmtapwater,AO$80),toestellen_TAP,ROWS(bibliotheek!$E$136:$E$140),FALSE)*AO$107*(1-1/AO$108)*f_P_renheat)</f>
        <v>0</v>
      </c>
      <c r="AP209" s="335"/>
      <c r="AQ209" s="335"/>
      <c r="AR209" s="335"/>
      <c r="AS209" s="335"/>
      <c r="AT209" s="335"/>
      <c r="AU209" s="335"/>
      <c r="AV209" s="128"/>
      <c r="AW209" s="243">
        <f t="shared" ref="AW209:AW215" si="138">SUM(AX209:BH209)</f>
        <v>0</v>
      </c>
      <c r="AX209" s="129"/>
      <c r="AY209" s="207">
        <f>IF(OR(AY$108=0,AY$108=""),0,HLOOKUP(IF(AY$80="",referentie_verwarming,AY$80),toestellen_RV,ROWS(bibliotheek!$E$79:$E$83),FALSE)*AY$107*(1-1/AY$108)*f_P_renheat)</f>
        <v>0</v>
      </c>
      <c r="AZ209" s="207">
        <f>IF(OR(AZ$108=0,AZ$108=""),0,HLOOKUP(IF(AZ$80="",referentie_koeling,AZ$80),toestellen_KOEL,ROWS(bibliotheek!$E$170:$E$173),FALSE)*AZ$107*(1-1/AZ$108)*f_P_rencold)</f>
        <v>0</v>
      </c>
      <c r="BA209" s="207">
        <f>IF(OR(BA$108=0,BA$108=""),0,HLOOKUP(IF(BA$80="",referentie_warmtapwater,BA$80),toestellen_TAP,ROWS(bibliotheek!$E$136:$E$140),FALSE)*BA$107*(1-1/BA$108)*f_P_renheat)</f>
        <v>0</v>
      </c>
      <c r="BB209" s="335"/>
      <c r="BC209" s="335"/>
      <c r="BD209" s="335"/>
      <c r="BE209" s="335"/>
      <c r="BF209" s="335"/>
      <c r="BG209" s="335"/>
      <c r="BH209" s="255"/>
    </row>
    <row r="210" spans="1:60" x14ac:dyDescent="0.2">
      <c r="A210" s="648"/>
      <c r="B210" s="492" t="s">
        <v>289</v>
      </c>
      <c r="C210" s="656" t="s">
        <v>113</v>
      </c>
      <c r="D210" s="750" t="s">
        <v>50</v>
      </c>
      <c r="E210" s="220" t="s">
        <v>293</v>
      </c>
      <c r="F210" s="220"/>
      <c r="G210" s="220"/>
      <c r="H210" s="242" t="s">
        <v>177</v>
      </c>
      <c r="I210" s="129"/>
      <c r="J210" s="243">
        <f t="shared" si="134"/>
        <v>0</v>
      </c>
      <c r="K210" s="236"/>
      <c r="L210" s="236"/>
      <c r="M210" s="243">
        <f t="shared" si="135"/>
        <v>0</v>
      </c>
      <c r="N210" s="129"/>
      <c r="O210" s="335"/>
      <c r="P210" s="207">
        <f>IF(OR(P$107=0,P$108&lt;=8),0,P$107*f_P_rencold*INDEX(bibliotheek!$E$175:$AC$175,MATCH(P$80,toestellen_KOEL_kopregel,0)))</f>
        <v>0</v>
      </c>
      <c r="Q210" s="335"/>
      <c r="R210" s="335"/>
      <c r="S210" s="335"/>
      <c r="T210" s="335"/>
      <c r="U210" s="335"/>
      <c r="V210" s="335"/>
      <c r="W210" s="335"/>
      <c r="X210" s="128"/>
      <c r="Y210" s="243">
        <f t="shared" si="136"/>
        <v>0</v>
      </c>
      <c r="Z210" s="129"/>
      <c r="AA210" s="335"/>
      <c r="AB210" s="207">
        <f>IF(OR(AB$107=0,AB$108&lt;=8),0,AB$107*f_P_rencold*INDEX(bibliotheek!$E$175:$AC$175,MATCH(AB$80,toestellen_KOEL_kopregel,0)))</f>
        <v>0</v>
      </c>
      <c r="AC210" s="335"/>
      <c r="AD210" s="335"/>
      <c r="AE210" s="335"/>
      <c r="AF210" s="335"/>
      <c r="AG210" s="335"/>
      <c r="AH210" s="335"/>
      <c r="AI210" s="335"/>
      <c r="AJ210" s="128"/>
      <c r="AK210" s="243">
        <f t="shared" si="137"/>
        <v>0</v>
      </c>
      <c r="AL210" s="129"/>
      <c r="AM210" s="335"/>
      <c r="AN210" s="207">
        <f>IF(OR(AN$107=0,AN$108&lt;=8),0,AN$107*f_P_rencold*INDEX(bibliotheek!$E$175:$AC$175,MATCH(AN$80,toestellen_KOEL_kopregel,0)))</f>
        <v>0</v>
      </c>
      <c r="AO210" s="335"/>
      <c r="AP210" s="335"/>
      <c r="AQ210" s="335"/>
      <c r="AR210" s="335"/>
      <c r="AS210" s="335"/>
      <c r="AT210" s="335"/>
      <c r="AU210" s="335"/>
      <c r="AV210" s="128"/>
      <c r="AW210" s="243">
        <f t="shared" si="138"/>
        <v>0</v>
      </c>
      <c r="AX210" s="129"/>
      <c r="AY210" s="335"/>
      <c r="AZ210" s="207">
        <f>IF(OR(AZ$107=0,AZ$108&lt;=8),0,AZ$107*f_P_rencold*INDEX(bibliotheek!$E$175:$AC$175,MATCH(AZ$80,toestellen_KOEL_kopregel,0)))</f>
        <v>0</v>
      </c>
      <c r="BA210" s="335"/>
      <c r="BB210" s="335"/>
      <c r="BC210" s="335"/>
      <c r="BD210" s="335"/>
      <c r="BE210" s="335"/>
      <c r="BF210" s="335"/>
      <c r="BG210" s="335"/>
      <c r="BH210" s="255"/>
    </row>
    <row r="211" spans="1:60" x14ac:dyDescent="0.2">
      <c r="A211" s="648"/>
      <c r="B211" s="492" t="s">
        <v>289</v>
      </c>
      <c r="C211" s="656" t="s">
        <v>113</v>
      </c>
      <c r="D211" s="750" t="s">
        <v>50</v>
      </c>
      <c r="E211" s="220" t="s">
        <v>294</v>
      </c>
      <c r="F211" s="220"/>
      <c r="G211" s="220"/>
      <c r="H211" s="242" t="s">
        <v>177</v>
      </c>
      <c r="I211" s="129"/>
      <c r="J211" s="243">
        <f t="shared" si="134"/>
        <v>0</v>
      </c>
      <c r="K211" s="236"/>
      <c r="L211" s="236"/>
      <c r="M211" s="243">
        <f t="shared" si="135"/>
        <v>0</v>
      </c>
      <c r="N211" s="129"/>
      <c r="O211" s="207">
        <f>IF(OR(O$107=0,LEFT(O$103,2)&lt;&gt;"bm"),0,O$107*INDEX(energiedragers_fPren,MATCH(O$102,energiedragers_namen,0)))+
IF(OR(O$135=0,LEFT(O$133,2)&lt;&gt;"bm"),0,O$135*INDEX(energiedragers_fPren,MATCH(O$132,energiedragers_namen,0)))</f>
        <v>0</v>
      </c>
      <c r="P211" s="335"/>
      <c r="Q211" s="207">
        <f>IF(OR(Q$107=0,LEFT(Q$103,2)&lt;&gt;"bm"),0,Q$107*INDEX(energiedragers_fPren,MATCH(Q$102,energiedragers_namen,0)))+
IF(OR(Q$135=0,LEFT(Q$133,2)&lt;&gt;"bm"),0,Q$135*INDEX(energiedragers_fPren,MATCH(Q$132,energiedragers_namen,0)))</f>
        <v>0</v>
      </c>
      <c r="R211" s="335"/>
      <c r="S211" s="335"/>
      <c r="T211" s="335"/>
      <c r="U211" s="335"/>
      <c r="V211" s="335"/>
      <c r="W211" s="335"/>
      <c r="X211" s="128"/>
      <c r="Y211" s="243">
        <f t="shared" si="136"/>
        <v>0</v>
      </c>
      <c r="Z211" s="129"/>
      <c r="AA211" s="207">
        <f>IF(OR(AA$107=0,LEFT(AA$103,2)&lt;&gt;"bm"),0,AA$107*INDEX(energiedragers_fPren,MATCH(AA$102,energiedragers_namen,0)))+
IF(OR(AA$135=0,LEFT(AA$133,2)&lt;&gt;"bm"),0,AA$135*INDEX(energiedragers_fPren,MATCH(AA$132,energiedragers_namen,0)))</f>
        <v>0</v>
      </c>
      <c r="AB211" s="335"/>
      <c r="AC211" s="207">
        <f>IF(OR(AC$107=0,LEFT(AC$103,2)&lt;&gt;"bm"),0,AC$107*INDEX(energiedragers_fPren,MATCH(AC$102,energiedragers_namen,0)))+
IF(OR(AC$135=0,LEFT(AC$133,2)&lt;&gt;"bm"),0,AC$135*INDEX(energiedragers_fPren,MATCH(AC$132,energiedragers_namen,0)))</f>
        <v>0</v>
      </c>
      <c r="AD211" s="335"/>
      <c r="AE211" s="335"/>
      <c r="AF211" s="335"/>
      <c r="AG211" s="335"/>
      <c r="AH211" s="335"/>
      <c r="AI211" s="335"/>
      <c r="AJ211" s="128"/>
      <c r="AK211" s="243">
        <f t="shared" si="137"/>
        <v>0</v>
      </c>
      <c r="AL211" s="129"/>
      <c r="AM211" s="207">
        <f>IF(OR(AM$107=0,LEFT(AM$103,2)&lt;&gt;"bm"),0,AM$107*INDEX(energiedragers_fPren,MATCH(AM$102,energiedragers_namen,0)))+
IF(OR(AM$135=0,LEFT(AM$133,2)&lt;&gt;"bm"),0,AM$135*INDEX(energiedragers_fPren,MATCH(AM$132,energiedragers_namen,0)))</f>
        <v>0</v>
      </c>
      <c r="AN211" s="335"/>
      <c r="AO211" s="207">
        <f>IF(OR(AO$107=0,LEFT(AO$103,2)&lt;&gt;"bm"),0,AO$107*INDEX(energiedragers_fPren,MATCH(AO$102,energiedragers_namen,0)))+
IF(OR(AO$135=0,LEFT(AO$133,2)&lt;&gt;"bm"),0,AO$135*INDEX(energiedragers_fPren,MATCH(AO$132,energiedragers_namen,0)))</f>
        <v>0</v>
      </c>
      <c r="AP211" s="335"/>
      <c r="AQ211" s="335"/>
      <c r="AR211" s="335"/>
      <c r="AS211" s="335"/>
      <c r="AT211" s="335"/>
      <c r="AU211" s="335"/>
      <c r="AV211" s="128"/>
      <c r="AW211" s="243">
        <f t="shared" si="138"/>
        <v>0</v>
      </c>
      <c r="AX211" s="129"/>
      <c r="AY211" s="207">
        <f>IF(OR(AY$107=0,LEFT(AY$103,2)&lt;&gt;"bm"),0,AY$107*INDEX(energiedragers_fPren,MATCH(AY$102,energiedragers_namen,0)))+
IF(OR(AY$135=0,LEFT(AY$133,2)&lt;&gt;"bm"),0,AY$135*INDEX(energiedragers_fPren,MATCH(AY$132,energiedragers_namen,0)))</f>
        <v>0</v>
      </c>
      <c r="AZ211" s="335"/>
      <c r="BA211" s="207">
        <f>IF(OR(BA$107=0,LEFT(BA$103,2)&lt;&gt;"bm"),0,BA$107*INDEX(energiedragers_fPren,MATCH(BA$102,energiedragers_namen,0)))+
IF(OR(BA$135=0,LEFT(BA$133,2)&lt;&gt;"bm"),0,BA$135*INDEX(energiedragers_fPren,MATCH(BA$132,energiedragers_namen,0)))</f>
        <v>0</v>
      </c>
      <c r="BB211" s="335"/>
      <c r="BC211" s="335"/>
      <c r="BD211" s="335"/>
      <c r="BE211" s="335"/>
      <c r="BF211" s="335"/>
      <c r="BG211" s="335"/>
      <c r="BH211" s="255"/>
    </row>
    <row r="212" spans="1:60" x14ac:dyDescent="0.2">
      <c r="A212" s="648"/>
      <c r="B212" s="492" t="s">
        <v>289</v>
      </c>
      <c r="C212" s="656" t="s">
        <v>113</v>
      </c>
      <c r="D212" s="750" t="s">
        <v>50</v>
      </c>
      <c r="E212" s="220" t="s">
        <v>295</v>
      </c>
      <c r="F212" s="220"/>
      <c r="G212" s="220"/>
      <c r="H212" s="242" t="s">
        <v>177</v>
      </c>
      <c r="I212" s="129"/>
      <c r="J212" s="243">
        <f t="shared" si="134"/>
        <v>0</v>
      </c>
      <c r="K212" s="236"/>
      <c r="L212" s="236"/>
      <c r="M212" s="243">
        <f t="shared" si="135"/>
        <v>0</v>
      </c>
      <c r="N212" s="129"/>
      <c r="O212" s="207">
        <f>IF(OR(O$107=0,LEFT(O$103,2)&lt;&gt;"dx"),0,O$107*INDEX(energiedragers_fPren,MATCH(O$102,energiedragers_namen,0)))+
IF(OR(O$135=0,LEFT(O$133,2)&lt;&gt;"dx"),0,O$135*INDEX(energiedragers_fPren,MATCH(O$132,energiedragers_namen,0)))</f>
        <v>0</v>
      </c>
      <c r="P212" s="207">
        <f>IF(OR(P$107=0,LEFT(P$103,2)&lt;&gt;"dx"),0,P$107*INDEX(energiedragers_fPren,MATCH(P$102,energiedragers_namen,0)))+
IF(OR(P$135=0,LEFT(P$133,2)&lt;&gt;"dx"),0,P$135*INDEX(energiedragers_fPren,MATCH(P$132,energiedragers_namen,0)))</f>
        <v>0</v>
      </c>
      <c r="Q212" s="207">
        <f>IF(OR(Q$107=0,LEFT(Q$103,2)&lt;&gt;"dx"),0,Q$107*INDEX(energiedragers_fPren,MATCH(Q$102,energiedragers_namen,0)))+
IF(OR(Q$135=0,LEFT(Q$133,2)&lt;&gt;"dx"),0,Q$135*INDEX(energiedragers_fPren,MATCH(Q$132,energiedragers_namen,0)))</f>
        <v>0</v>
      </c>
      <c r="R212" s="335"/>
      <c r="S212" s="335"/>
      <c r="T212" s="335"/>
      <c r="U212" s="335"/>
      <c r="V212" s="335"/>
      <c r="W212" s="335"/>
      <c r="X212" s="128"/>
      <c r="Y212" s="243">
        <f t="shared" si="136"/>
        <v>0</v>
      </c>
      <c r="Z212" s="129"/>
      <c r="AA212" s="207">
        <f>IF(OR(AA$107=0,LEFT(AA$103,2)&lt;&gt;"dx"),0,AA$107*INDEX(energiedragers_fPren,MATCH(AA$102,energiedragers_namen,0)))+
IF(OR(AA$135=0,LEFT(AA$133,2)&lt;&gt;"dx"),0,AA$135*INDEX(energiedragers_fPren,MATCH(AA$132,energiedragers_namen,0)))</f>
        <v>0</v>
      </c>
      <c r="AB212" s="207">
        <f>IF(OR(AB$107=0,LEFT(AB$103,2)&lt;&gt;"dx"),0,AB$107*INDEX(energiedragers_fPren,MATCH(AB$102,energiedragers_namen,0)))+
IF(OR(AB$135=0,LEFT(AB$133,2)&lt;&gt;"dx"),0,AB$135*INDEX(energiedragers_fPren,MATCH(AB$132,energiedragers_namen,0)))</f>
        <v>0</v>
      </c>
      <c r="AC212" s="207">
        <f>IF(OR(AC$107=0,LEFT(AC$103,2)&lt;&gt;"dx"),0,AC$107*INDEX(energiedragers_fPren,MATCH(AC$102,energiedragers_namen,0)))+
IF(OR(AC$135=0,LEFT(AC$133,2)&lt;&gt;"dx"),0,AC$135*INDEX(energiedragers_fPren,MATCH(AC$132,energiedragers_namen,0)))</f>
        <v>0</v>
      </c>
      <c r="AD212" s="335"/>
      <c r="AE212" s="335"/>
      <c r="AF212" s="335"/>
      <c r="AG212" s="335"/>
      <c r="AH212" s="335"/>
      <c r="AI212" s="335"/>
      <c r="AJ212" s="128"/>
      <c r="AK212" s="243">
        <f t="shared" si="137"/>
        <v>0</v>
      </c>
      <c r="AL212" s="129"/>
      <c r="AM212" s="207">
        <f>IF(OR(AM$107=0,LEFT(AM$103,2)&lt;&gt;"dx"),0,AM$107*INDEX(energiedragers_fPren,MATCH(AM$102,energiedragers_namen,0)))+
IF(OR(AM$135=0,LEFT(AM$133,2)&lt;&gt;"dx"),0,AM$135*INDEX(energiedragers_fPren,MATCH(AM$132,energiedragers_namen,0)))</f>
        <v>0</v>
      </c>
      <c r="AN212" s="207">
        <f>IF(OR(AN$107=0,LEFT(AN$103,2)&lt;&gt;"dx"),0,AN$107*INDEX(energiedragers_fPren,MATCH(AN$102,energiedragers_namen,0)))+
IF(OR(AN$135=0,LEFT(AN$133,2)&lt;&gt;"dx"),0,AN$135*INDEX(energiedragers_fPren,MATCH(AN$132,energiedragers_namen,0)))</f>
        <v>0</v>
      </c>
      <c r="AO212" s="207">
        <f>IF(OR(AO$107=0,LEFT(AO$103,2)&lt;&gt;"dx"),0,AO$107*INDEX(energiedragers_fPren,MATCH(AO$102,energiedragers_namen,0)))+
IF(OR(AO$135=0,LEFT(AO$133,2)&lt;&gt;"dx"),0,AO$135*INDEX(energiedragers_fPren,MATCH(AO$132,energiedragers_namen,0)))</f>
        <v>0</v>
      </c>
      <c r="AP212" s="335"/>
      <c r="AQ212" s="335"/>
      <c r="AR212" s="335"/>
      <c r="AS212" s="335"/>
      <c r="AT212" s="335"/>
      <c r="AU212" s="335"/>
      <c r="AV212" s="128"/>
      <c r="AW212" s="243">
        <f t="shared" si="138"/>
        <v>0</v>
      </c>
      <c r="AX212" s="129"/>
      <c r="AY212" s="207">
        <f>IF(OR(AY$107=0,LEFT(AY$103,2)&lt;&gt;"dx"),0,AY$107*INDEX(energiedragers_fPren,MATCH(AY$102,energiedragers_namen,0)))+
IF(OR(AY$135=0,LEFT(AY$133,2)&lt;&gt;"dx"),0,AY$135*INDEX(energiedragers_fPren,MATCH(AY$132,energiedragers_namen,0)))</f>
        <v>0</v>
      </c>
      <c r="AZ212" s="207">
        <f>IF(OR(AZ$107=0,LEFT(AZ$103,2)&lt;&gt;"dx"),0,AZ$107*INDEX(energiedragers_fPren,MATCH(AZ$102,energiedragers_namen,0)))+
IF(OR(AZ$135=0,LEFT(AZ$133,2)&lt;&gt;"dx"),0,AZ$135*INDEX(energiedragers_fPren,MATCH(AZ$132,energiedragers_namen,0)))</f>
        <v>0</v>
      </c>
      <c r="BA212" s="207">
        <f>IF(OR(BA$107=0,LEFT(BA$103,2)&lt;&gt;"dx"),0,BA$107*INDEX(energiedragers_fPren,MATCH(BA$102,energiedragers_namen,0)))+
IF(OR(BA$135=0,LEFT(BA$133,2)&lt;&gt;"dx"),0,BA$135*INDEX(energiedragers_fPren,MATCH(BA$132,energiedragers_namen,0)))</f>
        <v>0</v>
      </c>
      <c r="BB212" s="335"/>
      <c r="BC212" s="335"/>
      <c r="BD212" s="335"/>
      <c r="BE212" s="335"/>
      <c r="BF212" s="335"/>
      <c r="BG212" s="335"/>
      <c r="BH212" s="255"/>
    </row>
    <row r="213" spans="1:60" x14ac:dyDescent="0.2">
      <c r="A213" s="648"/>
      <c r="B213" s="492" t="s">
        <v>289</v>
      </c>
      <c r="C213" s="656" t="s">
        <v>113</v>
      </c>
      <c r="D213" s="750" t="s">
        <v>50</v>
      </c>
      <c r="E213" s="220" t="s">
        <v>296</v>
      </c>
      <c r="F213" s="220"/>
      <c r="G213" s="220"/>
      <c r="H213" s="242" t="s">
        <v>177</v>
      </c>
      <c r="I213" s="129"/>
      <c r="J213" s="243">
        <f t="shared" si="134"/>
        <v>0</v>
      </c>
      <c r="K213" s="236"/>
      <c r="L213" s="236"/>
      <c r="M213" s="243">
        <f t="shared" si="135"/>
        <v>0</v>
      </c>
      <c r="N213" s="129"/>
      <c r="O213" s="335"/>
      <c r="P213" s="207">
        <f>IF(OR(P$107=0,LEFT(P$103,2)&lt;&gt;"dx"),0,P$107*INDEX(energiedragers_fPren,MATCH(P$102,energiedragers_namen,0))+
IF(OR(P$135=0,LEFT(P$133,2)&lt;&gt;"dx"),0,P$135*INDEX(energiedragers_fPren,MATCH(P$132,energiedragers_namen,0))))</f>
        <v>0</v>
      </c>
      <c r="Q213" s="335"/>
      <c r="R213" s="335"/>
      <c r="S213" s="335"/>
      <c r="T213" s="335"/>
      <c r="U213" s="335"/>
      <c r="V213" s="335"/>
      <c r="W213" s="335"/>
      <c r="X213" s="128"/>
      <c r="Y213" s="243">
        <f t="shared" si="136"/>
        <v>0</v>
      </c>
      <c r="Z213" s="129"/>
      <c r="AA213" s="335"/>
      <c r="AB213" s="207">
        <f>IF(OR(AB$107=0,LEFT(AB$103,2)&lt;&gt;"dx"),0,AB$107*INDEX(energiedragers_fPren,MATCH(AB$102,energiedragers_namen,0))+
IF(OR(AB$135=0,LEFT(AB$133,2)&lt;&gt;"dx"),0,AB$135*INDEX(energiedragers_fPren,MATCH(AB$132,energiedragers_namen,0))))</f>
        <v>0</v>
      </c>
      <c r="AC213" s="335"/>
      <c r="AD213" s="335"/>
      <c r="AE213" s="335"/>
      <c r="AF213" s="335"/>
      <c r="AG213" s="335"/>
      <c r="AH213" s="335"/>
      <c r="AI213" s="335"/>
      <c r="AJ213" s="128"/>
      <c r="AK213" s="243">
        <f t="shared" si="137"/>
        <v>0</v>
      </c>
      <c r="AL213" s="129"/>
      <c r="AM213" s="335"/>
      <c r="AN213" s="207">
        <f>IF(OR(AN$107=0,LEFT(AN$103,2)&lt;&gt;"dx"),0,AN$107*INDEX(energiedragers_fPren,MATCH(AN$102,energiedragers_namen,0))+
IF(OR(AN$135=0,LEFT(AN$133,2)&lt;&gt;"dx"),0,AN$135*INDEX(energiedragers_fPren,MATCH(AN$132,energiedragers_namen,0))))</f>
        <v>0</v>
      </c>
      <c r="AO213" s="335"/>
      <c r="AP213" s="335"/>
      <c r="AQ213" s="335"/>
      <c r="AR213" s="335"/>
      <c r="AS213" s="335"/>
      <c r="AT213" s="335"/>
      <c r="AU213" s="335"/>
      <c r="AV213" s="128"/>
      <c r="AW213" s="243">
        <f t="shared" si="138"/>
        <v>0</v>
      </c>
      <c r="AX213" s="129"/>
      <c r="AY213" s="335"/>
      <c r="AZ213" s="207">
        <f>IF(OR(AZ$107=0,LEFT(AZ$103,2)&lt;&gt;"dx"),0,AZ$107*INDEX(energiedragers_fPren,MATCH(AZ$102,energiedragers_namen,0))+
IF(OR(AZ$135=0,LEFT(AZ$133,2)&lt;&gt;"dx"),0,AZ$135*INDEX(energiedragers_fPren,MATCH(AZ$132,energiedragers_namen,0))))</f>
        <v>0</v>
      </c>
      <c r="BA213" s="335"/>
      <c r="BB213" s="335"/>
      <c r="BC213" s="335"/>
      <c r="BD213" s="335"/>
      <c r="BE213" s="335"/>
      <c r="BF213" s="335"/>
      <c r="BG213" s="335"/>
      <c r="BH213" s="255"/>
    </row>
    <row r="214" spans="1:60" x14ac:dyDescent="0.2">
      <c r="A214" s="648"/>
      <c r="B214" s="492" t="s">
        <v>289</v>
      </c>
      <c r="C214" s="656" t="s">
        <v>113</v>
      </c>
      <c r="D214" s="750" t="s">
        <v>50</v>
      </c>
      <c r="E214" s="220" t="s">
        <v>297</v>
      </c>
      <c r="F214" s="220"/>
      <c r="G214" s="220"/>
      <c r="H214" s="242" t="s">
        <v>177</v>
      </c>
      <c r="I214" s="129"/>
      <c r="J214" s="243">
        <f t="shared" si="134"/>
        <v>0</v>
      </c>
      <c r="K214" s="236"/>
      <c r="L214" s="236"/>
      <c r="M214" s="243">
        <f t="shared" si="135"/>
        <v>0</v>
      </c>
      <c r="N214" s="129"/>
      <c r="O214" s="207">
        <f>O$88*f_P_renheat</f>
        <v>0</v>
      </c>
      <c r="P214" s="335"/>
      <c r="Q214" s="207">
        <f>Q$88*f_P_renheat</f>
        <v>0</v>
      </c>
      <c r="R214" s="335"/>
      <c r="S214" s="335"/>
      <c r="T214" s="335"/>
      <c r="U214" s="335"/>
      <c r="V214" s="335"/>
      <c r="W214" s="335"/>
      <c r="X214" s="122"/>
      <c r="Y214" s="243">
        <f t="shared" si="136"/>
        <v>0</v>
      </c>
      <c r="Z214" s="129"/>
      <c r="AA214" s="207">
        <f>AA$88*f_P_renheat</f>
        <v>0</v>
      </c>
      <c r="AB214" s="335"/>
      <c r="AC214" s="207">
        <f>AC$88*f_P_renheat</f>
        <v>0</v>
      </c>
      <c r="AD214" s="335"/>
      <c r="AE214" s="335"/>
      <c r="AF214" s="335"/>
      <c r="AG214" s="335"/>
      <c r="AH214" s="335"/>
      <c r="AI214" s="335"/>
      <c r="AJ214" s="122"/>
      <c r="AK214" s="243">
        <f t="shared" si="137"/>
        <v>0</v>
      </c>
      <c r="AL214" s="129"/>
      <c r="AM214" s="207">
        <f>AM$88*f_P_renheat</f>
        <v>0</v>
      </c>
      <c r="AN214" s="335"/>
      <c r="AO214" s="207">
        <f>AO$88*f_P_renheat</f>
        <v>0</v>
      </c>
      <c r="AP214" s="335"/>
      <c r="AQ214" s="335"/>
      <c r="AR214" s="335"/>
      <c r="AS214" s="335"/>
      <c r="AT214" s="335"/>
      <c r="AU214" s="335"/>
      <c r="AV214" s="122"/>
      <c r="AW214" s="243">
        <f t="shared" si="138"/>
        <v>0</v>
      </c>
      <c r="AX214" s="129"/>
      <c r="AY214" s="207">
        <f>AY$88*f_P_renheat</f>
        <v>0</v>
      </c>
      <c r="AZ214" s="335"/>
      <c r="BA214" s="207">
        <f>BA$88*f_P_renheat</f>
        <v>0</v>
      </c>
      <c r="BB214" s="335"/>
      <c r="BC214" s="335"/>
      <c r="BD214" s="335"/>
      <c r="BE214" s="335"/>
      <c r="BF214" s="335"/>
      <c r="BG214" s="335"/>
      <c r="BH214" s="214"/>
    </row>
    <row r="215" spans="1:60" x14ac:dyDescent="0.2">
      <c r="A215" s="648"/>
      <c r="B215" s="492" t="s">
        <v>289</v>
      </c>
      <c r="C215" s="656" t="s">
        <v>113</v>
      </c>
      <c r="D215" s="750" t="s">
        <v>50</v>
      </c>
      <c r="E215" s="220" t="s">
        <v>298</v>
      </c>
      <c r="F215" s="220"/>
      <c r="G215" s="220"/>
      <c r="H215" s="242" t="s">
        <v>177</v>
      </c>
      <c r="I215" s="129"/>
      <c r="J215" s="243">
        <f t="shared" si="134"/>
        <v>0</v>
      </c>
      <c r="K215" s="236"/>
      <c r="L215" s="236"/>
      <c r="M215" s="243">
        <f t="shared" si="135"/>
        <v>0</v>
      </c>
      <c r="N215" s="129"/>
      <c r="O215" s="335"/>
      <c r="P215" s="335"/>
      <c r="Q215" s="335"/>
      <c r="R215" s="335"/>
      <c r="S215" s="335"/>
      <c r="T215" s="335"/>
      <c r="U215" s="335"/>
      <c r="V215" s="335"/>
      <c r="W215" s="207">
        <f>M70*f_P_renelect</f>
        <v>0</v>
      </c>
      <c r="X215" s="128"/>
      <c r="Y215" s="243">
        <f t="shared" si="136"/>
        <v>0</v>
      </c>
      <c r="Z215" s="129"/>
      <c r="AA215" s="335"/>
      <c r="AB215" s="335"/>
      <c r="AC215" s="335"/>
      <c r="AD215" s="335"/>
      <c r="AE215" s="335"/>
      <c r="AF215" s="335"/>
      <c r="AG215" s="335"/>
      <c r="AH215" s="335"/>
      <c r="AI215" s="207">
        <f>Y70*f_P_renelect</f>
        <v>0</v>
      </c>
      <c r="AJ215" s="128"/>
      <c r="AK215" s="243">
        <f t="shared" si="137"/>
        <v>0</v>
      </c>
      <c r="AL215" s="129"/>
      <c r="AM215" s="335"/>
      <c r="AN215" s="335"/>
      <c r="AO215" s="335"/>
      <c r="AP215" s="335"/>
      <c r="AQ215" s="335"/>
      <c r="AR215" s="335"/>
      <c r="AS215" s="335"/>
      <c r="AT215" s="335"/>
      <c r="AU215" s="207">
        <f>AK70*f_P_renelect</f>
        <v>0</v>
      </c>
      <c r="AV215" s="128"/>
      <c r="AW215" s="243">
        <f t="shared" si="138"/>
        <v>0</v>
      </c>
      <c r="AX215" s="129"/>
      <c r="AY215" s="335"/>
      <c r="AZ215" s="335"/>
      <c r="BA215" s="335"/>
      <c r="BB215" s="335"/>
      <c r="BC215" s="335"/>
      <c r="BD215" s="335"/>
      <c r="BE215" s="335"/>
      <c r="BF215" s="335"/>
      <c r="BG215" s="207">
        <f>AW70*f_P_renelect</f>
        <v>0</v>
      </c>
      <c r="BH215" s="255"/>
    </row>
    <row r="216" spans="1:60" x14ac:dyDescent="0.2">
      <c r="A216" s="648"/>
      <c r="B216" s="492" t="s">
        <v>289</v>
      </c>
      <c r="C216" s="656" t="s">
        <v>113</v>
      </c>
      <c r="D216" s="747"/>
      <c r="E216" s="220" t="s">
        <v>258</v>
      </c>
      <c r="F216" s="220"/>
      <c r="G216" s="220"/>
      <c r="H216" s="242" t="s">
        <v>177</v>
      </c>
      <c r="I216" s="129"/>
      <c r="J216" s="243">
        <f>SUM(J209:J215)</f>
        <v>0</v>
      </c>
      <c r="K216" s="236"/>
      <c r="L216" s="236"/>
      <c r="M216" s="243">
        <f>SUM(M209:M215)</f>
        <v>0</v>
      </c>
      <c r="N216" s="129"/>
      <c r="O216" s="207">
        <f t="shared" ref="O216:W216" si="139">SUM(O209:O215)</f>
        <v>0</v>
      </c>
      <c r="P216" s="207">
        <f t="shared" si="139"/>
        <v>0</v>
      </c>
      <c r="Q216" s="207">
        <f t="shared" si="139"/>
        <v>0</v>
      </c>
      <c r="R216" s="335"/>
      <c r="S216" s="335"/>
      <c r="T216" s="335"/>
      <c r="U216" s="335"/>
      <c r="V216" s="335"/>
      <c r="W216" s="207">
        <f t="shared" si="139"/>
        <v>0</v>
      </c>
      <c r="X216" s="128"/>
      <c r="Y216" s="243">
        <f>SUM(Y209:Y215)</f>
        <v>0</v>
      </c>
      <c r="Z216" s="129"/>
      <c r="AA216" s="207">
        <f>SUM(AA209:AA215)</f>
        <v>0</v>
      </c>
      <c r="AB216" s="207">
        <f>SUM(AB209:AB215)</f>
        <v>0</v>
      </c>
      <c r="AC216" s="207">
        <f>SUM(AC209:AC215)</f>
        <v>0</v>
      </c>
      <c r="AD216" s="335"/>
      <c r="AE216" s="335"/>
      <c r="AF216" s="335"/>
      <c r="AG216" s="335"/>
      <c r="AH216" s="335"/>
      <c r="AI216" s="207">
        <f>SUM(AI209:AI215)</f>
        <v>0</v>
      </c>
      <c r="AJ216" s="128"/>
      <c r="AK216" s="243">
        <f>SUM(AK209:AK215)</f>
        <v>0</v>
      </c>
      <c r="AL216" s="129"/>
      <c r="AM216" s="207">
        <f>SUM(AM209:AM215)</f>
        <v>0</v>
      </c>
      <c r="AN216" s="207">
        <f>SUM(AN209:AN215)</f>
        <v>0</v>
      </c>
      <c r="AO216" s="207">
        <f>SUM(AO209:AO215)</f>
        <v>0</v>
      </c>
      <c r="AP216" s="335"/>
      <c r="AQ216" s="335"/>
      <c r="AR216" s="335"/>
      <c r="AS216" s="335"/>
      <c r="AT216" s="335"/>
      <c r="AU216" s="207">
        <f>SUM(AU209:AU215)</f>
        <v>0</v>
      </c>
      <c r="AV216" s="128"/>
      <c r="AW216" s="243">
        <f>SUM(AW209:AW215)</f>
        <v>0</v>
      </c>
      <c r="AX216" s="129"/>
      <c r="AY216" s="207">
        <f>SUM(AY209:AY215)</f>
        <v>0</v>
      </c>
      <c r="AZ216" s="207">
        <f>SUM(AZ209:AZ215)</f>
        <v>0</v>
      </c>
      <c r="BA216" s="207">
        <f>SUM(BA209:BA215)</f>
        <v>0</v>
      </c>
      <c r="BB216" s="335"/>
      <c r="BC216" s="335"/>
      <c r="BD216" s="335"/>
      <c r="BE216" s="335"/>
      <c r="BF216" s="335"/>
      <c r="BG216" s="207">
        <f>SUM(BG209:BG215)</f>
        <v>0</v>
      </c>
      <c r="BH216" s="255"/>
    </row>
    <row r="217" spans="1:60" x14ac:dyDescent="0.2">
      <c r="A217" s="648"/>
      <c r="B217" s="492" t="s">
        <v>289</v>
      </c>
      <c r="C217" s="739" t="s">
        <v>104</v>
      </c>
      <c r="D217" s="747"/>
      <c r="E217" s="90"/>
      <c r="F217" s="90"/>
      <c r="G217" s="90"/>
      <c r="H217" s="96"/>
      <c r="I217" s="90"/>
      <c r="J217" s="93"/>
      <c r="K217" s="90"/>
      <c r="L217" s="90"/>
      <c r="M217" s="93"/>
      <c r="N217" s="90"/>
      <c r="O217" s="93"/>
      <c r="P217" s="93"/>
      <c r="Q217" s="93"/>
      <c r="R217" s="93"/>
      <c r="S217" s="93"/>
      <c r="T217" s="93"/>
      <c r="U217" s="93"/>
      <c r="V217" s="93"/>
      <c r="W217" s="93"/>
      <c r="X217" s="93"/>
      <c r="Y217" s="93"/>
      <c r="Z217" s="90"/>
      <c r="AA217" s="93"/>
      <c r="AB217" s="93"/>
      <c r="AC217" s="93"/>
      <c r="AD217" s="93"/>
      <c r="AE217" s="93"/>
      <c r="AF217" s="93"/>
      <c r="AG217" s="93"/>
      <c r="AH217" s="93"/>
      <c r="AI217" s="93"/>
      <c r="AJ217" s="93"/>
      <c r="AK217" s="93"/>
      <c r="AL217" s="90"/>
      <c r="AM217" s="93"/>
      <c r="AN217" s="93"/>
      <c r="AO217" s="93"/>
      <c r="AP217" s="93"/>
      <c r="AQ217" s="93"/>
      <c r="AR217" s="93"/>
      <c r="AS217" s="93"/>
      <c r="AT217" s="93"/>
      <c r="AU217" s="93"/>
      <c r="AV217" s="93"/>
      <c r="AW217" s="93"/>
      <c r="AX217" s="90"/>
      <c r="AY217" s="93"/>
      <c r="AZ217" s="93"/>
      <c r="BA217" s="93"/>
      <c r="BB217" s="93"/>
      <c r="BC217" s="93"/>
      <c r="BD217" s="93"/>
      <c r="BE217" s="93"/>
      <c r="BF217" s="93"/>
      <c r="BG217" s="93"/>
      <c r="BH217" s="1"/>
    </row>
    <row r="218" spans="1:60" x14ac:dyDescent="0.2">
      <c r="A218" s="648"/>
      <c r="B218" s="492" t="s">
        <v>299</v>
      </c>
      <c r="C218" s="656" t="s">
        <v>104</v>
      </c>
      <c r="D218" s="747"/>
      <c r="E218" s="275"/>
      <c r="F218" s="90"/>
      <c r="G218" s="90"/>
      <c r="H218" s="96"/>
      <c r="I218" s="138"/>
      <c r="J218" s="93"/>
      <c r="K218" s="90"/>
      <c r="L218" s="90"/>
      <c r="M218" s="93"/>
      <c r="N218" s="90"/>
      <c r="O218" s="96"/>
      <c r="P218" s="96"/>
      <c r="Q218" s="93"/>
      <c r="R218" s="93"/>
      <c r="S218" s="93"/>
      <c r="T218" s="93"/>
      <c r="U218" s="93"/>
      <c r="V218" s="93"/>
      <c r="W218" s="93"/>
      <c r="X218" s="93"/>
      <c r="Y218" s="93"/>
      <c r="Z218" s="90"/>
      <c r="AA218" s="96"/>
      <c r="AB218" s="96"/>
      <c r="AC218" s="93"/>
      <c r="AD218" s="93"/>
      <c r="AE218" s="93"/>
      <c r="AF218" s="93"/>
      <c r="AG218" s="93"/>
      <c r="AH218" s="93"/>
      <c r="AI218" s="93"/>
      <c r="AJ218" s="93"/>
      <c r="AK218" s="93"/>
      <c r="AL218" s="90"/>
      <c r="AM218" s="96"/>
      <c r="AN218" s="96"/>
      <c r="AO218" s="93"/>
      <c r="AP218" s="93"/>
      <c r="AQ218" s="93"/>
      <c r="AR218" s="93"/>
      <c r="AS218" s="93"/>
      <c r="AT218" s="93"/>
      <c r="AU218" s="93"/>
      <c r="AV218" s="93"/>
      <c r="AW218" s="93"/>
      <c r="AX218" s="90"/>
      <c r="AY218" s="128"/>
      <c r="AZ218" s="93"/>
      <c r="BA218" s="93"/>
      <c r="BB218" s="93"/>
      <c r="BC218" s="93"/>
      <c r="BD218" s="93"/>
      <c r="BE218" s="93"/>
      <c r="BF218" s="93"/>
      <c r="BG218" s="93"/>
      <c r="BH218" s="1"/>
    </row>
    <row r="219" spans="1:60" ht="21" x14ac:dyDescent="0.2">
      <c r="A219" s="648"/>
      <c r="B219" s="492" t="s">
        <v>299</v>
      </c>
      <c r="C219" s="739" t="s">
        <v>104</v>
      </c>
      <c r="D219" s="752"/>
      <c r="E219" s="215" t="s">
        <v>300</v>
      </c>
      <c r="F219" s="240"/>
      <c r="G219" s="240"/>
      <c r="H219" s="240"/>
      <c r="I219" s="88"/>
      <c r="J219" s="241" t="str">
        <f>J$10</f>
        <v>totaal</v>
      </c>
      <c r="K219" s="142"/>
      <c r="L219" s="142"/>
      <c r="M219" s="216" t="str">
        <f>M$10</f>
        <v>totaal</v>
      </c>
      <c r="N219" s="222"/>
      <c r="O219" s="217" t="str">
        <f t="shared" ref="O219:W219" si="140">O$10</f>
        <v>verwarming</v>
      </c>
      <c r="P219" s="217" t="str">
        <f t="shared" si="140"/>
        <v>koeling</v>
      </c>
      <c r="Q219" s="217" t="str">
        <f t="shared" si="140"/>
        <v>tapwater</v>
      </c>
      <c r="R219" s="217" t="str">
        <f t="shared" si="140"/>
        <v>verlichting</v>
      </c>
      <c r="S219" s="217" t="str">
        <f t="shared" si="140"/>
        <v>ventilatoren</v>
      </c>
      <c r="T219" s="217" t="str">
        <f t="shared" si="140"/>
        <v>kookgas</v>
      </c>
      <c r="U219" s="217" t="str">
        <f t="shared" si="140"/>
        <v>overig elektra</v>
      </c>
      <c r="V219" s="217" t="str">
        <f t="shared" si="140"/>
        <v>mobiliteit</v>
      </c>
      <c r="W219" s="217" t="str">
        <f t="shared" si="140"/>
        <v>zonnepanelen</v>
      </c>
      <c r="X219" s="214"/>
      <c r="Y219" s="216" t="str">
        <f>Y$10</f>
        <v>totaal</v>
      </c>
      <c r="Z219" s="222"/>
      <c r="AA219" s="217" t="str">
        <f t="shared" ref="AA219:AI219" si="141">AA$10</f>
        <v>verwarming</v>
      </c>
      <c r="AB219" s="217" t="str">
        <f t="shared" si="141"/>
        <v>koeling</v>
      </c>
      <c r="AC219" s="217" t="str">
        <f t="shared" si="141"/>
        <v>tapwater</v>
      </c>
      <c r="AD219" s="217" t="str">
        <f t="shared" si="141"/>
        <v>verlichting</v>
      </c>
      <c r="AE219" s="217" t="str">
        <f t="shared" si="141"/>
        <v>ventilatoren</v>
      </c>
      <c r="AF219" s="217" t="str">
        <f t="shared" si="141"/>
        <v>kookgas</v>
      </c>
      <c r="AG219" s="217" t="str">
        <f t="shared" si="141"/>
        <v>overig elektra</v>
      </c>
      <c r="AH219" s="217" t="str">
        <f t="shared" si="141"/>
        <v>mobiliteit</v>
      </c>
      <c r="AI219" s="217" t="str">
        <f t="shared" si="141"/>
        <v>zonnepanelen</v>
      </c>
      <c r="AJ219" s="214"/>
      <c r="AK219" s="216" t="str">
        <f>AK$10</f>
        <v>totaal</v>
      </c>
      <c r="AL219" s="222"/>
      <c r="AM219" s="217" t="str">
        <f t="shared" ref="AM219:AU219" si="142">AM$10</f>
        <v>verwarming</v>
      </c>
      <c r="AN219" s="217" t="str">
        <f t="shared" si="142"/>
        <v>koeling</v>
      </c>
      <c r="AO219" s="217" t="str">
        <f t="shared" si="142"/>
        <v>tapwater</v>
      </c>
      <c r="AP219" s="217" t="str">
        <f t="shared" si="142"/>
        <v>verlichting</v>
      </c>
      <c r="AQ219" s="217" t="str">
        <f t="shared" si="142"/>
        <v>ventilatoren</v>
      </c>
      <c r="AR219" s="217" t="str">
        <f t="shared" si="142"/>
        <v>kookgas</v>
      </c>
      <c r="AS219" s="217" t="str">
        <f t="shared" si="142"/>
        <v>overig elektra</v>
      </c>
      <c r="AT219" s="217" t="str">
        <f t="shared" si="142"/>
        <v>mobiliteit</v>
      </c>
      <c r="AU219" s="217" t="str">
        <f t="shared" si="142"/>
        <v>zonnepanelen</v>
      </c>
      <c r="AV219" s="214"/>
      <c r="AW219" s="216" t="str">
        <f>AW$10</f>
        <v>totaal</v>
      </c>
      <c r="AX219" s="222"/>
      <c r="AY219" s="217" t="str">
        <f t="shared" ref="AY219:BG219" si="143">AY$10</f>
        <v>verwarming</v>
      </c>
      <c r="AZ219" s="217" t="str">
        <f t="shared" si="143"/>
        <v>koeling</v>
      </c>
      <c r="BA219" s="217" t="str">
        <f t="shared" si="143"/>
        <v>tapwater</v>
      </c>
      <c r="BB219" s="217" t="str">
        <f t="shared" si="143"/>
        <v>verlichting</v>
      </c>
      <c r="BC219" s="217" t="str">
        <f t="shared" si="143"/>
        <v>ventilatoren</v>
      </c>
      <c r="BD219" s="217" t="str">
        <f t="shared" si="143"/>
        <v>kookgas</v>
      </c>
      <c r="BE219" s="217" t="str">
        <f t="shared" si="143"/>
        <v>overig elektra</v>
      </c>
      <c r="BF219" s="217" t="str">
        <f t="shared" si="143"/>
        <v>mobiliteit</v>
      </c>
      <c r="BG219" s="217" t="str">
        <f t="shared" si="143"/>
        <v>zonnepanelen</v>
      </c>
      <c r="BH219" s="1"/>
    </row>
    <row r="220" spans="1:60" ht="18.75" x14ac:dyDescent="0.2">
      <c r="A220" s="648"/>
      <c r="B220" s="492" t="s">
        <v>299</v>
      </c>
      <c r="C220" s="739" t="s">
        <v>104</v>
      </c>
      <c r="D220" s="747"/>
      <c r="E220" s="231" t="s">
        <v>301</v>
      </c>
      <c r="F220" s="231"/>
      <c r="G220" s="231"/>
      <c r="H220" s="89"/>
      <c r="I220" s="232"/>
      <c r="J220" s="231"/>
      <c r="K220" s="232"/>
      <c r="L220" s="232"/>
      <c r="M220" s="231"/>
      <c r="N220" s="232"/>
      <c r="O220" s="285"/>
      <c r="P220" s="285"/>
      <c r="Q220" s="232"/>
      <c r="R220" s="232"/>
      <c r="S220" s="232"/>
      <c r="T220" s="232"/>
      <c r="U220" s="232"/>
      <c r="V220" s="232"/>
      <c r="W220" s="232"/>
      <c r="X220" s="232"/>
      <c r="Y220" s="232"/>
      <c r="Z220" s="232"/>
      <c r="AA220" s="232"/>
      <c r="AB220" s="232"/>
      <c r="AC220" s="232"/>
      <c r="AD220" s="232"/>
      <c r="AE220" s="232"/>
      <c r="AF220" s="232"/>
      <c r="AG220" s="232"/>
      <c r="AH220" s="232"/>
      <c r="AI220" s="232"/>
      <c r="AJ220" s="232"/>
      <c r="AK220" s="232"/>
      <c r="AL220" s="232"/>
      <c r="AM220" s="232"/>
      <c r="AN220" s="232"/>
      <c r="AO220" s="232"/>
      <c r="AP220" s="232"/>
      <c r="AQ220" s="232"/>
      <c r="AR220" s="232"/>
      <c r="AS220" s="232"/>
      <c r="AT220" s="232"/>
      <c r="AU220" s="232"/>
      <c r="AV220" s="232"/>
      <c r="AW220" s="232"/>
      <c r="AX220" s="232"/>
      <c r="AY220" s="232"/>
      <c r="AZ220" s="232"/>
      <c r="BA220" s="232"/>
      <c r="BB220" s="232"/>
      <c r="BC220" s="232"/>
      <c r="BD220" s="232"/>
      <c r="BE220" s="232"/>
      <c r="BF220" s="232"/>
      <c r="BG220" s="232"/>
      <c r="BH220" s="38"/>
    </row>
    <row r="221" spans="1:60" x14ac:dyDescent="0.2">
      <c r="A221" s="648"/>
      <c r="B221" s="492" t="s">
        <v>299</v>
      </c>
      <c r="C221" s="656" t="s">
        <v>113</v>
      </c>
      <c r="D221" s="747"/>
      <c r="E221" s="220" t="s">
        <v>302</v>
      </c>
      <c r="F221" s="220"/>
      <c r="G221" s="220"/>
      <c r="H221" s="242" t="s">
        <v>70</v>
      </c>
      <c r="I221" s="129"/>
      <c r="J221" s="271"/>
      <c r="K221" s="279"/>
      <c r="L221" s="279"/>
      <c r="M221" s="243" t="str">
        <f>CONCATENATE(O221,"/",Q221)</f>
        <v>gebouw/gebouw</v>
      </c>
      <c r="N221" s="100"/>
      <c r="O221" s="207" t="str">
        <f>IF(O80=geen,"-",O81)</f>
        <v>gebouw</v>
      </c>
      <c r="P221" s="207" t="str">
        <f>IF(P80=geen,"-",P81)</f>
        <v>-</v>
      </c>
      <c r="Q221" s="207" t="str">
        <f>IF(Q80=geen,"-",Q81)</f>
        <v>gebouw</v>
      </c>
      <c r="R221" s="335"/>
      <c r="S221" s="335"/>
      <c r="T221" s="335"/>
      <c r="U221" s="335"/>
      <c r="V221" s="335"/>
      <c r="W221" s="335"/>
      <c r="X221" s="128"/>
      <c r="Y221" s="243" t="str">
        <f>CONCATENATE(AA221,"/",AC221)</f>
        <v>gebouw/gebouw</v>
      </c>
      <c r="Z221" s="100"/>
      <c r="AA221" s="207" t="str">
        <f>IF(AA80=geen,"-",AA81)</f>
        <v>gebouw</v>
      </c>
      <c r="AB221" s="207" t="str">
        <f>IF(AB80=geen,"-",AB81)</f>
        <v>-</v>
      </c>
      <c r="AC221" s="207" t="str">
        <f>IF(AC80=geen,"-",AC81)</f>
        <v>gebouw</v>
      </c>
      <c r="AD221" s="335"/>
      <c r="AE221" s="335"/>
      <c r="AF221" s="335"/>
      <c r="AG221" s="335"/>
      <c r="AH221" s="335"/>
      <c r="AI221" s="335"/>
      <c r="AJ221" s="128"/>
      <c r="AK221" s="243" t="str">
        <f>CONCATENATE(AM221,"/",AO221)</f>
        <v>gebouw/gebouw</v>
      </c>
      <c r="AL221" s="100"/>
      <c r="AM221" s="207" t="str">
        <f>IF(AM80=geen,"-",AM81)</f>
        <v>gebouw</v>
      </c>
      <c r="AN221" s="207" t="str">
        <f>IF(AN80=geen,"-",AN81)</f>
        <v>-</v>
      </c>
      <c r="AO221" s="207" t="str">
        <f>IF(AO80=geen,"-",AO81)</f>
        <v>gebouw</v>
      </c>
      <c r="AP221" s="335"/>
      <c r="AQ221" s="335"/>
      <c r="AR221" s="335"/>
      <c r="AS221" s="335"/>
      <c r="AT221" s="335"/>
      <c r="AU221" s="335"/>
      <c r="AV221" s="128"/>
      <c r="AW221" s="243" t="str">
        <f>CONCATENATE(AY221,"/",BA221)</f>
        <v>gebouw/gebouw</v>
      </c>
      <c r="AX221" s="100"/>
      <c r="AY221" s="207" t="str">
        <f>IF(AY80=geen,"-",AY81)</f>
        <v>gebouw</v>
      </c>
      <c r="AZ221" s="207" t="str">
        <f>IF(AZ80=geen,"-",AZ81)</f>
        <v>-</v>
      </c>
      <c r="BA221" s="207" t="str">
        <f>IF(BA80=geen,"-",BA81)</f>
        <v>gebouw</v>
      </c>
      <c r="BB221" s="207"/>
      <c r="BC221" s="335"/>
      <c r="BD221" s="335"/>
      <c r="BE221" s="335"/>
      <c r="BF221" s="335"/>
      <c r="BG221" s="335"/>
      <c r="BH221" s="255"/>
    </row>
    <row r="222" spans="1:60" x14ac:dyDescent="0.2">
      <c r="A222" s="648"/>
      <c r="B222" s="492" t="s">
        <v>299</v>
      </c>
      <c r="C222" s="656" t="s">
        <v>113</v>
      </c>
      <c r="D222" s="747"/>
      <c r="E222" s="220" t="s">
        <v>222</v>
      </c>
      <c r="F222" s="220"/>
      <c r="G222" s="220"/>
      <c r="H222" s="242" t="s">
        <v>70</v>
      </c>
      <c r="I222" s="129"/>
      <c r="J222" s="271"/>
      <c r="K222" s="277"/>
      <c r="L222" s="277"/>
      <c r="M222" s="271" t="str">
        <f>IF(SUM(O222:Q222)=0,"",((O$221&lt;&gt;gebouw)*(O$117+O$142+O$159-O$177) + (P$221&lt;&gt;gebouw)*(P$117+P$142+P$159-P$177) + (Q$221&lt;&gt;gebouw)*(Q$117+Q$142+Q$159-Q$177) )/  ((O$221&lt;&gt;gebouw)*O$75 + AND(P$221&lt;&gt;gebouw,P$221&lt;&gt;"-")*P$75 + (Q$221&lt;&gt;gebouw)*Q$75) )</f>
        <v/>
      </c>
      <c r="N222" s="278"/>
      <c r="O222" s="272" t="str">
        <f>IF(OR(O$204=0,O$221=gebouw),"-",(O$117+O$142+O$159-O$177)/O$75)</f>
        <v>-</v>
      </c>
      <c r="P222" s="272" t="str">
        <f>IF(OR(P$204=0,P$221=gebouw),"-",(P$117+P$142+P$159-P$177)/P$75)</f>
        <v>-</v>
      </c>
      <c r="Q222" s="272" t="str">
        <f>IF(OR(Q$204=0,Q$221=gebouw),"-",(Q$117+Q$142+Q$159-Q$177)/Q$75)</f>
        <v>-</v>
      </c>
      <c r="R222" s="336"/>
      <c r="S222" s="336"/>
      <c r="T222" s="336"/>
      <c r="U222" s="336"/>
      <c r="V222" s="336"/>
      <c r="W222" s="336"/>
      <c r="X222" s="139"/>
      <c r="Y222" s="271" t="str">
        <f>IF(SUM(AA222:AC222)=0,"",((AA$221&lt;&gt;gebouw)*(AA$117+AA$142+AA$159-AA$177) + (AB$221&lt;&gt;gebouw)*(AB$117+AB$142+AB$159-AB$177) + (AC$221&lt;&gt;gebouw)*(AC$117+AC$142+AC$159-AC$177) )/  ((AA$221&lt;&gt;gebouw)*AA$75 + AND(AB$221&lt;&gt;gebouw,AB$221&lt;&gt;"-")*AB$75 + (AC$221&lt;&gt;gebouw)*AC$75) )</f>
        <v/>
      </c>
      <c r="Z222" s="278"/>
      <c r="AA222" s="272" t="str">
        <f>IF(OR(AA$204=0,AA$221=gebouw),"-",(AA$117+AA$142+AA$159-AA$177)/AA$75)</f>
        <v>-</v>
      </c>
      <c r="AB222" s="272" t="str">
        <f>IF(OR(AB$204=0,AB$221=gebouw),"-",(AB$117+AB$142+AB$159-AB$177)/AB$75)</f>
        <v>-</v>
      </c>
      <c r="AC222" s="272" t="str">
        <f>IF(OR(AC$204=0,AC$221=gebouw),"-",(AC$117+AC$142+AC$159-AC$177)/AC$75)</f>
        <v>-</v>
      </c>
      <c r="AD222" s="336"/>
      <c r="AE222" s="336"/>
      <c r="AF222" s="336"/>
      <c r="AG222" s="336"/>
      <c r="AH222" s="336"/>
      <c r="AI222" s="336"/>
      <c r="AJ222" s="139"/>
      <c r="AK222" s="271" t="str">
        <f>IF(SUM(AM222:AO222)=0,"",((AM$221&lt;&gt;gebouw)*(AM$117+AM$142+AM$159-AM$177) + (AN$221&lt;&gt;gebouw)*(AN$117+AN$142+AN$159-AN$177) + (AO$221&lt;&gt;gebouw)*(AO$117+AO$142+AO$159-AO$177) )/  ((AM$221&lt;&gt;gebouw)*AM$75 + AND(AN$221&lt;&gt;gebouw,AN$221&lt;&gt;"-")*AN$75 + (AO$221&lt;&gt;gebouw)*AO$75) )</f>
        <v/>
      </c>
      <c r="AL222" s="278"/>
      <c r="AM222" s="272" t="str">
        <f>IF(OR(AM$204=0,AM$221=gebouw),"-",(AM$117+AM$142+AM$159-AM$177)/AM$75)</f>
        <v>-</v>
      </c>
      <c r="AN222" s="272" t="str">
        <f>IF(OR(AN$204=0,AN$221=gebouw),"-",(AN$117+AN$142+AN$159-AN$177)/AN$75)</f>
        <v>-</v>
      </c>
      <c r="AO222" s="272" t="str">
        <f>IF(OR(AO$204=0,AO$221=gebouw),"-",(AO$117+AO$142+AO$159-AO$177)/AO$75)</f>
        <v>-</v>
      </c>
      <c r="AP222" s="336"/>
      <c r="AQ222" s="336"/>
      <c r="AR222" s="336"/>
      <c r="AS222" s="336"/>
      <c r="AT222" s="336"/>
      <c r="AU222" s="336"/>
      <c r="AV222" s="139"/>
      <c r="AW222" s="271" t="str">
        <f>IF(SUM(AY222:BA222)=0,"",((AY$221&lt;&gt;gebouw)*(AY$117+AY$142+AY$159-AY$177) + (AZ$221&lt;&gt;gebouw)*(AZ$117+AZ$142+AZ$159-AZ$177) + (BA$221&lt;&gt;gebouw)*(BA$117+BA$142+BA$159-BA$177) )/  ((AY$221&lt;&gt;gebouw)*AY$75 + AND(AZ$221&lt;&gt;gebouw,AZ$221&lt;&gt;"-")*AZ$75 + (BA$221&lt;&gt;gebouw)*BA$75) )</f>
        <v/>
      </c>
      <c r="AX222" s="278"/>
      <c r="AY222" s="272" t="str">
        <f>IF(OR(AY$204=0,AY$221=gebouw),"-",(AY$117+AY$142+AY$159-AY$177)/AY$75)</f>
        <v>-</v>
      </c>
      <c r="AZ222" s="272" t="str">
        <f>IF(OR(AZ$204=0,AZ$221=gebouw),"-",(AZ$117+AZ$142+AZ$159-AZ$177)/AZ$75)</f>
        <v>-</v>
      </c>
      <c r="BA222" s="272" t="str">
        <f>IF(OR(BA$204=0,BA$221=gebouw),"-",(BA$117+BA$142+BA$159-BA$177)/BA$75)</f>
        <v>-</v>
      </c>
      <c r="BB222" s="272"/>
      <c r="BC222" s="336"/>
      <c r="BD222" s="336"/>
      <c r="BE222" s="336"/>
      <c r="BF222" s="336"/>
      <c r="BG222" s="336"/>
      <c r="BH222" s="255"/>
    </row>
    <row r="223" spans="1:60" x14ac:dyDescent="0.2">
      <c r="A223" s="648"/>
      <c r="B223" s="492" t="s">
        <v>299</v>
      </c>
      <c r="C223" s="739" t="s">
        <v>104</v>
      </c>
      <c r="D223" s="747"/>
      <c r="E223" s="90"/>
      <c r="F223" s="90"/>
      <c r="G223" s="90"/>
      <c r="H223" s="96"/>
      <c r="I223" s="90"/>
      <c r="J223" s="93"/>
      <c r="K223" s="90"/>
      <c r="L223" s="90"/>
      <c r="M223" s="690"/>
      <c r="N223" s="90"/>
      <c r="O223" s="93"/>
      <c r="P223" s="93"/>
      <c r="Q223" s="93"/>
      <c r="R223" s="93"/>
      <c r="S223" s="93"/>
      <c r="T223" s="93"/>
      <c r="U223" s="93"/>
      <c r="V223" s="93"/>
      <c r="W223" s="93"/>
      <c r="X223" s="93"/>
      <c r="Y223" s="139"/>
      <c r="Z223" s="90"/>
      <c r="AA223" s="93"/>
      <c r="AB223" s="93"/>
      <c r="AC223" s="93"/>
      <c r="AD223" s="93"/>
      <c r="AE223" s="93"/>
      <c r="AF223" s="93"/>
      <c r="AG223" s="93"/>
      <c r="AH223" s="93"/>
      <c r="AI223" s="93"/>
      <c r="AJ223" s="93"/>
      <c r="AK223" s="93"/>
      <c r="AL223" s="90"/>
      <c r="AM223" s="93"/>
      <c r="AN223" s="93"/>
      <c r="AO223" s="93"/>
      <c r="AP223" s="93"/>
      <c r="AQ223" s="93"/>
      <c r="AR223" s="93"/>
      <c r="AS223" s="93"/>
      <c r="AT223" s="93"/>
      <c r="AU223" s="93"/>
      <c r="AV223" s="93"/>
      <c r="AW223" s="93"/>
      <c r="AX223" s="90"/>
      <c r="AY223" s="90"/>
      <c r="AZ223" s="93"/>
      <c r="BA223" s="93"/>
      <c r="BB223" s="93"/>
      <c r="BC223" s="93"/>
      <c r="BD223" s="93"/>
      <c r="BE223" s="93"/>
      <c r="BF223" s="93"/>
      <c r="BG223" s="93"/>
      <c r="BH223" s="1"/>
    </row>
    <row r="224" spans="1:60" x14ac:dyDescent="0.2">
      <c r="A224" s="648"/>
      <c r="B224" s="492" t="s">
        <v>303</v>
      </c>
      <c r="C224" s="656" t="s">
        <v>104</v>
      </c>
      <c r="D224" s="747"/>
      <c r="E224" s="90"/>
      <c r="F224" s="90"/>
      <c r="G224" s="90"/>
      <c r="H224" s="96"/>
      <c r="I224" s="90"/>
      <c r="J224" s="93"/>
      <c r="K224" s="90"/>
      <c r="L224" s="90"/>
      <c r="M224" s="93"/>
      <c r="N224" s="90"/>
      <c r="O224" s="93"/>
      <c r="P224" s="93"/>
      <c r="Q224" s="93"/>
      <c r="R224" s="93"/>
      <c r="S224" s="93"/>
      <c r="T224" s="93"/>
      <c r="U224" s="93"/>
      <c r="V224" s="93"/>
      <c r="W224" s="93"/>
      <c r="X224" s="93"/>
      <c r="Y224" s="93"/>
      <c r="Z224" s="90"/>
      <c r="AA224" s="93"/>
      <c r="AB224" s="93"/>
      <c r="AC224" s="93"/>
      <c r="AD224" s="93"/>
      <c r="AE224" s="93"/>
      <c r="AF224" s="93"/>
      <c r="AG224" s="93"/>
      <c r="AH224" s="93"/>
      <c r="AI224" s="93"/>
      <c r="AJ224" s="93"/>
      <c r="AK224" s="93"/>
      <c r="AL224" s="90"/>
      <c r="AM224" s="93"/>
      <c r="AN224" s="93"/>
      <c r="AO224" s="93"/>
      <c r="AP224" s="93"/>
      <c r="AQ224" s="93"/>
      <c r="AR224" s="93"/>
      <c r="AS224" s="93"/>
      <c r="AT224" s="93"/>
      <c r="AU224" s="93"/>
      <c r="AV224" s="93"/>
      <c r="AW224" s="93"/>
      <c r="AX224" s="90"/>
      <c r="AY224" s="93"/>
      <c r="AZ224" s="93"/>
      <c r="BA224" s="93"/>
      <c r="BB224" s="93"/>
      <c r="BC224" s="93"/>
      <c r="BD224" s="93"/>
      <c r="BE224" s="93"/>
      <c r="BF224" s="93"/>
      <c r="BG224" s="93"/>
      <c r="BH224" s="1"/>
    </row>
    <row r="225" spans="1:60" s="2" customFormat="1" ht="21" x14ac:dyDescent="0.2">
      <c r="A225" s="649"/>
      <c r="B225" s="492" t="s">
        <v>303</v>
      </c>
      <c r="C225" s="739" t="s">
        <v>104</v>
      </c>
      <c r="D225" s="749" t="s">
        <v>50</v>
      </c>
      <c r="E225" s="253" t="s">
        <v>304</v>
      </c>
      <c r="F225" s="253"/>
      <c r="G225" s="253"/>
      <c r="H225" s="253"/>
      <c r="I225" s="146"/>
      <c r="J225" s="318"/>
      <c r="K225" s="142"/>
      <c r="L225" s="142"/>
      <c r="M225" s="318"/>
      <c r="N225" s="222"/>
      <c r="O225" s="320" t="str">
        <f t="shared" ref="O225:W225" si="144">O$17</f>
        <v/>
      </c>
      <c r="P225" s="320" t="str">
        <f t="shared" si="144"/>
        <v/>
      </c>
      <c r="Q225" s="320" t="str">
        <f t="shared" si="144"/>
        <v/>
      </c>
      <c r="R225" s="320" t="str">
        <f t="shared" si="144"/>
        <v/>
      </c>
      <c r="S225" s="320" t="str">
        <f t="shared" si="144"/>
        <v/>
      </c>
      <c r="T225" s="320" t="str">
        <f t="shared" si="144"/>
        <v/>
      </c>
      <c r="U225" s="320" t="str">
        <f t="shared" si="144"/>
        <v/>
      </c>
      <c r="V225" s="320" t="str">
        <f t="shared" si="144"/>
        <v/>
      </c>
      <c r="W225" s="320" t="str">
        <f t="shared" si="144"/>
        <v/>
      </c>
      <c r="X225" s="214"/>
      <c r="Y225" s="318"/>
      <c r="Z225" s="222"/>
      <c r="AA225" s="320" t="str">
        <f t="shared" ref="AA225:AI225" si="145">AA$17</f>
        <v/>
      </c>
      <c r="AB225" s="320" t="str">
        <f t="shared" si="145"/>
        <v/>
      </c>
      <c r="AC225" s="320" t="str">
        <f t="shared" si="145"/>
        <v/>
      </c>
      <c r="AD225" s="320" t="str">
        <f t="shared" si="145"/>
        <v/>
      </c>
      <c r="AE225" s="320" t="str">
        <f t="shared" si="145"/>
        <v/>
      </c>
      <c r="AF225" s="320" t="str">
        <f t="shared" si="145"/>
        <v/>
      </c>
      <c r="AG225" s="320" t="str">
        <f t="shared" si="145"/>
        <v/>
      </c>
      <c r="AH225" s="320" t="str">
        <f t="shared" si="145"/>
        <v/>
      </c>
      <c r="AI225" s="320" t="str">
        <f t="shared" si="145"/>
        <v/>
      </c>
      <c r="AJ225" s="214"/>
      <c r="AK225" s="318"/>
      <c r="AL225" s="222"/>
      <c r="AM225" s="320" t="str">
        <f>AM$17</f>
        <v/>
      </c>
      <c r="AN225" s="320" t="str">
        <f t="shared" ref="AN225:AU225" si="146">AN$17</f>
        <v/>
      </c>
      <c r="AO225" s="320" t="str">
        <f t="shared" si="146"/>
        <v/>
      </c>
      <c r="AP225" s="320" t="str">
        <f t="shared" si="146"/>
        <v/>
      </c>
      <c r="AQ225" s="320" t="str">
        <f t="shared" si="146"/>
        <v/>
      </c>
      <c r="AR225" s="320" t="str">
        <f t="shared" si="146"/>
        <v/>
      </c>
      <c r="AS225" s="320" t="str">
        <f t="shared" si="146"/>
        <v/>
      </c>
      <c r="AT225" s="320" t="str">
        <f t="shared" si="146"/>
        <v/>
      </c>
      <c r="AU225" s="320" t="str">
        <f t="shared" si="146"/>
        <v/>
      </c>
      <c r="AV225" s="214"/>
      <c r="AW225" s="318"/>
      <c r="AX225" s="222"/>
      <c r="AY225" s="374" t="str">
        <f>AY$17</f>
        <v/>
      </c>
      <c r="AZ225" s="374" t="str">
        <f t="shared" ref="AZ225:BG225" si="147">AZ$17</f>
        <v/>
      </c>
      <c r="BA225" s="374" t="str">
        <f t="shared" si="147"/>
        <v/>
      </c>
      <c r="BB225" s="374" t="str">
        <f t="shared" si="147"/>
        <v/>
      </c>
      <c r="BC225" s="374" t="str">
        <f t="shared" si="147"/>
        <v/>
      </c>
      <c r="BD225" s="374" t="str">
        <f t="shared" si="147"/>
        <v/>
      </c>
      <c r="BE225" s="374" t="str">
        <f t="shared" si="147"/>
        <v/>
      </c>
      <c r="BF225" s="374" t="str">
        <f t="shared" si="147"/>
        <v/>
      </c>
      <c r="BG225" s="374" t="str">
        <f t="shared" si="147"/>
        <v/>
      </c>
      <c r="BH225" s="1"/>
    </row>
    <row r="226" spans="1:60" ht="18.75" x14ac:dyDescent="0.2">
      <c r="A226" s="648"/>
      <c r="B226" s="492" t="s">
        <v>303</v>
      </c>
      <c r="C226" s="739" t="s">
        <v>104</v>
      </c>
      <c r="D226" s="747"/>
      <c r="E226" s="236" t="s">
        <v>305</v>
      </c>
      <c r="F226" s="236"/>
      <c r="G226" s="236"/>
      <c r="H226" s="89"/>
      <c r="I226" s="236"/>
      <c r="J226" s="236"/>
      <c r="K226" s="236"/>
      <c r="L226" s="236"/>
      <c r="M226" s="236"/>
      <c r="N226" s="236"/>
      <c r="O226" s="236"/>
      <c r="P226" s="236"/>
      <c r="Q226" s="236"/>
      <c r="R226" s="236"/>
      <c r="S226" s="236"/>
      <c r="T226" s="236"/>
      <c r="U226" s="236"/>
      <c r="V226" s="236"/>
      <c r="W226" s="236"/>
      <c r="X226" s="236"/>
      <c r="Y226" s="236"/>
      <c r="Z226" s="236"/>
      <c r="AA226" s="236"/>
      <c r="AB226" s="236"/>
      <c r="AC226" s="236"/>
      <c r="AD226" s="236"/>
      <c r="AE226" s="236"/>
      <c r="AF226" s="236"/>
      <c r="AG226" s="236"/>
      <c r="AH226" s="236"/>
      <c r="AI226" s="236"/>
      <c r="AJ226" s="236"/>
      <c r="AK226" s="236"/>
      <c r="AL226" s="236"/>
      <c r="AM226" s="236"/>
      <c r="AN226" s="236"/>
      <c r="AO226" s="236"/>
      <c r="AP226" s="236"/>
      <c r="AQ226" s="236"/>
      <c r="AR226" s="236"/>
      <c r="AS226" s="236"/>
      <c r="AT226" s="236"/>
      <c r="AU226" s="236"/>
      <c r="AV226" s="236"/>
      <c r="AW226" s="236"/>
      <c r="AX226" s="236"/>
      <c r="AY226" s="236"/>
      <c r="AZ226" s="236"/>
      <c r="BA226" s="236"/>
      <c r="BB226" s="236"/>
      <c r="BC226" s="236"/>
      <c r="BD226" s="236"/>
      <c r="BE226" s="236"/>
      <c r="BF226" s="236"/>
      <c r="BG226" s="236"/>
      <c r="BH226" s="38"/>
    </row>
    <row r="227" spans="1:60" x14ac:dyDescent="0.2">
      <c r="A227" s="648"/>
      <c r="B227" s="492" t="s">
        <v>303</v>
      </c>
      <c r="C227" s="656" t="s">
        <v>113</v>
      </c>
      <c r="D227" s="750"/>
      <c r="E227" s="220" t="s">
        <v>306</v>
      </c>
      <c r="F227" s="220"/>
      <c r="G227" s="220"/>
      <c r="H227" s="242" t="s">
        <v>169</v>
      </c>
      <c r="I227" s="129"/>
      <c r="J227" s="243"/>
      <c r="K227" s="279"/>
      <c r="L227" s="279"/>
      <c r="M227" s="243"/>
      <c r="N227" s="100"/>
      <c r="O227" s="207" t="str">
        <f t="shared" ref="O227:W227" si="148">IF(O$19="","",O60)</f>
        <v/>
      </c>
      <c r="P227" s="207" t="str">
        <f t="shared" si="148"/>
        <v/>
      </c>
      <c r="Q227" s="207" t="str">
        <f t="shared" si="148"/>
        <v/>
      </c>
      <c r="R227" s="207" t="str">
        <f t="shared" si="148"/>
        <v/>
      </c>
      <c r="S227" s="207" t="str">
        <f t="shared" si="148"/>
        <v/>
      </c>
      <c r="T227" s="207" t="str">
        <f t="shared" si="148"/>
        <v/>
      </c>
      <c r="U227" s="207" t="str">
        <f t="shared" si="148"/>
        <v/>
      </c>
      <c r="V227" s="207" t="str">
        <f t="shared" si="148"/>
        <v/>
      </c>
      <c r="W227" s="207" t="str">
        <f t="shared" si="148"/>
        <v/>
      </c>
      <c r="X227" s="128"/>
      <c r="Y227" s="243"/>
      <c r="Z227" s="100"/>
      <c r="AA227" s="207" t="str">
        <f t="shared" ref="AA227:AI227" si="149">IF(AA$19="","",AA60)</f>
        <v/>
      </c>
      <c r="AB227" s="207" t="str">
        <f t="shared" si="149"/>
        <v/>
      </c>
      <c r="AC227" s="207" t="str">
        <f t="shared" si="149"/>
        <v/>
      </c>
      <c r="AD227" s="207" t="str">
        <f t="shared" si="149"/>
        <v/>
      </c>
      <c r="AE227" s="207" t="str">
        <f t="shared" si="149"/>
        <v/>
      </c>
      <c r="AF227" s="207" t="str">
        <f t="shared" si="149"/>
        <v/>
      </c>
      <c r="AG227" s="207" t="str">
        <f t="shared" si="149"/>
        <v/>
      </c>
      <c r="AH227" s="207" t="str">
        <f t="shared" si="149"/>
        <v/>
      </c>
      <c r="AI227" s="207" t="str">
        <f t="shared" si="149"/>
        <v/>
      </c>
      <c r="AJ227" s="128"/>
      <c r="AK227" s="243"/>
      <c r="AL227" s="100"/>
      <c r="AM227" s="207" t="str">
        <f t="shared" ref="AM227:AU227" si="150">IF(AM$19="","",AM60)</f>
        <v/>
      </c>
      <c r="AN227" s="207" t="str">
        <f t="shared" si="150"/>
        <v/>
      </c>
      <c r="AO227" s="207" t="str">
        <f t="shared" si="150"/>
        <v/>
      </c>
      <c r="AP227" s="207" t="str">
        <f t="shared" si="150"/>
        <v/>
      </c>
      <c r="AQ227" s="207" t="str">
        <f t="shared" si="150"/>
        <v/>
      </c>
      <c r="AR227" s="207" t="str">
        <f t="shared" si="150"/>
        <v/>
      </c>
      <c r="AS227" s="207" t="str">
        <f t="shared" si="150"/>
        <v/>
      </c>
      <c r="AT227" s="207" t="str">
        <f t="shared" si="150"/>
        <v/>
      </c>
      <c r="AU227" s="207" t="str">
        <f t="shared" si="150"/>
        <v/>
      </c>
      <c r="AV227" s="128"/>
      <c r="AW227" s="243"/>
      <c r="AX227" s="100"/>
      <c r="AY227" s="207" t="str">
        <f t="shared" ref="AY227:BG227" si="151">IF(AY$19="","",AY60)</f>
        <v/>
      </c>
      <c r="AZ227" s="207" t="str">
        <f t="shared" si="151"/>
        <v/>
      </c>
      <c r="BA227" s="207" t="str">
        <f t="shared" si="151"/>
        <v/>
      </c>
      <c r="BB227" s="207" t="str">
        <f t="shared" si="151"/>
        <v/>
      </c>
      <c r="BC227" s="207" t="str">
        <f t="shared" si="151"/>
        <v/>
      </c>
      <c r="BD227" s="207" t="str">
        <f t="shared" si="151"/>
        <v/>
      </c>
      <c r="BE227" s="207" t="str">
        <f t="shared" si="151"/>
        <v/>
      </c>
      <c r="BF227" s="207" t="str">
        <f t="shared" si="151"/>
        <v/>
      </c>
      <c r="BG227" s="207" t="str">
        <f t="shared" si="151"/>
        <v/>
      </c>
      <c r="BH227" s="255"/>
    </row>
    <row r="228" spans="1:60" ht="18.75" x14ac:dyDescent="0.2">
      <c r="A228" s="648"/>
      <c r="B228" s="492" t="s">
        <v>303</v>
      </c>
      <c r="C228" s="739" t="s">
        <v>104</v>
      </c>
      <c r="D228" s="747"/>
      <c r="E228" s="236" t="s">
        <v>307</v>
      </c>
      <c r="F228" s="236"/>
      <c r="G228" s="236"/>
      <c r="H228" s="89"/>
      <c r="I228" s="236"/>
      <c r="J228" s="236"/>
      <c r="K228" s="236"/>
      <c r="L228" s="236"/>
      <c r="M228" s="236"/>
      <c r="N228" s="236"/>
      <c r="O228" s="236"/>
      <c r="P228" s="236"/>
      <c r="Q228" s="236"/>
      <c r="R228" s="236"/>
      <c r="S228" s="236"/>
      <c r="T228" s="236"/>
      <c r="U228" s="236"/>
      <c r="V228" s="236"/>
      <c r="W228" s="236"/>
      <c r="X228" s="236"/>
      <c r="Y228" s="236"/>
      <c r="Z228" s="236"/>
      <c r="AA228" s="236"/>
      <c r="AB228" s="236"/>
      <c r="AC228" s="236"/>
      <c r="AD228" s="236"/>
      <c r="AE228" s="236"/>
      <c r="AF228" s="236"/>
      <c r="AG228" s="236"/>
      <c r="AH228" s="236"/>
      <c r="AI228" s="236"/>
      <c r="AJ228" s="236"/>
      <c r="AK228" s="236"/>
      <c r="AL228" s="236"/>
      <c r="AM228" s="236"/>
      <c r="AN228" s="236"/>
      <c r="AO228" s="236"/>
      <c r="AP228" s="236"/>
      <c r="AQ228" s="236"/>
      <c r="AR228" s="236"/>
      <c r="AS228" s="236"/>
      <c r="AT228" s="236"/>
      <c r="AU228" s="236"/>
      <c r="AV228" s="236"/>
      <c r="AW228" s="236"/>
      <c r="AX228" s="236"/>
      <c r="AY228" s="236"/>
      <c r="AZ228" s="236"/>
      <c r="BA228" s="236"/>
      <c r="BB228" s="236"/>
      <c r="BC228" s="236"/>
      <c r="BD228" s="236"/>
      <c r="BE228" s="236"/>
      <c r="BF228" s="236"/>
      <c r="BG228" s="236"/>
      <c r="BH228" s="38"/>
    </row>
    <row r="229" spans="1:60" x14ac:dyDescent="0.2">
      <c r="A229" s="648"/>
      <c r="B229" s="492" t="s">
        <v>303</v>
      </c>
      <c r="C229" s="656" t="s">
        <v>113</v>
      </c>
      <c r="D229" s="750"/>
      <c r="E229" s="220" t="s">
        <v>306</v>
      </c>
      <c r="F229" s="220"/>
      <c r="G229" s="220"/>
      <c r="H229" s="242" t="s">
        <v>169</v>
      </c>
      <c r="I229" s="129"/>
      <c r="J229" s="243"/>
      <c r="K229" s="279"/>
      <c r="L229" s="279"/>
      <c r="M229" s="243"/>
      <c r="N229" s="100"/>
      <c r="O229" s="207" t="str">
        <f t="shared" ref="O229:W229" si="152">IF(O$19="","-",O61)</f>
        <v>-</v>
      </c>
      <c r="P229" s="207" t="str">
        <f t="shared" si="152"/>
        <v>-</v>
      </c>
      <c r="Q229" s="207" t="str">
        <f t="shared" si="152"/>
        <v>-</v>
      </c>
      <c r="R229" s="207" t="str">
        <f t="shared" si="152"/>
        <v>-</v>
      </c>
      <c r="S229" s="207" t="str">
        <f t="shared" si="152"/>
        <v>-</v>
      </c>
      <c r="T229" s="207" t="str">
        <f t="shared" si="152"/>
        <v>-</v>
      </c>
      <c r="U229" s="207" t="str">
        <f t="shared" si="152"/>
        <v>-</v>
      </c>
      <c r="V229" s="207" t="str">
        <f t="shared" si="152"/>
        <v>-</v>
      </c>
      <c r="W229" s="207" t="str">
        <f t="shared" si="152"/>
        <v>-</v>
      </c>
      <c r="X229" s="128"/>
      <c r="Y229" s="243"/>
      <c r="Z229" s="100"/>
      <c r="AA229" s="207" t="str">
        <f t="shared" ref="AA229:AI229" si="153">IF(AA$19="","-",AA61)</f>
        <v>-</v>
      </c>
      <c r="AB229" s="207" t="str">
        <f t="shared" si="153"/>
        <v>-</v>
      </c>
      <c r="AC229" s="207" t="str">
        <f t="shared" si="153"/>
        <v>-</v>
      </c>
      <c r="AD229" s="207" t="str">
        <f t="shared" si="153"/>
        <v>-</v>
      </c>
      <c r="AE229" s="207" t="str">
        <f t="shared" si="153"/>
        <v>-</v>
      </c>
      <c r="AF229" s="207" t="str">
        <f t="shared" si="153"/>
        <v>-</v>
      </c>
      <c r="AG229" s="207" t="str">
        <f t="shared" si="153"/>
        <v>-</v>
      </c>
      <c r="AH229" s="207" t="str">
        <f t="shared" si="153"/>
        <v>-</v>
      </c>
      <c r="AI229" s="207" t="str">
        <f t="shared" si="153"/>
        <v>-</v>
      </c>
      <c r="AJ229" s="128"/>
      <c r="AK229" s="243"/>
      <c r="AL229" s="100"/>
      <c r="AM229" s="207" t="str">
        <f t="shared" ref="AM229:AU229" si="154">IF(AM$19="","-",AM61)</f>
        <v>-</v>
      </c>
      <c r="AN229" s="207" t="str">
        <f t="shared" si="154"/>
        <v>-</v>
      </c>
      <c r="AO229" s="207" t="str">
        <f t="shared" si="154"/>
        <v>-</v>
      </c>
      <c r="AP229" s="207" t="str">
        <f t="shared" si="154"/>
        <v>-</v>
      </c>
      <c r="AQ229" s="207" t="str">
        <f t="shared" si="154"/>
        <v>-</v>
      </c>
      <c r="AR229" s="207" t="str">
        <f t="shared" si="154"/>
        <v>-</v>
      </c>
      <c r="AS229" s="207" t="str">
        <f t="shared" si="154"/>
        <v>-</v>
      </c>
      <c r="AT229" s="207" t="str">
        <f t="shared" si="154"/>
        <v>-</v>
      </c>
      <c r="AU229" s="207" t="str">
        <f t="shared" si="154"/>
        <v>-</v>
      </c>
      <c r="AV229" s="128"/>
      <c r="AW229" s="243"/>
      <c r="AX229" s="100"/>
      <c r="AY229" s="207" t="str">
        <f t="shared" ref="AY229:BG229" si="155">IF(AY$19="","-",AY61)</f>
        <v>-</v>
      </c>
      <c r="AZ229" s="207" t="str">
        <f t="shared" si="155"/>
        <v>-</v>
      </c>
      <c r="BA229" s="207" t="str">
        <f t="shared" si="155"/>
        <v>-</v>
      </c>
      <c r="BB229" s="207" t="str">
        <f t="shared" si="155"/>
        <v>-</v>
      </c>
      <c r="BC229" s="207" t="str">
        <f t="shared" si="155"/>
        <v>-</v>
      </c>
      <c r="BD229" s="207" t="str">
        <f t="shared" si="155"/>
        <v>-</v>
      </c>
      <c r="BE229" s="207" t="str">
        <f t="shared" si="155"/>
        <v>-</v>
      </c>
      <c r="BF229" s="207" t="str">
        <f t="shared" si="155"/>
        <v>-</v>
      </c>
      <c r="BG229" s="207" t="str">
        <f t="shared" si="155"/>
        <v>-</v>
      </c>
      <c r="BH229" s="255"/>
    </row>
    <row r="230" spans="1:60" x14ac:dyDescent="0.2">
      <c r="A230" s="648"/>
      <c r="B230" s="492" t="s">
        <v>303</v>
      </c>
      <c r="C230" s="739" t="s">
        <v>104</v>
      </c>
      <c r="D230" s="747"/>
      <c r="E230" s="90"/>
      <c r="F230" s="90"/>
      <c r="G230" s="90"/>
      <c r="H230" s="96"/>
      <c r="I230" s="90"/>
      <c r="J230" s="93"/>
      <c r="K230" s="90"/>
      <c r="L230" s="90"/>
      <c r="M230" s="93"/>
      <c r="N230" s="90"/>
      <c r="O230" s="92"/>
      <c r="P230" s="93"/>
      <c r="Q230" s="93"/>
      <c r="R230" s="93"/>
      <c r="S230" s="93"/>
      <c r="T230" s="93"/>
      <c r="U230" s="93"/>
      <c r="V230" s="93"/>
      <c r="W230" s="93"/>
      <c r="X230" s="93"/>
      <c r="Y230" s="93"/>
      <c r="Z230" s="90"/>
      <c r="AA230" s="93"/>
      <c r="AB230" s="93"/>
      <c r="AC230" s="93"/>
      <c r="AD230" s="93"/>
      <c r="AE230" s="93"/>
      <c r="AF230" s="93"/>
      <c r="AG230" s="93"/>
      <c r="AH230" s="93"/>
      <c r="AI230" s="93"/>
      <c r="AJ230" s="93"/>
      <c r="AK230" s="93"/>
      <c r="AL230" s="90"/>
      <c r="AM230" s="93"/>
      <c r="AN230" s="93"/>
      <c r="AO230" s="93"/>
      <c r="AP230" s="93"/>
      <c r="AQ230" s="93"/>
      <c r="AR230" s="93"/>
      <c r="AS230" s="93"/>
      <c r="AT230" s="93"/>
      <c r="AU230" s="93"/>
      <c r="AV230" s="93"/>
      <c r="AW230" s="93"/>
      <c r="AX230" s="90"/>
      <c r="AY230" s="93"/>
      <c r="AZ230" s="93"/>
      <c r="BA230" s="93"/>
      <c r="BB230" s="93"/>
      <c r="BC230" s="93"/>
      <c r="BD230" s="93"/>
      <c r="BE230" s="93"/>
      <c r="BF230" s="93"/>
      <c r="BG230" s="93"/>
      <c r="BH230" s="1"/>
    </row>
    <row r="231" spans="1:60" hidden="1" x14ac:dyDescent="0.2">
      <c r="A231" s="648"/>
      <c r="B231" s="492" t="s">
        <v>308</v>
      </c>
      <c r="C231" s="739" t="s">
        <v>309</v>
      </c>
      <c r="D231" s="747"/>
      <c r="E231" s="90"/>
      <c r="F231" s="90"/>
      <c r="G231" s="90"/>
      <c r="H231" s="96"/>
      <c r="I231" s="90"/>
      <c r="J231" s="93"/>
      <c r="K231" s="90"/>
      <c r="L231" s="90"/>
      <c r="M231" s="93"/>
      <c r="N231" s="90"/>
      <c r="O231" s="93"/>
      <c r="P231" s="93"/>
      <c r="Q231" s="93"/>
      <c r="R231" s="93"/>
      <c r="S231" s="93"/>
      <c r="T231" s="93"/>
      <c r="U231" s="93"/>
      <c r="V231" s="93"/>
      <c r="W231" s="93"/>
      <c r="X231" s="93"/>
      <c r="Y231" s="93"/>
      <c r="Z231" s="90"/>
      <c r="AA231" s="93"/>
      <c r="AB231" s="93"/>
      <c r="AC231" s="93"/>
      <c r="AD231" s="93"/>
      <c r="AE231" s="93"/>
      <c r="AF231" s="93"/>
      <c r="AG231" s="93"/>
      <c r="AH231" s="93"/>
      <c r="AI231" s="93"/>
      <c r="AJ231" s="93"/>
      <c r="AK231" s="93"/>
      <c r="AL231" s="90"/>
      <c r="AM231" s="93"/>
      <c r="AN231" s="93"/>
      <c r="AO231" s="93"/>
      <c r="AP231" s="93"/>
      <c r="AQ231" s="93"/>
      <c r="AR231" s="93"/>
      <c r="AS231" s="93"/>
      <c r="AT231" s="93"/>
      <c r="AU231" s="93"/>
      <c r="AV231" s="93"/>
      <c r="AW231" s="93"/>
      <c r="AX231" s="90"/>
      <c r="AY231" s="93"/>
      <c r="AZ231" s="93"/>
      <c r="BA231" s="93"/>
      <c r="BB231" s="93"/>
      <c r="BC231" s="93"/>
      <c r="BD231" s="93"/>
      <c r="BE231" s="93"/>
      <c r="BF231" s="93"/>
      <c r="BG231" s="93"/>
      <c r="BH231" s="1"/>
    </row>
    <row r="232" spans="1:60" s="2" customFormat="1" ht="21" hidden="1" x14ac:dyDescent="0.2">
      <c r="A232" s="649"/>
      <c r="B232" s="492" t="s">
        <v>308</v>
      </c>
      <c r="C232" s="739" t="s">
        <v>309</v>
      </c>
      <c r="D232" s="749"/>
      <c r="E232" s="253" t="s">
        <v>310</v>
      </c>
      <c r="F232" s="253"/>
      <c r="G232" s="253"/>
      <c r="H232" s="253"/>
      <c r="I232" s="146"/>
      <c r="J232" s="318" t="str">
        <f>J$10</f>
        <v>totaal</v>
      </c>
      <c r="K232" s="142"/>
      <c r="L232" s="142"/>
      <c r="M232" s="318" t="str">
        <f>M$10</f>
        <v>totaal</v>
      </c>
      <c r="N232" s="222"/>
      <c r="O232" s="320" t="str">
        <f t="shared" ref="O232:W232" si="156">O$17</f>
        <v/>
      </c>
      <c r="P232" s="320" t="str">
        <f t="shared" si="156"/>
        <v/>
      </c>
      <c r="Q232" s="320" t="str">
        <f t="shared" si="156"/>
        <v/>
      </c>
      <c r="R232" s="320" t="str">
        <f t="shared" si="156"/>
        <v/>
      </c>
      <c r="S232" s="320" t="str">
        <f t="shared" si="156"/>
        <v/>
      </c>
      <c r="T232" s="320" t="str">
        <f t="shared" si="156"/>
        <v/>
      </c>
      <c r="U232" s="320" t="str">
        <f t="shared" si="156"/>
        <v/>
      </c>
      <c r="V232" s="320" t="str">
        <f t="shared" si="156"/>
        <v/>
      </c>
      <c r="W232" s="320" t="str">
        <f t="shared" si="156"/>
        <v/>
      </c>
      <c r="X232" s="214"/>
      <c r="Y232" s="318" t="str">
        <f>Y$10</f>
        <v>totaal</v>
      </c>
      <c r="Z232" s="222"/>
      <c r="AA232" s="320" t="str">
        <f t="shared" ref="AA232:AI232" si="157">AA$17</f>
        <v/>
      </c>
      <c r="AB232" s="320" t="str">
        <f t="shared" si="157"/>
        <v/>
      </c>
      <c r="AC232" s="320" t="str">
        <f t="shared" si="157"/>
        <v/>
      </c>
      <c r="AD232" s="320" t="str">
        <f t="shared" si="157"/>
        <v/>
      </c>
      <c r="AE232" s="320" t="str">
        <f t="shared" si="157"/>
        <v/>
      </c>
      <c r="AF232" s="320" t="str">
        <f t="shared" si="157"/>
        <v/>
      </c>
      <c r="AG232" s="320" t="str">
        <f t="shared" si="157"/>
        <v/>
      </c>
      <c r="AH232" s="320" t="str">
        <f t="shared" si="157"/>
        <v/>
      </c>
      <c r="AI232" s="320" t="str">
        <f t="shared" si="157"/>
        <v/>
      </c>
      <c r="AJ232" s="214"/>
      <c r="AK232" s="318" t="str">
        <f>AK$10</f>
        <v>totaal</v>
      </c>
      <c r="AL232" s="222"/>
      <c r="AM232" s="320" t="str">
        <f>AM$17</f>
        <v/>
      </c>
      <c r="AN232" s="320" t="str">
        <f t="shared" ref="AN232:AU232" si="158">AN$17</f>
        <v/>
      </c>
      <c r="AO232" s="320" t="str">
        <f t="shared" si="158"/>
        <v/>
      </c>
      <c r="AP232" s="320" t="str">
        <f t="shared" si="158"/>
        <v/>
      </c>
      <c r="AQ232" s="320" t="str">
        <f t="shared" si="158"/>
        <v/>
      </c>
      <c r="AR232" s="320" t="str">
        <f t="shared" si="158"/>
        <v/>
      </c>
      <c r="AS232" s="320" t="str">
        <f t="shared" si="158"/>
        <v/>
      </c>
      <c r="AT232" s="320" t="str">
        <f t="shared" si="158"/>
        <v/>
      </c>
      <c r="AU232" s="320" t="str">
        <f t="shared" si="158"/>
        <v/>
      </c>
      <c r="AV232" s="214"/>
      <c r="AW232" s="318" t="str">
        <f>AW$10</f>
        <v>totaal</v>
      </c>
      <c r="AX232" s="222"/>
      <c r="AY232" s="320" t="str">
        <f>AY$17</f>
        <v/>
      </c>
      <c r="AZ232" s="320" t="str">
        <f t="shared" ref="AZ232:BG232" si="159">AZ$17</f>
        <v/>
      </c>
      <c r="BA232" s="320" t="str">
        <f t="shared" si="159"/>
        <v/>
      </c>
      <c r="BB232" s="320" t="str">
        <f t="shared" si="159"/>
        <v/>
      </c>
      <c r="BC232" s="320" t="str">
        <f t="shared" si="159"/>
        <v/>
      </c>
      <c r="BD232" s="320" t="str">
        <f t="shared" si="159"/>
        <v/>
      </c>
      <c r="BE232" s="320" t="str">
        <f t="shared" si="159"/>
        <v/>
      </c>
      <c r="BF232" s="320" t="str">
        <f t="shared" si="159"/>
        <v/>
      </c>
      <c r="BG232" s="320" t="str">
        <f t="shared" si="159"/>
        <v/>
      </c>
      <c r="BH232" s="1"/>
    </row>
    <row r="233" spans="1:60" ht="18.75" hidden="1" x14ac:dyDescent="0.2">
      <c r="A233" s="648"/>
      <c r="B233" s="492" t="s">
        <v>308</v>
      </c>
      <c r="C233" s="739" t="s">
        <v>309</v>
      </c>
      <c r="D233" s="747"/>
      <c r="E233" s="236" t="s">
        <v>311</v>
      </c>
      <c r="F233" s="236"/>
      <c r="G233" s="236"/>
      <c r="H233" s="89"/>
      <c r="I233" s="236"/>
      <c r="J233" s="236"/>
      <c r="K233" s="236"/>
      <c r="L233" s="236"/>
      <c r="M233" s="236"/>
      <c r="N233" s="236"/>
      <c r="O233" s="236"/>
      <c r="P233" s="236"/>
      <c r="Q233" s="236"/>
      <c r="R233" s="236"/>
      <c r="S233" s="236"/>
      <c r="T233" s="236"/>
      <c r="U233" s="236"/>
      <c r="V233" s="236"/>
      <c r="W233" s="236"/>
      <c r="X233" s="236"/>
      <c r="Y233" s="236"/>
      <c r="Z233" s="236"/>
      <c r="AA233" s="236"/>
      <c r="AB233" s="236"/>
      <c r="AC233" s="236"/>
      <c r="AD233" s="236"/>
      <c r="AE233" s="236"/>
      <c r="AF233" s="236"/>
      <c r="AG233" s="236"/>
      <c r="AH233" s="236"/>
      <c r="AI233" s="236"/>
      <c r="AJ233" s="236"/>
      <c r="AK233" s="236"/>
      <c r="AL233" s="236"/>
      <c r="AM233" s="236"/>
      <c r="AN233" s="236"/>
      <c r="AO233" s="236"/>
      <c r="AP233" s="236"/>
      <c r="AQ233" s="236"/>
      <c r="AR233" s="236"/>
      <c r="AS233" s="236"/>
      <c r="AT233" s="236"/>
      <c r="AU233" s="236"/>
      <c r="AV233" s="236"/>
      <c r="AW233" s="236"/>
      <c r="AX233" s="236"/>
      <c r="AY233" s="236"/>
      <c r="AZ233" s="236"/>
      <c r="BA233" s="236"/>
      <c r="BB233" s="236"/>
      <c r="BC233" s="236"/>
      <c r="BD233" s="236"/>
      <c r="BE233" s="236"/>
      <c r="BF233" s="236"/>
      <c r="BG233" s="236"/>
      <c r="BH233" s="38"/>
    </row>
    <row r="234" spans="1:60" hidden="1" x14ac:dyDescent="0.2">
      <c r="A234" s="648"/>
      <c r="B234" s="492" t="s">
        <v>308</v>
      </c>
      <c r="C234" s="739" t="s">
        <v>309</v>
      </c>
      <c r="D234" s="750" t="s">
        <v>50</v>
      </c>
      <c r="E234" s="220" t="s">
        <v>312</v>
      </c>
      <c r="F234" s="220"/>
      <c r="G234" s="220"/>
      <c r="H234" s="242" t="s">
        <v>70</v>
      </c>
      <c r="I234" s="129"/>
      <c r="J234" s="230"/>
      <c r="K234" s="236"/>
      <c r="L234" s="236"/>
      <c r="M234" s="423">
        <f>SUM(N234:X234)</f>
        <v>0</v>
      </c>
      <c r="N234" s="424"/>
      <c r="O234" s="273">
        <f t="shared" ref="O234:W234" si="160">IF(OR(O$19="",$M60=0),0,O$32*O60/$M60/1000)</f>
        <v>0</v>
      </c>
      <c r="P234" s="273">
        <f t="shared" si="160"/>
        <v>0</v>
      </c>
      <c r="Q234" s="273">
        <f t="shared" si="160"/>
        <v>0</v>
      </c>
      <c r="R234" s="273">
        <f t="shared" si="160"/>
        <v>0</v>
      </c>
      <c r="S234" s="273">
        <f t="shared" si="160"/>
        <v>0</v>
      </c>
      <c r="T234" s="273">
        <f t="shared" si="160"/>
        <v>0</v>
      </c>
      <c r="U234" s="273">
        <f t="shared" si="160"/>
        <v>0</v>
      </c>
      <c r="V234" s="273">
        <f t="shared" si="160"/>
        <v>0</v>
      </c>
      <c r="W234" s="273">
        <f t="shared" si="160"/>
        <v>0</v>
      </c>
      <c r="X234" s="422"/>
      <c r="Y234" s="423">
        <f>SUM(Z234:AJ234)</f>
        <v>0</v>
      </c>
      <c r="Z234" s="424"/>
      <c r="AA234" s="273">
        <f t="shared" ref="AA234:AI234" si="161">IF(OR(AA$19="",$Y60=0),0,AA$32*AA60/$Y60/1000)</f>
        <v>0</v>
      </c>
      <c r="AB234" s="273">
        <f t="shared" si="161"/>
        <v>0</v>
      </c>
      <c r="AC234" s="273">
        <f t="shared" si="161"/>
        <v>0</v>
      </c>
      <c r="AD234" s="273">
        <f t="shared" si="161"/>
        <v>0</v>
      </c>
      <c r="AE234" s="273">
        <f t="shared" si="161"/>
        <v>0</v>
      </c>
      <c r="AF234" s="273">
        <f t="shared" si="161"/>
        <v>0</v>
      </c>
      <c r="AG234" s="273">
        <f t="shared" si="161"/>
        <v>0</v>
      </c>
      <c r="AH234" s="273">
        <f t="shared" si="161"/>
        <v>0</v>
      </c>
      <c r="AI234" s="273">
        <f t="shared" si="161"/>
        <v>0</v>
      </c>
      <c r="AJ234" s="422"/>
      <c r="AK234" s="423">
        <f>SUM(AL234:AV234)</f>
        <v>0</v>
      </c>
      <c r="AL234" s="424"/>
      <c r="AM234" s="273">
        <f t="shared" ref="AM234:AU234" si="162">IF(OR(AM$19="",$AK60=0),0,AM$32*AM60/$AK60/1000)</f>
        <v>0</v>
      </c>
      <c r="AN234" s="273">
        <f t="shared" si="162"/>
        <v>0</v>
      </c>
      <c r="AO234" s="273">
        <f t="shared" si="162"/>
        <v>0</v>
      </c>
      <c r="AP234" s="273">
        <f t="shared" si="162"/>
        <v>0</v>
      </c>
      <c r="AQ234" s="273">
        <f t="shared" si="162"/>
        <v>0</v>
      </c>
      <c r="AR234" s="273">
        <f t="shared" si="162"/>
        <v>0</v>
      </c>
      <c r="AS234" s="273">
        <f t="shared" si="162"/>
        <v>0</v>
      </c>
      <c r="AT234" s="273">
        <f t="shared" si="162"/>
        <v>0</v>
      </c>
      <c r="AU234" s="273">
        <f t="shared" si="162"/>
        <v>0</v>
      </c>
      <c r="AV234" s="422"/>
      <c r="AW234" s="423">
        <f>SUM(AX234:BH234)</f>
        <v>0</v>
      </c>
      <c r="AX234" s="424"/>
      <c r="AY234" s="273">
        <f t="shared" ref="AY234:BG234" si="163">IF(OR(AY$19="",$AW60=0),0,AY$32*AY60/$AW60/1000)</f>
        <v>0</v>
      </c>
      <c r="AZ234" s="273">
        <f t="shared" si="163"/>
        <v>0</v>
      </c>
      <c r="BA234" s="273">
        <f t="shared" si="163"/>
        <v>0</v>
      </c>
      <c r="BB234" s="273">
        <f t="shared" si="163"/>
        <v>0</v>
      </c>
      <c r="BC234" s="273">
        <f t="shared" si="163"/>
        <v>0</v>
      </c>
      <c r="BD234" s="273">
        <f t="shared" si="163"/>
        <v>0</v>
      </c>
      <c r="BE234" s="273">
        <f t="shared" si="163"/>
        <v>0</v>
      </c>
      <c r="BF234" s="273">
        <f t="shared" si="163"/>
        <v>0</v>
      </c>
      <c r="BG234" s="273">
        <f t="shared" si="163"/>
        <v>0</v>
      </c>
      <c r="BH234" s="255"/>
    </row>
    <row r="235" spans="1:60" hidden="1" x14ac:dyDescent="0.2">
      <c r="A235" s="648"/>
      <c r="B235" s="492" t="s">
        <v>308</v>
      </c>
      <c r="C235" s="739" t="s">
        <v>309</v>
      </c>
      <c r="D235" s="747"/>
      <c r="E235" s="220" t="s">
        <v>313</v>
      </c>
      <c r="F235" s="220"/>
      <c r="G235" s="220"/>
      <c r="H235" s="242" t="s">
        <v>70</v>
      </c>
      <c r="I235" s="129"/>
      <c r="J235" s="230"/>
      <c r="K235" s="236"/>
      <c r="L235" s="236"/>
      <c r="M235" s="423">
        <f>SUM(N235:X235)</f>
        <v>0</v>
      </c>
      <c r="N235" s="424"/>
      <c r="O235" s="273">
        <f t="shared" ref="O235:W235" si="164">IF(OR(O$19="",$M61=0),0,O$32*O61/$M61/1000)</f>
        <v>0</v>
      </c>
      <c r="P235" s="273">
        <f t="shared" si="164"/>
        <v>0</v>
      </c>
      <c r="Q235" s="273">
        <f t="shared" si="164"/>
        <v>0</v>
      </c>
      <c r="R235" s="273">
        <f t="shared" si="164"/>
        <v>0</v>
      </c>
      <c r="S235" s="273">
        <f t="shared" si="164"/>
        <v>0</v>
      </c>
      <c r="T235" s="273">
        <f t="shared" si="164"/>
        <v>0</v>
      </c>
      <c r="U235" s="273">
        <f t="shared" si="164"/>
        <v>0</v>
      </c>
      <c r="V235" s="273">
        <f t="shared" si="164"/>
        <v>0</v>
      </c>
      <c r="W235" s="273">
        <f t="shared" si="164"/>
        <v>0</v>
      </c>
      <c r="X235" s="422"/>
      <c r="Y235" s="423">
        <f>SUM(Z235:AJ235)</f>
        <v>0</v>
      </c>
      <c r="Z235" s="424"/>
      <c r="AA235" s="273">
        <f t="shared" ref="AA235:AI235" si="165">IF(OR(AA$19="",$Y61=0),0,AA$32*AA61/$Y61/1000)</f>
        <v>0</v>
      </c>
      <c r="AB235" s="273">
        <f t="shared" si="165"/>
        <v>0</v>
      </c>
      <c r="AC235" s="273">
        <f t="shared" si="165"/>
        <v>0</v>
      </c>
      <c r="AD235" s="273">
        <f t="shared" si="165"/>
        <v>0</v>
      </c>
      <c r="AE235" s="273">
        <f t="shared" si="165"/>
        <v>0</v>
      </c>
      <c r="AF235" s="273">
        <f t="shared" si="165"/>
        <v>0</v>
      </c>
      <c r="AG235" s="273">
        <f t="shared" si="165"/>
        <v>0</v>
      </c>
      <c r="AH235" s="273">
        <f t="shared" si="165"/>
        <v>0</v>
      </c>
      <c r="AI235" s="273">
        <f t="shared" si="165"/>
        <v>0</v>
      </c>
      <c r="AJ235" s="422"/>
      <c r="AK235" s="423">
        <f>SUM(AL235:AV235)</f>
        <v>0</v>
      </c>
      <c r="AL235" s="424"/>
      <c r="AM235" s="273">
        <f t="shared" ref="AM235:AU235" si="166">IF(OR(AM$19="",$AK61=0),0,AM$32*AM61/$AK61/1000)</f>
        <v>0</v>
      </c>
      <c r="AN235" s="273">
        <f t="shared" si="166"/>
        <v>0</v>
      </c>
      <c r="AO235" s="273">
        <f t="shared" si="166"/>
        <v>0</v>
      </c>
      <c r="AP235" s="273">
        <f t="shared" si="166"/>
        <v>0</v>
      </c>
      <c r="AQ235" s="273">
        <f t="shared" si="166"/>
        <v>0</v>
      </c>
      <c r="AR235" s="273">
        <f t="shared" si="166"/>
        <v>0</v>
      </c>
      <c r="AS235" s="273">
        <f t="shared" si="166"/>
        <v>0</v>
      </c>
      <c r="AT235" s="273">
        <f t="shared" si="166"/>
        <v>0</v>
      </c>
      <c r="AU235" s="273">
        <f t="shared" si="166"/>
        <v>0</v>
      </c>
      <c r="AV235" s="422"/>
      <c r="AW235" s="423">
        <f>SUM(AX235:BH235)</f>
        <v>0</v>
      </c>
      <c r="AX235" s="424"/>
      <c r="AY235" s="273">
        <f t="shared" ref="AY235:BG235" si="167">IF(OR(AY$19="",$AW61=0),0,AY$32*AY61/$AW61/1000)</f>
        <v>0</v>
      </c>
      <c r="AZ235" s="273">
        <f t="shared" si="167"/>
        <v>0</v>
      </c>
      <c r="BA235" s="273">
        <f t="shared" si="167"/>
        <v>0</v>
      </c>
      <c r="BB235" s="273">
        <f t="shared" si="167"/>
        <v>0</v>
      </c>
      <c r="BC235" s="273">
        <f t="shared" si="167"/>
        <v>0</v>
      </c>
      <c r="BD235" s="273">
        <f t="shared" si="167"/>
        <v>0</v>
      </c>
      <c r="BE235" s="273">
        <f t="shared" si="167"/>
        <v>0</v>
      </c>
      <c r="BF235" s="273">
        <f t="shared" si="167"/>
        <v>0</v>
      </c>
      <c r="BG235" s="273">
        <f t="shared" si="167"/>
        <v>0</v>
      </c>
      <c r="BH235" s="255"/>
    </row>
    <row r="236" spans="1:60" hidden="1" x14ac:dyDescent="0.2">
      <c r="A236" s="648"/>
      <c r="B236" s="492" t="s">
        <v>308</v>
      </c>
      <c r="C236" s="739" t="s">
        <v>309</v>
      </c>
      <c r="D236" s="747"/>
      <c r="E236" s="220" t="s">
        <v>314</v>
      </c>
      <c r="F236" s="220"/>
      <c r="G236" s="220"/>
      <c r="H236" s="242" t="s">
        <v>70</v>
      </c>
      <c r="I236" s="129"/>
      <c r="J236" s="230"/>
      <c r="K236" s="236"/>
      <c r="L236" s="236"/>
      <c r="M236" s="423">
        <f>SUM(N236:X236)</f>
        <v>0</v>
      </c>
      <c r="N236" s="424"/>
      <c r="O236" s="273">
        <f t="shared" ref="O236:W236" si="168">IF(OR(O$19="",$M$62=0),0,O$32*O62/$M62/1000)</f>
        <v>0</v>
      </c>
      <c r="P236" s="273">
        <f t="shared" si="168"/>
        <v>0</v>
      </c>
      <c r="Q236" s="273">
        <f t="shared" si="168"/>
        <v>0</v>
      </c>
      <c r="R236" s="273">
        <f t="shared" si="168"/>
        <v>0</v>
      </c>
      <c r="S236" s="273">
        <f t="shared" si="168"/>
        <v>0</v>
      </c>
      <c r="T236" s="273">
        <f t="shared" si="168"/>
        <v>0</v>
      </c>
      <c r="U236" s="273">
        <f t="shared" si="168"/>
        <v>0</v>
      </c>
      <c r="V236" s="273">
        <f t="shared" si="168"/>
        <v>0</v>
      </c>
      <c r="W236" s="273">
        <f t="shared" si="168"/>
        <v>0</v>
      </c>
      <c r="X236" s="422"/>
      <c r="Y236" s="423">
        <f>SUM(Z236:AJ236)</f>
        <v>0</v>
      </c>
      <c r="Z236" s="424"/>
      <c r="AA236" s="273">
        <f t="shared" ref="AA236:AI236" si="169">IF(OR(AA$19="",$Y$62=0),0,AA$32*AA62/$Y62/1000)</f>
        <v>0</v>
      </c>
      <c r="AB236" s="273">
        <f t="shared" si="169"/>
        <v>0</v>
      </c>
      <c r="AC236" s="273">
        <f t="shared" si="169"/>
        <v>0</v>
      </c>
      <c r="AD236" s="273">
        <f t="shared" si="169"/>
        <v>0</v>
      </c>
      <c r="AE236" s="273">
        <f t="shared" si="169"/>
        <v>0</v>
      </c>
      <c r="AF236" s="273">
        <f t="shared" si="169"/>
        <v>0</v>
      </c>
      <c r="AG236" s="273">
        <f t="shared" si="169"/>
        <v>0</v>
      </c>
      <c r="AH236" s="273">
        <f t="shared" si="169"/>
        <v>0</v>
      </c>
      <c r="AI236" s="273">
        <f t="shared" si="169"/>
        <v>0</v>
      </c>
      <c r="AJ236" s="422"/>
      <c r="AK236" s="423">
        <f>SUM(AL236:AV236)</f>
        <v>0</v>
      </c>
      <c r="AL236" s="424"/>
      <c r="AM236" s="273">
        <f t="shared" ref="AM236:AU236" si="170">IF(OR(AM$19="",$AK$62=0),0,AM$32*AM62/$AK62/1000)</f>
        <v>0</v>
      </c>
      <c r="AN236" s="273">
        <f t="shared" si="170"/>
        <v>0</v>
      </c>
      <c r="AO236" s="273">
        <f t="shared" si="170"/>
        <v>0</v>
      </c>
      <c r="AP236" s="273">
        <f t="shared" si="170"/>
        <v>0</v>
      </c>
      <c r="AQ236" s="273">
        <f t="shared" si="170"/>
        <v>0</v>
      </c>
      <c r="AR236" s="273">
        <f t="shared" si="170"/>
        <v>0</v>
      </c>
      <c r="AS236" s="273">
        <f t="shared" si="170"/>
        <v>0</v>
      </c>
      <c r="AT236" s="273">
        <f t="shared" si="170"/>
        <v>0</v>
      </c>
      <c r="AU236" s="273">
        <f t="shared" si="170"/>
        <v>0</v>
      </c>
      <c r="AV236" s="422"/>
      <c r="AW236" s="423">
        <f>SUM(AX236:BH236)</f>
        <v>0</v>
      </c>
      <c r="AX236" s="424"/>
      <c r="AY236" s="273">
        <f t="shared" ref="AY236:BG236" si="171">IF(OR(AY$19="",$AW$62=0),0,AY$32*AY62/$AW62/1000)</f>
        <v>0</v>
      </c>
      <c r="AZ236" s="273">
        <f t="shared" si="171"/>
        <v>0</v>
      </c>
      <c r="BA236" s="273">
        <f t="shared" si="171"/>
        <v>0</v>
      </c>
      <c r="BB236" s="273">
        <f t="shared" si="171"/>
        <v>0</v>
      </c>
      <c r="BC236" s="273">
        <f t="shared" si="171"/>
        <v>0</v>
      </c>
      <c r="BD236" s="273">
        <f t="shared" si="171"/>
        <v>0</v>
      </c>
      <c r="BE236" s="273">
        <f t="shared" si="171"/>
        <v>0</v>
      </c>
      <c r="BF236" s="273">
        <f t="shared" si="171"/>
        <v>0</v>
      </c>
      <c r="BG236" s="273">
        <f t="shared" si="171"/>
        <v>0</v>
      </c>
      <c r="BH236" s="255"/>
    </row>
    <row r="237" spans="1:60" hidden="1" x14ac:dyDescent="0.2">
      <c r="A237" s="648"/>
      <c r="B237" s="492" t="s">
        <v>308</v>
      </c>
      <c r="C237" s="739" t="s">
        <v>309</v>
      </c>
      <c r="D237" s="747"/>
      <c r="E237" s="90"/>
      <c r="F237" s="90"/>
      <c r="G237" s="90"/>
      <c r="H237" s="96"/>
      <c r="I237" s="90"/>
      <c r="J237" s="93"/>
      <c r="K237" s="90"/>
      <c r="L237" s="90"/>
      <c r="M237" s="93"/>
      <c r="N237" s="90"/>
      <c r="O237" s="92"/>
      <c r="P237" s="93"/>
      <c r="Q237" s="93"/>
      <c r="R237" s="93"/>
      <c r="S237" s="93"/>
      <c r="T237" s="93"/>
      <c r="U237" s="93"/>
      <c r="V237" s="93"/>
      <c r="W237" s="93"/>
      <c r="X237" s="93"/>
      <c r="Y237" s="93"/>
      <c r="Z237" s="90"/>
      <c r="AA237" s="93"/>
      <c r="AB237" s="93"/>
      <c r="AC237" s="93"/>
      <c r="AD237" s="93"/>
      <c r="AE237" s="93"/>
      <c r="AF237" s="93"/>
      <c r="AG237" s="93"/>
      <c r="AH237" s="93"/>
      <c r="AI237" s="93"/>
      <c r="AJ237" s="93"/>
      <c r="AK237" s="93"/>
      <c r="AL237" s="90"/>
      <c r="AM237" s="93"/>
      <c r="AN237" s="93"/>
      <c r="AO237" s="93"/>
      <c r="AP237" s="93"/>
      <c r="AQ237" s="93"/>
      <c r="AR237" s="93"/>
      <c r="AS237" s="93"/>
      <c r="AT237" s="93"/>
      <c r="AU237" s="93"/>
      <c r="AV237" s="93"/>
      <c r="AW237" s="93"/>
      <c r="AX237" s="90"/>
      <c r="AY237" s="93"/>
      <c r="AZ237" s="93"/>
      <c r="BA237" s="93"/>
      <c r="BB237" s="93"/>
      <c r="BC237" s="93"/>
      <c r="BD237" s="93"/>
      <c r="BE237" s="93"/>
      <c r="BF237" s="93"/>
      <c r="BG237" s="93"/>
      <c r="BH237" s="1"/>
    </row>
    <row r="238" spans="1:60" x14ac:dyDescent="0.2">
      <c r="A238" s="648"/>
      <c r="B238" s="492" t="s">
        <v>315</v>
      </c>
      <c r="C238" s="656" t="s">
        <v>104</v>
      </c>
      <c r="D238" s="747"/>
      <c r="E238" s="90"/>
      <c r="F238" s="90"/>
      <c r="G238" s="90"/>
      <c r="H238" s="96"/>
      <c r="I238" s="90"/>
      <c r="J238" s="93"/>
      <c r="K238" s="90"/>
      <c r="L238" s="90"/>
      <c r="M238" s="93"/>
      <c r="N238" s="90"/>
      <c r="O238" s="93"/>
      <c r="P238" s="93"/>
      <c r="Q238" s="93"/>
      <c r="R238" s="93"/>
      <c r="S238" s="93"/>
      <c r="T238" s="93"/>
      <c r="U238" s="93"/>
      <c r="V238" s="93"/>
      <c r="W238" s="93"/>
      <c r="X238" s="93"/>
      <c r="Y238" s="93"/>
      <c r="Z238" s="90"/>
      <c r="AA238" s="93"/>
      <c r="AB238" s="93"/>
      <c r="AC238" s="93"/>
      <c r="AD238" s="93"/>
      <c r="AE238" s="93"/>
      <c r="AF238" s="93"/>
      <c r="AG238" s="93"/>
      <c r="AH238" s="93"/>
      <c r="AI238" s="93"/>
      <c r="AJ238" s="93"/>
      <c r="AK238" s="93"/>
      <c r="AL238" s="90"/>
      <c r="AM238" s="93"/>
      <c r="AN238" s="93"/>
      <c r="AO238" s="93"/>
      <c r="AP238" s="93"/>
      <c r="AQ238" s="93"/>
      <c r="AR238" s="93"/>
      <c r="AS238" s="93"/>
      <c r="AT238" s="93"/>
      <c r="AU238" s="93"/>
      <c r="AV238" s="93"/>
      <c r="AW238" s="93"/>
      <c r="AX238" s="90"/>
      <c r="AY238" s="93"/>
      <c r="AZ238" s="93"/>
      <c r="BA238" s="93"/>
      <c r="BB238" s="93"/>
      <c r="BC238" s="93"/>
      <c r="BD238" s="93"/>
      <c r="BE238" s="93"/>
      <c r="BF238" s="93"/>
      <c r="BG238" s="93"/>
      <c r="BH238" s="1"/>
    </row>
    <row r="239" spans="1:60" s="2" customFormat="1" ht="21" x14ac:dyDescent="0.2">
      <c r="A239" s="649"/>
      <c r="B239" s="492" t="s">
        <v>315</v>
      </c>
      <c r="C239" s="739" t="s">
        <v>104</v>
      </c>
      <c r="D239" s="749" t="s">
        <v>50</v>
      </c>
      <c r="E239" s="253" t="s">
        <v>114</v>
      </c>
      <c r="F239" s="253"/>
      <c r="G239" s="253"/>
      <c r="H239" s="253"/>
      <c r="I239" s="146"/>
      <c r="J239" s="318" t="str">
        <f>J$10&amp;" MWh"</f>
        <v>totaal MWh</v>
      </c>
      <c r="K239" s="142"/>
      <c r="L239" s="142"/>
      <c r="M239" s="318" t="str">
        <f>M$10&amp;" MWh"</f>
        <v>totaal MWh</v>
      </c>
      <c r="N239" s="222"/>
      <c r="O239" s="320" t="str">
        <f t="shared" ref="O239:W239" si="172">O$17</f>
        <v/>
      </c>
      <c r="P239" s="320" t="str">
        <f t="shared" si="172"/>
        <v/>
      </c>
      <c r="Q239" s="320" t="str">
        <f t="shared" si="172"/>
        <v/>
      </c>
      <c r="R239" s="320" t="str">
        <f t="shared" si="172"/>
        <v/>
      </c>
      <c r="S239" s="320" t="str">
        <f t="shared" si="172"/>
        <v/>
      </c>
      <c r="T239" s="320" t="str">
        <f t="shared" si="172"/>
        <v/>
      </c>
      <c r="U239" s="320" t="str">
        <f t="shared" si="172"/>
        <v/>
      </c>
      <c r="V239" s="320" t="str">
        <f t="shared" si="172"/>
        <v/>
      </c>
      <c r="W239" s="320" t="str">
        <f t="shared" si="172"/>
        <v/>
      </c>
      <c r="X239" s="214"/>
      <c r="Y239" s="318" t="str">
        <f>Y$10&amp;" MWh"</f>
        <v>totaal MWh</v>
      </c>
      <c r="Z239" s="222"/>
      <c r="AA239" s="320" t="str">
        <f t="shared" ref="AA239:AI239" si="173">AA$17</f>
        <v/>
      </c>
      <c r="AB239" s="320" t="str">
        <f t="shared" si="173"/>
        <v/>
      </c>
      <c r="AC239" s="320" t="str">
        <f t="shared" si="173"/>
        <v/>
      </c>
      <c r="AD239" s="320" t="str">
        <f t="shared" si="173"/>
        <v/>
      </c>
      <c r="AE239" s="320" t="str">
        <f t="shared" si="173"/>
        <v/>
      </c>
      <c r="AF239" s="320" t="str">
        <f t="shared" si="173"/>
        <v/>
      </c>
      <c r="AG239" s="320" t="str">
        <f t="shared" si="173"/>
        <v/>
      </c>
      <c r="AH239" s="320" t="str">
        <f t="shared" si="173"/>
        <v/>
      </c>
      <c r="AI239" s="320" t="str">
        <f t="shared" si="173"/>
        <v/>
      </c>
      <c r="AJ239" s="214"/>
      <c r="AK239" s="318" t="str">
        <f>AK$10&amp;" MWh"</f>
        <v>totaal MWh</v>
      </c>
      <c r="AL239" s="222"/>
      <c r="AM239" s="320" t="str">
        <f>AM$17</f>
        <v/>
      </c>
      <c r="AN239" s="320" t="str">
        <f t="shared" ref="AN239:AU239" si="174">AN$17</f>
        <v/>
      </c>
      <c r="AO239" s="320" t="str">
        <f t="shared" si="174"/>
        <v/>
      </c>
      <c r="AP239" s="320" t="str">
        <f t="shared" si="174"/>
        <v/>
      </c>
      <c r="AQ239" s="320" t="str">
        <f t="shared" si="174"/>
        <v/>
      </c>
      <c r="AR239" s="320" t="str">
        <f t="shared" si="174"/>
        <v/>
      </c>
      <c r="AS239" s="320" t="str">
        <f t="shared" si="174"/>
        <v/>
      </c>
      <c r="AT239" s="320" t="str">
        <f t="shared" si="174"/>
        <v/>
      </c>
      <c r="AU239" s="320" t="str">
        <f t="shared" si="174"/>
        <v/>
      </c>
      <c r="AV239" s="214"/>
      <c r="AW239" s="318" t="str">
        <f>AW$10&amp;" MWh"</f>
        <v>totaal MWh</v>
      </c>
      <c r="AX239" s="222"/>
      <c r="AY239" s="320" t="str">
        <f>AY$17</f>
        <v/>
      </c>
      <c r="AZ239" s="320" t="str">
        <f t="shared" ref="AZ239:BG239" si="175">AZ$17</f>
        <v/>
      </c>
      <c r="BA239" s="320" t="str">
        <f t="shared" si="175"/>
        <v/>
      </c>
      <c r="BB239" s="320" t="str">
        <f t="shared" si="175"/>
        <v/>
      </c>
      <c r="BC239" s="320" t="str">
        <f t="shared" si="175"/>
        <v/>
      </c>
      <c r="BD239" s="320" t="str">
        <f t="shared" si="175"/>
        <v/>
      </c>
      <c r="BE239" s="320" t="str">
        <f t="shared" si="175"/>
        <v/>
      </c>
      <c r="BF239" s="320" t="str">
        <f t="shared" si="175"/>
        <v/>
      </c>
      <c r="BG239" s="320" t="str">
        <f t="shared" si="175"/>
        <v/>
      </c>
      <c r="BH239" s="1"/>
    </row>
    <row r="240" spans="1:60" ht="18.75" x14ac:dyDescent="0.2">
      <c r="A240" s="648"/>
      <c r="B240" s="492" t="s">
        <v>315</v>
      </c>
      <c r="C240" s="739" t="s">
        <v>104</v>
      </c>
      <c r="D240" s="747"/>
      <c r="E240" s="236" t="s">
        <v>316</v>
      </c>
      <c r="F240" s="236"/>
      <c r="G240" s="236"/>
      <c r="H240" s="89"/>
      <c r="I240" s="236"/>
      <c r="J240" s="236"/>
      <c r="K240" s="236"/>
      <c r="L240" s="236"/>
      <c r="M240" s="236"/>
      <c r="N240" s="236"/>
      <c r="O240" s="236"/>
      <c r="P240" s="236"/>
      <c r="Q240" s="236"/>
      <c r="R240" s="236"/>
      <c r="S240" s="236"/>
      <c r="T240" s="236"/>
      <c r="U240" s="236"/>
      <c r="V240" s="236"/>
      <c r="W240" s="236"/>
      <c r="X240" s="236"/>
      <c r="Y240" s="236"/>
      <c r="Z240" s="236"/>
      <c r="AA240" s="236"/>
      <c r="AB240" s="236"/>
      <c r="AC240" s="236"/>
      <c r="AD240" s="236"/>
      <c r="AE240" s="236"/>
      <c r="AF240" s="236"/>
      <c r="AG240" s="236"/>
      <c r="AH240" s="236"/>
      <c r="AI240" s="236"/>
      <c r="AJ240" s="236"/>
      <c r="AK240" s="236"/>
      <c r="AL240" s="236"/>
      <c r="AM240" s="236"/>
      <c r="AN240" s="236"/>
      <c r="AO240" s="236"/>
      <c r="AP240" s="236"/>
      <c r="AQ240" s="236"/>
      <c r="AR240" s="236"/>
      <c r="AS240" s="236"/>
      <c r="AT240" s="236"/>
      <c r="AU240" s="236"/>
      <c r="AV240" s="236"/>
      <c r="AW240" s="236"/>
      <c r="AX240" s="236"/>
      <c r="AY240" s="236"/>
      <c r="AZ240" s="236"/>
      <c r="BA240" s="236"/>
      <c r="BB240" s="236"/>
      <c r="BC240" s="236"/>
      <c r="BD240" s="236"/>
      <c r="BE240" s="236"/>
      <c r="BF240" s="236"/>
      <c r="BG240" s="236"/>
      <c r="BH240" s="38"/>
    </row>
    <row r="241" spans="1:60" x14ac:dyDescent="0.2">
      <c r="A241" s="648"/>
      <c r="B241" s="492" t="s">
        <v>315</v>
      </c>
      <c r="C241" s="656" t="s">
        <v>113</v>
      </c>
      <c r="D241" s="750"/>
      <c r="E241" s="367" t="str">
        <f>$O$73</f>
        <v>verwarming</v>
      </c>
      <c r="F241" s="220"/>
      <c r="G241" s="220"/>
      <c r="H241" s="242" t="s">
        <v>317</v>
      </c>
      <c r="I241" s="129"/>
      <c r="J241" s="243">
        <f t="shared" ref="J241:J249" si="176">M241+Y241+AK241+AW241</f>
        <v>0</v>
      </c>
      <c r="K241" s="236"/>
      <c r="L241" s="236"/>
      <c r="M241" s="243">
        <f t="shared" ref="M241:M248" si="177">SUMPRODUCT(N241:X241,N$24:X$24,N$31:X$31)/1000</f>
        <v>0</v>
      </c>
      <c r="N241" s="129"/>
      <c r="O241" s="207">
        <f t="shared" ref="O241:W241" si="178">IF(OR(O$24=0,$O$75=0),0,
(($O$117+$O$142+$O$159)/$O$75)*O60)</f>
        <v>0</v>
      </c>
      <c r="P241" s="207">
        <f t="shared" si="178"/>
        <v>0</v>
      </c>
      <c r="Q241" s="207">
        <f t="shared" si="178"/>
        <v>0</v>
      </c>
      <c r="R241" s="207">
        <f t="shared" si="178"/>
        <v>0</v>
      </c>
      <c r="S241" s="207">
        <f t="shared" si="178"/>
        <v>0</v>
      </c>
      <c r="T241" s="207">
        <f t="shared" si="178"/>
        <v>0</v>
      </c>
      <c r="U241" s="207">
        <f t="shared" si="178"/>
        <v>0</v>
      </c>
      <c r="V241" s="207">
        <f t="shared" si="178"/>
        <v>0</v>
      </c>
      <c r="W241" s="207">
        <f t="shared" si="178"/>
        <v>0</v>
      </c>
      <c r="X241" s="128"/>
      <c r="Y241" s="243">
        <f t="shared" ref="Y241:Y248" si="179">SUMPRODUCT(Z241:AJ241,Z$24:AJ$24,Z$31:AJ$31)/1000</f>
        <v>0</v>
      </c>
      <c r="Z241" s="129"/>
      <c r="AA241" s="207">
        <f t="shared" ref="AA241:AI241" si="180">IF(AA$24=0,0,
(($AA$117+$AA$142+$AA$159)/$AA$75)*AA60)</f>
        <v>0</v>
      </c>
      <c r="AB241" s="207">
        <f t="shared" si="180"/>
        <v>0</v>
      </c>
      <c r="AC241" s="207">
        <f t="shared" si="180"/>
        <v>0</v>
      </c>
      <c r="AD241" s="207">
        <f t="shared" si="180"/>
        <v>0</v>
      </c>
      <c r="AE241" s="207">
        <f t="shared" si="180"/>
        <v>0</v>
      </c>
      <c r="AF241" s="207">
        <f t="shared" si="180"/>
        <v>0</v>
      </c>
      <c r="AG241" s="207">
        <f t="shared" si="180"/>
        <v>0</v>
      </c>
      <c r="AH241" s="207">
        <f t="shared" si="180"/>
        <v>0</v>
      </c>
      <c r="AI241" s="207">
        <f t="shared" si="180"/>
        <v>0</v>
      </c>
      <c r="AJ241" s="128"/>
      <c r="AK241" s="243">
        <f t="shared" ref="AK241:AK248" si="181">SUMPRODUCT(AL241:AV241,AL$24:AV$24,AL$31:AV$31)/1000</f>
        <v>0</v>
      </c>
      <c r="AL241" s="129"/>
      <c r="AM241" s="207">
        <f t="shared" ref="AM241:AU241" si="182">IF(AM$24=0,0,
(($AM$117+$AM$142+$AM$159)/$AM$75)*AM60)</f>
        <v>0</v>
      </c>
      <c r="AN241" s="207">
        <f t="shared" si="182"/>
        <v>0</v>
      </c>
      <c r="AO241" s="207">
        <f t="shared" si="182"/>
        <v>0</v>
      </c>
      <c r="AP241" s="207">
        <f t="shared" si="182"/>
        <v>0</v>
      </c>
      <c r="AQ241" s="207">
        <f t="shared" si="182"/>
        <v>0</v>
      </c>
      <c r="AR241" s="207">
        <f t="shared" si="182"/>
        <v>0</v>
      </c>
      <c r="AS241" s="207">
        <f t="shared" si="182"/>
        <v>0</v>
      </c>
      <c r="AT241" s="207">
        <f t="shared" si="182"/>
        <v>0</v>
      </c>
      <c r="AU241" s="207">
        <f t="shared" si="182"/>
        <v>0</v>
      </c>
      <c r="AV241" s="128"/>
      <c r="AW241" s="243">
        <f t="shared" ref="AW241:AW248" si="183">SUMPRODUCT(AX241:BH241,AX$24:BH$24,AX$31:BH$31)/1000</f>
        <v>0</v>
      </c>
      <c r="AX241" s="129"/>
      <c r="AY241" s="207">
        <f t="shared" ref="AY241:BG241" si="184">IF(AY$24=0,0,
(($AY$117+$AY$142+$AY$159)/$AY$75)*AY60)</f>
        <v>0</v>
      </c>
      <c r="AZ241" s="207">
        <f t="shared" si="184"/>
        <v>0</v>
      </c>
      <c r="BA241" s="207">
        <f t="shared" si="184"/>
        <v>0</v>
      </c>
      <c r="BB241" s="207">
        <f t="shared" si="184"/>
        <v>0</v>
      </c>
      <c r="BC241" s="207">
        <f t="shared" si="184"/>
        <v>0</v>
      </c>
      <c r="BD241" s="207">
        <f t="shared" si="184"/>
        <v>0</v>
      </c>
      <c r="BE241" s="207">
        <f t="shared" si="184"/>
        <v>0</v>
      </c>
      <c r="BF241" s="207">
        <f t="shared" si="184"/>
        <v>0</v>
      </c>
      <c r="BG241" s="207">
        <f t="shared" si="184"/>
        <v>0</v>
      </c>
      <c r="BH241" s="255"/>
    </row>
    <row r="242" spans="1:60" x14ac:dyDescent="0.2">
      <c r="A242" s="648"/>
      <c r="B242" s="492" t="s">
        <v>315</v>
      </c>
      <c r="C242" s="656" t="s">
        <v>113</v>
      </c>
      <c r="D242" s="750"/>
      <c r="E242" s="367" t="str">
        <f>$P$73</f>
        <v>koeling</v>
      </c>
      <c r="F242" s="220"/>
      <c r="G242" s="220"/>
      <c r="H242" s="242" t="s">
        <v>317</v>
      </c>
      <c r="I242" s="129"/>
      <c r="J242" s="243">
        <f t="shared" si="176"/>
        <v>0</v>
      </c>
      <c r="K242" s="236"/>
      <c r="L242" s="236"/>
      <c r="M242" s="243">
        <f t="shared" si="177"/>
        <v>0</v>
      </c>
      <c r="N242" s="129"/>
      <c r="O242" s="207">
        <f t="shared" ref="O242:W242" si="185">IF(OR(O$24=0,$P$75=0),0,
(($P$117+$P$142+$P$159)/$P$75)*O61)</f>
        <v>0</v>
      </c>
      <c r="P242" s="207">
        <f t="shared" si="185"/>
        <v>0</v>
      </c>
      <c r="Q242" s="207">
        <f t="shared" si="185"/>
        <v>0</v>
      </c>
      <c r="R242" s="207">
        <f t="shared" si="185"/>
        <v>0</v>
      </c>
      <c r="S242" s="207">
        <f t="shared" si="185"/>
        <v>0</v>
      </c>
      <c r="T242" s="207">
        <f t="shared" si="185"/>
        <v>0</v>
      </c>
      <c r="U242" s="207">
        <f t="shared" si="185"/>
        <v>0</v>
      </c>
      <c r="V242" s="207">
        <f t="shared" si="185"/>
        <v>0</v>
      </c>
      <c r="W242" s="207">
        <f t="shared" si="185"/>
        <v>0</v>
      </c>
      <c r="X242" s="128"/>
      <c r="Y242" s="243">
        <f t="shared" si="179"/>
        <v>0</v>
      </c>
      <c r="Z242" s="129"/>
      <c r="AA242" s="207">
        <f t="shared" ref="AA242:AI242" si="186">IF(OR(AA$24=0,$AB$75=0),0,
(($AB$117+$AB$142+$AB$159)/$AB$75)*AA61)</f>
        <v>0</v>
      </c>
      <c r="AB242" s="207">
        <f t="shared" si="186"/>
        <v>0</v>
      </c>
      <c r="AC242" s="207">
        <f t="shared" si="186"/>
        <v>0</v>
      </c>
      <c r="AD242" s="207">
        <f t="shared" si="186"/>
        <v>0</v>
      </c>
      <c r="AE242" s="207">
        <f t="shared" si="186"/>
        <v>0</v>
      </c>
      <c r="AF242" s="207">
        <f t="shared" si="186"/>
        <v>0</v>
      </c>
      <c r="AG242" s="207">
        <f t="shared" si="186"/>
        <v>0</v>
      </c>
      <c r="AH242" s="207">
        <f t="shared" si="186"/>
        <v>0</v>
      </c>
      <c r="AI242" s="207">
        <f t="shared" si="186"/>
        <v>0</v>
      </c>
      <c r="AJ242" s="128"/>
      <c r="AK242" s="243">
        <f t="shared" si="181"/>
        <v>0</v>
      </c>
      <c r="AL242" s="129"/>
      <c r="AM242" s="207">
        <f t="shared" ref="AM242:AU242" si="187">IF(OR(AM$24=0,$AN$75=0),0,
(($AN$117+$AN$142+$AN$159)/$AN$75)*AM61)</f>
        <v>0</v>
      </c>
      <c r="AN242" s="207">
        <f t="shared" si="187"/>
        <v>0</v>
      </c>
      <c r="AO242" s="207">
        <f t="shared" si="187"/>
        <v>0</v>
      </c>
      <c r="AP242" s="207">
        <f t="shared" si="187"/>
        <v>0</v>
      </c>
      <c r="AQ242" s="207">
        <f t="shared" si="187"/>
        <v>0</v>
      </c>
      <c r="AR242" s="207">
        <f t="shared" si="187"/>
        <v>0</v>
      </c>
      <c r="AS242" s="207">
        <f t="shared" si="187"/>
        <v>0</v>
      </c>
      <c r="AT242" s="207">
        <f t="shared" si="187"/>
        <v>0</v>
      </c>
      <c r="AU242" s="207">
        <f t="shared" si="187"/>
        <v>0</v>
      </c>
      <c r="AV242" s="128"/>
      <c r="AW242" s="243">
        <f t="shared" si="183"/>
        <v>0</v>
      </c>
      <c r="AX242" s="129"/>
      <c r="AY242" s="207">
        <f t="shared" ref="AY242:BG242" si="188">IF(OR(AY$24=0,$AZ$75=0),0,
(($AZ$117+$AZ$142+$AZ$159)/$AZ$75)*AY61)</f>
        <v>0</v>
      </c>
      <c r="AZ242" s="207">
        <f t="shared" si="188"/>
        <v>0</v>
      </c>
      <c r="BA242" s="207">
        <f t="shared" si="188"/>
        <v>0</v>
      </c>
      <c r="BB242" s="207">
        <f t="shared" si="188"/>
        <v>0</v>
      </c>
      <c r="BC242" s="207">
        <f t="shared" si="188"/>
        <v>0</v>
      </c>
      <c r="BD242" s="207">
        <f t="shared" si="188"/>
        <v>0</v>
      </c>
      <c r="BE242" s="207">
        <f t="shared" si="188"/>
        <v>0</v>
      </c>
      <c r="BF242" s="207">
        <f t="shared" si="188"/>
        <v>0</v>
      </c>
      <c r="BG242" s="207">
        <f t="shared" si="188"/>
        <v>0</v>
      </c>
      <c r="BH242" s="255"/>
    </row>
    <row r="243" spans="1:60" x14ac:dyDescent="0.2">
      <c r="A243" s="648"/>
      <c r="B243" s="492" t="s">
        <v>315</v>
      </c>
      <c r="C243" s="656" t="s">
        <v>113</v>
      </c>
      <c r="D243" s="750"/>
      <c r="E243" s="367" t="str">
        <f>$Q$73</f>
        <v>tapwater</v>
      </c>
      <c r="F243" s="220"/>
      <c r="G243" s="220"/>
      <c r="H243" s="242" t="s">
        <v>317</v>
      </c>
      <c r="I243" s="129"/>
      <c r="J243" s="243">
        <f t="shared" si="176"/>
        <v>0</v>
      </c>
      <c r="K243" s="236"/>
      <c r="L243" s="236"/>
      <c r="M243" s="243">
        <f t="shared" si="177"/>
        <v>0</v>
      </c>
      <c r="N243" s="129"/>
      <c r="O243" s="207">
        <f t="shared" ref="O243:W243" si="189">IF(O$24=0,0,
(($Q$117+$Q$142+$Q$159)/$Q$75)*O62)</f>
        <v>0</v>
      </c>
      <c r="P243" s="207">
        <f t="shared" si="189"/>
        <v>0</v>
      </c>
      <c r="Q243" s="207">
        <f t="shared" si="189"/>
        <v>0</v>
      </c>
      <c r="R243" s="207">
        <f t="shared" si="189"/>
        <v>0</v>
      </c>
      <c r="S243" s="207">
        <f t="shared" si="189"/>
        <v>0</v>
      </c>
      <c r="T243" s="207">
        <f t="shared" si="189"/>
        <v>0</v>
      </c>
      <c r="U243" s="207">
        <f t="shared" si="189"/>
        <v>0</v>
      </c>
      <c r="V243" s="207">
        <f t="shared" si="189"/>
        <v>0</v>
      </c>
      <c r="W243" s="207">
        <f t="shared" si="189"/>
        <v>0</v>
      </c>
      <c r="X243" s="128"/>
      <c r="Y243" s="243">
        <f t="shared" si="179"/>
        <v>0</v>
      </c>
      <c r="Z243" s="129"/>
      <c r="AA243" s="207">
        <f t="shared" ref="AA243:AI243" si="190">IF(AA$24=0,0,
(($AC$117+$AC$142+$AC$159)/$AC$75)*AA62)</f>
        <v>0</v>
      </c>
      <c r="AB243" s="207">
        <f t="shared" si="190"/>
        <v>0</v>
      </c>
      <c r="AC243" s="207">
        <f t="shared" si="190"/>
        <v>0</v>
      </c>
      <c r="AD243" s="207">
        <f t="shared" si="190"/>
        <v>0</v>
      </c>
      <c r="AE243" s="207">
        <f t="shared" si="190"/>
        <v>0</v>
      </c>
      <c r="AF243" s="207">
        <f t="shared" si="190"/>
        <v>0</v>
      </c>
      <c r="AG243" s="207">
        <f t="shared" si="190"/>
        <v>0</v>
      </c>
      <c r="AH243" s="207">
        <f t="shared" si="190"/>
        <v>0</v>
      </c>
      <c r="AI243" s="207">
        <f t="shared" si="190"/>
        <v>0</v>
      </c>
      <c r="AJ243" s="128"/>
      <c r="AK243" s="243">
        <f t="shared" si="181"/>
        <v>0</v>
      </c>
      <c r="AL243" s="129"/>
      <c r="AM243" s="207">
        <f t="shared" ref="AM243:AU243" si="191">IF(AM$24=0,0,
(($AO$117+$AO$142+$AO$159)/$AO$75)*AM62)</f>
        <v>0</v>
      </c>
      <c r="AN243" s="207">
        <f t="shared" si="191"/>
        <v>0</v>
      </c>
      <c r="AO243" s="207">
        <f t="shared" si="191"/>
        <v>0</v>
      </c>
      <c r="AP243" s="207">
        <f t="shared" si="191"/>
        <v>0</v>
      </c>
      <c r="AQ243" s="207">
        <f t="shared" si="191"/>
        <v>0</v>
      </c>
      <c r="AR243" s="207">
        <f t="shared" si="191"/>
        <v>0</v>
      </c>
      <c r="AS243" s="207">
        <f t="shared" si="191"/>
        <v>0</v>
      </c>
      <c r="AT243" s="207">
        <f t="shared" si="191"/>
        <v>0</v>
      </c>
      <c r="AU243" s="207">
        <f t="shared" si="191"/>
        <v>0</v>
      </c>
      <c r="AV243" s="128"/>
      <c r="AW243" s="243">
        <f t="shared" si="183"/>
        <v>0</v>
      </c>
      <c r="AX243" s="129"/>
      <c r="AY243" s="207">
        <f t="shared" ref="AY243:BG243" si="192">IF(AY$24=0,0,
(($BA$117+$BA$142+$BA$159)/$BA$75)*AY62)</f>
        <v>0</v>
      </c>
      <c r="AZ243" s="207">
        <f t="shared" si="192"/>
        <v>0</v>
      </c>
      <c r="BA243" s="207">
        <f t="shared" si="192"/>
        <v>0</v>
      </c>
      <c r="BB243" s="207">
        <f t="shared" si="192"/>
        <v>0</v>
      </c>
      <c r="BC243" s="207">
        <f t="shared" si="192"/>
        <v>0</v>
      </c>
      <c r="BD243" s="207">
        <f t="shared" si="192"/>
        <v>0</v>
      </c>
      <c r="BE243" s="207">
        <f t="shared" si="192"/>
        <v>0</v>
      </c>
      <c r="BF243" s="207">
        <f t="shared" si="192"/>
        <v>0</v>
      </c>
      <c r="BG243" s="207">
        <f t="shared" si="192"/>
        <v>0</v>
      </c>
      <c r="BH243" s="255"/>
    </row>
    <row r="244" spans="1:60" x14ac:dyDescent="0.2">
      <c r="A244" s="648"/>
      <c r="B244" s="492" t="s">
        <v>315</v>
      </c>
      <c r="C244" s="656" t="s">
        <v>113</v>
      </c>
      <c r="D244" s="750"/>
      <c r="E244" s="367" t="str">
        <f>$R$73</f>
        <v>verlichting</v>
      </c>
      <c r="F244" s="220"/>
      <c r="G244" s="220"/>
      <c r="H244" s="242" t="s">
        <v>317</v>
      </c>
      <c r="I244" s="129"/>
      <c r="J244" s="243">
        <f t="shared" si="176"/>
        <v>0</v>
      </c>
      <c r="K244" s="236"/>
      <c r="L244" s="236"/>
      <c r="M244" s="243">
        <f t="shared" si="177"/>
        <v>0</v>
      </c>
      <c r="N244" s="129"/>
      <c r="O244" s="207">
        <f t="shared" ref="O244:W244" si="193">IF(O$24=0,0,$R$159/$R$75*O63)</f>
        <v>0</v>
      </c>
      <c r="P244" s="207">
        <f t="shared" si="193"/>
        <v>0</v>
      </c>
      <c r="Q244" s="207">
        <f t="shared" si="193"/>
        <v>0</v>
      </c>
      <c r="R244" s="207">
        <f t="shared" si="193"/>
        <v>0</v>
      </c>
      <c r="S244" s="207">
        <f t="shared" si="193"/>
        <v>0</v>
      </c>
      <c r="T244" s="207">
        <f t="shared" si="193"/>
        <v>0</v>
      </c>
      <c r="U244" s="207">
        <f t="shared" si="193"/>
        <v>0</v>
      </c>
      <c r="V244" s="207">
        <f t="shared" si="193"/>
        <v>0</v>
      </c>
      <c r="W244" s="207">
        <f t="shared" si="193"/>
        <v>0</v>
      </c>
      <c r="X244" s="128"/>
      <c r="Y244" s="243">
        <f t="shared" si="179"/>
        <v>0</v>
      </c>
      <c r="Z244" s="129"/>
      <c r="AA244" s="207">
        <f t="shared" ref="AA244:AI244" si="194">IF(AA$24=0,0,$AD$159/$AD$75*AA63)</f>
        <v>0</v>
      </c>
      <c r="AB244" s="207">
        <f t="shared" si="194"/>
        <v>0</v>
      </c>
      <c r="AC244" s="207">
        <f t="shared" si="194"/>
        <v>0</v>
      </c>
      <c r="AD244" s="207">
        <f t="shared" si="194"/>
        <v>0</v>
      </c>
      <c r="AE244" s="207">
        <f t="shared" si="194"/>
        <v>0</v>
      </c>
      <c r="AF244" s="207">
        <f t="shared" si="194"/>
        <v>0</v>
      </c>
      <c r="AG244" s="207">
        <f t="shared" si="194"/>
        <v>0</v>
      </c>
      <c r="AH244" s="207">
        <f t="shared" si="194"/>
        <v>0</v>
      </c>
      <c r="AI244" s="207">
        <f t="shared" si="194"/>
        <v>0</v>
      </c>
      <c r="AJ244" s="128"/>
      <c r="AK244" s="243">
        <f t="shared" si="181"/>
        <v>0</v>
      </c>
      <c r="AL244" s="129"/>
      <c r="AM244" s="207">
        <f t="shared" ref="AM244:AU244" si="195">IF(AM$24=0,0,$AP$159/$AP$75*AM63)</f>
        <v>0</v>
      </c>
      <c r="AN244" s="207">
        <f t="shared" si="195"/>
        <v>0</v>
      </c>
      <c r="AO244" s="207">
        <f t="shared" si="195"/>
        <v>0</v>
      </c>
      <c r="AP244" s="207">
        <f t="shared" si="195"/>
        <v>0</v>
      </c>
      <c r="AQ244" s="207">
        <f t="shared" si="195"/>
        <v>0</v>
      </c>
      <c r="AR244" s="207">
        <f t="shared" si="195"/>
        <v>0</v>
      </c>
      <c r="AS244" s="207">
        <f t="shared" si="195"/>
        <v>0</v>
      </c>
      <c r="AT244" s="207">
        <f t="shared" si="195"/>
        <v>0</v>
      </c>
      <c r="AU244" s="207">
        <f t="shared" si="195"/>
        <v>0</v>
      </c>
      <c r="AV244" s="128"/>
      <c r="AW244" s="243">
        <f t="shared" si="183"/>
        <v>0</v>
      </c>
      <c r="AX244" s="129"/>
      <c r="AY244" s="207">
        <f t="shared" ref="AY244:BG244" si="196">IF(AY$24=0,0,$BB$159/$BB$75*AY63)</f>
        <v>0</v>
      </c>
      <c r="AZ244" s="207">
        <f t="shared" si="196"/>
        <v>0</v>
      </c>
      <c r="BA244" s="207">
        <f t="shared" si="196"/>
        <v>0</v>
      </c>
      <c r="BB244" s="207">
        <f t="shared" si="196"/>
        <v>0</v>
      </c>
      <c r="BC244" s="207">
        <f t="shared" si="196"/>
        <v>0</v>
      </c>
      <c r="BD244" s="207">
        <f t="shared" si="196"/>
        <v>0</v>
      </c>
      <c r="BE244" s="207">
        <f t="shared" si="196"/>
        <v>0</v>
      </c>
      <c r="BF244" s="207">
        <f t="shared" si="196"/>
        <v>0</v>
      </c>
      <c r="BG244" s="207">
        <f t="shared" si="196"/>
        <v>0</v>
      </c>
      <c r="BH244" s="255"/>
    </row>
    <row r="245" spans="1:60" x14ac:dyDescent="0.2">
      <c r="A245" s="648"/>
      <c r="B245" s="492" t="s">
        <v>315</v>
      </c>
      <c r="C245" s="656" t="s">
        <v>113</v>
      </c>
      <c r="D245" s="750"/>
      <c r="E245" s="367" t="str">
        <f>$S$73</f>
        <v>ventilatoren</v>
      </c>
      <c r="F245" s="220"/>
      <c r="G245" s="220"/>
      <c r="H245" s="242" t="s">
        <v>317</v>
      </c>
      <c r="I245" s="129"/>
      <c r="J245" s="243">
        <f t="shared" si="176"/>
        <v>0</v>
      </c>
      <c r="K245" s="236"/>
      <c r="L245" s="236"/>
      <c r="M245" s="243">
        <f t="shared" si="177"/>
        <v>0</v>
      </c>
      <c r="N245" s="129"/>
      <c r="O245" s="207">
        <f t="shared" ref="O245:W245" si="197">IF(OR(O$24=0,$S$75=0),0,$S$159/$S$75*O64)</f>
        <v>0</v>
      </c>
      <c r="P245" s="207">
        <f t="shared" si="197"/>
        <v>0</v>
      </c>
      <c r="Q245" s="207">
        <f t="shared" si="197"/>
        <v>0</v>
      </c>
      <c r="R245" s="207">
        <f t="shared" si="197"/>
        <v>0</v>
      </c>
      <c r="S245" s="207">
        <f t="shared" si="197"/>
        <v>0</v>
      </c>
      <c r="T245" s="207">
        <f t="shared" si="197"/>
        <v>0</v>
      </c>
      <c r="U245" s="207">
        <f t="shared" si="197"/>
        <v>0</v>
      </c>
      <c r="V245" s="207">
        <f t="shared" si="197"/>
        <v>0</v>
      </c>
      <c r="W245" s="207">
        <f t="shared" si="197"/>
        <v>0</v>
      </c>
      <c r="X245" s="128"/>
      <c r="Y245" s="243">
        <f t="shared" si="179"/>
        <v>0</v>
      </c>
      <c r="Z245" s="129"/>
      <c r="AA245" s="207">
        <f t="shared" ref="AA245:AI245" si="198">IF(OR(AA$24=0,$AE$75=0),0,$AE$159/$AE$75*AA64)</f>
        <v>0</v>
      </c>
      <c r="AB245" s="207">
        <f t="shared" si="198"/>
        <v>0</v>
      </c>
      <c r="AC245" s="207">
        <f t="shared" si="198"/>
        <v>0</v>
      </c>
      <c r="AD245" s="207">
        <f t="shared" si="198"/>
        <v>0</v>
      </c>
      <c r="AE245" s="207">
        <f t="shared" si="198"/>
        <v>0</v>
      </c>
      <c r="AF245" s="207">
        <f t="shared" si="198"/>
        <v>0</v>
      </c>
      <c r="AG245" s="207">
        <f t="shared" si="198"/>
        <v>0</v>
      </c>
      <c r="AH245" s="207">
        <f t="shared" si="198"/>
        <v>0</v>
      </c>
      <c r="AI245" s="207">
        <f t="shared" si="198"/>
        <v>0</v>
      </c>
      <c r="AJ245" s="128"/>
      <c r="AK245" s="243">
        <f t="shared" si="181"/>
        <v>0</v>
      </c>
      <c r="AL245" s="129"/>
      <c r="AM245" s="207">
        <f t="shared" ref="AM245:AU245" si="199">IF(OR(AM$24=0,$AQ$75=0),0,$AQ$159/$AQ$75*AM64)</f>
        <v>0</v>
      </c>
      <c r="AN245" s="207">
        <f t="shared" si="199"/>
        <v>0</v>
      </c>
      <c r="AO245" s="207">
        <f t="shared" si="199"/>
        <v>0</v>
      </c>
      <c r="AP245" s="207">
        <f t="shared" si="199"/>
        <v>0</v>
      </c>
      <c r="AQ245" s="207">
        <f t="shared" si="199"/>
        <v>0</v>
      </c>
      <c r="AR245" s="207">
        <f t="shared" si="199"/>
        <v>0</v>
      </c>
      <c r="AS245" s="207">
        <f t="shared" si="199"/>
        <v>0</v>
      </c>
      <c r="AT245" s="207">
        <f t="shared" si="199"/>
        <v>0</v>
      </c>
      <c r="AU245" s="207">
        <f t="shared" si="199"/>
        <v>0</v>
      </c>
      <c r="AV245" s="128"/>
      <c r="AW245" s="243">
        <f t="shared" si="183"/>
        <v>0</v>
      </c>
      <c r="AX245" s="129"/>
      <c r="AY245" s="207">
        <f t="shared" ref="AY245:BG245" si="200">IF(OR(AY$24=0,$BC$75=0),0,$BC$159/$BC$75*AY64)</f>
        <v>0</v>
      </c>
      <c r="AZ245" s="207">
        <f t="shared" si="200"/>
        <v>0</v>
      </c>
      <c r="BA245" s="207">
        <f t="shared" si="200"/>
        <v>0</v>
      </c>
      <c r="BB245" s="207">
        <f t="shared" si="200"/>
        <v>0</v>
      </c>
      <c r="BC245" s="207">
        <f t="shared" si="200"/>
        <v>0</v>
      </c>
      <c r="BD245" s="207">
        <f t="shared" si="200"/>
        <v>0</v>
      </c>
      <c r="BE245" s="207">
        <f t="shared" si="200"/>
        <v>0</v>
      </c>
      <c r="BF245" s="207">
        <f t="shared" si="200"/>
        <v>0</v>
      </c>
      <c r="BG245" s="207">
        <f t="shared" si="200"/>
        <v>0</v>
      </c>
      <c r="BH245" s="255"/>
    </row>
    <row r="246" spans="1:60" x14ac:dyDescent="0.2">
      <c r="A246" s="648"/>
      <c r="B246" s="492" t="s">
        <v>315</v>
      </c>
      <c r="C246" s="656" t="s">
        <v>113</v>
      </c>
      <c r="D246" s="750"/>
      <c r="E246" s="367" t="str">
        <f>$T$73</f>
        <v>kookgas</v>
      </c>
      <c r="F246" s="220"/>
      <c r="G246" s="220"/>
      <c r="H246" s="242" t="s">
        <v>317</v>
      </c>
      <c r="I246" s="129"/>
      <c r="J246" s="243">
        <f t="shared" si="176"/>
        <v>0</v>
      </c>
      <c r="K246" s="236"/>
      <c r="L246" s="236"/>
      <c r="M246" s="243">
        <f t="shared" si="177"/>
        <v>0</v>
      </c>
      <c r="N246" s="129"/>
      <c r="O246" s="207">
        <f t="shared" ref="O246:W246" si="201">IF(OR(O$24=0,$T$75=0),0,$T$204/$T$75*O65)</f>
        <v>0</v>
      </c>
      <c r="P246" s="207">
        <f t="shared" si="201"/>
        <v>0</v>
      </c>
      <c r="Q246" s="207">
        <f t="shared" si="201"/>
        <v>0</v>
      </c>
      <c r="R246" s="207">
        <f t="shared" si="201"/>
        <v>0</v>
      </c>
      <c r="S246" s="207">
        <f t="shared" si="201"/>
        <v>0</v>
      </c>
      <c r="T246" s="207">
        <f t="shared" si="201"/>
        <v>0</v>
      </c>
      <c r="U246" s="207">
        <f t="shared" si="201"/>
        <v>0</v>
      </c>
      <c r="V246" s="207">
        <f t="shared" si="201"/>
        <v>0</v>
      </c>
      <c r="W246" s="207">
        <f t="shared" si="201"/>
        <v>0</v>
      </c>
      <c r="X246" s="128"/>
      <c r="Y246" s="243">
        <f t="shared" si="179"/>
        <v>0</v>
      </c>
      <c r="Z246" s="129"/>
      <c r="AA246" s="207">
        <f t="shared" ref="AA246:AI246" si="202">IF(OR(AA$24=0,$AF$75=0),0,$AF$204/$AF$75*AA65)</f>
        <v>0</v>
      </c>
      <c r="AB246" s="207">
        <f t="shared" si="202"/>
        <v>0</v>
      </c>
      <c r="AC246" s="207">
        <f t="shared" si="202"/>
        <v>0</v>
      </c>
      <c r="AD246" s="207">
        <f t="shared" si="202"/>
        <v>0</v>
      </c>
      <c r="AE246" s="207">
        <f t="shared" si="202"/>
        <v>0</v>
      </c>
      <c r="AF246" s="207">
        <f t="shared" si="202"/>
        <v>0</v>
      </c>
      <c r="AG246" s="207">
        <f t="shared" si="202"/>
        <v>0</v>
      </c>
      <c r="AH246" s="207">
        <f t="shared" si="202"/>
        <v>0</v>
      </c>
      <c r="AI246" s="207">
        <f t="shared" si="202"/>
        <v>0</v>
      </c>
      <c r="AJ246" s="128"/>
      <c r="AK246" s="243">
        <f t="shared" si="181"/>
        <v>0</v>
      </c>
      <c r="AL246" s="129"/>
      <c r="AM246" s="207">
        <f t="shared" ref="AM246:AU246" si="203">IF(OR(AM$24=0,$AR$75=0),0,$AR$204/$AR$75*AM65)</f>
        <v>0</v>
      </c>
      <c r="AN246" s="207">
        <f t="shared" si="203"/>
        <v>0</v>
      </c>
      <c r="AO246" s="207">
        <f t="shared" si="203"/>
        <v>0</v>
      </c>
      <c r="AP246" s="207">
        <f t="shared" si="203"/>
        <v>0</v>
      </c>
      <c r="AQ246" s="207">
        <f t="shared" si="203"/>
        <v>0</v>
      </c>
      <c r="AR246" s="207">
        <f t="shared" si="203"/>
        <v>0</v>
      </c>
      <c r="AS246" s="207">
        <f t="shared" si="203"/>
        <v>0</v>
      </c>
      <c r="AT246" s="207">
        <f t="shared" si="203"/>
        <v>0</v>
      </c>
      <c r="AU246" s="207">
        <f t="shared" si="203"/>
        <v>0</v>
      </c>
      <c r="AV246" s="128"/>
      <c r="AW246" s="243">
        <f t="shared" si="183"/>
        <v>0</v>
      </c>
      <c r="AX246" s="129">
        <f>IF(AX$24=0,0,$BD$204/$BD$75*AX65)</f>
        <v>0</v>
      </c>
      <c r="AY246" s="207">
        <f t="shared" ref="AY246:BG246" si="204">IF(OR(AY$24=0,$BD$75=0),0,$BD$204/$BD$75*AY65)</f>
        <v>0</v>
      </c>
      <c r="AZ246" s="207">
        <f t="shared" si="204"/>
        <v>0</v>
      </c>
      <c r="BA246" s="207">
        <f t="shared" si="204"/>
        <v>0</v>
      </c>
      <c r="BB246" s="207">
        <f t="shared" si="204"/>
        <v>0</v>
      </c>
      <c r="BC246" s="207">
        <f t="shared" si="204"/>
        <v>0</v>
      </c>
      <c r="BD246" s="207">
        <f t="shared" si="204"/>
        <v>0</v>
      </c>
      <c r="BE246" s="207">
        <f t="shared" si="204"/>
        <v>0</v>
      </c>
      <c r="BF246" s="207">
        <f t="shared" si="204"/>
        <v>0</v>
      </c>
      <c r="BG246" s="207">
        <f t="shared" si="204"/>
        <v>0</v>
      </c>
      <c r="BH246" s="255"/>
    </row>
    <row r="247" spans="1:60" x14ac:dyDescent="0.2">
      <c r="A247" s="648"/>
      <c r="B247" s="492" t="s">
        <v>315</v>
      </c>
      <c r="C247" s="656" t="s">
        <v>113</v>
      </c>
      <c r="D247" s="750"/>
      <c r="E247" s="367" t="str">
        <f>$U$73</f>
        <v>overig elektra</v>
      </c>
      <c r="F247" s="220"/>
      <c r="G247" s="220"/>
      <c r="H247" s="242" t="s">
        <v>317</v>
      </c>
      <c r="I247" s="129"/>
      <c r="J247" s="243">
        <f t="shared" si="176"/>
        <v>0</v>
      </c>
      <c r="K247" s="236"/>
      <c r="L247" s="236"/>
      <c r="M247" s="243">
        <f t="shared" si="177"/>
        <v>0</v>
      </c>
      <c r="N247" s="129"/>
      <c r="O247" s="207">
        <f t="shared" ref="O247:W247" si="205">IF(OR(O$24=0,$U$75=0),0,$U$159/$U$75*O66)</f>
        <v>0</v>
      </c>
      <c r="P247" s="207">
        <f t="shared" si="205"/>
        <v>0</v>
      </c>
      <c r="Q247" s="207">
        <f t="shared" si="205"/>
        <v>0</v>
      </c>
      <c r="R247" s="207">
        <f t="shared" si="205"/>
        <v>0</v>
      </c>
      <c r="S247" s="207">
        <f t="shared" si="205"/>
        <v>0</v>
      </c>
      <c r="T247" s="207">
        <f t="shared" si="205"/>
        <v>0</v>
      </c>
      <c r="U247" s="207">
        <f t="shared" si="205"/>
        <v>0</v>
      </c>
      <c r="V247" s="207">
        <f t="shared" si="205"/>
        <v>0</v>
      </c>
      <c r="W247" s="207">
        <f t="shared" si="205"/>
        <v>0</v>
      </c>
      <c r="X247" s="128"/>
      <c r="Y247" s="243">
        <f t="shared" si="179"/>
        <v>0</v>
      </c>
      <c r="Z247" s="129"/>
      <c r="AA247" s="207">
        <f t="shared" ref="AA247:AI247" si="206">IF(OR(AA$24=0,$U$75=0),0,$AG$159/$U$75*AA66)</f>
        <v>0</v>
      </c>
      <c r="AB247" s="207">
        <f t="shared" si="206"/>
        <v>0</v>
      </c>
      <c r="AC247" s="207">
        <f t="shared" si="206"/>
        <v>0</v>
      </c>
      <c r="AD247" s="207">
        <f t="shared" si="206"/>
        <v>0</v>
      </c>
      <c r="AE247" s="207">
        <f t="shared" si="206"/>
        <v>0</v>
      </c>
      <c r="AF247" s="207">
        <f t="shared" si="206"/>
        <v>0</v>
      </c>
      <c r="AG247" s="207">
        <f t="shared" si="206"/>
        <v>0</v>
      </c>
      <c r="AH247" s="207">
        <f t="shared" si="206"/>
        <v>0</v>
      </c>
      <c r="AI247" s="207">
        <f t="shared" si="206"/>
        <v>0</v>
      </c>
      <c r="AJ247" s="128"/>
      <c r="AK247" s="243">
        <f t="shared" si="181"/>
        <v>0</v>
      </c>
      <c r="AL247" s="129"/>
      <c r="AM247" s="207">
        <f t="shared" ref="AM247:AU247" si="207">IF(OR(AM$24=0,$U$75=0),0,$AS$159/$U$75*AM66)</f>
        <v>0</v>
      </c>
      <c r="AN247" s="207">
        <f t="shared" si="207"/>
        <v>0</v>
      </c>
      <c r="AO247" s="207">
        <f t="shared" si="207"/>
        <v>0</v>
      </c>
      <c r="AP247" s="207">
        <f t="shared" si="207"/>
        <v>0</v>
      </c>
      <c r="AQ247" s="207">
        <f t="shared" si="207"/>
        <v>0</v>
      </c>
      <c r="AR247" s="207">
        <f t="shared" si="207"/>
        <v>0</v>
      </c>
      <c r="AS247" s="207">
        <f t="shared" si="207"/>
        <v>0</v>
      </c>
      <c r="AT247" s="207">
        <f t="shared" si="207"/>
        <v>0</v>
      </c>
      <c r="AU247" s="207">
        <f t="shared" si="207"/>
        <v>0</v>
      </c>
      <c r="AV247" s="128"/>
      <c r="AW247" s="243">
        <f t="shared" si="183"/>
        <v>0</v>
      </c>
      <c r="AX247" s="129"/>
      <c r="AY247" s="207">
        <f t="shared" ref="AY247:BG247" si="208">IF(OR(AY$24=0,$U$75=0),0,$BE$159/$U$75*AY66)</f>
        <v>0</v>
      </c>
      <c r="AZ247" s="207">
        <f t="shared" si="208"/>
        <v>0</v>
      </c>
      <c r="BA247" s="207">
        <f t="shared" si="208"/>
        <v>0</v>
      </c>
      <c r="BB247" s="207">
        <f t="shared" si="208"/>
        <v>0</v>
      </c>
      <c r="BC247" s="207">
        <f t="shared" si="208"/>
        <v>0</v>
      </c>
      <c r="BD247" s="207">
        <f t="shared" si="208"/>
        <v>0</v>
      </c>
      <c r="BE247" s="207">
        <f t="shared" si="208"/>
        <v>0</v>
      </c>
      <c r="BF247" s="207">
        <f t="shared" si="208"/>
        <v>0</v>
      </c>
      <c r="BG247" s="207">
        <f t="shared" si="208"/>
        <v>0</v>
      </c>
      <c r="BH247" s="255"/>
    </row>
    <row r="248" spans="1:60" x14ac:dyDescent="0.2">
      <c r="A248" s="648"/>
      <c r="B248" s="492" t="s">
        <v>315</v>
      </c>
      <c r="C248" s="656" t="s">
        <v>113</v>
      </c>
      <c r="D248" s="750"/>
      <c r="E248" s="367" t="str">
        <f>$V$73</f>
        <v>mobiliteit</v>
      </c>
      <c r="F248" s="220"/>
      <c r="G248" s="220"/>
      <c r="H248" s="242" t="s">
        <v>317</v>
      </c>
      <c r="I248" s="129"/>
      <c r="J248" s="243">
        <f t="shared" si="176"/>
        <v>0</v>
      </c>
      <c r="K248" s="236"/>
      <c r="L248" s="236"/>
      <c r="M248" s="243">
        <f t="shared" si="177"/>
        <v>0</v>
      </c>
      <c r="N248" s="129"/>
      <c r="O248" s="207">
        <f t="shared" ref="O248:W248" si="209">IF(OR($V$154=0,O$31=0),0,$V$159/$V$154*O$68/O$31)</f>
        <v>0</v>
      </c>
      <c r="P248" s="207">
        <f t="shared" si="209"/>
        <v>0</v>
      </c>
      <c r="Q248" s="207">
        <f t="shared" si="209"/>
        <v>0</v>
      </c>
      <c r="R248" s="207">
        <f t="shared" si="209"/>
        <v>0</v>
      </c>
      <c r="S248" s="207">
        <f t="shared" si="209"/>
        <v>0</v>
      </c>
      <c r="T248" s="207">
        <f t="shared" si="209"/>
        <v>0</v>
      </c>
      <c r="U248" s="207">
        <f t="shared" si="209"/>
        <v>0</v>
      </c>
      <c r="V248" s="207">
        <f t="shared" si="209"/>
        <v>0</v>
      </c>
      <c r="W248" s="207">
        <f t="shared" si="209"/>
        <v>0</v>
      </c>
      <c r="X248" s="128"/>
      <c r="Y248" s="243">
        <f t="shared" si="179"/>
        <v>0</v>
      </c>
      <c r="Z248" s="129"/>
      <c r="AA248" s="207">
        <f t="shared" ref="AA248:AI248" si="210">IF(OR($AH$154=0,AA$31=0),0,$AH$159/$AH$154*AA$68/AA$31)</f>
        <v>0</v>
      </c>
      <c r="AB248" s="207">
        <f t="shared" si="210"/>
        <v>0</v>
      </c>
      <c r="AC248" s="207">
        <f t="shared" si="210"/>
        <v>0</v>
      </c>
      <c r="AD248" s="207">
        <f t="shared" si="210"/>
        <v>0</v>
      </c>
      <c r="AE248" s="207">
        <f t="shared" si="210"/>
        <v>0</v>
      </c>
      <c r="AF248" s="207">
        <f t="shared" si="210"/>
        <v>0</v>
      </c>
      <c r="AG248" s="207">
        <f t="shared" si="210"/>
        <v>0</v>
      </c>
      <c r="AH248" s="207">
        <f t="shared" si="210"/>
        <v>0</v>
      </c>
      <c r="AI248" s="207">
        <f t="shared" si="210"/>
        <v>0</v>
      </c>
      <c r="AJ248" s="128"/>
      <c r="AK248" s="243">
        <f t="shared" si="181"/>
        <v>0</v>
      </c>
      <c r="AL248" s="129"/>
      <c r="AM248" s="207">
        <f t="shared" ref="AM248:AU248" si="211">IF(OR($AT$154=0,AM$31=0),0,$AT$159/$AT$154*AM$68/AM$31)</f>
        <v>0</v>
      </c>
      <c r="AN248" s="207">
        <f t="shared" si="211"/>
        <v>0</v>
      </c>
      <c r="AO248" s="207">
        <f t="shared" si="211"/>
        <v>0</v>
      </c>
      <c r="AP248" s="207">
        <f t="shared" si="211"/>
        <v>0</v>
      </c>
      <c r="AQ248" s="207">
        <f t="shared" si="211"/>
        <v>0</v>
      </c>
      <c r="AR248" s="207">
        <f t="shared" si="211"/>
        <v>0</v>
      </c>
      <c r="AS248" s="207">
        <f t="shared" si="211"/>
        <v>0</v>
      </c>
      <c r="AT248" s="207">
        <f t="shared" si="211"/>
        <v>0</v>
      </c>
      <c r="AU248" s="207">
        <f t="shared" si="211"/>
        <v>0</v>
      </c>
      <c r="AV248" s="128"/>
      <c r="AW248" s="243">
        <f t="shared" si="183"/>
        <v>0</v>
      </c>
      <c r="AX248" s="129"/>
      <c r="AY248" s="207">
        <f>IF(OR($BF$154=0,AY$24=0),0,$BF$159/$BF$154*AY$68/AY$31)</f>
        <v>0</v>
      </c>
      <c r="AZ248" s="207">
        <f t="shared" ref="AZ248:BG248" si="212">IF(OR($BF$154=0,AZ$31=0),0,$BF$159/$BF$154*AZ$68/AZ$31)</f>
        <v>0</v>
      </c>
      <c r="BA248" s="207">
        <f t="shared" si="212"/>
        <v>0</v>
      </c>
      <c r="BB248" s="207">
        <f t="shared" si="212"/>
        <v>0</v>
      </c>
      <c r="BC248" s="207">
        <f t="shared" si="212"/>
        <v>0</v>
      </c>
      <c r="BD248" s="207">
        <f t="shared" si="212"/>
        <v>0</v>
      </c>
      <c r="BE248" s="207">
        <f t="shared" si="212"/>
        <v>0</v>
      </c>
      <c r="BF248" s="207">
        <f t="shared" si="212"/>
        <v>0</v>
      </c>
      <c r="BG248" s="207">
        <f t="shared" si="212"/>
        <v>0</v>
      </c>
      <c r="BH248" s="255"/>
    </row>
    <row r="249" spans="1:60" x14ac:dyDescent="0.2">
      <c r="A249" s="648"/>
      <c r="B249" s="492" t="s">
        <v>315</v>
      </c>
      <c r="C249" s="656" t="s">
        <v>113</v>
      </c>
      <c r="D249" s="750"/>
      <c r="E249" s="220" t="s">
        <v>318</v>
      </c>
      <c r="F249" s="220"/>
      <c r="G249" s="220"/>
      <c r="H249" s="242" t="s">
        <v>317</v>
      </c>
      <c r="I249" s="129"/>
      <c r="J249" s="243">
        <f t="shared" si="176"/>
        <v>0</v>
      </c>
      <c r="K249" s="236"/>
      <c r="L249" s="236"/>
      <c r="M249" s="243">
        <f>SUM(M241:M248)</f>
        <v>0</v>
      </c>
      <c r="N249" s="129"/>
      <c r="O249" s="207">
        <f t="shared" ref="O249:W249" si="213">SUM(O241:O248)</f>
        <v>0</v>
      </c>
      <c r="P249" s="207">
        <f t="shared" si="213"/>
        <v>0</v>
      </c>
      <c r="Q249" s="207">
        <f t="shared" si="213"/>
        <v>0</v>
      </c>
      <c r="R249" s="207">
        <f t="shared" si="213"/>
        <v>0</v>
      </c>
      <c r="S249" s="207">
        <f t="shared" si="213"/>
        <v>0</v>
      </c>
      <c r="T249" s="207">
        <f>SUM(T241:T248)</f>
        <v>0</v>
      </c>
      <c r="U249" s="207">
        <f t="shared" si="213"/>
        <v>0</v>
      </c>
      <c r="V249" s="207">
        <f t="shared" si="213"/>
        <v>0</v>
      </c>
      <c r="W249" s="207">
        <f t="shared" si="213"/>
        <v>0</v>
      </c>
      <c r="X249" s="128"/>
      <c r="Y249" s="243">
        <f>SUM(Y241:Y248)</f>
        <v>0</v>
      </c>
      <c r="Z249" s="129"/>
      <c r="AA249" s="207">
        <f t="shared" ref="AA249:AI249" si="214">SUM(AA241:AA248)</f>
        <v>0</v>
      </c>
      <c r="AB249" s="207">
        <f t="shared" si="214"/>
        <v>0</v>
      </c>
      <c r="AC249" s="207">
        <f t="shared" si="214"/>
        <v>0</v>
      </c>
      <c r="AD249" s="207">
        <f t="shared" si="214"/>
        <v>0</v>
      </c>
      <c r="AE249" s="207">
        <f t="shared" si="214"/>
        <v>0</v>
      </c>
      <c r="AF249" s="207">
        <f>SUM(AF241:AF248)</f>
        <v>0</v>
      </c>
      <c r="AG249" s="207">
        <f t="shared" si="214"/>
        <v>0</v>
      </c>
      <c r="AH249" s="207">
        <f t="shared" si="214"/>
        <v>0</v>
      </c>
      <c r="AI249" s="207">
        <f t="shared" si="214"/>
        <v>0</v>
      </c>
      <c r="AJ249" s="128"/>
      <c r="AK249" s="243">
        <f t="shared" ref="AK249:AU249" si="215">SUM(AK241:AK248)</f>
        <v>0</v>
      </c>
      <c r="AL249" s="129"/>
      <c r="AM249" s="207">
        <f t="shared" si="215"/>
        <v>0</v>
      </c>
      <c r="AN249" s="207">
        <f t="shared" si="215"/>
        <v>0</v>
      </c>
      <c r="AO249" s="207">
        <f t="shared" si="215"/>
        <v>0</v>
      </c>
      <c r="AP249" s="207">
        <f t="shared" si="215"/>
        <v>0</v>
      </c>
      <c r="AQ249" s="207">
        <f t="shared" si="215"/>
        <v>0</v>
      </c>
      <c r="AR249" s="207">
        <f>SUM(AR241:AR248)</f>
        <v>0</v>
      </c>
      <c r="AS249" s="207">
        <f t="shared" si="215"/>
        <v>0</v>
      </c>
      <c r="AT249" s="207">
        <f t="shared" si="215"/>
        <v>0</v>
      </c>
      <c r="AU249" s="207">
        <f t="shared" si="215"/>
        <v>0</v>
      </c>
      <c r="AV249" s="128"/>
      <c r="AW249" s="243">
        <f>SUM(AW241:AW248)</f>
        <v>0</v>
      </c>
      <c r="AX249" s="129"/>
      <c r="AY249" s="207">
        <f t="shared" ref="AY249:BG249" si="216">SUM(AY241:AY248)</f>
        <v>0</v>
      </c>
      <c r="AZ249" s="207">
        <f t="shared" si="216"/>
        <v>0</v>
      </c>
      <c r="BA249" s="207">
        <f t="shared" si="216"/>
        <v>0</v>
      </c>
      <c r="BB249" s="207">
        <f t="shared" si="216"/>
        <v>0</v>
      </c>
      <c r="BC249" s="207">
        <f t="shared" si="216"/>
        <v>0</v>
      </c>
      <c r="BD249" s="207">
        <f>SUM(BD241:BD248)</f>
        <v>0</v>
      </c>
      <c r="BE249" s="207">
        <f t="shared" si="216"/>
        <v>0</v>
      </c>
      <c r="BF249" s="207">
        <f t="shared" si="216"/>
        <v>0</v>
      </c>
      <c r="BG249" s="207">
        <f t="shared" si="216"/>
        <v>0</v>
      </c>
      <c r="BH249" s="255"/>
    </row>
    <row r="250" spans="1:60" ht="18.75" x14ac:dyDescent="0.2">
      <c r="A250" s="648"/>
      <c r="B250" s="492" t="s">
        <v>315</v>
      </c>
      <c r="C250" s="739" t="s">
        <v>104</v>
      </c>
      <c r="D250" s="747"/>
      <c r="E250" s="236" t="s">
        <v>319</v>
      </c>
      <c r="F250" s="236"/>
      <c r="G250" s="236"/>
      <c r="H250" s="89"/>
      <c r="I250" s="236"/>
      <c r="J250" s="279"/>
      <c r="K250" s="236"/>
      <c r="L250" s="236"/>
      <c r="M250" s="279"/>
      <c r="N250" s="236"/>
      <c r="O250" s="236"/>
      <c r="P250" s="236"/>
      <c r="Q250" s="236"/>
      <c r="R250" s="236"/>
      <c r="S250" s="236"/>
      <c r="T250" s="236"/>
      <c r="U250" s="236"/>
      <c r="V250" s="236"/>
      <c r="W250" s="236"/>
      <c r="X250" s="236"/>
      <c r="Y250" s="279"/>
      <c r="Z250" s="236"/>
      <c r="AA250" s="236"/>
      <c r="AB250" s="236"/>
      <c r="AC250" s="236"/>
      <c r="AD250" s="236"/>
      <c r="AE250" s="236"/>
      <c r="AF250" s="236"/>
      <c r="AG250" s="236"/>
      <c r="AH250" s="236"/>
      <c r="AI250" s="236"/>
      <c r="AJ250" s="236"/>
      <c r="AK250" s="279"/>
      <c r="AL250" s="236"/>
      <c r="AM250" s="236"/>
      <c r="AN250" s="236"/>
      <c r="AO250" s="236"/>
      <c r="AP250" s="236"/>
      <c r="AQ250" s="236"/>
      <c r="AR250" s="236"/>
      <c r="AS250" s="236"/>
      <c r="AT250" s="236"/>
      <c r="AU250" s="236"/>
      <c r="AV250" s="236"/>
      <c r="AW250" s="279"/>
      <c r="AX250" s="236"/>
      <c r="AY250" s="236"/>
      <c r="AZ250" s="236"/>
      <c r="BA250" s="236"/>
      <c r="BB250" s="236"/>
      <c r="BC250" s="236"/>
      <c r="BD250" s="236"/>
      <c r="BE250" s="236"/>
      <c r="BF250" s="236"/>
      <c r="BG250" s="236"/>
      <c r="BH250" s="38"/>
    </row>
    <row r="251" spans="1:60" x14ac:dyDescent="0.2">
      <c r="A251" s="648"/>
      <c r="B251" s="492" t="s">
        <v>315</v>
      </c>
      <c r="C251" s="656" t="s">
        <v>113</v>
      </c>
      <c r="D251" s="750"/>
      <c r="E251" s="220" t="s">
        <v>320</v>
      </c>
      <c r="F251" s="220"/>
      <c r="G251" s="220"/>
      <c r="H251" s="242" t="s">
        <v>317</v>
      </c>
      <c r="I251" s="129"/>
      <c r="J251" s="243">
        <f>M251+Y251+AK251+AW251</f>
        <v>0</v>
      </c>
      <c r="K251" s="236"/>
      <c r="L251" s="236"/>
      <c r="M251" s="243">
        <f>SUMPRODUCT(N251:X251,N$24:X$24,N$31:X$31)/1000</f>
        <v>0</v>
      </c>
      <c r="N251" s="129"/>
      <c r="O251" s="207">
        <f t="shared" ref="O251:W251" si="217">IF(OR(O$24=0,O$31=0,$M$167+$M$168=0),0,
-(O234*($M$167/($M$167+$M$168))*$M$177*1000)/(O24*O31))</f>
        <v>0</v>
      </c>
      <c r="P251" s="207">
        <f t="shared" si="217"/>
        <v>0</v>
      </c>
      <c r="Q251" s="207">
        <f t="shared" si="217"/>
        <v>0</v>
      </c>
      <c r="R251" s="207">
        <f t="shared" si="217"/>
        <v>0</v>
      </c>
      <c r="S251" s="207">
        <f t="shared" si="217"/>
        <v>0</v>
      </c>
      <c r="T251" s="207">
        <f t="shared" si="217"/>
        <v>0</v>
      </c>
      <c r="U251" s="207">
        <f t="shared" si="217"/>
        <v>0</v>
      </c>
      <c r="V251" s="207">
        <f t="shared" si="217"/>
        <v>0</v>
      </c>
      <c r="W251" s="207">
        <f t="shared" si="217"/>
        <v>0</v>
      </c>
      <c r="X251" s="128"/>
      <c r="Y251" s="243">
        <f>SUMPRODUCT(Z251:AJ251,Z$24:AJ$24,Z$31:AJ$31)/1000</f>
        <v>0</v>
      </c>
      <c r="Z251" s="129"/>
      <c r="AA251" s="207">
        <f t="shared" ref="AA251:AI251" si="218">IF(OR(AA$19="-",AA$24=0,AA$31=0,$Y$167+$Y$168=0),0,
-(AA234*($Y$167/($Y$167+$Y$168))*$Y$177*1000)/(AA24*AA31))</f>
        <v>0</v>
      </c>
      <c r="AB251" s="207">
        <f t="shared" si="218"/>
        <v>0</v>
      </c>
      <c r="AC251" s="207">
        <f t="shared" si="218"/>
        <v>0</v>
      </c>
      <c r="AD251" s="207">
        <f t="shared" si="218"/>
        <v>0</v>
      </c>
      <c r="AE251" s="207">
        <f t="shared" si="218"/>
        <v>0</v>
      </c>
      <c r="AF251" s="207">
        <f t="shared" si="218"/>
        <v>0</v>
      </c>
      <c r="AG251" s="207">
        <f t="shared" si="218"/>
        <v>0</v>
      </c>
      <c r="AH251" s="207">
        <f t="shared" si="218"/>
        <v>0</v>
      </c>
      <c r="AI251" s="207">
        <f t="shared" si="218"/>
        <v>0</v>
      </c>
      <c r="AJ251" s="128"/>
      <c r="AK251" s="243">
        <f>SUMPRODUCT(AL251:AV251,AL$24:AV$24,AL$31:AV$31)/1000</f>
        <v>0</v>
      </c>
      <c r="AL251" s="129"/>
      <c r="AM251" s="207">
        <f t="shared" ref="AM251:AU251" si="219">IF(OR(AM$24=0,AM$31=0,$AK$167+$AK$168=0),0,
-AM234*($AK$167/($AK$167+$AK$168))*$AK$177*1000/(AM24*AM31))</f>
        <v>0</v>
      </c>
      <c r="AN251" s="207">
        <f t="shared" si="219"/>
        <v>0</v>
      </c>
      <c r="AO251" s="207">
        <f t="shared" si="219"/>
        <v>0</v>
      </c>
      <c r="AP251" s="207">
        <f t="shared" si="219"/>
        <v>0</v>
      </c>
      <c r="AQ251" s="207">
        <f t="shared" si="219"/>
        <v>0</v>
      </c>
      <c r="AR251" s="207">
        <f t="shared" si="219"/>
        <v>0</v>
      </c>
      <c r="AS251" s="207">
        <f t="shared" si="219"/>
        <v>0</v>
      </c>
      <c r="AT251" s="207">
        <f t="shared" si="219"/>
        <v>0</v>
      </c>
      <c r="AU251" s="207">
        <f t="shared" si="219"/>
        <v>0</v>
      </c>
      <c r="AV251" s="128"/>
      <c r="AW251" s="243">
        <f>SUMPRODUCT(AX251:BH251,AX$24:BH$24,AX$31:BH$31)/1000</f>
        <v>0</v>
      </c>
      <c r="AX251" s="129"/>
      <c r="AY251" s="207">
        <f t="shared" ref="AY251:BG251" si="220">IF(OR(AY$24=0,AY$31=0,$AW$167+$AW$168=0),0,
-AY234*($AW$167/($AW$167+$AW$168))*$AW$177*1000/(AY24*AY31))</f>
        <v>0</v>
      </c>
      <c r="AZ251" s="207">
        <f t="shared" si="220"/>
        <v>0</v>
      </c>
      <c r="BA251" s="207">
        <f t="shared" si="220"/>
        <v>0</v>
      </c>
      <c r="BB251" s="207">
        <f t="shared" si="220"/>
        <v>0</v>
      </c>
      <c r="BC251" s="207">
        <f t="shared" si="220"/>
        <v>0</v>
      </c>
      <c r="BD251" s="207">
        <f t="shared" si="220"/>
        <v>0</v>
      </c>
      <c r="BE251" s="207">
        <f t="shared" si="220"/>
        <v>0</v>
      </c>
      <c r="BF251" s="207">
        <f t="shared" si="220"/>
        <v>0</v>
      </c>
      <c r="BG251" s="207">
        <f t="shared" si="220"/>
        <v>0</v>
      </c>
      <c r="BH251" s="255"/>
    </row>
    <row r="252" spans="1:60" x14ac:dyDescent="0.2">
      <c r="A252" s="648"/>
      <c r="B252" s="492" t="s">
        <v>315</v>
      </c>
      <c r="C252" s="656" t="s">
        <v>113</v>
      </c>
      <c r="D252" s="750"/>
      <c r="E252" s="220" t="s">
        <v>321</v>
      </c>
      <c r="F252" s="220"/>
      <c r="G252" s="220"/>
      <c r="H252" s="242" t="s">
        <v>317</v>
      </c>
      <c r="I252" s="129"/>
      <c r="J252" s="243">
        <f>M252+Y252+AK252+AW252</f>
        <v>0</v>
      </c>
      <c r="K252" s="236"/>
      <c r="L252" s="236"/>
      <c r="M252" s="243">
        <f>SUMPRODUCT(N252:X252,N$24:X$24,N$31:X$31)/1000</f>
        <v>0</v>
      </c>
      <c r="N252" s="129"/>
      <c r="O252" s="207">
        <f t="shared" ref="O252:W252" si="221">IF(OR(O$24=0,O$31=0,$M$167+$M$168=0),0,
-O70*($M$177/($M$167+$M$168))/O31)</f>
        <v>0</v>
      </c>
      <c r="P252" s="207">
        <f t="shared" si="221"/>
        <v>0</v>
      </c>
      <c r="Q252" s="207">
        <f t="shared" si="221"/>
        <v>0</v>
      </c>
      <c r="R252" s="207">
        <f t="shared" si="221"/>
        <v>0</v>
      </c>
      <c r="S252" s="207">
        <f t="shared" si="221"/>
        <v>0</v>
      </c>
      <c r="T252" s="207">
        <f t="shared" si="221"/>
        <v>0</v>
      </c>
      <c r="U252" s="207">
        <f t="shared" si="221"/>
        <v>0</v>
      </c>
      <c r="V252" s="207">
        <f t="shared" si="221"/>
        <v>0</v>
      </c>
      <c r="W252" s="207">
        <f t="shared" si="221"/>
        <v>0</v>
      </c>
      <c r="X252" s="128"/>
      <c r="Y252" s="243">
        <f>SUMPRODUCT(Z252:AJ252,Z$24:AJ$24,Z$31:AJ$31)/1000</f>
        <v>0</v>
      </c>
      <c r="Z252" s="129"/>
      <c r="AA252" s="207">
        <f t="shared" ref="AA252:AI252" si="222">IF(OR(AA$24=0,AA$31=0,$Y$167+$Y$168=0),0,
-AA70*($Y$177/($Y$167+$Y$168))/AA31)</f>
        <v>0</v>
      </c>
      <c r="AB252" s="207">
        <f t="shared" si="222"/>
        <v>0</v>
      </c>
      <c r="AC252" s="207">
        <f t="shared" si="222"/>
        <v>0</v>
      </c>
      <c r="AD252" s="207">
        <f t="shared" si="222"/>
        <v>0</v>
      </c>
      <c r="AE252" s="207">
        <f t="shared" si="222"/>
        <v>0</v>
      </c>
      <c r="AF252" s="207">
        <f t="shared" si="222"/>
        <v>0</v>
      </c>
      <c r="AG252" s="207">
        <f t="shared" si="222"/>
        <v>0</v>
      </c>
      <c r="AH252" s="207">
        <f t="shared" si="222"/>
        <v>0</v>
      </c>
      <c r="AI252" s="207">
        <f t="shared" si="222"/>
        <v>0</v>
      </c>
      <c r="AJ252" s="128"/>
      <c r="AK252" s="243">
        <f>SUMPRODUCT(AL252:AV252,AL$24:AV$24,AL$31:AV$31)/1000</f>
        <v>0</v>
      </c>
      <c r="AL252" s="129"/>
      <c r="AM252" s="207">
        <f t="shared" ref="AM252:AU252" si="223">IF(OR(AM$24=0,AM$31=0,$AK$167+$AK$168=0),0,
-AM70*($AK$177/($AK$167+$AK$168))/AM31)</f>
        <v>0</v>
      </c>
      <c r="AN252" s="207">
        <f t="shared" si="223"/>
        <v>0</v>
      </c>
      <c r="AO252" s="207">
        <f t="shared" si="223"/>
        <v>0</v>
      </c>
      <c r="AP252" s="207">
        <f t="shared" si="223"/>
        <v>0</v>
      </c>
      <c r="AQ252" s="207">
        <f t="shared" si="223"/>
        <v>0</v>
      </c>
      <c r="AR252" s="207">
        <f t="shared" si="223"/>
        <v>0</v>
      </c>
      <c r="AS252" s="207">
        <f t="shared" si="223"/>
        <v>0</v>
      </c>
      <c r="AT252" s="207">
        <f t="shared" si="223"/>
        <v>0</v>
      </c>
      <c r="AU252" s="207">
        <f t="shared" si="223"/>
        <v>0</v>
      </c>
      <c r="AV252" s="128"/>
      <c r="AW252" s="243">
        <f>SUMPRODUCT(AX252:BH252,AX$24:BH$24,AX$31:BH$31)/1000</f>
        <v>0</v>
      </c>
      <c r="AX252" s="129"/>
      <c r="AY252" s="207">
        <f t="shared" ref="AY252:BG252" si="224">IF(OR(AY$24=0,AY$31=0,$AW$167+$AW$168=0),0,
-AY70*($AW$177/($AW$167+$AW$168))/AY31)</f>
        <v>0</v>
      </c>
      <c r="AZ252" s="207">
        <f t="shared" si="224"/>
        <v>0</v>
      </c>
      <c r="BA252" s="207">
        <f t="shared" si="224"/>
        <v>0</v>
      </c>
      <c r="BB252" s="207">
        <f t="shared" si="224"/>
        <v>0</v>
      </c>
      <c r="BC252" s="207">
        <f t="shared" si="224"/>
        <v>0</v>
      </c>
      <c r="BD252" s="207">
        <f t="shared" si="224"/>
        <v>0</v>
      </c>
      <c r="BE252" s="207">
        <f t="shared" si="224"/>
        <v>0</v>
      </c>
      <c r="BF252" s="207">
        <f t="shared" si="224"/>
        <v>0</v>
      </c>
      <c r="BG252" s="207">
        <f t="shared" si="224"/>
        <v>0</v>
      </c>
      <c r="BH252" s="255"/>
    </row>
    <row r="253" spans="1:60" x14ac:dyDescent="0.2">
      <c r="A253" s="648"/>
      <c r="B253" s="492" t="s">
        <v>315</v>
      </c>
      <c r="C253" s="656" t="s">
        <v>113</v>
      </c>
      <c r="D253" s="750"/>
      <c r="E253" s="220" t="s">
        <v>322</v>
      </c>
      <c r="F253" s="220"/>
      <c r="G253" s="220"/>
      <c r="H253" s="242" t="s">
        <v>317</v>
      </c>
      <c r="I253" s="129"/>
      <c r="J253" s="243">
        <f>M253+Y253+AK253+AW253</f>
        <v>0</v>
      </c>
      <c r="K253" s="236"/>
      <c r="L253" s="236"/>
      <c r="M253" s="243">
        <f>M251+M252</f>
        <v>0</v>
      </c>
      <c r="N253" s="129"/>
      <c r="O253" s="207">
        <f>O251+O252</f>
        <v>0</v>
      </c>
      <c r="P253" s="207">
        <f t="shared" ref="P253:W253" si="225">P251+P252</f>
        <v>0</v>
      </c>
      <c r="Q253" s="207">
        <f t="shared" si="225"/>
        <v>0</v>
      </c>
      <c r="R253" s="207">
        <f t="shared" si="225"/>
        <v>0</v>
      </c>
      <c r="S253" s="207">
        <f t="shared" si="225"/>
        <v>0</v>
      </c>
      <c r="T253" s="207">
        <f>T251+T252</f>
        <v>0</v>
      </c>
      <c r="U253" s="207">
        <f t="shared" si="225"/>
        <v>0</v>
      </c>
      <c r="V253" s="207">
        <f t="shared" si="225"/>
        <v>0</v>
      </c>
      <c r="W253" s="207">
        <f t="shared" si="225"/>
        <v>0</v>
      </c>
      <c r="X253" s="128"/>
      <c r="Y253" s="243">
        <f>Y251+Y252</f>
        <v>0</v>
      </c>
      <c r="Z253" s="129"/>
      <c r="AA253" s="207">
        <f>AA251+AA252</f>
        <v>0</v>
      </c>
      <c r="AB253" s="207">
        <f t="shared" ref="AB253:AI253" si="226">AB251+AB252</f>
        <v>0</v>
      </c>
      <c r="AC253" s="207">
        <f t="shared" si="226"/>
        <v>0</v>
      </c>
      <c r="AD253" s="207">
        <f t="shared" si="226"/>
        <v>0</v>
      </c>
      <c r="AE253" s="207">
        <f t="shared" si="226"/>
        <v>0</v>
      </c>
      <c r="AF253" s="207">
        <f>AF251+AF252</f>
        <v>0</v>
      </c>
      <c r="AG253" s="207">
        <f t="shared" si="226"/>
        <v>0</v>
      </c>
      <c r="AH253" s="207">
        <f t="shared" si="226"/>
        <v>0</v>
      </c>
      <c r="AI253" s="207">
        <f t="shared" si="226"/>
        <v>0</v>
      </c>
      <c r="AJ253" s="128"/>
      <c r="AK253" s="243">
        <f>AK251+AK252</f>
        <v>0</v>
      </c>
      <c r="AL253" s="129"/>
      <c r="AM253" s="207">
        <f>AM251+AM252</f>
        <v>0</v>
      </c>
      <c r="AN253" s="207">
        <f t="shared" ref="AN253:AU253" si="227">AN251+AN252</f>
        <v>0</v>
      </c>
      <c r="AO253" s="207">
        <f t="shared" si="227"/>
        <v>0</v>
      </c>
      <c r="AP253" s="207">
        <f t="shared" si="227"/>
        <v>0</v>
      </c>
      <c r="AQ253" s="207">
        <f t="shared" si="227"/>
        <v>0</v>
      </c>
      <c r="AR253" s="207">
        <f>AR251+AR252</f>
        <v>0</v>
      </c>
      <c r="AS253" s="207">
        <f t="shared" si="227"/>
        <v>0</v>
      </c>
      <c r="AT253" s="207">
        <f t="shared" si="227"/>
        <v>0</v>
      </c>
      <c r="AU253" s="207">
        <f t="shared" si="227"/>
        <v>0</v>
      </c>
      <c r="AV253" s="128"/>
      <c r="AW253" s="243">
        <f>AW251+AW252</f>
        <v>0</v>
      </c>
      <c r="AX253" s="129"/>
      <c r="AY253" s="207">
        <f>AY251+AY252</f>
        <v>0</v>
      </c>
      <c r="AZ253" s="207">
        <f t="shared" ref="AZ253:BG253" si="228">AZ251+AZ252</f>
        <v>0</v>
      </c>
      <c r="BA253" s="207">
        <f t="shared" si="228"/>
        <v>0</v>
      </c>
      <c r="BB253" s="207">
        <f t="shared" si="228"/>
        <v>0</v>
      </c>
      <c r="BC253" s="207">
        <f t="shared" si="228"/>
        <v>0</v>
      </c>
      <c r="BD253" s="207">
        <f>BD251+BD252</f>
        <v>0</v>
      </c>
      <c r="BE253" s="207">
        <f t="shared" si="228"/>
        <v>0</v>
      </c>
      <c r="BF253" s="207">
        <f t="shared" si="228"/>
        <v>0</v>
      </c>
      <c r="BG253" s="207">
        <f t="shared" si="228"/>
        <v>0</v>
      </c>
      <c r="BH253" s="255"/>
    </row>
    <row r="254" spans="1:60" ht="18.75" x14ac:dyDescent="0.2">
      <c r="A254" s="648"/>
      <c r="B254" s="492" t="s">
        <v>315</v>
      </c>
      <c r="C254" s="739" t="s">
        <v>104</v>
      </c>
      <c r="D254" s="747"/>
      <c r="E254" s="236" t="s">
        <v>287</v>
      </c>
      <c r="F254" s="236"/>
      <c r="G254" s="236"/>
      <c r="H254" s="89"/>
      <c r="I254" s="236"/>
      <c r="J254" s="279"/>
      <c r="K254" s="236"/>
      <c r="L254" s="236"/>
      <c r="M254" s="279"/>
      <c r="N254" s="236"/>
      <c r="O254" s="236"/>
      <c r="P254" s="236"/>
      <c r="Q254" s="236"/>
      <c r="R254" s="236"/>
      <c r="S254" s="236"/>
      <c r="T254" s="236"/>
      <c r="U254" s="236"/>
      <c r="V254" s="236"/>
      <c r="W254" s="236"/>
      <c r="X254" s="236"/>
      <c r="Y254" s="279"/>
      <c r="Z254" s="236"/>
      <c r="AA254" s="236"/>
      <c r="AB254" s="236"/>
      <c r="AC254" s="236"/>
      <c r="AD254" s="236"/>
      <c r="AE254" s="236"/>
      <c r="AF254" s="236"/>
      <c r="AG254" s="236"/>
      <c r="AH254" s="236"/>
      <c r="AI254" s="236"/>
      <c r="AJ254" s="236"/>
      <c r="AK254" s="279"/>
      <c r="AL254" s="236"/>
      <c r="AM254" s="236"/>
      <c r="AN254" s="236"/>
      <c r="AO254" s="236"/>
      <c r="AP254" s="236"/>
      <c r="AQ254" s="236"/>
      <c r="AR254" s="236"/>
      <c r="AS254" s="236"/>
      <c r="AT254" s="236"/>
      <c r="AU254" s="236"/>
      <c r="AV254" s="236"/>
      <c r="AW254" s="279"/>
      <c r="AX254" s="236"/>
      <c r="AY254" s="236"/>
      <c r="AZ254" s="236"/>
      <c r="BA254" s="236"/>
      <c r="BB254" s="236"/>
      <c r="BC254" s="236"/>
      <c r="BD254" s="236"/>
      <c r="BE254" s="236"/>
      <c r="BF254" s="236"/>
      <c r="BG254" s="236"/>
      <c r="BH254" s="38"/>
    </row>
    <row r="255" spans="1:60" x14ac:dyDescent="0.2">
      <c r="A255" s="648"/>
      <c r="B255" s="492" t="s">
        <v>315</v>
      </c>
      <c r="C255" s="656" t="s">
        <v>113</v>
      </c>
      <c r="D255" s="750"/>
      <c r="E255" s="220" t="s">
        <v>258</v>
      </c>
      <c r="F255" s="220"/>
      <c r="G255" s="220"/>
      <c r="H255" s="242" t="s">
        <v>317</v>
      </c>
      <c r="I255" s="129"/>
      <c r="J255" s="243">
        <f>M255+Y255+AK255+AW255</f>
        <v>0</v>
      </c>
      <c r="K255" s="236"/>
      <c r="L255" s="236"/>
      <c r="M255" s="243">
        <f>M249+M253</f>
        <v>0</v>
      </c>
      <c r="N255" s="129"/>
      <c r="O255" s="207">
        <f>O249+O253</f>
        <v>0</v>
      </c>
      <c r="P255" s="207">
        <f t="shared" ref="P255:W255" si="229">P249+P253</f>
        <v>0</v>
      </c>
      <c r="Q255" s="207">
        <f t="shared" si="229"/>
        <v>0</v>
      </c>
      <c r="R255" s="207">
        <f t="shared" si="229"/>
        <v>0</v>
      </c>
      <c r="S255" s="207">
        <f t="shared" si="229"/>
        <v>0</v>
      </c>
      <c r="T255" s="207">
        <f>T249+T253</f>
        <v>0</v>
      </c>
      <c r="U255" s="207">
        <f t="shared" si="229"/>
        <v>0</v>
      </c>
      <c r="V255" s="207">
        <f t="shared" si="229"/>
        <v>0</v>
      </c>
      <c r="W255" s="207">
        <f t="shared" si="229"/>
        <v>0</v>
      </c>
      <c r="X255" s="128"/>
      <c r="Y255" s="243">
        <f>Y249+Y253</f>
        <v>0</v>
      </c>
      <c r="Z255" s="129"/>
      <c r="AA255" s="207">
        <f>AA249+AA253</f>
        <v>0</v>
      </c>
      <c r="AB255" s="207">
        <f t="shared" ref="AB255:AI255" si="230">AB249+AB253</f>
        <v>0</v>
      </c>
      <c r="AC255" s="207">
        <f t="shared" si="230"/>
        <v>0</v>
      </c>
      <c r="AD255" s="207">
        <f t="shared" si="230"/>
        <v>0</v>
      </c>
      <c r="AE255" s="207">
        <f t="shared" si="230"/>
        <v>0</v>
      </c>
      <c r="AF255" s="207">
        <f>AF249+AF253</f>
        <v>0</v>
      </c>
      <c r="AG255" s="207">
        <f t="shared" si="230"/>
        <v>0</v>
      </c>
      <c r="AH255" s="207">
        <f t="shared" si="230"/>
        <v>0</v>
      </c>
      <c r="AI255" s="207">
        <f t="shared" si="230"/>
        <v>0</v>
      </c>
      <c r="AJ255" s="128"/>
      <c r="AK255" s="243">
        <f>AK249+AK253</f>
        <v>0</v>
      </c>
      <c r="AL255" s="129"/>
      <c r="AM255" s="207">
        <f>AM249+AM253</f>
        <v>0</v>
      </c>
      <c r="AN255" s="207">
        <f t="shared" ref="AN255:AU255" si="231">AN249+AN253</f>
        <v>0</v>
      </c>
      <c r="AO255" s="207">
        <f t="shared" si="231"/>
        <v>0</v>
      </c>
      <c r="AP255" s="207">
        <f t="shared" si="231"/>
        <v>0</v>
      </c>
      <c r="AQ255" s="207">
        <f t="shared" si="231"/>
        <v>0</v>
      </c>
      <c r="AR255" s="207">
        <f>AR249+AR253</f>
        <v>0</v>
      </c>
      <c r="AS255" s="207">
        <f t="shared" si="231"/>
        <v>0</v>
      </c>
      <c r="AT255" s="207">
        <f t="shared" si="231"/>
        <v>0</v>
      </c>
      <c r="AU255" s="207">
        <f t="shared" si="231"/>
        <v>0</v>
      </c>
      <c r="AV255" s="128"/>
      <c r="AW255" s="243">
        <f>AW249+AW253</f>
        <v>0</v>
      </c>
      <c r="AX255" s="129"/>
      <c r="AY255" s="207">
        <f>AY249+AY253</f>
        <v>0</v>
      </c>
      <c r="AZ255" s="207">
        <f t="shared" ref="AZ255:BG255" si="232">AZ249+AZ253</f>
        <v>0</v>
      </c>
      <c r="BA255" s="207">
        <f t="shared" si="232"/>
        <v>0</v>
      </c>
      <c r="BB255" s="207">
        <f t="shared" si="232"/>
        <v>0</v>
      </c>
      <c r="BC255" s="207">
        <f t="shared" si="232"/>
        <v>0</v>
      </c>
      <c r="BD255" s="207">
        <f>BD249+BD253</f>
        <v>0</v>
      </c>
      <c r="BE255" s="207">
        <f t="shared" si="232"/>
        <v>0</v>
      </c>
      <c r="BF255" s="207">
        <f t="shared" si="232"/>
        <v>0</v>
      </c>
      <c r="BG255" s="207">
        <f t="shared" si="232"/>
        <v>0</v>
      </c>
      <c r="BH255" s="255"/>
    </row>
    <row r="256" spans="1:60" ht="18.75" x14ac:dyDescent="0.2">
      <c r="A256" s="648"/>
      <c r="B256" s="492" t="s">
        <v>315</v>
      </c>
      <c r="C256" s="739" t="s">
        <v>104</v>
      </c>
      <c r="D256" s="747"/>
      <c r="E256" s="236" t="s">
        <v>323</v>
      </c>
      <c r="F256" s="236"/>
      <c r="G256" s="236"/>
      <c r="H256" s="89"/>
      <c r="I256" s="236"/>
      <c r="J256" s="279"/>
      <c r="K256" s="236"/>
      <c r="L256" s="236"/>
      <c r="M256" s="279"/>
      <c r="N256" s="236"/>
      <c r="O256" s="236"/>
      <c r="P256" s="236"/>
      <c r="Q256" s="236"/>
      <c r="R256" s="236"/>
      <c r="S256" s="236"/>
      <c r="T256" s="236"/>
      <c r="U256" s="236"/>
      <c r="V256" s="236"/>
      <c r="W256" s="236"/>
      <c r="X256" s="236"/>
      <c r="Y256" s="279"/>
      <c r="Z256" s="236"/>
      <c r="AA256" s="236"/>
      <c r="AB256" s="236"/>
      <c r="AC256" s="236"/>
      <c r="AD256" s="236"/>
      <c r="AE256" s="236"/>
      <c r="AF256" s="236"/>
      <c r="AG256" s="236"/>
      <c r="AH256" s="236"/>
      <c r="AI256" s="236"/>
      <c r="AJ256" s="236"/>
      <c r="AK256" s="279"/>
      <c r="AL256" s="236"/>
      <c r="AM256" s="236"/>
      <c r="AN256" s="236"/>
      <c r="AO256" s="236"/>
      <c r="AP256" s="236"/>
      <c r="AQ256" s="236"/>
      <c r="AR256" s="236"/>
      <c r="AS256" s="236"/>
      <c r="AT256" s="236"/>
      <c r="AU256" s="236"/>
      <c r="AV256" s="236"/>
      <c r="AW256" s="279"/>
      <c r="AX256" s="236"/>
      <c r="AY256" s="236"/>
      <c r="AZ256" s="236"/>
      <c r="BA256" s="236"/>
      <c r="BB256" s="236"/>
      <c r="BC256" s="236"/>
      <c r="BD256" s="236"/>
      <c r="BE256" s="236"/>
      <c r="BF256" s="236"/>
      <c r="BG256" s="236"/>
      <c r="BH256" s="38"/>
    </row>
    <row r="257" spans="1:60" x14ac:dyDescent="0.2">
      <c r="A257" s="648"/>
      <c r="B257" s="492" t="s">
        <v>315</v>
      </c>
      <c r="C257" s="656" t="s">
        <v>113</v>
      </c>
      <c r="D257" s="750"/>
      <c r="E257" s="220" t="s">
        <v>258</v>
      </c>
      <c r="F257" s="220"/>
      <c r="G257" s="220"/>
      <c r="H257" s="242" t="s">
        <v>317</v>
      </c>
      <c r="I257" s="129"/>
      <c r="J257" s="243">
        <f>M257+Y257+AK257+AW257</f>
        <v>0</v>
      </c>
      <c r="K257" s="236"/>
      <c r="L257" s="236"/>
      <c r="M257" s="375">
        <f>SUMPRODUCT(N257:X257,N$24:X$24,N$31:X$31)/1000</f>
        <v>0</v>
      </c>
      <c r="N257" s="129"/>
      <c r="O257" s="207">
        <f t="shared" ref="O257:W257" si="233">O255+(O241+O251)*($M$53-1)</f>
        <v>0</v>
      </c>
      <c r="P257" s="207">
        <f t="shared" si="233"/>
        <v>0</v>
      </c>
      <c r="Q257" s="207">
        <f t="shared" si="233"/>
        <v>0</v>
      </c>
      <c r="R257" s="207">
        <f t="shared" si="233"/>
        <v>0</v>
      </c>
      <c r="S257" s="207">
        <f t="shared" si="233"/>
        <v>0</v>
      </c>
      <c r="T257" s="207">
        <f t="shared" si="233"/>
        <v>0</v>
      </c>
      <c r="U257" s="207">
        <f t="shared" si="233"/>
        <v>0</v>
      </c>
      <c r="V257" s="207">
        <f t="shared" si="233"/>
        <v>0</v>
      </c>
      <c r="W257" s="207">
        <f t="shared" si="233"/>
        <v>0</v>
      </c>
      <c r="X257" s="128"/>
      <c r="Y257" s="375">
        <f>SUMPRODUCT(Z257:AJ257,Z$24:AJ$24,Z$31:AJ$31)/1000</f>
        <v>0</v>
      </c>
      <c r="Z257" s="129"/>
      <c r="AA257" s="207">
        <f t="shared" ref="AA257:AI257" si="234">AA255+(AA241+AA251)*($Y$53-1)</f>
        <v>0</v>
      </c>
      <c r="AB257" s="207">
        <f t="shared" si="234"/>
        <v>0</v>
      </c>
      <c r="AC257" s="207">
        <f t="shared" si="234"/>
        <v>0</v>
      </c>
      <c r="AD257" s="207">
        <f t="shared" si="234"/>
        <v>0</v>
      </c>
      <c r="AE257" s="207">
        <f t="shared" si="234"/>
        <v>0</v>
      </c>
      <c r="AF257" s="207">
        <f t="shared" si="234"/>
        <v>0</v>
      </c>
      <c r="AG257" s="207">
        <f t="shared" si="234"/>
        <v>0</v>
      </c>
      <c r="AH257" s="207">
        <f t="shared" si="234"/>
        <v>0</v>
      </c>
      <c r="AI257" s="207">
        <f t="shared" si="234"/>
        <v>0</v>
      </c>
      <c r="AJ257" s="128"/>
      <c r="AK257" s="375">
        <f>SUMPRODUCT(AL257:AV257,AL$24:AV$24,AL$31:AV$31)/1000</f>
        <v>0</v>
      </c>
      <c r="AL257" s="129"/>
      <c r="AM257" s="207">
        <f t="shared" ref="AM257:AU257" si="235">AM255+(AM241+AM251)*($AK$53-1)</f>
        <v>0</v>
      </c>
      <c r="AN257" s="207">
        <f t="shared" si="235"/>
        <v>0</v>
      </c>
      <c r="AO257" s="207">
        <f t="shared" si="235"/>
        <v>0</v>
      </c>
      <c r="AP257" s="207">
        <f t="shared" si="235"/>
        <v>0</v>
      </c>
      <c r="AQ257" s="207">
        <f t="shared" si="235"/>
        <v>0</v>
      </c>
      <c r="AR257" s="207">
        <f t="shared" si="235"/>
        <v>0</v>
      </c>
      <c r="AS257" s="207">
        <f t="shared" si="235"/>
        <v>0</v>
      </c>
      <c r="AT257" s="207">
        <f t="shared" si="235"/>
        <v>0</v>
      </c>
      <c r="AU257" s="207">
        <f t="shared" si="235"/>
        <v>0</v>
      </c>
      <c r="AV257" s="128"/>
      <c r="AW257" s="375">
        <f>SUMPRODUCT(AX257:BH257,AX$24:BH$24,AX$31:BH$31)/1000</f>
        <v>0</v>
      </c>
      <c r="AX257" s="129"/>
      <c r="AY257" s="207">
        <f t="shared" ref="AY257:BG257" si="236">AY255+(AY241+AY251)*($AW$53-1)</f>
        <v>0</v>
      </c>
      <c r="AZ257" s="207">
        <f t="shared" si="236"/>
        <v>0</v>
      </c>
      <c r="BA257" s="207">
        <f t="shared" si="236"/>
        <v>0</v>
      </c>
      <c r="BB257" s="207">
        <f t="shared" si="236"/>
        <v>0</v>
      </c>
      <c r="BC257" s="207">
        <f t="shared" si="236"/>
        <v>0</v>
      </c>
      <c r="BD257" s="207">
        <f t="shared" si="236"/>
        <v>0</v>
      </c>
      <c r="BE257" s="207">
        <f t="shared" si="236"/>
        <v>0</v>
      </c>
      <c r="BF257" s="207">
        <f t="shared" si="236"/>
        <v>0</v>
      </c>
      <c r="BG257" s="207">
        <f t="shared" si="236"/>
        <v>0</v>
      </c>
      <c r="BH257" s="255"/>
    </row>
    <row r="258" spans="1:60" x14ac:dyDescent="0.2">
      <c r="A258" s="648"/>
      <c r="B258" s="492" t="s">
        <v>315</v>
      </c>
      <c r="C258" s="739" t="s">
        <v>104</v>
      </c>
      <c r="D258" s="747"/>
      <c r="E258" s="90"/>
      <c r="F258" s="90"/>
      <c r="G258" s="90"/>
      <c r="H258" s="96"/>
      <c r="I258" s="90"/>
      <c r="J258" s="93"/>
      <c r="K258" s="90"/>
      <c r="L258" s="90"/>
      <c r="M258" s="93"/>
      <c r="N258" s="90"/>
      <c r="O258" s="92"/>
      <c r="P258" s="93"/>
      <c r="Q258" s="93"/>
      <c r="R258" s="93"/>
      <c r="S258" s="93"/>
      <c r="T258" s="93"/>
      <c r="U258" s="93"/>
      <c r="V258" s="93"/>
      <c r="W258" s="93"/>
      <c r="X258" s="93"/>
      <c r="Y258" s="93"/>
      <c r="Z258" s="90"/>
      <c r="AA258" s="93"/>
      <c r="AB258" s="93"/>
      <c r="AC258" s="93"/>
      <c r="AD258" s="93"/>
      <c r="AE258" s="93"/>
      <c r="AF258" s="93"/>
      <c r="AG258" s="93"/>
      <c r="AH258" s="93"/>
      <c r="AI258" s="93"/>
      <c r="AJ258" s="93"/>
      <c r="AK258" s="128"/>
      <c r="AL258" s="90"/>
      <c r="AM258" s="93"/>
      <c r="AN258" s="93"/>
      <c r="AO258" s="93"/>
      <c r="AP258" s="93"/>
      <c r="AQ258" s="93"/>
      <c r="AR258" s="93"/>
      <c r="AS258" s="93"/>
      <c r="AT258" s="93"/>
      <c r="AU258" s="93"/>
      <c r="AV258" s="93"/>
      <c r="AW258" s="93"/>
      <c r="AX258" s="90"/>
      <c r="AY258" s="93"/>
      <c r="AZ258" s="93"/>
      <c r="BA258" s="93"/>
      <c r="BB258" s="93"/>
      <c r="BC258" s="93"/>
      <c r="BD258" s="93"/>
      <c r="BE258" s="93"/>
      <c r="BF258" s="93"/>
      <c r="BG258" s="93"/>
      <c r="BH258" s="1"/>
    </row>
    <row r="259" spans="1:60" x14ac:dyDescent="0.2">
      <c r="A259" s="648"/>
      <c r="B259" s="492" t="s">
        <v>324</v>
      </c>
      <c r="C259" s="656" t="s">
        <v>104</v>
      </c>
      <c r="D259" s="747"/>
      <c r="E259" s="90"/>
      <c r="F259" s="90"/>
      <c r="G259" s="90"/>
      <c r="H259" s="96"/>
      <c r="I259" s="90"/>
      <c r="J259" s="93"/>
      <c r="K259" s="90"/>
      <c r="L259" s="90"/>
      <c r="M259" s="93"/>
      <c r="N259" s="90"/>
      <c r="O259" s="93"/>
      <c r="P259" s="93"/>
      <c r="Q259" s="93"/>
      <c r="R259" s="93"/>
      <c r="S259" s="93"/>
      <c r="T259" s="93"/>
      <c r="U259" s="93"/>
      <c r="V259" s="93"/>
      <c r="W259" s="93"/>
      <c r="X259" s="93"/>
      <c r="Y259" s="93"/>
      <c r="Z259" s="90"/>
      <c r="AA259" s="93"/>
      <c r="AB259" s="128"/>
      <c r="AC259" s="93"/>
      <c r="AD259" s="93"/>
      <c r="AE259" s="93"/>
      <c r="AF259" s="93"/>
      <c r="AG259" s="93"/>
      <c r="AH259" s="93"/>
      <c r="AI259" s="93"/>
      <c r="AJ259" s="93"/>
      <c r="AK259" s="93"/>
      <c r="AL259" s="90"/>
      <c r="AM259" s="93"/>
      <c r="AN259" s="93"/>
      <c r="AO259" s="93"/>
      <c r="AP259" s="93"/>
      <c r="AQ259" s="93"/>
      <c r="AR259" s="93"/>
      <c r="AS259" s="93"/>
      <c r="AT259" s="93"/>
      <c r="AU259" s="93"/>
      <c r="AV259" s="93"/>
      <c r="AW259" s="93"/>
      <c r="AX259" s="90"/>
      <c r="AY259" s="93"/>
      <c r="AZ259" s="93"/>
      <c r="BA259" s="93"/>
      <c r="BB259" s="93"/>
      <c r="BC259" s="93"/>
      <c r="BD259" s="93"/>
      <c r="BE259" s="93"/>
      <c r="BF259" s="93"/>
      <c r="BG259" s="93"/>
      <c r="BH259" s="1"/>
    </row>
    <row r="260" spans="1:60" s="2" customFormat="1" ht="21" x14ac:dyDescent="0.2">
      <c r="A260" s="649"/>
      <c r="B260" s="492" t="s">
        <v>324</v>
      </c>
      <c r="C260" s="739" t="s">
        <v>104</v>
      </c>
      <c r="D260" s="750" t="s">
        <v>50</v>
      </c>
      <c r="E260" s="253" t="s">
        <v>325</v>
      </c>
      <c r="F260" s="253"/>
      <c r="G260" s="253"/>
      <c r="H260" s="253"/>
      <c r="I260" s="146"/>
      <c r="J260" s="318" t="str">
        <f>J$10&amp;" MWh"</f>
        <v>totaal MWh</v>
      </c>
      <c r="K260" s="142"/>
      <c r="L260" s="142"/>
      <c r="M260" s="318" t="str">
        <f>M$10&amp;" MWh"</f>
        <v>totaal MWh</v>
      </c>
      <c r="N260" s="222"/>
      <c r="O260" s="320" t="str">
        <f t="shared" ref="O260:W260" si="237">O$17</f>
        <v/>
      </c>
      <c r="P260" s="320" t="str">
        <f t="shared" si="237"/>
        <v/>
      </c>
      <c r="Q260" s="320" t="str">
        <f t="shared" si="237"/>
        <v/>
      </c>
      <c r="R260" s="320" t="str">
        <f t="shared" si="237"/>
        <v/>
      </c>
      <c r="S260" s="320" t="str">
        <f t="shared" si="237"/>
        <v/>
      </c>
      <c r="T260" s="320" t="str">
        <f t="shared" si="237"/>
        <v/>
      </c>
      <c r="U260" s="320" t="str">
        <f t="shared" si="237"/>
        <v/>
      </c>
      <c r="V260" s="320" t="str">
        <f t="shared" si="237"/>
        <v/>
      </c>
      <c r="W260" s="320" t="str">
        <f t="shared" si="237"/>
        <v/>
      </c>
      <c r="X260" s="214"/>
      <c r="Y260" s="318"/>
      <c r="Z260" s="222"/>
      <c r="AA260" s="320" t="str">
        <f t="shared" ref="AA260:AI260" si="238">AA$17</f>
        <v/>
      </c>
      <c r="AB260" s="320" t="str">
        <f t="shared" si="238"/>
        <v/>
      </c>
      <c r="AC260" s="320" t="str">
        <f t="shared" si="238"/>
        <v/>
      </c>
      <c r="AD260" s="320" t="str">
        <f t="shared" si="238"/>
        <v/>
      </c>
      <c r="AE260" s="320" t="str">
        <f t="shared" si="238"/>
        <v/>
      </c>
      <c r="AF260" s="320" t="str">
        <f t="shared" si="238"/>
        <v/>
      </c>
      <c r="AG260" s="320" t="str">
        <f t="shared" si="238"/>
        <v/>
      </c>
      <c r="AH260" s="320" t="str">
        <f t="shared" si="238"/>
        <v/>
      </c>
      <c r="AI260" s="320" t="str">
        <f t="shared" si="238"/>
        <v/>
      </c>
      <c r="AJ260" s="214"/>
      <c r="AK260" s="318"/>
      <c r="AL260" s="222"/>
      <c r="AM260" s="320" t="str">
        <f>AM$17</f>
        <v/>
      </c>
      <c r="AN260" s="320" t="str">
        <f t="shared" ref="AN260:AU260" si="239">AN$17</f>
        <v/>
      </c>
      <c r="AO260" s="320" t="str">
        <f t="shared" si="239"/>
        <v/>
      </c>
      <c r="AP260" s="320" t="str">
        <f t="shared" si="239"/>
        <v/>
      </c>
      <c r="AQ260" s="320" t="str">
        <f t="shared" si="239"/>
        <v/>
      </c>
      <c r="AR260" s="320" t="str">
        <f t="shared" si="239"/>
        <v/>
      </c>
      <c r="AS260" s="320" t="str">
        <f t="shared" si="239"/>
        <v/>
      </c>
      <c r="AT260" s="320" t="str">
        <f t="shared" si="239"/>
        <v/>
      </c>
      <c r="AU260" s="320" t="str">
        <f t="shared" si="239"/>
        <v/>
      </c>
      <c r="AV260" s="214"/>
      <c r="AW260" s="318"/>
      <c r="AX260" s="222"/>
      <c r="AY260" s="320" t="str">
        <f>AY$17</f>
        <v/>
      </c>
      <c r="AZ260" s="320" t="str">
        <f t="shared" ref="AZ260:BG260" si="240">AZ$17</f>
        <v/>
      </c>
      <c r="BA260" s="320" t="str">
        <f t="shared" si="240"/>
        <v/>
      </c>
      <c r="BB260" s="320" t="str">
        <f t="shared" si="240"/>
        <v/>
      </c>
      <c r="BC260" s="320" t="str">
        <f t="shared" si="240"/>
        <v/>
      </c>
      <c r="BD260" s="320" t="str">
        <f t="shared" si="240"/>
        <v/>
      </c>
      <c r="BE260" s="320" t="str">
        <f t="shared" si="240"/>
        <v/>
      </c>
      <c r="BF260" s="320" t="str">
        <f t="shared" si="240"/>
        <v/>
      </c>
      <c r="BG260" s="320" t="str">
        <f t="shared" si="240"/>
        <v/>
      </c>
      <c r="BH260" s="1"/>
    </row>
    <row r="261" spans="1:60" ht="18.75" x14ac:dyDescent="0.2">
      <c r="A261" s="648"/>
      <c r="B261" s="492" t="s">
        <v>324</v>
      </c>
      <c r="C261" s="739" t="s">
        <v>104</v>
      </c>
      <c r="D261" s="747"/>
      <c r="E261" s="236" t="s">
        <v>326</v>
      </c>
      <c r="F261" s="236"/>
      <c r="G261" s="236"/>
      <c r="H261" s="89"/>
      <c r="I261" s="236"/>
      <c r="J261" s="236"/>
      <c r="K261" s="236"/>
      <c r="L261" s="236"/>
      <c r="M261" s="236"/>
      <c r="N261" s="236"/>
      <c r="O261" s="236"/>
      <c r="P261" s="236"/>
      <c r="Q261" s="236"/>
      <c r="R261" s="236"/>
      <c r="S261" s="236"/>
      <c r="T261" s="236"/>
      <c r="U261" s="236"/>
      <c r="V261" s="236"/>
      <c r="W261" s="236"/>
      <c r="X261" s="236"/>
      <c r="Y261" s="236"/>
      <c r="Z261" s="236"/>
      <c r="AA261" s="236"/>
      <c r="AB261" s="279"/>
      <c r="AC261" s="236"/>
      <c r="AD261" s="236"/>
      <c r="AE261" s="236"/>
      <c r="AF261" s="236"/>
      <c r="AG261" s="236"/>
      <c r="AH261" s="236"/>
      <c r="AI261" s="236"/>
      <c r="AJ261" s="236"/>
      <c r="AK261" s="236"/>
      <c r="AL261" s="236"/>
      <c r="AM261" s="236"/>
      <c r="AN261" s="236"/>
      <c r="AO261" s="279"/>
      <c r="AP261" s="236"/>
      <c r="AQ261" s="236"/>
      <c r="AR261" s="236"/>
      <c r="AS261" s="236"/>
      <c r="AT261" s="236"/>
      <c r="AU261" s="236"/>
      <c r="AV261" s="236"/>
      <c r="AW261" s="236"/>
      <c r="AX261" s="236"/>
      <c r="AY261" s="236"/>
      <c r="AZ261" s="236"/>
      <c r="BA261" s="236"/>
      <c r="BB261" s="236"/>
      <c r="BC261" s="236"/>
      <c r="BD261" s="236"/>
      <c r="BE261" s="236"/>
      <c r="BF261" s="236"/>
      <c r="BG261" s="236"/>
      <c r="BH261" s="38"/>
    </row>
    <row r="262" spans="1:60" x14ac:dyDescent="0.2">
      <c r="A262" s="648"/>
      <c r="B262" s="492" t="s">
        <v>324</v>
      </c>
      <c r="C262" s="656" t="s">
        <v>113</v>
      </c>
      <c r="D262" s="750" t="s">
        <v>50</v>
      </c>
      <c r="E262" s="220" t="s">
        <v>327</v>
      </c>
      <c r="F262" s="220"/>
      <c r="G262" s="220"/>
      <c r="H262" s="242" t="s">
        <v>317</v>
      </c>
      <c r="I262" s="129"/>
      <c r="J262" s="243">
        <f>M262+Y262+AK262+AW262</f>
        <v>0</v>
      </c>
      <c r="K262" s="236"/>
      <c r="L262" s="236"/>
      <c r="M262" s="243">
        <f>SUMPRODUCT(N262:X262,N$32:X$32)/1000</f>
        <v>0</v>
      </c>
      <c r="N262" s="129"/>
      <c r="O262" s="207" t="str">
        <f t="shared" ref="O262:W262" si="241">IF(OR(O$19="",O$24=0,O$31=0),"",O$255-O$248-O$247-IF(OR(O$21=woning,O$21=woongebouw),O244,0))</f>
        <v/>
      </c>
      <c r="P262" s="207" t="str">
        <f t="shared" si="241"/>
        <v/>
      </c>
      <c r="Q262" s="207" t="str">
        <f t="shared" si="241"/>
        <v/>
      </c>
      <c r="R262" s="207" t="str">
        <f t="shared" si="241"/>
        <v/>
      </c>
      <c r="S262" s="207" t="str">
        <f t="shared" si="241"/>
        <v/>
      </c>
      <c r="T262" s="207" t="str">
        <f t="shared" si="241"/>
        <v/>
      </c>
      <c r="U262" s="207" t="str">
        <f t="shared" si="241"/>
        <v/>
      </c>
      <c r="V262" s="207" t="str">
        <f t="shared" si="241"/>
        <v/>
      </c>
      <c r="W262" s="207" t="str">
        <f t="shared" si="241"/>
        <v/>
      </c>
      <c r="X262" s="128"/>
      <c r="Y262" s="243">
        <f>SUMPRODUCT(Z262:AJ262,Z$32:AJ$32)/1000</f>
        <v>0</v>
      </c>
      <c r="Z262" s="129"/>
      <c r="AA262" s="207" t="str">
        <f t="shared" ref="AA262:AI262" si="242">IF(OR(AA$19="",AA$24=0,AA$31=0),"",AA$255-AA$248-AA$247-IF(OR(AA$21=woning,AA$21=woongebouw),AA244,0))</f>
        <v/>
      </c>
      <c r="AB262" s="207" t="str">
        <f t="shared" si="242"/>
        <v/>
      </c>
      <c r="AC262" s="207" t="str">
        <f t="shared" si="242"/>
        <v/>
      </c>
      <c r="AD262" s="207" t="str">
        <f t="shared" si="242"/>
        <v/>
      </c>
      <c r="AE262" s="207" t="str">
        <f t="shared" si="242"/>
        <v/>
      </c>
      <c r="AF262" s="207" t="str">
        <f t="shared" si="242"/>
        <v/>
      </c>
      <c r="AG262" s="207" t="str">
        <f t="shared" si="242"/>
        <v/>
      </c>
      <c r="AH262" s="207" t="str">
        <f t="shared" si="242"/>
        <v/>
      </c>
      <c r="AI262" s="207" t="str">
        <f t="shared" si="242"/>
        <v/>
      </c>
      <c r="AJ262" s="128"/>
      <c r="AK262" s="243">
        <f>SUMPRODUCT(AL262:AV262,AL$32:AV$32)/1000</f>
        <v>0</v>
      </c>
      <c r="AL262" s="129"/>
      <c r="AM262" s="207" t="str">
        <f t="shared" ref="AM262:AU262" si="243">IF(OR(AM$19="",AM$24=0,AM$31=0),"",AM$255-AM$248-AM$247-IF(OR(AM$21=woning,AM$21=woongebouw),AM244,0))</f>
        <v/>
      </c>
      <c r="AN262" s="207" t="str">
        <f t="shared" si="243"/>
        <v/>
      </c>
      <c r="AO262" s="207" t="str">
        <f t="shared" si="243"/>
        <v/>
      </c>
      <c r="AP262" s="207" t="str">
        <f t="shared" si="243"/>
        <v/>
      </c>
      <c r="AQ262" s="207" t="str">
        <f t="shared" si="243"/>
        <v/>
      </c>
      <c r="AR262" s="207" t="str">
        <f t="shared" si="243"/>
        <v/>
      </c>
      <c r="AS262" s="207" t="str">
        <f t="shared" si="243"/>
        <v/>
      </c>
      <c r="AT262" s="207" t="str">
        <f t="shared" si="243"/>
        <v/>
      </c>
      <c r="AU262" s="207" t="str">
        <f t="shared" si="243"/>
        <v/>
      </c>
      <c r="AV262" s="128"/>
      <c r="AW262" s="243">
        <f>SUMPRODUCT(AX262:BH262,AX$32:BH$32)/1000</f>
        <v>0</v>
      </c>
      <c r="AX262" s="129"/>
      <c r="AY262" s="207" t="str">
        <f t="shared" ref="AY262:BG262" si="244">IF(OR(AY$19="",AY$24=0,AY$31=0),"",AY$255-AY$248-AY$247-IF(OR(AY$21=woning,AY$21=woongebouw),AY244,0))</f>
        <v/>
      </c>
      <c r="AZ262" s="207" t="str">
        <f t="shared" si="244"/>
        <v/>
      </c>
      <c r="BA262" s="207" t="str">
        <f t="shared" si="244"/>
        <v/>
      </c>
      <c r="BB262" s="207" t="str">
        <f t="shared" si="244"/>
        <v/>
      </c>
      <c r="BC262" s="207" t="str">
        <f t="shared" si="244"/>
        <v/>
      </c>
      <c r="BD262" s="207" t="str">
        <f t="shared" si="244"/>
        <v/>
      </c>
      <c r="BE262" s="207" t="str">
        <f t="shared" si="244"/>
        <v/>
      </c>
      <c r="BF262" s="207" t="str">
        <f t="shared" si="244"/>
        <v/>
      </c>
      <c r="BG262" s="207" t="str">
        <f t="shared" si="244"/>
        <v/>
      </c>
      <c r="BH262" s="255"/>
    </row>
    <row r="263" spans="1:60" ht="18.75" x14ac:dyDescent="0.2">
      <c r="A263" s="648"/>
      <c r="B263" s="492" t="s">
        <v>324</v>
      </c>
      <c r="C263" s="739" t="s">
        <v>104</v>
      </c>
      <c r="D263" s="747"/>
      <c r="E263" s="236" t="s">
        <v>328</v>
      </c>
      <c r="F263" s="236"/>
      <c r="G263" s="236"/>
      <c r="H263" s="89"/>
      <c r="I263" s="236"/>
      <c r="J263" s="236"/>
      <c r="K263" s="236"/>
      <c r="L263" s="236"/>
      <c r="M263" s="236"/>
      <c r="N263" s="236"/>
      <c r="O263" s="236"/>
      <c r="P263" s="236"/>
      <c r="Q263" s="236"/>
      <c r="R263" s="236"/>
      <c r="S263" s="236"/>
      <c r="T263" s="236"/>
      <c r="U263" s="236"/>
      <c r="V263" s="236"/>
      <c r="W263" s="236"/>
      <c r="X263" s="236"/>
      <c r="Y263" s="236"/>
      <c r="Z263" s="236"/>
      <c r="AA263" s="236"/>
      <c r="AB263" s="236"/>
      <c r="AC263" s="236"/>
      <c r="AD263" s="236"/>
      <c r="AE263" s="236"/>
      <c r="AF263" s="236"/>
      <c r="AG263" s="236"/>
      <c r="AH263" s="236"/>
      <c r="AI263" s="236"/>
      <c r="AJ263" s="236"/>
      <c r="AK263" s="236"/>
      <c r="AL263" s="236"/>
      <c r="AM263" s="236"/>
      <c r="AN263" s="236"/>
      <c r="AO263" s="236"/>
      <c r="AP263" s="236"/>
      <c r="AQ263" s="236"/>
      <c r="AR263" s="236"/>
      <c r="AS263" s="236"/>
      <c r="AT263" s="236"/>
      <c r="AU263" s="236"/>
      <c r="AV263" s="236"/>
      <c r="AW263" s="236"/>
      <c r="AX263" s="236"/>
      <c r="AY263" s="236"/>
      <c r="AZ263" s="236"/>
      <c r="BA263" s="236"/>
      <c r="BB263" s="236"/>
      <c r="BC263" s="236"/>
      <c r="BD263" s="236"/>
      <c r="BE263" s="236"/>
      <c r="BF263" s="236"/>
      <c r="BG263" s="236"/>
      <c r="BH263" s="38"/>
    </row>
    <row r="264" spans="1:60" x14ac:dyDescent="0.2">
      <c r="A264" s="648"/>
      <c r="B264" s="492" t="s">
        <v>324</v>
      </c>
      <c r="C264" s="656" t="s">
        <v>113</v>
      </c>
      <c r="D264" s="750" t="s">
        <v>50</v>
      </c>
      <c r="E264" s="220" t="s">
        <v>329</v>
      </c>
      <c r="F264" s="220"/>
      <c r="G264" s="220"/>
      <c r="H264" s="242" t="s">
        <v>317</v>
      </c>
      <c r="I264" s="129"/>
      <c r="J264" s="243">
        <f t="shared" ref="J264:J269" si="245">M264+Y264+AK264+AW264</f>
        <v>0</v>
      </c>
      <c r="K264" s="236"/>
      <c r="L264" s="236"/>
      <c r="M264" s="243">
        <f t="shared" ref="M264:M269" si="246">SUMPRODUCT(N264:X264,N$32:X$32)/1000</f>
        <v>0</v>
      </c>
      <c r="N264" s="129"/>
      <c r="O264" s="207" t="str">
        <f t="shared" ref="O264:W264" si="247">IF(OR(O$19="",O$24=0,O$31=0),"",
(O$234*$O209+O$235*$P209+O$236*$Q209)*1000/(O$24*O$31))</f>
        <v/>
      </c>
      <c r="P264" s="207" t="str">
        <f t="shared" si="247"/>
        <v/>
      </c>
      <c r="Q264" s="207" t="str">
        <f t="shared" si="247"/>
        <v/>
      </c>
      <c r="R264" s="207" t="str">
        <f t="shared" si="247"/>
        <v/>
      </c>
      <c r="S264" s="207" t="str">
        <f t="shared" si="247"/>
        <v/>
      </c>
      <c r="T264" s="207" t="str">
        <f t="shared" si="247"/>
        <v/>
      </c>
      <c r="U264" s="207" t="str">
        <f t="shared" si="247"/>
        <v/>
      </c>
      <c r="V264" s="207" t="str">
        <f t="shared" si="247"/>
        <v/>
      </c>
      <c r="W264" s="207" t="str">
        <f t="shared" si="247"/>
        <v/>
      </c>
      <c r="X264" s="128"/>
      <c r="Y264" s="243">
        <f t="shared" ref="Y264:Y269" si="248">SUMPRODUCT(Z264:AJ264,Z$32:AJ$32)/1000</f>
        <v>0</v>
      </c>
      <c r="Z264" s="129"/>
      <c r="AA264" s="207" t="str">
        <f t="shared" ref="AA264:AI264" si="249">IF(OR(AA$19="",AA$24=0,AA$31=0),"",
(AA$234*$AA209+AA$235*$AB209+AA$236*$AC209)*1000/(AA$24*AA$31))</f>
        <v/>
      </c>
      <c r="AB264" s="207" t="str">
        <f t="shared" si="249"/>
        <v/>
      </c>
      <c r="AC264" s="207" t="str">
        <f t="shared" si="249"/>
        <v/>
      </c>
      <c r="AD264" s="207" t="str">
        <f t="shared" si="249"/>
        <v/>
      </c>
      <c r="AE264" s="207" t="str">
        <f t="shared" si="249"/>
        <v/>
      </c>
      <c r="AF264" s="207" t="str">
        <f t="shared" si="249"/>
        <v/>
      </c>
      <c r="AG264" s="207" t="str">
        <f t="shared" si="249"/>
        <v/>
      </c>
      <c r="AH264" s="207" t="str">
        <f t="shared" si="249"/>
        <v/>
      </c>
      <c r="AI264" s="207" t="str">
        <f t="shared" si="249"/>
        <v/>
      </c>
      <c r="AJ264" s="128"/>
      <c r="AK264" s="243">
        <f t="shared" ref="AK264:AK269" si="250">SUMPRODUCT(AL264:AV264,AL$32:AV$32)/1000</f>
        <v>0</v>
      </c>
      <c r="AL264" s="129"/>
      <c r="AM264" s="207" t="str">
        <f t="shared" ref="AM264:AU264" si="251">IF(OR(AM$19="",AM$24=0,AM$31=0),"",
(AM$234*$AM209+AM$235*$AN209+AM$236*$AO209)*1000/(AM$24*AM$31))</f>
        <v/>
      </c>
      <c r="AN264" s="207" t="str">
        <f t="shared" si="251"/>
        <v/>
      </c>
      <c r="AO264" s="207" t="str">
        <f t="shared" si="251"/>
        <v/>
      </c>
      <c r="AP264" s="207" t="str">
        <f t="shared" si="251"/>
        <v/>
      </c>
      <c r="AQ264" s="207" t="str">
        <f t="shared" si="251"/>
        <v/>
      </c>
      <c r="AR264" s="207" t="str">
        <f t="shared" si="251"/>
        <v/>
      </c>
      <c r="AS264" s="207" t="str">
        <f t="shared" si="251"/>
        <v/>
      </c>
      <c r="AT264" s="207" t="str">
        <f t="shared" si="251"/>
        <v/>
      </c>
      <c r="AU264" s="207" t="str">
        <f t="shared" si="251"/>
        <v/>
      </c>
      <c r="AV264" s="128"/>
      <c r="AW264" s="243">
        <f t="shared" ref="AW264:AW269" si="252">SUMPRODUCT(AX264:BH264,AX$32:BH$32)/1000</f>
        <v>0</v>
      </c>
      <c r="AX264" s="129"/>
      <c r="AY264" s="207" t="str">
        <f t="shared" ref="AY264:BG264" si="253">IF(OR(AY$19="",AY$24=0,AY$31=0),"",
(AY$234*$AY209+AY$235*$AZ209+AY$236*$BA209)*1000/(AY$24*AY$31))</f>
        <v/>
      </c>
      <c r="AZ264" s="207" t="str">
        <f t="shared" si="253"/>
        <v/>
      </c>
      <c r="BA264" s="207" t="str">
        <f t="shared" si="253"/>
        <v/>
      </c>
      <c r="BB264" s="207" t="str">
        <f t="shared" si="253"/>
        <v/>
      </c>
      <c r="BC264" s="207" t="str">
        <f t="shared" si="253"/>
        <v/>
      </c>
      <c r="BD264" s="207" t="str">
        <f t="shared" si="253"/>
        <v/>
      </c>
      <c r="BE264" s="207" t="str">
        <f t="shared" si="253"/>
        <v/>
      </c>
      <c r="BF264" s="207" t="str">
        <f t="shared" si="253"/>
        <v/>
      </c>
      <c r="BG264" s="207" t="str">
        <f t="shared" si="253"/>
        <v/>
      </c>
      <c r="BH264" s="255"/>
    </row>
    <row r="265" spans="1:60" x14ac:dyDescent="0.2">
      <c r="A265" s="648"/>
      <c r="B265" s="492" t="s">
        <v>324</v>
      </c>
      <c r="C265" s="656" t="s">
        <v>113</v>
      </c>
      <c r="D265" s="750" t="s">
        <v>50</v>
      </c>
      <c r="E265" s="220" t="s">
        <v>330</v>
      </c>
      <c r="F265" s="220"/>
      <c r="G265" s="220"/>
      <c r="H265" s="242" t="s">
        <v>317</v>
      </c>
      <c r="I265" s="129"/>
      <c r="J265" s="243">
        <f t="shared" si="245"/>
        <v>0</v>
      </c>
      <c r="K265" s="236"/>
      <c r="L265" s="236"/>
      <c r="M265" s="243">
        <f t="shared" si="246"/>
        <v>0</v>
      </c>
      <c r="N265" s="129"/>
      <c r="O265" s="207" t="str">
        <f t="shared" ref="O265:W265" si="254">IF(OR(O$19="",O$24=0,O$31=0),"",
(O$235*$P210)*1000/(O$24*O$31))</f>
        <v/>
      </c>
      <c r="P265" s="207" t="str">
        <f t="shared" si="254"/>
        <v/>
      </c>
      <c r="Q265" s="207" t="str">
        <f t="shared" si="254"/>
        <v/>
      </c>
      <c r="R265" s="207" t="str">
        <f t="shared" si="254"/>
        <v/>
      </c>
      <c r="S265" s="207" t="str">
        <f t="shared" si="254"/>
        <v/>
      </c>
      <c r="T265" s="207" t="str">
        <f t="shared" si="254"/>
        <v/>
      </c>
      <c r="U265" s="207" t="str">
        <f t="shared" si="254"/>
        <v/>
      </c>
      <c r="V265" s="207" t="str">
        <f t="shared" si="254"/>
        <v/>
      </c>
      <c r="W265" s="207" t="str">
        <f t="shared" si="254"/>
        <v/>
      </c>
      <c r="X265" s="128"/>
      <c r="Y265" s="243">
        <f t="shared" si="248"/>
        <v>0</v>
      </c>
      <c r="Z265" s="129"/>
      <c r="AA265" s="207" t="str">
        <f t="shared" ref="AA265:AI265" si="255">IF(OR(AA$19="",AA$24=0,AA$31=0),"",
(AA$235*$AB210)*1000/(AA$24*AA$31))</f>
        <v/>
      </c>
      <c r="AB265" s="207" t="str">
        <f t="shared" si="255"/>
        <v/>
      </c>
      <c r="AC265" s="207" t="str">
        <f t="shared" si="255"/>
        <v/>
      </c>
      <c r="AD265" s="207" t="str">
        <f t="shared" si="255"/>
        <v/>
      </c>
      <c r="AE265" s="207" t="str">
        <f t="shared" si="255"/>
        <v/>
      </c>
      <c r="AF265" s="207" t="str">
        <f t="shared" si="255"/>
        <v/>
      </c>
      <c r="AG265" s="207" t="str">
        <f t="shared" si="255"/>
        <v/>
      </c>
      <c r="AH265" s="207" t="str">
        <f t="shared" si="255"/>
        <v/>
      </c>
      <c r="AI265" s="207" t="str">
        <f t="shared" si="255"/>
        <v/>
      </c>
      <c r="AJ265" s="128"/>
      <c r="AK265" s="243">
        <f t="shared" si="250"/>
        <v>0</v>
      </c>
      <c r="AL265" s="129"/>
      <c r="AM265" s="207" t="str">
        <f t="shared" ref="AM265:AU265" si="256">IF(OR(AM$19="",AM$24=0,AM$31=0),"",
(AM$235*$AN210)*1000/(AM$24*AM$31))</f>
        <v/>
      </c>
      <c r="AN265" s="207" t="str">
        <f t="shared" si="256"/>
        <v/>
      </c>
      <c r="AO265" s="207" t="str">
        <f t="shared" si="256"/>
        <v/>
      </c>
      <c r="AP265" s="207" t="str">
        <f t="shared" si="256"/>
        <v/>
      </c>
      <c r="AQ265" s="207" t="str">
        <f t="shared" si="256"/>
        <v/>
      </c>
      <c r="AR265" s="207" t="str">
        <f t="shared" si="256"/>
        <v/>
      </c>
      <c r="AS265" s="207" t="str">
        <f t="shared" si="256"/>
        <v/>
      </c>
      <c r="AT265" s="207" t="str">
        <f t="shared" si="256"/>
        <v/>
      </c>
      <c r="AU265" s="207" t="str">
        <f t="shared" si="256"/>
        <v/>
      </c>
      <c r="AV265" s="128"/>
      <c r="AW265" s="243">
        <f t="shared" si="252"/>
        <v>0</v>
      </c>
      <c r="AX265" s="129"/>
      <c r="AY265" s="207" t="str">
        <f t="shared" ref="AY265:BG265" si="257">IF(OR(AY$19="",AY$24=0,AY$31=0),"",
(AY$235*$AZ210)*1000/(AY$24*AY$31))</f>
        <v/>
      </c>
      <c r="AZ265" s="207" t="str">
        <f t="shared" si="257"/>
        <v/>
      </c>
      <c r="BA265" s="207" t="str">
        <f t="shared" si="257"/>
        <v/>
      </c>
      <c r="BB265" s="207" t="str">
        <f t="shared" si="257"/>
        <v/>
      </c>
      <c r="BC265" s="207" t="str">
        <f t="shared" si="257"/>
        <v/>
      </c>
      <c r="BD265" s="207" t="str">
        <f t="shared" si="257"/>
        <v/>
      </c>
      <c r="BE265" s="207" t="str">
        <f t="shared" si="257"/>
        <v/>
      </c>
      <c r="BF265" s="207" t="str">
        <f t="shared" si="257"/>
        <v/>
      </c>
      <c r="BG265" s="207" t="str">
        <f t="shared" si="257"/>
        <v/>
      </c>
      <c r="BH265" s="255"/>
    </row>
    <row r="266" spans="1:60" x14ac:dyDescent="0.2">
      <c r="A266" s="648"/>
      <c r="B266" s="492" t="s">
        <v>324</v>
      </c>
      <c r="C266" s="656" t="s">
        <v>113</v>
      </c>
      <c r="D266" s="750" t="s">
        <v>50</v>
      </c>
      <c r="E266" s="220" t="s">
        <v>294</v>
      </c>
      <c r="F266" s="220"/>
      <c r="G266" s="220"/>
      <c r="H266" s="242" t="s">
        <v>317</v>
      </c>
      <c r="I266" s="129"/>
      <c r="J266" s="243">
        <f t="shared" si="245"/>
        <v>0</v>
      </c>
      <c r="K266" s="236"/>
      <c r="L266" s="236"/>
      <c r="M266" s="243">
        <f t="shared" si="246"/>
        <v>0</v>
      </c>
      <c r="N266" s="129"/>
      <c r="O266" s="207" t="str">
        <f t="shared" ref="O266:W266" si="258">IF(OR(O$19="",O$24=0,O$31=0),"",
(O$234*$O211+O$236*$Q211)*1000/(O$24*O$31))</f>
        <v/>
      </c>
      <c r="P266" s="207" t="str">
        <f t="shared" si="258"/>
        <v/>
      </c>
      <c r="Q266" s="207" t="str">
        <f t="shared" si="258"/>
        <v/>
      </c>
      <c r="R266" s="207" t="str">
        <f t="shared" si="258"/>
        <v/>
      </c>
      <c r="S266" s="207" t="str">
        <f t="shared" si="258"/>
        <v/>
      </c>
      <c r="T266" s="207" t="str">
        <f t="shared" si="258"/>
        <v/>
      </c>
      <c r="U266" s="207" t="str">
        <f t="shared" si="258"/>
        <v/>
      </c>
      <c r="V266" s="207" t="str">
        <f t="shared" si="258"/>
        <v/>
      </c>
      <c r="W266" s="207" t="str">
        <f t="shared" si="258"/>
        <v/>
      </c>
      <c r="X266" s="128"/>
      <c r="Y266" s="243">
        <f t="shared" si="248"/>
        <v>0</v>
      </c>
      <c r="Z266" s="129"/>
      <c r="AA266" s="207" t="str">
        <f t="shared" ref="AA266:AI266" si="259">IF(OR(AA$19="",AA$24=0,AA$31=0),"",
(AA$234*$AA211+AA$236*$AC211)*1000/(AA$24*AA$31))</f>
        <v/>
      </c>
      <c r="AB266" s="207" t="str">
        <f t="shared" si="259"/>
        <v/>
      </c>
      <c r="AC266" s="207" t="str">
        <f t="shared" si="259"/>
        <v/>
      </c>
      <c r="AD266" s="207" t="str">
        <f t="shared" si="259"/>
        <v/>
      </c>
      <c r="AE266" s="207" t="str">
        <f t="shared" si="259"/>
        <v/>
      </c>
      <c r="AF266" s="207" t="str">
        <f t="shared" si="259"/>
        <v/>
      </c>
      <c r="AG266" s="207" t="str">
        <f t="shared" si="259"/>
        <v/>
      </c>
      <c r="AH266" s="207" t="str">
        <f t="shared" si="259"/>
        <v/>
      </c>
      <c r="AI266" s="207" t="str">
        <f t="shared" si="259"/>
        <v/>
      </c>
      <c r="AJ266" s="128"/>
      <c r="AK266" s="243">
        <f t="shared" si="250"/>
        <v>0</v>
      </c>
      <c r="AL266" s="129"/>
      <c r="AM266" s="207" t="str">
        <f t="shared" ref="AM266:AU266" si="260">IF(OR(AM$19="",AM$24=0,AM$31=0),"",
(AM$234*$AM211+AM$236*$AO211)*1000/(AM$24*AM$31))</f>
        <v/>
      </c>
      <c r="AN266" s="207" t="str">
        <f t="shared" si="260"/>
        <v/>
      </c>
      <c r="AO266" s="207" t="str">
        <f t="shared" si="260"/>
        <v/>
      </c>
      <c r="AP266" s="207" t="str">
        <f t="shared" si="260"/>
        <v/>
      </c>
      <c r="AQ266" s="207" t="str">
        <f t="shared" si="260"/>
        <v/>
      </c>
      <c r="AR266" s="207" t="str">
        <f t="shared" si="260"/>
        <v/>
      </c>
      <c r="AS266" s="207" t="str">
        <f t="shared" si="260"/>
        <v/>
      </c>
      <c r="AT266" s="207" t="str">
        <f t="shared" si="260"/>
        <v/>
      </c>
      <c r="AU266" s="207" t="str">
        <f t="shared" si="260"/>
        <v/>
      </c>
      <c r="AV266" s="128"/>
      <c r="AW266" s="243">
        <f t="shared" si="252"/>
        <v>0</v>
      </c>
      <c r="AX266" s="129"/>
      <c r="AY266" s="207" t="str">
        <f t="shared" ref="AY266:BG266" si="261">IF(OR(AY$19="",AY$24=0,AY$31=0),"",
(AY$234*$AY211+AY$236*$BA211)*1000/(AY$24*AY$31))</f>
        <v/>
      </c>
      <c r="AZ266" s="207" t="str">
        <f t="shared" si="261"/>
        <v/>
      </c>
      <c r="BA266" s="207" t="str">
        <f t="shared" si="261"/>
        <v/>
      </c>
      <c r="BB266" s="207" t="str">
        <f t="shared" si="261"/>
        <v/>
      </c>
      <c r="BC266" s="207" t="str">
        <f t="shared" si="261"/>
        <v/>
      </c>
      <c r="BD266" s="207" t="str">
        <f t="shared" si="261"/>
        <v/>
      </c>
      <c r="BE266" s="207" t="str">
        <f t="shared" si="261"/>
        <v/>
      </c>
      <c r="BF266" s="207" t="str">
        <f t="shared" si="261"/>
        <v/>
      </c>
      <c r="BG266" s="207" t="str">
        <f t="shared" si="261"/>
        <v/>
      </c>
      <c r="BH266" s="255"/>
    </row>
    <row r="267" spans="1:60" x14ac:dyDescent="0.2">
      <c r="A267" s="648"/>
      <c r="B267" s="492" t="s">
        <v>324</v>
      </c>
      <c r="C267" s="656" t="s">
        <v>113</v>
      </c>
      <c r="D267" s="750" t="s">
        <v>50</v>
      </c>
      <c r="E267" s="220" t="s">
        <v>295</v>
      </c>
      <c r="F267" s="220"/>
      <c r="G267" s="220"/>
      <c r="H267" s="242" t="s">
        <v>317</v>
      </c>
      <c r="I267" s="129"/>
      <c r="J267" s="243">
        <f t="shared" si="245"/>
        <v>0</v>
      </c>
      <c r="K267" s="236"/>
      <c r="L267" s="236"/>
      <c r="M267" s="243">
        <f t="shared" si="246"/>
        <v>0</v>
      </c>
      <c r="N267" s="129"/>
      <c r="O267" s="207" t="str">
        <f t="shared" ref="O267:W267" si="262">IF(OR(O$19="",O$24=0,O$31=0),"",
(O$234*$O212+O$235*$P212+O$236*$Q212)*1000/(O$24*O$31))</f>
        <v/>
      </c>
      <c r="P267" s="207" t="str">
        <f t="shared" si="262"/>
        <v/>
      </c>
      <c r="Q267" s="207" t="str">
        <f t="shared" si="262"/>
        <v/>
      </c>
      <c r="R267" s="207" t="str">
        <f t="shared" si="262"/>
        <v/>
      </c>
      <c r="S267" s="207" t="str">
        <f t="shared" si="262"/>
        <v/>
      </c>
      <c r="T267" s="207" t="str">
        <f t="shared" si="262"/>
        <v/>
      </c>
      <c r="U267" s="207" t="str">
        <f t="shared" si="262"/>
        <v/>
      </c>
      <c r="V267" s="207" t="str">
        <f t="shared" si="262"/>
        <v/>
      </c>
      <c r="W267" s="207" t="str">
        <f t="shared" si="262"/>
        <v/>
      </c>
      <c r="X267" s="128"/>
      <c r="Y267" s="243">
        <f t="shared" si="248"/>
        <v>0</v>
      </c>
      <c r="Z267" s="129"/>
      <c r="AA267" s="207" t="str">
        <f t="shared" ref="AA267:AI267" si="263">IF(OR(AA$19="",AA$24=0,AA$31=0),"",
(AA$234*$AA212+AA$235*$AB212+AA$236*$AC212)*1000/(AA$24*AA$31))</f>
        <v/>
      </c>
      <c r="AB267" s="207" t="str">
        <f t="shared" si="263"/>
        <v/>
      </c>
      <c r="AC267" s="207" t="str">
        <f t="shared" si="263"/>
        <v/>
      </c>
      <c r="AD267" s="207" t="str">
        <f t="shared" si="263"/>
        <v/>
      </c>
      <c r="AE267" s="207" t="str">
        <f t="shared" si="263"/>
        <v/>
      </c>
      <c r="AF267" s="207" t="str">
        <f t="shared" si="263"/>
        <v/>
      </c>
      <c r="AG267" s="207" t="str">
        <f t="shared" si="263"/>
        <v/>
      </c>
      <c r="AH267" s="207" t="str">
        <f t="shared" si="263"/>
        <v/>
      </c>
      <c r="AI267" s="207" t="str">
        <f t="shared" si="263"/>
        <v/>
      </c>
      <c r="AJ267" s="128"/>
      <c r="AK267" s="243">
        <f t="shared" si="250"/>
        <v>0</v>
      </c>
      <c r="AL267" s="129"/>
      <c r="AM267" s="207" t="str">
        <f t="shared" ref="AM267:AU267" si="264">IF(OR(AM$19="",AM$24=0,AM$31=0),"",
(AM$234*$AM212+AM$235*$AN212+AM$236*$AO212)*1000/(AM$24*AM$31))</f>
        <v/>
      </c>
      <c r="AN267" s="207" t="str">
        <f t="shared" si="264"/>
        <v/>
      </c>
      <c r="AO267" s="207" t="str">
        <f t="shared" si="264"/>
        <v/>
      </c>
      <c r="AP267" s="207" t="str">
        <f t="shared" si="264"/>
        <v/>
      </c>
      <c r="AQ267" s="207" t="str">
        <f t="shared" si="264"/>
        <v/>
      </c>
      <c r="AR267" s="207" t="str">
        <f t="shared" si="264"/>
        <v/>
      </c>
      <c r="AS267" s="207" t="str">
        <f t="shared" si="264"/>
        <v/>
      </c>
      <c r="AT267" s="207" t="str">
        <f t="shared" si="264"/>
        <v/>
      </c>
      <c r="AU267" s="207" t="str">
        <f t="shared" si="264"/>
        <v/>
      </c>
      <c r="AV267" s="128"/>
      <c r="AW267" s="243">
        <f t="shared" si="252"/>
        <v>0</v>
      </c>
      <c r="AX267" s="129"/>
      <c r="AY267" s="207" t="str">
        <f t="shared" ref="AY267:BG267" si="265">IF(OR(AY$19="",AY$24=0,AY$31=0),"",
(AY$234*$AY212+AY$235*$AZ212+AY$236*$BA212)*1000/(AY$24*AY$31))</f>
        <v/>
      </c>
      <c r="AZ267" s="207" t="str">
        <f t="shared" si="265"/>
        <v/>
      </c>
      <c r="BA267" s="207" t="str">
        <f t="shared" si="265"/>
        <v/>
      </c>
      <c r="BB267" s="207" t="str">
        <f t="shared" si="265"/>
        <v/>
      </c>
      <c r="BC267" s="207" t="str">
        <f t="shared" si="265"/>
        <v/>
      </c>
      <c r="BD267" s="207" t="str">
        <f t="shared" si="265"/>
        <v/>
      </c>
      <c r="BE267" s="207" t="str">
        <f t="shared" si="265"/>
        <v/>
      </c>
      <c r="BF267" s="207" t="str">
        <f t="shared" si="265"/>
        <v/>
      </c>
      <c r="BG267" s="207" t="str">
        <f t="shared" si="265"/>
        <v/>
      </c>
      <c r="BH267" s="255"/>
    </row>
    <row r="268" spans="1:60" x14ac:dyDescent="0.2">
      <c r="A268" s="648"/>
      <c r="B268" s="492" t="s">
        <v>324</v>
      </c>
      <c r="C268" s="656" t="s">
        <v>113</v>
      </c>
      <c r="D268" s="750" t="s">
        <v>50</v>
      </c>
      <c r="E268" s="220" t="s">
        <v>296</v>
      </c>
      <c r="F268" s="220"/>
      <c r="G268" s="220"/>
      <c r="H268" s="242" t="s">
        <v>317</v>
      </c>
      <c r="I268" s="129"/>
      <c r="J268" s="243">
        <f t="shared" si="245"/>
        <v>0</v>
      </c>
      <c r="K268" s="236"/>
      <c r="L268" s="236"/>
      <c r="M268" s="243">
        <f t="shared" si="246"/>
        <v>0</v>
      </c>
      <c r="N268" s="129"/>
      <c r="O268" s="207" t="str">
        <f t="shared" ref="O268:W268" si="266">IF(OR(O$19="",O$24=0,O$31=0),"",
(O$235*$P213)*1000/(O$24*O$31))</f>
        <v/>
      </c>
      <c r="P268" s="207" t="str">
        <f t="shared" si="266"/>
        <v/>
      </c>
      <c r="Q268" s="207" t="str">
        <f t="shared" si="266"/>
        <v/>
      </c>
      <c r="R268" s="207" t="str">
        <f t="shared" si="266"/>
        <v/>
      </c>
      <c r="S268" s="207" t="str">
        <f t="shared" si="266"/>
        <v/>
      </c>
      <c r="T268" s="207" t="str">
        <f t="shared" si="266"/>
        <v/>
      </c>
      <c r="U268" s="207" t="str">
        <f t="shared" si="266"/>
        <v/>
      </c>
      <c r="V268" s="207" t="str">
        <f t="shared" si="266"/>
        <v/>
      </c>
      <c r="W268" s="207" t="str">
        <f t="shared" si="266"/>
        <v/>
      </c>
      <c r="X268" s="128"/>
      <c r="Y268" s="243">
        <f t="shared" si="248"/>
        <v>0</v>
      </c>
      <c r="Z268" s="129"/>
      <c r="AA268" s="207" t="str">
        <f t="shared" ref="AA268:AI268" si="267">IF(OR(AA$19="",AA$24=0,AA$31=0),"",
(AA$235*$AB213)*1000/(AA$24*AA$31))</f>
        <v/>
      </c>
      <c r="AB268" s="207" t="str">
        <f t="shared" si="267"/>
        <v/>
      </c>
      <c r="AC268" s="207" t="str">
        <f t="shared" si="267"/>
        <v/>
      </c>
      <c r="AD268" s="207" t="str">
        <f t="shared" si="267"/>
        <v/>
      </c>
      <c r="AE268" s="207" t="str">
        <f t="shared" si="267"/>
        <v/>
      </c>
      <c r="AF268" s="207" t="str">
        <f t="shared" si="267"/>
        <v/>
      </c>
      <c r="AG268" s="207" t="str">
        <f t="shared" si="267"/>
        <v/>
      </c>
      <c r="AH268" s="207" t="str">
        <f t="shared" si="267"/>
        <v/>
      </c>
      <c r="AI268" s="207" t="str">
        <f t="shared" si="267"/>
        <v/>
      </c>
      <c r="AJ268" s="128"/>
      <c r="AK268" s="243">
        <f t="shared" si="250"/>
        <v>0</v>
      </c>
      <c r="AL268" s="129"/>
      <c r="AM268" s="207" t="str">
        <f t="shared" ref="AM268:AU268" si="268">IF(OR(AM$19="",AM$24=0,AM$31=0),"",
(AM$235*$AN213)*1000/(AM$24*AM$31))</f>
        <v/>
      </c>
      <c r="AN268" s="207" t="str">
        <f t="shared" si="268"/>
        <v/>
      </c>
      <c r="AO268" s="207" t="str">
        <f t="shared" si="268"/>
        <v/>
      </c>
      <c r="AP268" s="207" t="str">
        <f t="shared" si="268"/>
        <v/>
      </c>
      <c r="AQ268" s="207" t="str">
        <f t="shared" si="268"/>
        <v/>
      </c>
      <c r="AR268" s="207" t="str">
        <f t="shared" si="268"/>
        <v/>
      </c>
      <c r="AS268" s="207" t="str">
        <f t="shared" si="268"/>
        <v/>
      </c>
      <c r="AT268" s="207" t="str">
        <f t="shared" si="268"/>
        <v/>
      </c>
      <c r="AU268" s="207" t="str">
        <f t="shared" si="268"/>
        <v/>
      </c>
      <c r="AV268" s="128"/>
      <c r="AW268" s="243">
        <f t="shared" si="252"/>
        <v>0</v>
      </c>
      <c r="AX268" s="129"/>
      <c r="AY268" s="207" t="str">
        <f t="shared" ref="AY268:BG268" si="269">IF(OR(AY$19="",AY$24=0,AY$31=0),"",
(AY$235*$AZ213)*1000/(AY$24*AY$31))</f>
        <v/>
      </c>
      <c r="AZ268" s="207" t="str">
        <f t="shared" si="269"/>
        <v/>
      </c>
      <c r="BA268" s="207" t="str">
        <f t="shared" si="269"/>
        <v/>
      </c>
      <c r="BB268" s="207" t="str">
        <f t="shared" si="269"/>
        <v/>
      </c>
      <c r="BC268" s="207" t="str">
        <f t="shared" si="269"/>
        <v/>
      </c>
      <c r="BD268" s="207" t="str">
        <f t="shared" si="269"/>
        <v/>
      </c>
      <c r="BE268" s="207" t="str">
        <f t="shared" si="269"/>
        <v/>
      </c>
      <c r="BF268" s="207" t="str">
        <f t="shared" si="269"/>
        <v/>
      </c>
      <c r="BG268" s="207" t="str">
        <f t="shared" si="269"/>
        <v/>
      </c>
      <c r="BH268" s="255"/>
    </row>
    <row r="269" spans="1:60" x14ac:dyDescent="0.2">
      <c r="A269" s="648"/>
      <c r="B269" s="492" t="s">
        <v>324</v>
      </c>
      <c r="C269" s="656" t="s">
        <v>113</v>
      </c>
      <c r="D269" s="750" t="s">
        <v>50</v>
      </c>
      <c r="E269" s="220" t="s">
        <v>297</v>
      </c>
      <c r="F269" s="220"/>
      <c r="G269" s="220"/>
      <c r="H269" s="242" t="s">
        <v>317</v>
      </c>
      <c r="I269" s="129"/>
      <c r="J269" s="243">
        <f t="shared" si="245"/>
        <v>0</v>
      </c>
      <c r="K269" s="236"/>
      <c r="L269" s="236"/>
      <c r="M269" s="243">
        <f t="shared" si="246"/>
        <v>0</v>
      </c>
      <c r="N269" s="129"/>
      <c r="O269" s="207" t="str">
        <f t="shared" ref="O269:W269" si="270">IF(OR(O$19="",O$24=0,O$31=0),"",
(O$234*$O214+O$236*$Q214)*1000/(O$24*O$31))</f>
        <v/>
      </c>
      <c r="P269" s="207" t="str">
        <f t="shared" si="270"/>
        <v/>
      </c>
      <c r="Q269" s="207" t="str">
        <f t="shared" si="270"/>
        <v/>
      </c>
      <c r="R269" s="207" t="str">
        <f t="shared" si="270"/>
        <v/>
      </c>
      <c r="S269" s="207" t="str">
        <f t="shared" si="270"/>
        <v/>
      </c>
      <c r="T269" s="207" t="str">
        <f t="shared" si="270"/>
        <v/>
      </c>
      <c r="U269" s="207" t="str">
        <f t="shared" si="270"/>
        <v/>
      </c>
      <c r="V269" s="207" t="str">
        <f t="shared" si="270"/>
        <v/>
      </c>
      <c r="W269" s="207" t="str">
        <f t="shared" si="270"/>
        <v/>
      </c>
      <c r="X269" s="122"/>
      <c r="Y269" s="243">
        <f t="shared" si="248"/>
        <v>0</v>
      </c>
      <c r="Z269" s="129"/>
      <c r="AA269" s="207" t="str">
        <f t="shared" ref="AA269:AI269" si="271">IF(OR(AA$19="",AA$24=0,AA$31=0),"",
(AA$234*$AA214+AA$236*$AC214)*1000/(AA$24*AA$31))</f>
        <v/>
      </c>
      <c r="AB269" s="207" t="str">
        <f t="shared" si="271"/>
        <v/>
      </c>
      <c r="AC269" s="207" t="str">
        <f t="shared" si="271"/>
        <v/>
      </c>
      <c r="AD269" s="207" t="str">
        <f t="shared" si="271"/>
        <v/>
      </c>
      <c r="AE269" s="207" t="str">
        <f t="shared" si="271"/>
        <v/>
      </c>
      <c r="AF269" s="207" t="str">
        <f t="shared" si="271"/>
        <v/>
      </c>
      <c r="AG269" s="207" t="str">
        <f t="shared" si="271"/>
        <v/>
      </c>
      <c r="AH269" s="207" t="str">
        <f t="shared" si="271"/>
        <v/>
      </c>
      <c r="AI269" s="207" t="str">
        <f t="shared" si="271"/>
        <v/>
      </c>
      <c r="AJ269" s="122"/>
      <c r="AK269" s="243">
        <f t="shared" si="250"/>
        <v>0</v>
      </c>
      <c r="AL269" s="129"/>
      <c r="AM269" s="207" t="str">
        <f t="shared" ref="AM269:AU269" si="272">IF(OR(AM$19="",AM$24=0,AM$31=0),"",
(AM$234*$AM214+AM$236*$AO214)*1000/(AM$24*AM$31))</f>
        <v/>
      </c>
      <c r="AN269" s="207" t="str">
        <f t="shared" si="272"/>
        <v/>
      </c>
      <c r="AO269" s="207" t="str">
        <f t="shared" si="272"/>
        <v/>
      </c>
      <c r="AP269" s="207" t="str">
        <f t="shared" si="272"/>
        <v/>
      </c>
      <c r="AQ269" s="207" t="str">
        <f t="shared" si="272"/>
        <v/>
      </c>
      <c r="AR269" s="207" t="str">
        <f t="shared" si="272"/>
        <v/>
      </c>
      <c r="AS269" s="207" t="str">
        <f t="shared" si="272"/>
        <v/>
      </c>
      <c r="AT269" s="207" t="str">
        <f t="shared" si="272"/>
        <v/>
      </c>
      <c r="AU269" s="207" t="str">
        <f t="shared" si="272"/>
        <v/>
      </c>
      <c r="AV269" s="122"/>
      <c r="AW269" s="243">
        <f t="shared" si="252"/>
        <v>0</v>
      </c>
      <c r="AX269" s="129"/>
      <c r="AY269" s="207" t="str">
        <f t="shared" ref="AY269:BG269" si="273">IF(OR(AY$19="",AY$24=0,AY$31=0),"",
(AY$234*$AY214+AY$236*$BA214)*1000/(AY$24*AY$31))</f>
        <v/>
      </c>
      <c r="AZ269" s="207" t="str">
        <f t="shared" si="273"/>
        <v/>
      </c>
      <c r="BA269" s="207" t="str">
        <f t="shared" si="273"/>
        <v/>
      </c>
      <c r="BB269" s="207" t="str">
        <f t="shared" si="273"/>
        <v/>
      </c>
      <c r="BC269" s="207" t="str">
        <f t="shared" si="273"/>
        <v/>
      </c>
      <c r="BD269" s="207" t="str">
        <f t="shared" si="273"/>
        <v/>
      </c>
      <c r="BE269" s="207" t="str">
        <f t="shared" si="273"/>
        <v/>
      </c>
      <c r="BF269" s="207" t="str">
        <f t="shared" si="273"/>
        <v/>
      </c>
      <c r="BG269" s="207" t="str">
        <f t="shared" si="273"/>
        <v/>
      </c>
      <c r="BH269" s="214"/>
    </row>
    <row r="270" spans="1:60" ht="18.75" x14ac:dyDescent="0.2">
      <c r="A270" s="648"/>
      <c r="B270" s="492" t="s">
        <v>324</v>
      </c>
      <c r="C270" s="739" t="s">
        <v>104</v>
      </c>
      <c r="D270" s="747"/>
      <c r="E270" s="236" t="s">
        <v>331</v>
      </c>
      <c r="F270" s="236"/>
      <c r="G270" s="236"/>
      <c r="H270" s="89"/>
      <c r="I270" s="236"/>
      <c r="J270" s="236"/>
      <c r="K270" s="236"/>
      <c r="L270" s="236"/>
      <c r="M270" s="236"/>
      <c r="N270" s="236"/>
      <c r="O270" s="236"/>
      <c r="P270" s="236"/>
      <c r="Q270" s="236"/>
      <c r="R270" s="236"/>
      <c r="S270" s="236"/>
      <c r="T270" s="236"/>
      <c r="U270" s="236"/>
      <c r="V270" s="236"/>
      <c r="W270" s="236"/>
      <c r="X270" s="236"/>
      <c r="Y270" s="236"/>
      <c r="Z270" s="236"/>
      <c r="AA270" s="236"/>
      <c r="AB270" s="236"/>
      <c r="AC270" s="236"/>
      <c r="AD270" s="236"/>
      <c r="AE270" s="236"/>
      <c r="AF270" s="236"/>
      <c r="AG270" s="236"/>
      <c r="AH270" s="236"/>
      <c r="AI270" s="236"/>
      <c r="AJ270" s="236"/>
      <c r="AK270" s="236"/>
      <c r="AL270" s="236"/>
      <c r="AM270" s="236"/>
      <c r="AN270" s="236"/>
      <c r="AO270" s="236"/>
      <c r="AP270" s="236"/>
      <c r="AQ270" s="236"/>
      <c r="AR270" s="236"/>
      <c r="AS270" s="236"/>
      <c r="AT270" s="236"/>
      <c r="AU270" s="236"/>
      <c r="AV270" s="236"/>
      <c r="AW270" s="236"/>
      <c r="AX270" s="236"/>
      <c r="AY270" s="236"/>
      <c r="AZ270" s="236"/>
      <c r="BA270" s="236"/>
      <c r="BB270" s="236"/>
      <c r="BC270" s="236"/>
      <c r="BD270" s="236"/>
      <c r="BE270" s="236"/>
      <c r="BF270" s="236"/>
      <c r="BG270" s="236"/>
      <c r="BH270" s="38"/>
    </row>
    <row r="271" spans="1:60" x14ac:dyDescent="0.2">
      <c r="A271" s="648"/>
      <c r="B271" s="492" t="s">
        <v>324</v>
      </c>
      <c r="C271" s="656" t="s">
        <v>113</v>
      </c>
      <c r="D271" s="750" t="s">
        <v>50</v>
      </c>
      <c r="E271" s="220" t="s">
        <v>298</v>
      </c>
      <c r="F271" s="220"/>
      <c r="G271" s="220"/>
      <c r="H271" s="242" t="s">
        <v>317</v>
      </c>
      <c r="I271" s="129"/>
      <c r="J271" s="243">
        <f>M271+Y271+AK271+AW271</f>
        <v>0</v>
      </c>
      <c r="K271" s="236"/>
      <c r="L271" s="236"/>
      <c r="M271" s="243">
        <f>SUMPRODUCT(N271:X271,N$32:X$32)/1000</f>
        <v>0</v>
      </c>
      <c r="N271" s="129"/>
      <c r="O271" s="207" t="str">
        <f t="shared" ref="O271:W271" si="274">IF(OR(O$19="",O$24=0,O$31=0),"",
O$70/O$31*f_P_renelect)</f>
        <v/>
      </c>
      <c r="P271" s="207" t="str">
        <f t="shared" si="274"/>
        <v/>
      </c>
      <c r="Q271" s="207" t="str">
        <f t="shared" si="274"/>
        <v/>
      </c>
      <c r="R271" s="207" t="str">
        <f t="shared" si="274"/>
        <v/>
      </c>
      <c r="S271" s="207" t="str">
        <f t="shared" si="274"/>
        <v/>
      </c>
      <c r="T271" s="207" t="str">
        <f t="shared" si="274"/>
        <v/>
      </c>
      <c r="U271" s="207" t="str">
        <f t="shared" si="274"/>
        <v/>
      </c>
      <c r="V271" s="207" t="str">
        <f t="shared" si="274"/>
        <v/>
      </c>
      <c r="W271" s="207" t="str">
        <f t="shared" si="274"/>
        <v/>
      </c>
      <c r="X271" s="128"/>
      <c r="Y271" s="243">
        <f>SUMPRODUCT(Z271:AJ271,Z$32:AJ$32)/1000</f>
        <v>0</v>
      </c>
      <c r="Z271" s="129"/>
      <c r="AA271" s="207" t="str">
        <f t="shared" ref="AA271:AI271" si="275">IF(OR(AA$19="",AA$24=0,AA$31=0),"",
AA$70/AA$31*f_P_renelect)</f>
        <v/>
      </c>
      <c r="AB271" s="207" t="str">
        <f t="shared" si="275"/>
        <v/>
      </c>
      <c r="AC271" s="207" t="str">
        <f t="shared" si="275"/>
        <v/>
      </c>
      <c r="AD271" s="207" t="str">
        <f t="shared" si="275"/>
        <v/>
      </c>
      <c r="AE271" s="207" t="str">
        <f t="shared" si="275"/>
        <v/>
      </c>
      <c r="AF271" s="207" t="str">
        <f t="shared" si="275"/>
        <v/>
      </c>
      <c r="AG271" s="207" t="str">
        <f t="shared" si="275"/>
        <v/>
      </c>
      <c r="AH271" s="207" t="str">
        <f t="shared" si="275"/>
        <v/>
      </c>
      <c r="AI271" s="207" t="str">
        <f t="shared" si="275"/>
        <v/>
      </c>
      <c r="AJ271" s="128"/>
      <c r="AK271" s="243">
        <f>SUMPRODUCT(AL271:AV271,AL$32:AV$32)/1000</f>
        <v>0</v>
      </c>
      <c r="AL271" s="129"/>
      <c r="AM271" s="207" t="str">
        <f t="shared" ref="AM271:AU271" si="276">IF(OR(AM$19="",AM$24=0,AM$31=0),"",
AM$70/AM$31*f_P_renelect)</f>
        <v/>
      </c>
      <c r="AN271" s="207" t="str">
        <f t="shared" si="276"/>
        <v/>
      </c>
      <c r="AO271" s="207" t="str">
        <f t="shared" si="276"/>
        <v/>
      </c>
      <c r="AP271" s="207" t="str">
        <f t="shared" si="276"/>
        <v/>
      </c>
      <c r="AQ271" s="207" t="str">
        <f t="shared" si="276"/>
        <v/>
      </c>
      <c r="AR271" s="207" t="str">
        <f t="shared" si="276"/>
        <v/>
      </c>
      <c r="AS271" s="207" t="str">
        <f t="shared" si="276"/>
        <v/>
      </c>
      <c r="AT271" s="207" t="str">
        <f t="shared" si="276"/>
        <v/>
      </c>
      <c r="AU271" s="207" t="str">
        <f t="shared" si="276"/>
        <v/>
      </c>
      <c r="AV271" s="128"/>
      <c r="AW271" s="243">
        <f>SUMPRODUCT(AX271:BH271,AX$32:BH$32)/1000</f>
        <v>0</v>
      </c>
      <c r="AX271" s="129"/>
      <c r="AY271" s="207" t="str">
        <f t="shared" ref="AY271:BG271" si="277">IF(OR(AY$19="",AY$24=0,AY$31=0),"",
AY$70/AY$31*f_P_renelect)</f>
        <v/>
      </c>
      <c r="AZ271" s="207" t="str">
        <f t="shared" si="277"/>
        <v/>
      </c>
      <c r="BA271" s="207" t="str">
        <f t="shared" si="277"/>
        <v/>
      </c>
      <c r="BB271" s="207" t="str">
        <f t="shared" si="277"/>
        <v/>
      </c>
      <c r="BC271" s="207" t="str">
        <f t="shared" si="277"/>
        <v/>
      </c>
      <c r="BD271" s="207" t="str">
        <f t="shared" si="277"/>
        <v/>
      </c>
      <c r="BE271" s="207" t="str">
        <f t="shared" si="277"/>
        <v/>
      </c>
      <c r="BF271" s="207" t="str">
        <f t="shared" si="277"/>
        <v/>
      </c>
      <c r="BG271" s="207" t="str">
        <f t="shared" si="277"/>
        <v/>
      </c>
      <c r="BH271" s="255"/>
    </row>
    <row r="272" spans="1:60" ht="18.75" x14ac:dyDescent="0.2">
      <c r="A272" s="648"/>
      <c r="B272" s="492" t="s">
        <v>324</v>
      </c>
      <c r="C272" s="739" t="s">
        <v>104</v>
      </c>
      <c r="D272" s="747"/>
      <c r="E272" s="236" t="s">
        <v>258</v>
      </c>
      <c r="F272" s="236"/>
      <c r="G272" s="236"/>
      <c r="H272" s="89"/>
      <c r="I272" s="236"/>
      <c r="J272" s="236"/>
      <c r="K272" s="236"/>
      <c r="L272" s="236"/>
      <c r="M272" s="236"/>
      <c r="N272" s="236"/>
      <c r="O272" s="236"/>
      <c r="P272" s="236"/>
      <c r="Q272" s="236"/>
      <c r="R272" s="236"/>
      <c r="S272" s="236"/>
      <c r="T272" s="236"/>
      <c r="U272" s="236"/>
      <c r="V272" s="236"/>
      <c r="W272" s="236"/>
      <c r="X272" s="236"/>
      <c r="Y272" s="236"/>
      <c r="Z272" s="236"/>
      <c r="AA272" s="236"/>
      <c r="AB272" s="279"/>
      <c r="AC272" s="236"/>
      <c r="AD272" s="236"/>
      <c r="AE272" s="236"/>
      <c r="AF272" s="236"/>
      <c r="AG272" s="236"/>
      <c r="AH272" s="236"/>
      <c r="AI272" s="236"/>
      <c r="AJ272" s="236"/>
      <c r="AK272" s="236"/>
      <c r="AL272" s="236"/>
      <c r="AM272" s="236"/>
      <c r="AN272" s="236"/>
      <c r="AO272" s="236"/>
      <c r="AP272" s="236"/>
      <c r="AQ272" s="236"/>
      <c r="AR272" s="236"/>
      <c r="AS272" s="236"/>
      <c r="AT272" s="236"/>
      <c r="AU272" s="236"/>
      <c r="AV272" s="236"/>
      <c r="AW272" s="236"/>
      <c r="AX272" s="236"/>
      <c r="AY272" s="236"/>
      <c r="AZ272" s="236"/>
      <c r="BA272" s="236"/>
      <c r="BB272" s="236"/>
      <c r="BC272" s="236"/>
      <c r="BD272" s="236"/>
      <c r="BE272" s="236"/>
      <c r="BF272" s="236"/>
      <c r="BG272" s="236"/>
      <c r="BH272" s="38"/>
    </row>
    <row r="273" spans="1:60" x14ac:dyDescent="0.2">
      <c r="A273" s="648"/>
      <c r="B273" s="492" t="s">
        <v>324</v>
      </c>
      <c r="C273" s="656" t="s">
        <v>113</v>
      </c>
      <c r="D273" s="750" t="s">
        <v>50</v>
      </c>
      <c r="E273" s="220" t="s">
        <v>332</v>
      </c>
      <c r="F273" s="220"/>
      <c r="G273" s="220"/>
      <c r="H273" s="242" t="s">
        <v>317</v>
      </c>
      <c r="I273" s="129"/>
      <c r="J273" s="243">
        <f>M273+Y273+AK273+AW273</f>
        <v>0</v>
      </c>
      <c r="K273" s="236"/>
      <c r="L273" s="236"/>
      <c r="M273" s="243">
        <f>SUMPRODUCT(N273:X273,N$32:X$32)/1000</f>
        <v>0</v>
      </c>
      <c r="N273" s="129"/>
      <c r="O273" s="207" t="str">
        <f t="shared" ref="O273:W273" si="278">IF(OR(O$19="",O$24=0,O$31=0),"",SUM(O264:O269)+O271)</f>
        <v/>
      </c>
      <c r="P273" s="207" t="str">
        <f t="shared" si="278"/>
        <v/>
      </c>
      <c r="Q273" s="207" t="str">
        <f t="shared" si="278"/>
        <v/>
      </c>
      <c r="R273" s="207" t="str">
        <f t="shared" si="278"/>
        <v/>
      </c>
      <c r="S273" s="207" t="str">
        <f t="shared" si="278"/>
        <v/>
      </c>
      <c r="T273" s="207" t="str">
        <f t="shared" si="278"/>
        <v/>
      </c>
      <c r="U273" s="207" t="str">
        <f t="shared" si="278"/>
        <v/>
      </c>
      <c r="V273" s="207" t="str">
        <f t="shared" si="278"/>
        <v/>
      </c>
      <c r="W273" s="207" t="str">
        <f t="shared" si="278"/>
        <v/>
      </c>
      <c r="X273" s="128"/>
      <c r="Y273" s="243">
        <f>SUMPRODUCT(Z273:AJ273,Z$32:AJ$32)/1000</f>
        <v>0</v>
      </c>
      <c r="Z273" s="129"/>
      <c r="AA273" s="207" t="str">
        <f t="shared" ref="AA273:AI273" si="279">IF(OR(AA$19="",AA$24=0,AA$31=0),"",SUM(AA264:AA269)+AA271)</f>
        <v/>
      </c>
      <c r="AB273" s="207" t="str">
        <f t="shared" si="279"/>
        <v/>
      </c>
      <c r="AC273" s="207" t="str">
        <f t="shared" si="279"/>
        <v/>
      </c>
      <c r="AD273" s="207" t="str">
        <f t="shared" si="279"/>
        <v/>
      </c>
      <c r="AE273" s="207" t="str">
        <f t="shared" si="279"/>
        <v/>
      </c>
      <c r="AF273" s="207" t="str">
        <f t="shared" si="279"/>
        <v/>
      </c>
      <c r="AG273" s="207" t="str">
        <f t="shared" si="279"/>
        <v/>
      </c>
      <c r="AH273" s="207" t="str">
        <f t="shared" si="279"/>
        <v/>
      </c>
      <c r="AI273" s="207" t="str">
        <f t="shared" si="279"/>
        <v/>
      </c>
      <c r="AJ273" s="128"/>
      <c r="AK273" s="243">
        <f>SUMPRODUCT(AL273:AV273,AL$32:AV$32)/1000</f>
        <v>0</v>
      </c>
      <c r="AL273" s="129"/>
      <c r="AM273" s="207" t="str">
        <f>IF(OR(AM$19="",AM$24=0,AM$31=0),"",SUM(AM264:AM269)+AM271)</f>
        <v/>
      </c>
      <c r="AN273" s="207" t="str">
        <f t="shared" ref="AN273:AU273" si="280">IF(OR(AN$19="",AN$24=0,AN$31=0),"",SUM(AN264:AN269)+AN271)</f>
        <v/>
      </c>
      <c r="AO273" s="207" t="str">
        <f t="shared" si="280"/>
        <v/>
      </c>
      <c r="AP273" s="207" t="str">
        <f t="shared" si="280"/>
        <v/>
      </c>
      <c r="AQ273" s="207" t="str">
        <f t="shared" si="280"/>
        <v/>
      </c>
      <c r="AR273" s="207" t="str">
        <f t="shared" si="280"/>
        <v/>
      </c>
      <c r="AS273" s="207" t="str">
        <f t="shared" si="280"/>
        <v/>
      </c>
      <c r="AT273" s="207" t="str">
        <f t="shared" si="280"/>
        <v/>
      </c>
      <c r="AU273" s="207" t="str">
        <f t="shared" si="280"/>
        <v/>
      </c>
      <c r="AV273" s="128"/>
      <c r="AW273" s="243">
        <f>SUMPRODUCT(AX273:BH273,AX$32:BH$32)/1000</f>
        <v>0</v>
      </c>
      <c r="AX273" s="129"/>
      <c r="AY273" s="207" t="str">
        <f>IF(OR(AY$19="",AY$24=0,AY$31=0),"",SUM(AY264:AY269)+AY271)</f>
        <v/>
      </c>
      <c r="AZ273" s="207" t="str">
        <f t="shared" ref="AZ273:BG273" si="281">IF(OR(AZ$19="",AZ$24=0,AZ$31=0),"",SUM(AZ264:AZ269)+AZ271)</f>
        <v/>
      </c>
      <c r="BA273" s="207" t="str">
        <f t="shared" si="281"/>
        <v/>
      </c>
      <c r="BB273" s="207" t="str">
        <f t="shared" si="281"/>
        <v/>
      </c>
      <c r="BC273" s="207" t="str">
        <f t="shared" si="281"/>
        <v/>
      </c>
      <c r="BD273" s="207" t="str">
        <f t="shared" si="281"/>
        <v/>
      </c>
      <c r="BE273" s="207" t="str">
        <f t="shared" si="281"/>
        <v/>
      </c>
      <c r="BF273" s="207" t="str">
        <f t="shared" si="281"/>
        <v/>
      </c>
      <c r="BG273" s="207" t="str">
        <f t="shared" si="281"/>
        <v/>
      </c>
      <c r="BH273" s="255"/>
    </row>
    <row r="274" spans="1:60" ht="18.75" x14ac:dyDescent="0.2">
      <c r="A274" s="648"/>
      <c r="B274" s="492" t="s">
        <v>324</v>
      </c>
      <c r="C274" s="739" t="s">
        <v>104</v>
      </c>
      <c r="D274" s="747"/>
      <c r="E274" s="236" t="s">
        <v>333</v>
      </c>
      <c r="F274" s="236"/>
      <c r="G274" s="236"/>
      <c r="H274" s="89"/>
      <c r="I274" s="236"/>
      <c r="J274" s="236"/>
      <c r="K274" s="236"/>
      <c r="L274" s="236"/>
      <c r="M274" s="236"/>
      <c r="N274" s="236"/>
      <c r="O274" s="236"/>
      <c r="P274" s="236"/>
      <c r="Q274" s="236"/>
      <c r="R274" s="236"/>
      <c r="S274" s="236"/>
      <c r="T274" s="236"/>
      <c r="U274" s="236"/>
      <c r="V274" s="236"/>
      <c r="W274" s="236"/>
      <c r="X274" s="236"/>
      <c r="Y274" s="236"/>
      <c r="Z274" s="236"/>
      <c r="AA274" s="236"/>
      <c r="AB274" s="236"/>
      <c r="AC274" s="236"/>
      <c r="AD274" s="236"/>
      <c r="AE274" s="236"/>
      <c r="AF274" s="236"/>
      <c r="AG274" s="236"/>
      <c r="AH274" s="236"/>
      <c r="AI274" s="236"/>
      <c r="AJ274" s="236"/>
      <c r="AK274" s="236"/>
      <c r="AL274" s="236"/>
      <c r="AM274" s="236"/>
      <c r="AN274" s="236"/>
      <c r="AO274" s="236"/>
      <c r="AP274" s="236"/>
      <c r="AQ274" s="236"/>
      <c r="AR274" s="236"/>
      <c r="AS274" s="236"/>
      <c r="AT274" s="236"/>
      <c r="AU274" s="236"/>
      <c r="AV274" s="236"/>
      <c r="AW274" s="236"/>
      <c r="AX274" s="236"/>
      <c r="AY274" s="236"/>
      <c r="AZ274" s="236"/>
      <c r="BA274" s="236"/>
      <c r="BB274" s="236"/>
      <c r="BC274" s="236"/>
      <c r="BD274" s="236"/>
      <c r="BE274" s="236"/>
      <c r="BF274" s="236"/>
      <c r="BG274" s="236"/>
      <c r="BH274" s="38"/>
    </row>
    <row r="275" spans="1:60" x14ac:dyDescent="0.2">
      <c r="A275" s="648"/>
      <c r="B275" s="492" t="s">
        <v>324</v>
      </c>
      <c r="C275" s="656" t="s">
        <v>113</v>
      </c>
      <c r="D275" s="750" t="s">
        <v>50</v>
      </c>
      <c r="E275" s="220" t="s">
        <v>334</v>
      </c>
      <c r="F275" s="220"/>
      <c r="G275" s="220"/>
      <c r="H275" s="242" t="s">
        <v>150</v>
      </c>
      <c r="I275" s="129"/>
      <c r="J275" s="244" t="str">
        <f>IF(J$24=0,"",
IF(J262+J273=0,0,J273/(J262+J273)))</f>
        <v/>
      </c>
      <c r="K275" s="236"/>
      <c r="L275" s="236"/>
      <c r="M275" s="244" t="str">
        <f>IF(M$24=0,"",
IF(M262+M273=0,0,M273/(M262+M273)))</f>
        <v/>
      </c>
      <c r="N275" s="129"/>
      <c r="O275" s="245" t="str">
        <f t="shared" ref="O275:W275" si="282">IF(OR(O$19="",O$24=0,O$31=0),"",
IF(O262+O273=0,0,O273/(O262+O273)))</f>
        <v/>
      </c>
      <c r="P275" s="245" t="str">
        <f t="shared" si="282"/>
        <v/>
      </c>
      <c r="Q275" s="245" t="str">
        <f t="shared" si="282"/>
        <v/>
      </c>
      <c r="R275" s="245" t="str">
        <f t="shared" si="282"/>
        <v/>
      </c>
      <c r="S275" s="245" t="str">
        <f t="shared" si="282"/>
        <v/>
      </c>
      <c r="T275" s="245" t="str">
        <f t="shared" si="282"/>
        <v/>
      </c>
      <c r="U275" s="245" t="str">
        <f t="shared" si="282"/>
        <v/>
      </c>
      <c r="V275" s="245" t="str">
        <f t="shared" si="282"/>
        <v/>
      </c>
      <c r="W275" s="245" t="str">
        <f t="shared" si="282"/>
        <v/>
      </c>
      <c r="X275" s="140"/>
      <c r="Y275" s="244" t="str">
        <f>IF(Y$24=0,"",
IF(Y262+Y273=0,0,Y273/(Y262+Y273)))</f>
        <v/>
      </c>
      <c r="Z275" s="129"/>
      <c r="AA275" s="245" t="str">
        <f t="shared" ref="AA275:AI275" si="283">IF(OR(AA$19="",AA$24=0,AA$31=0),"",
IF(AA262+AA273=0,0,AA273/(AA262+AA273)))</f>
        <v/>
      </c>
      <c r="AB275" s="245" t="str">
        <f t="shared" si="283"/>
        <v/>
      </c>
      <c r="AC275" s="245" t="str">
        <f t="shared" si="283"/>
        <v/>
      </c>
      <c r="AD275" s="245" t="str">
        <f t="shared" si="283"/>
        <v/>
      </c>
      <c r="AE275" s="245" t="str">
        <f t="shared" si="283"/>
        <v/>
      </c>
      <c r="AF275" s="245" t="str">
        <f t="shared" si="283"/>
        <v/>
      </c>
      <c r="AG275" s="245" t="str">
        <f t="shared" si="283"/>
        <v/>
      </c>
      <c r="AH275" s="245" t="str">
        <f t="shared" si="283"/>
        <v/>
      </c>
      <c r="AI275" s="245" t="str">
        <f t="shared" si="283"/>
        <v/>
      </c>
      <c r="AJ275" s="140"/>
      <c r="AK275" s="244" t="str">
        <f>IF(AK$24=0,"",
IF(AK262+AK273=0,0,AK273/(AK262+AK273)))</f>
        <v/>
      </c>
      <c r="AL275" s="129"/>
      <c r="AM275" s="245" t="str">
        <f>IF(OR(AM$19="",AM$24=0,AM$31=0),"",
IF(AM262+AM273=0,0,AM273/(AM262+AM273)))</f>
        <v/>
      </c>
      <c r="AN275" s="245" t="str">
        <f t="shared" ref="AN275:AU275" si="284">IF(OR(AN$19="",AN$24=0,AN$31=0),"",
IF(AN262+AN273=0,0,AN273/(AN262+AN273)))</f>
        <v/>
      </c>
      <c r="AO275" s="245" t="str">
        <f>IF(OR(AO$19="",AO$24=0,AO$31=0),"",
IF(AO262+AO273=0,0,AO273/(AO262+AO273)))</f>
        <v/>
      </c>
      <c r="AP275" s="245" t="str">
        <f t="shared" si="284"/>
        <v/>
      </c>
      <c r="AQ275" s="245" t="str">
        <f t="shared" si="284"/>
        <v/>
      </c>
      <c r="AR275" s="245" t="str">
        <f t="shared" si="284"/>
        <v/>
      </c>
      <c r="AS275" s="245" t="str">
        <f t="shared" si="284"/>
        <v/>
      </c>
      <c r="AT275" s="245" t="str">
        <f t="shared" si="284"/>
        <v/>
      </c>
      <c r="AU275" s="245" t="str">
        <f t="shared" si="284"/>
        <v/>
      </c>
      <c r="AV275" s="140"/>
      <c r="AW275" s="244" t="str">
        <f>IF(AW$24=0,"",
IF(AW262+AW273=0,0,AW273/(AW262+AW273)))</f>
        <v/>
      </c>
      <c r="AX275" s="129"/>
      <c r="AY275" s="245" t="str">
        <f>IF(OR(AY$19="",AY$24=0,AY$31=0),"",
IF(AY262+AY273=0,0,AY273/(AY262+AY273)))</f>
        <v/>
      </c>
      <c r="AZ275" s="245" t="str">
        <f t="shared" ref="AZ275:BG275" si="285">IF(OR(AZ$19="",AZ$24=0,AZ$31=0),"",
IF(AZ262+AZ273=0,0,AZ273/(AZ262+AZ273)))</f>
        <v/>
      </c>
      <c r="BA275" s="245" t="str">
        <f t="shared" si="285"/>
        <v/>
      </c>
      <c r="BB275" s="245" t="str">
        <f t="shared" si="285"/>
        <v/>
      </c>
      <c r="BC275" s="245" t="str">
        <f t="shared" si="285"/>
        <v/>
      </c>
      <c r="BD275" s="245" t="str">
        <f t="shared" si="285"/>
        <v/>
      </c>
      <c r="BE275" s="245" t="str">
        <f t="shared" si="285"/>
        <v/>
      </c>
      <c r="BF275" s="245" t="str">
        <f t="shared" si="285"/>
        <v/>
      </c>
      <c r="BG275" s="245" t="str">
        <f t="shared" si="285"/>
        <v/>
      </c>
      <c r="BH275" s="257"/>
    </row>
    <row r="276" spans="1:60" x14ac:dyDescent="0.2">
      <c r="A276" s="648"/>
      <c r="B276" s="492" t="s">
        <v>324</v>
      </c>
      <c r="C276" s="739" t="s">
        <v>104</v>
      </c>
      <c r="D276" s="747"/>
      <c r="E276" s="90"/>
      <c r="F276" s="90"/>
      <c r="G276" s="90"/>
      <c r="H276" s="96"/>
      <c r="I276" s="90"/>
      <c r="J276" s="93"/>
      <c r="K276" s="236"/>
      <c r="L276" s="236"/>
      <c r="M276" s="93"/>
      <c r="N276" s="90"/>
      <c r="O276" s="122"/>
      <c r="P276" s="122"/>
      <c r="Q276" s="122"/>
      <c r="R276" s="122"/>
      <c r="S276" s="122"/>
      <c r="T276" s="122"/>
      <c r="U276" s="122"/>
      <c r="V276" s="122"/>
      <c r="W276" s="122"/>
      <c r="X276" s="93"/>
      <c r="Y276" s="93"/>
      <c r="Z276" s="90"/>
      <c r="AA276" s="122"/>
      <c r="AB276" s="122"/>
      <c r="AC276" s="122"/>
      <c r="AD276" s="122"/>
      <c r="AE276" s="122"/>
      <c r="AF276" s="122"/>
      <c r="AG276" s="122"/>
      <c r="AH276" s="122"/>
      <c r="AI276" s="122"/>
      <c r="AJ276" s="93"/>
      <c r="AK276" s="93"/>
      <c r="AL276" s="90"/>
      <c r="AM276" s="122"/>
      <c r="AN276" s="122"/>
      <c r="AO276" s="122"/>
      <c r="AP276" s="122"/>
      <c r="AQ276" s="122"/>
      <c r="AR276" s="122"/>
      <c r="AS276" s="122"/>
      <c r="AT276" s="122"/>
      <c r="AU276" s="122"/>
      <c r="AV276" s="93"/>
      <c r="AW276" s="93"/>
      <c r="AX276" s="90"/>
      <c r="AY276" s="122"/>
      <c r="AZ276" s="122"/>
      <c r="BA276" s="122"/>
      <c r="BB276" s="122"/>
      <c r="BC276" s="122"/>
      <c r="BD276" s="122"/>
      <c r="BE276" s="122"/>
      <c r="BF276" s="122"/>
      <c r="BG276" s="122"/>
      <c r="BH276" s="1"/>
    </row>
    <row r="277" spans="1:60" x14ac:dyDescent="0.2">
      <c r="A277" s="648"/>
      <c r="B277" s="492" t="s">
        <v>335</v>
      </c>
      <c r="C277" s="656" t="s">
        <v>104</v>
      </c>
      <c r="D277" s="747"/>
      <c r="E277" s="90"/>
      <c r="F277" s="90"/>
      <c r="G277" s="90"/>
      <c r="H277" s="96"/>
      <c r="I277" s="90"/>
      <c r="J277" s="93"/>
      <c r="K277" s="90"/>
      <c r="L277" s="90"/>
      <c r="M277" s="93"/>
      <c r="N277" s="90"/>
      <c r="O277" s="93"/>
      <c r="P277" s="93"/>
      <c r="Q277" s="93"/>
      <c r="R277" s="93"/>
      <c r="S277" s="93"/>
      <c r="T277" s="93"/>
      <c r="U277" s="93"/>
      <c r="V277" s="93"/>
      <c r="W277" s="93"/>
      <c r="X277" s="93"/>
      <c r="Y277" s="93"/>
      <c r="Z277" s="90"/>
      <c r="AA277" s="93"/>
      <c r="AB277" s="93"/>
      <c r="AC277" s="93"/>
      <c r="AD277" s="93"/>
      <c r="AE277" s="93"/>
      <c r="AF277" s="93"/>
      <c r="AG277" s="93"/>
      <c r="AH277" s="93"/>
      <c r="AI277" s="93"/>
      <c r="AJ277" s="93"/>
      <c r="AK277" s="93"/>
      <c r="AL277" s="90"/>
      <c r="AM277" s="93"/>
      <c r="AN277" s="93"/>
      <c r="AO277" s="93"/>
      <c r="AP277" s="93"/>
      <c r="AQ277" s="93"/>
      <c r="AR277" s="93"/>
      <c r="AS277" s="93"/>
      <c r="AT277" s="93"/>
      <c r="AU277" s="93"/>
      <c r="AV277" s="93"/>
      <c r="AW277" s="93"/>
      <c r="AX277" s="90"/>
      <c r="AY277" s="93"/>
      <c r="AZ277" s="93"/>
      <c r="BA277" s="93"/>
      <c r="BB277" s="93"/>
      <c r="BC277" s="93"/>
      <c r="BD277" s="93"/>
      <c r="BE277" s="93"/>
      <c r="BF277" s="93"/>
      <c r="BG277" s="93"/>
      <c r="BH277" s="1"/>
    </row>
    <row r="278" spans="1:60" s="2" customFormat="1" ht="21" x14ac:dyDescent="0.2">
      <c r="A278" s="649"/>
      <c r="B278" s="492" t="s">
        <v>335</v>
      </c>
      <c r="C278" s="739" t="s">
        <v>104</v>
      </c>
      <c r="D278" s="749" t="s">
        <v>50</v>
      </c>
      <c r="E278" s="253" t="str">
        <f>"energieprestatie indicatoren"&amp;IF($G$6=TRUE," niet correct: warmtebehoefte RV gecorrigeerd","")</f>
        <v>energieprestatie indicatoren</v>
      </c>
      <c r="F278" s="253"/>
      <c r="G278" s="253"/>
      <c r="H278" s="253"/>
      <c r="I278" s="146"/>
      <c r="J278" s="318"/>
      <c r="K278" s="142"/>
      <c r="L278" s="142"/>
      <c r="M278" s="318"/>
      <c r="N278" s="222"/>
      <c r="O278" s="320" t="str">
        <f t="shared" ref="O278:W278" si="286">O$17</f>
        <v/>
      </c>
      <c r="P278" s="320" t="str">
        <f t="shared" si="286"/>
        <v/>
      </c>
      <c r="Q278" s="320" t="str">
        <f t="shared" si="286"/>
        <v/>
      </c>
      <c r="R278" s="320" t="str">
        <f t="shared" si="286"/>
        <v/>
      </c>
      <c r="S278" s="320" t="str">
        <f t="shared" si="286"/>
        <v/>
      </c>
      <c r="T278" s="320" t="str">
        <f t="shared" si="286"/>
        <v/>
      </c>
      <c r="U278" s="320" t="str">
        <f t="shared" si="286"/>
        <v/>
      </c>
      <c r="V278" s="320" t="str">
        <f t="shared" si="286"/>
        <v/>
      </c>
      <c r="W278" s="320" t="str">
        <f t="shared" si="286"/>
        <v/>
      </c>
      <c r="X278" s="214"/>
      <c r="Y278" s="318"/>
      <c r="Z278" s="222"/>
      <c r="AA278" s="320" t="str">
        <f t="shared" ref="AA278:AI278" si="287">AA$17</f>
        <v/>
      </c>
      <c r="AB278" s="320" t="str">
        <f t="shared" si="287"/>
        <v/>
      </c>
      <c r="AC278" s="320" t="str">
        <f t="shared" si="287"/>
        <v/>
      </c>
      <c r="AD278" s="320" t="str">
        <f t="shared" si="287"/>
        <v/>
      </c>
      <c r="AE278" s="320" t="str">
        <f t="shared" si="287"/>
        <v/>
      </c>
      <c r="AF278" s="320" t="str">
        <f t="shared" si="287"/>
        <v/>
      </c>
      <c r="AG278" s="320" t="str">
        <f t="shared" si="287"/>
        <v/>
      </c>
      <c r="AH278" s="320" t="str">
        <f t="shared" si="287"/>
        <v/>
      </c>
      <c r="AI278" s="320" t="str">
        <f t="shared" si="287"/>
        <v/>
      </c>
      <c r="AJ278" s="214"/>
      <c r="AK278" s="318"/>
      <c r="AL278" s="222"/>
      <c r="AM278" s="320" t="str">
        <f>AM$17</f>
        <v/>
      </c>
      <c r="AN278" s="320" t="str">
        <f t="shared" ref="AN278:AU278" si="288">AN$17</f>
        <v/>
      </c>
      <c r="AO278" s="320" t="str">
        <f t="shared" si="288"/>
        <v/>
      </c>
      <c r="AP278" s="320" t="str">
        <f t="shared" si="288"/>
        <v/>
      </c>
      <c r="AQ278" s="320" t="str">
        <f t="shared" si="288"/>
        <v/>
      </c>
      <c r="AR278" s="320" t="str">
        <f t="shared" si="288"/>
        <v/>
      </c>
      <c r="AS278" s="320" t="str">
        <f t="shared" si="288"/>
        <v/>
      </c>
      <c r="AT278" s="320" t="str">
        <f t="shared" si="288"/>
        <v/>
      </c>
      <c r="AU278" s="320" t="str">
        <f t="shared" si="288"/>
        <v/>
      </c>
      <c r="AV278" s="214"/>
      <c r="AW278" s="318"/>
      <c r="AX278" s="222"/>
      <c r="AY278" s="320" t="str">
        <f>AY$17</f>
        <v/>
      </c>
      <c r="AZ278" s="320" t="str">
        <f t="shared" ref="AZ278:BG278" si="289">AZ$17</f>
        <v/>
      </c>
      <c r="BA278" s="320" t="str">
        <f t="shared" si="289"/>
        <v/>
      </c>
      <c r="BB278" s="320" t="str">
        <f t="shared" si="289"/>
        <v/>
      </c>
      <c r="BC278" s="320" t="str">
        <f t="shared" si="289"/>
        <v/>
      </c>
      <c r="BD278" s="320" t="str">
        <f t="shared" si="289"/>
        <v/>
      </c>
      <c r="BE278" s="320" t="str">
        <f t="shared" si="289"/>
        <v/>
      </c>
      <c r="BF278" s="320" t="str">
        <f t="shared" si="289"/>
        <v/>
      </c>
      <c r="BG278" s="320" t="str">
        <f t="shared" si="289"/>
        <v/>
      </c>
      <c r="BH278" s="1"/>
    </row>
    <row r="279" spans="1:60" ht="18.75" hidden="1" x14ac:dyDescent="0.2">
      <c r="A279" s="648"/>
      <c r="B279" s="492" t="s">
        <v>335</v>
      </c>
      <c r="C279" s="739" t="s">
        <v>309</v>
      </c>
      <c r="D279" s="750"/>
      <c r="E279" s="236" t="s">
        <v>336</v>
      </c>
      <c r="F279" s="236"/>
      <c r="G279" s="236"/>
      <c r="H279" s="89"/>
      <c r="I279" s="236"/>
      <c r="J279" s="236"/>
      <c r="K279" s="236"/>
      <c r="L279" s="236"/>
      <c r="M279" s="236"/>
      <c r="N279" s="236"/>
      <c r="O279" s="236"/>
      <c r="P279" s="236"/>
      <c r="Q279" s="236"/>
      <c r="R279" s="236"/>
      <c r="S279" s="236"/>
      <c r="T279" s="236"/>
      <c r="U279" s="236"/>
      <c r="V279" s="236"/>
      <c r="W279" s="236"/>
      <c r="X279" s="236"/>
      <c r="Y279" s="236"/>
      <c r="Z279" s="236"/>
      <c r="AA279" s="236"/>
      <c r="AB279" s="236"/>
      <c r="AC279" s="236"/>
      <c r="AD279" s="236"/>
      <c r="AE279" s="236"/>
      <c r="AF279" s="236"/>
      <c r="AG279" s="236"/>
      <c r="AH279" s="236"/>
      <c r="AI279" s="236"/>
      <c r="AJ279" s="236"/>
      <c r="AK279" s="236"/>
      <c r="AL279" s="236"/>
      <c r="AM279" s="236"/>
      <c r="AN279" s="236"/>
      <c r="AO279" s="236"/>
      <c r="AP279" s="236"/>
      <c r="AQ279" s="236"/>
      <c r="AR279" s="236"/>
      <c r="AS279" s="236"/>
      <c r="AT279" s="236"/>
      <c r="AU279" s="236"/>
      <c r="AV279" s="236"/>
      <c r="AW279" s="236"/>
      <c r="AX279" s="236"/>
      <c r="AY279" s="236"/>
      <c r="AZ279" s="236"/>
      <c r="BA279" s="236"/>
      <c r="BB279" s="236"/>
      <c r="BC279" s="236"/>
      <c r="BD279" s="236"/>
      <c r="BE279" s="236"/>
      <c r="BF279" s="236"/>
      <c r="BG279" s="236"/>
      <c r="BH279" s="38"/>
    </row>
    <row r="280" spans="1:60" hidden="1" x14ac:dyDescent="0.2">
      <c r="A280" s="648"/>
      <c r="B280" s="492" t="s">
        <v>335</v>
      </c>
      <c r="C280" s="739" t="s">
        <v>309</v>
      </c>
      <c r="D280" s="750"/>
      <c r="E280" s="246" t="s">
        <v>337</v>
      </c>
      <c r="F280" s="246"/>
      <c r="G280" s="246"/>
      <c r="H280" s="247" t="s">
        <v>70</v>
      </c>
      <c r="I280" s="248"/>
      <c r="J280" s="249"/>
      <c r="K280" s="90"/>
      <c r="L280" s="90"/>
      <c r="M280" s="249"/>
      <c r="N280" s="248"/>
      <c r="O280" s="250" t="str">
        <f t="shared" ref="O280:W280" si="290">IF(OR(O$19="",O$24=0,O$31=0),"",MATCH(O$21,BENG_gebruiksfuncties,0))</f>
        <v/>
      </c>
      <c r="P280" s="250" t="str">
        <f t="shared" si="290"/>
        <v/>
      </c>
      <c r="Q280" s="250" t="str">
        <f t="shared" si="290"/>
        <v/>
      </c>
      <c r="R280" s="250" t="str">
        <f t="shared" si="290"/>
        <v/>
      </c>
      <c r="S280" s="250" t="str">
        <f t="shared" si="290"/>
        <v/>
      </c>
      <c r="T280" s="250" t="str">
        <f t="shared" si="290"/>
        <v/>
      </c>
      <c r="U280" s="250" t="str">
        <f t="shared" si="290"/>
        <v/>
      </c>
      <c r="V280" s="250" t="str">
        <f t="shared" si="290"/>
        <v/>
      </c>
      <c r="W280" s="250" t="str">
        <f t="shared" si="290"/>
        <v/>
      </c>
      <c r="X280" s="122"/>
      <c r="Y280" s="249"/>
      <c r="Z280" s="248"/>
      <c r="AA280" s="250" t="str">
        <f t="shared" ref="AA280:AI280" si="291">IF(OR(AA$19="",AA$24=0,AA$31=0),"",MATCH(AA$21,BENG_gebruiksfuncties,0))</f>
        <v/>
      </c>
      <c r="AB280" s="250" t="str">
        <f t="shared" si="291"/>
        <v/>
      </c>
      <c r="AC280" s="250" t="str">
        <f t="shared" si="291"/>
        <v/>
      </c>
      <c r="AD280" s="250" t="str">
        <f t="shared" si="291"/>
        <v/>
      </c>
      <c r="AE280" s="250" t="str">
        <f t="shared" si="291"/>
        <v/>
      </c>
      <c r="AF280" s="250" t="str">
        <f t="shared" si="291"/>
        <v/>
      </c>
      <c r="AG280" s="250" t="str">
        <f t="shared" si="291"/>
        <v/>
      </c>
      <c r="AH280" s="250" t="str">
        <f t="shared" si="291"/>
        <v/>
      </c>
      <c r="AI280" s="250" t="str">
        <f t="shared" si="291"/>
        <v/>
      </c>
      <c r="AJ280" s="122"/>
      <c r="AK280" s="249"/>
      <c r="AL280" s="248"/>
      <c r="AM280" s="250" t="str">
        <f>IF(OR(AM$19="",AM$24=0,AM$31=0),"",MATCH(AM$21,BENG_gebruiksfuncties,0))</f>
        <v/>
      </c>
      <c r="AN280" s="250" t="str">
        <f t="shared" ref="AN280:AU280" si="292">IF(OR(AN$19="",AN$24=0,AN$31=0),"",MATCH(AN$21,BENG_gebruiksfuncties,0))</f>
        <v/>
      </c>
      <c r="AO280" s="250" t="str">
        <f t="shared" si="292"/>
        <v/>
      </c>
      <c r="AP280" s="250" t="str">
        <f t="shared" si="292"/>
        <v/>
      </c>
      <c r="AQ280" s="250" t="str">
        <f t="shared" si="292"/>
        <v/>
      </c>
      <c r="AR280" s="250" t="str">
        <f t="shared" si="292"/>
        <v/>
      </c>
      <c r="AS280" s="250" t="str">
        <f t="shared" si="292"/>
        <v/>
      </c>
      <c r="AT280" s="250" t="str">
        <f t="shared" si="292"/>
        <v/>
      </c>
      <c r="AU280" s="250" t="str">
        <f t="shared" si="292"/>
        <v/>
      </c>
      <c r="AV280" s="122"/>
      <c r="AW280" s="249"/>
      <c r="AX280" s="248"/>
      <c r="AY280" s="250" t="str">
        <f t="shared" ref="AY280:BG280" si="293">IF(OR(AY$19="",AY$24=0,AY$31=0),"",MATCH(AY$21,BENG_gebruiksfuncties,0))</f>
        <v/>
      </c>
      <c r="AZ280" s="250" t="str">
        <f t="shared" si="293"/>
        <v/>
      </c>
      <c r="BA280" s="250" t="str">
        <f t="shared" si="293"/>
        <v/>
      </c>
      <c r="BB280" s="250" t="str">
        <f t="shared" si="293"/>
        <v/>
      </c>
      <c r="BC280" s="250" t="str">
        <f t="shared" si="293"/>
        <v/>
      </c>
      <c r="BD280" s="250" t="str">
        <f t="shared" si="293"/>
        <v/>
      </c>
      <c r="BE280" s="250" t="str">
        <f t="shared" si="293"/>
        <v/>
      </c>
      <c r="BF280" s="250" t="str">
        <f t="shared" si="293"/>
        <v/>
      </c>
      <c r="BG280" s="250" t="str">
        <f t="shared" si="293"/>
        <v/>
      </c>
      <c r="BH280" s="255"/>
    </row>
    <row r="281" spans="1:60" ht="18.75" x14ac:dyDescent="0.2">
      <c r="A281" s="648"/>
      <c r="B281" s="492" t="s">
        <v>335</v>
      </c>
      <c r="C281" s="739" t="s">
        <v>104</v>
      </c>
      <c r="D281" s="749" t="s">
        <v>50</v>
      </c>
      <c r="E281" s="236" t="s">
        <v>338</v>
      </c>
      <c r="F281" s="236"/>
      <c r="G281" s="236"/>
      <c r="H281" s="89"/>
      <c r="I281" s="236"/>
      <c r="J281" s="236"/>
      <c r="K281" s="236"/>
      <c r="L281" s="236"/>
      <c r="M281" s="236"/>
      <c r="N281" s="236"/>
      <c r="O281" s="236"/>
      <c r="P281" s="236"/>
      <c r="Q281" s="236"/>
      <c r="R281" s="236"/>
      <c r="S281" s="236"/>
      <c r="T281" s="236"/>
      <c r="U281" s="236"/>
      <c r="V281" s="236"/>
      <c r="W281" s="236"/>
      <c r="X281" s="236"/>
      <c r="Y281" s="236"/>
      <c r="Z281" s="236"/>
      <c r="AA281" s="236"/>
      <c r="AB281" s="236"/>
      <c r="AC281" s="236"/>
      <c r="AD281" s="236"/>
      <c r="AE281" s="236"/>
      <c r="AF281" s="236"/>
      <c r="AG281" s="236"/>
      <c r="AH281" s="236"/>
      <c r="AI281" s="236"/>
      <c r="AJ281" s="236"/>
      <c r="AK281" s="236"/>
      <c r="AL281" s="236"/>
      <c r="AM281" s="236"/>
      <c r="AN281" s="236"/>
      <c r="AO281" s="236"/>
      <c r="AP281" s="236"/>
      <c r="AQ281" s="236"/>
      <c r="AR281" s="236"/>
      <c r="AS281" s="236"/>
      <c r="AT281" s="236"/>
      <c r="AU281" s="236"/>
      <c r="AV281" s="236"/>
      <c r="AW281" s="236"/>
      <c r="AX281" s="236"/>
      <c r="AY281" s="236"/>
      <c r="AZ281" s="236"/>
      <c r="BA281" s="236"/>
      <c r="BB281" s="236"/>
      <c r="BC281" s="236"/>
      <c r="BD281" s="236"/>
      <c r="BE281" s="236"/>
      <c r="BF281" s="236"/>
      <c r="BG281" s="236"/>
      <c r="BH281" s="38"/>
    </row>
    <row r="282" spans="1:60" x14ac:dyDescent="0.2">
      <c r="A282" s="648"/>
      <c r="B282" s="492" t="s">
        <v>335</v>
      </c>
      <c r="C282" s="656" t="s">
        <v>113</v>
      </c>
      <c r="D282" s="750"/>
      <c r="E282" s="246" t="s">
        <v>339</v>
      </c>
      <c r="F282" s="246"/>
      <c r="G282" s="246"/>
      <c r="H282" s="247" t="s">
        <v>169</v>
      </c>
      <c r="I282" s="248"/>
      <c r="J282" s="249"/>
      <c r="K282" s="90"/>
      <c r="L282" s="90"/>
      <c r="M282" s="249"/>
      <c r="N282" s="248"/>
      <c r="O282" s="251" t="str" cm="1">
        <f t="array" ref="O282">IF(OR(O$19="",O$40="",O$42="",O$280=""),"",
IF(O$34&lt;=INDEX(BENG1_eis_grenswaarde_1,O$280),
      INDEX(BENG1_eis_Als_deeldoor_Ag_kleiner_dan_grenswaarde_1,O$280),
IF(O$34&lt;=INDEX(BENG1_eis_grenswaarde_2,O$280),
      INDEX(BENG1_eis_C1,O$280) + INDEX(BENG1_eis_C2,O$280) * (O$34 - INDEX(BENG1_eis_C3,O$280) ),
      INDEX(BENG1_eis_C4,O$280)  + INDEX(BENG1_eis_C5,O$280) * (O$34 - INDEX(BENG1_eis_C6,O$280) ))))</f>
        <v/>
      </c>
      <c r="P282" s="251" t="str" cm="1">
        <f t="array" ref="P282">IF(OR(P$19="",P$40="",P$42="",P$280=""),"",
IF(P$34&lt;=INDEX(BENG1_eis_grenswaarde_1,P$280),
      INDEX(BENG1_eis_Als_deeldoor_Ag_kleiner_dan_grenswaarde_1,P$280),
IF(P$34&lt;=INDEX(BENG1_eis_grenswaarde_2,P$280),
      INDEX(BENG1_eis_C1,P$280) + INDEX(BENG1_eis_C2,P$280) * (P$34 - INDEX(BENG1_eis_C3,P$280) ),
      INDEX(BENG1_eis_C4,P$280)  + INDEX(BENG1_eis_C5,P$280) * (P$34 - INDEX(BENG1_eis_C6,P$280) ))))</f>
        <v/>
      </c>
      <c r="Q282" s="251" t="str" cm="1">
        <f t="array" ref="Q282">IF(OR(Q$19="",Q$40="",Q$42="",Q$280=""),"",
IF(Q$34&lt;=INDEX(BENG1_eis_grenswaarde_1,Q$280),
      INDEX(BENG1_eis_Als_deeldoor_Ag_kleiner_dan_grenswaarde_1,Q$280),
IF(Q$34&lt;=INDEX(BENG1_eis_grenswaarde_2,Q$280),
      INDEX(BENG1_eis_C1,Q$280) + INDEX(BENG1_eis_C2,Q$280) * (Q$34 - INDEX(BENG1_eis_C3,Q$280) ),
      INDEX(BENG1_eis_C4,Q$280)  + INDEX(BENG1_eis_C5,Q$280) * (Q$34 - INDEX(BENG1_eis_C6,Q$280) ))))</f>
        <v/>
      </c>
      <c r="R282" s="251" t="str" cm="1">
        <f t="array" ref="R282">IF(OR(R$19="",R$40="",R$42="",R$280=""),"",
IF(R$34&lt;=INDEX(BENG1_eis_grenswaarde_1,R$280),
      INDEX(BENG1_eis_Als_deeldoor_Ag_kleiner_dan_grenswaarde_1,R$280),
IF(R$34&lt;=INDEX(BENG1_eis_grenswaarde_2,R$280),
      INDEX(BENG1_eis_C1,R$280) + INDEX(BENG1_eis_C2,R$280) * (R$34 - INDEX(BENG1_eis_C3,R$280) ),
      INDEX(BENG1_eis_C4,R$280)  + INDEX(BENG1_eis_C5,R$280) * (R$34 - INDEX(BENG1_eis_C6,R$280) ))))</f>
        <v/>
      </c>
      <c r="S282" s="251" t="str" cm="1">
        <f t="array" ref="S282">IF(OR(S$19="",S$40="",S$42="",S$280=""),"",
IF(S$34&lt;=INDEX(BENG1_eis_grenswaarde_1,S$280),
      INDEX(BENG1_eis_Als_deeldoor_Ag_kleiner_dan_grenswaarde_1,S$280),
IF(S$34&lt;=INDEX(BENG1_eis_grenswaarde_2,S$280),
      INDEX(BENG1_eis_C1,S$280) + INDEX(BENG1_eis_C2,S$280) * (S$34 - INDEX(BENG1_eis_C3,S$280) ),
      INDEX(BENG1_eis_C4,S$280)  + INDEX(BENG1_eis_C5,S$280) * (S$34 - INDEX(BENG1_eis_C6,S$280) ))))</f>
        <v/>
      </c>
      <c r="T282" s="251" t="str" cm="1">
        <f t="array" ref="T282">IF(OR(T$19="",T$40="",T$42="",T$280=""),"",
IF(T$34&lt;=INDEX(BENG1_eis_grenswaarde_1,T$280),
      INDEX(BENG1_eis_Als_deeldoor_Ag_kleiner_dan_grenswaarde_1,T$280),
IF(T$34&lt;=INDEX(BENG1_eis_grenswaarde_2,T$280),
      INDEX(BENG1_eis_C1,T$280) + INDEX(BENG1_eis_C2,T$280) * (T$34 - INDEX(BENG1_eis_C3,T$280) ),
      INDEX(BENG1_eis_C4,T$280)  + INDEX(BENG1_eis_C5,T$280) * (T$34 - INDEX(BENG1_eis_C6,T$280) ))))</f>
        <v/>
      </c>
      <c r="U282" s="251" t="str" cm="1">
        <f t="array" ref="U282">IF(OR(U$19="",U$40="",U$42="",U$280=""),"",
IF(U$34&lt;=INDEX(BENG1_eis_grenswaarde_1,U$280),
      INDEX(BENG1_eis_Als_deeldoor_Ag_kleiner_dan_grenswaarde_1,U$280),
IF(U$34&lt;=INDEX(BENG1_eis_grenswaarde_2,U$280),
      INDEX(BENG1_eis_C1,U$280) + INDEX(BENG1_eis_C2,U$280) * (U$34 - INDEX(BENG1_eis_C3,U$280) ),
      INDEX(BENG1_eis_C4,U$280)  + INDEX(BENG1_eis_C5,U$280) * (U$34 - INDEX(BENG1_eis_C6,U$280) ))))</f>
        <v/>
      </c>
      <c r="V282" s="251" t="str" cm="1">
        <f t="array" ref="V282">IF(OR(V$19="",V$40="",V$42="",V$280=""),"",
IF(V$34&lt;=INDEX(BENG1_eis_grenswaarde_1,V$280),
      INDEX(BENG1_eis_Als_deeldoor_Ag_kleiner_dan_grenswaarde_1,V$280),
IF(V$34&lt;=INDEX(BENG1_eis_grenswaarde_2,V$280),
      INDEX(BENG1_eis_C1,V$280) + INDEX(BENG1_eis_C2,V$280) * (V$34 - INDEX(BENG1_eis_C3,V$280) ),
      INDEX(BENG1_eis_C4,V$280)  + INDEX(BENG1_eis_C5,V$280) * (V$34 - INDEX(BENG1_eis_C6,V$280) ))))</f>
        <v/>
      </c>
      <c r="W282" s="251" t="str" cm="1">
        <f t="array" ref="W282">IF(OR(W$19="",W$40="",W$42="",W$280=""),"",
IF(W$34&lt;=INDEX(BENG1_eis_grenswaarde_1,W$280),
      INDEX(BENG1_eis_Als_deeldoor_Ag_kleiner_dan_grenswaarde_1,W$280),
IF(W$34&lt;=INDEX(BENG1_eis_grenswaarde_2,W$280),
      INDEX(BENG1_eis_C1,W$280) + INDEX(BENG1_eis_C2,W$280) * (W$34 - INDEX(BENG1_eis_C3,W$280) ),
      INDEX(BENG1_eis_C4,W$280)  + INDEX(BENG1_eis_C5,W$280) * (W$34 - INDEX(BENG1_eis_C6,W$280) ))))</f>
        <v/>
      </c>
      <c r="X282" s="122"/>
      <c r="Y282" s="249"/>
      <c r="Z282" s="248"/>
      <c r="AA282" s="251" t="str" cm="1">
        <f t="array" ref="AA282">IF(OR(AA$19="",AA$40="",AA$42="",AA$280=""),"",
IF(AA$34&lt;=INDEX(BENG1_eis_grenswaarde_1,AA$280),
      INDEX(BENG1_eis_Als_deeldoor_Ag_kleiner_dan_grenswaarde_1,AA$280),
IF(AA$34&lt;=INDEX(BENG1_eis_grenswaarde_2,AA$280),
      INDEX(BENG1_eis_C1,AA$280) + INDEX(BENG1_eis_C2,AA$280) * (AA$34 - INDEX(BENG1_eis_C3,AA$280) ),
      INDEX(BENG1_eis_C4,AA$280)  + INDEX(BENG1_eis_C5,AA$280) * (AA$34 - INDEX(BENG1_eis_C6,AA$280) ))))</f>
        <v/>
      </c>
      <c r="AB282" s="251" t="str" cm="1">
        <f t="array" ref="AB282">IF(OR(AB$19="",AB$40="",AB$42="",AB$280=""),"",
IF(AB$34&lt;=INDEX(BENG1_eis_grenswaarde_1,AB$280),
      INDEX(BENG1_eis_Als_deeldoor_Ag_kleiner_dan_grenswaarde_1,AB$280),
IF(AB$34&lt;=INDEX(BENG1_eis_grenswaarde_2,AB$280),
      INDEX(BENG1_eis_C1,AB$280) + INDEX(BENG1_eis_C2,AB$280) * (AB$34 - INDEX(BENG1_eis_C3,AB$280) ),
      INDEX(BENG1_eis_C4,AB$280)  + INDEX(BENG1_eis_C5,AB$280) * (AB$34 - INDEX(BENG1_eis_C6,AB$280) ))))</f>
        <v/>
      </c>
      <c r="AC282" s="251" t="str" cm="1">
        <f t="array" ref="AC282">IF(OR(AC$19="",AC$40="",AC$42="",AC$280=""),"",
IF(AC$34&lt;=INDEX(BENG1_eis_grenswaarde_1,AC$280),
      INDEX(BENG1_eis_Als_deeldoor_Ag_kleiner_dan_grenswaarde_1,AC$280),
IF(AC$34&lt;=INDEX(BENG1_eis_grenswaarde_2,AC$280),
      INDEX(BENG1_eis_C1,AC$280) + INDEX(BENG1_eis_C2,AC$280) * (AC$34 - INDEX(BENG1_eis_C3,AC$280) ),
      INDEX(BENG1_eis_C4,AC$280)  + INDEX(BENG1_eis_C5,AC$280) * (AC$34 - INDEX(BENG1_eis_C6,AC$280) ))))</f>
        <v/>
      </c>
      <c r="AD282" s="251" t="str" cm="1">
        <f t="array" ref="AD282">IF(OR(AD$19="",AD$40="",AD$42="",AD$280=""),"",
IF(AD$34&lt;=INDEX(BENG1_eis_grenswaarde_1,AD$280),
      INDEX(BENG1_eis_Als_deeldoor_Ag_kleiner_dan_grenswaarde_1,AD$280),
IF(AD$34&lt;=INDEX(BENG1_eis_grenswaarde_2,AD$280),
      INDEX(BENG1_eis_C1,AD$280) + INDEX(BENG1_eis_C2,AD$280) * (AD$34 - INDEX(BENG1_eis_C3,AD$280) ),
      INDEX(BENG1_eis_C4,AD$280)  + INDEX(BENG1_eis_C5,AD$280) * (AD$34 - INDEX(BENG1_eis_C6,AD$280) ))))</f>
        <v/>
      </c>
      <c r="AE282" s="251" t="str" cm="1">
        <f t="array" ref="AE282">IF(OR(AE$19="",AE$40="",AE$42="",AE$280=""),"",
IF(AE$34&lt;=INDEX(BENG1_eis_grenswaarde_1,AE$280),
      INDEX(BENG1_eis_Als_deeldoor_Ag_kleiner_dan_grenswaarde_1,AE$280),
IF(AE$34&lt;=INDEX(BENG1_eis_grenswaarde_2,AE$280),
      INDEX(BENG1_eis_C1,AE$280) + INDEX(BENG1_eis_C2,AE$280) * (AE$34 - INDEX(BENG1_eis_C3,AE$280) ),
      INDEX(BENG1_eis_C4,AE$280)  + INDEX(BENG1_eis_C5,AE$280) * (AE$34 - INDEX(BENG1_eis_C6,AE$280) ))))</f>
        <v/>
      </c>
      <c r="AF282" s="251" t="str" cm="1">
        <f t="array" ref="AF282">IF(OR(AF$19="",AF$40="",AF$42="",AF$280=""),"",
IF(AF$34&lt;=INDEX(BENG1_eis_grenswaarde_1,AF$280),
      INDEX(BENG1_eis_Als_deeldoor_Ag_kleiner_dan_grenswaarde_1,AF$280),
IF(AF$34&lt;=INDEX(BENG1_eis_grenswaarde_2,AF$280),
      INDEX(BENG1_eis_C1,AF$280) + INDEX(BENG1_eis_C2,AF$280) * (AF$34 - INDEX(BENG1_eis_C3,AF$280) ),
      INDEX(BENG1_eis_C4,AF$280)  + INDEX(BENG1_eis_C5,AF$280) * (AF$34 - INDEX(BENG1_eis_C6,AF$280) ))))</f>
        <v/>
      </c>
      <c r="AG282" s="251" t="str" cm="1">
        <f t="array" ref="AG282">IF(OR(AG$19="",AG$40="",AG$42="",AG$280=""),"",
IF(AG$34&lt;=INDEX(BENG1_eis_grenswaarde_1,AG$280),
      INDEX(BENG1_eis_Als_deeldoor_Ag_kleiner_dan_grenswaarde_1,AG$280),
IF(AG$34&lt;=INDEX(BENG1_eis_grenswaarde_2,AG$280),
      INDEX(BENG1_eis_C1,AG$280) + INDEX(BENG1_eis_C2,AG$280) * (AG$34 - INDEX(BENG1_eis_C3,AG$280) ),
      INDEX(BENG1_eis_C4,AG$280)  + INDEX(BENG1_eis_C5,AG$280) * (AG$34 - INDEX(BENG1_eis_C6,AG$280) ))))</f>
        <v/>
      </c>
      <c r="AH282" s="251" t="str" cm="1">
        <f t="array" ref="AH282">IF(OR(AH$19="",AH$40="",AH$42="",AH$280=""),"",
IF(AH$34&lt;=INDEX(BENG1_eis_grenswaarde_1,AH$280),
      INDEX(BENG1_eis_Als_deeldoor_Ag_kleiner_dan_grenswaarde_1,AH$280),
IF(AH$34&lt;=INDEX(BENG1_eis_grenswaarde_2,AH$280),
      INDEX(BENG1_eis_C1,AH$280) + INDEX(BENG1_eis_C2,AH$280) * (AH$34 - INDEX(BENG1_eis_C3,AH$280) ),
      INDEX(BENG1_eis_C4,AH$280)  + INDEX(BENG1_eis_C5,AH$280) * (AH$34 - INDEX(BENG1_eis_C6,AH$280) ))))</f>
        <v/>
      </c>
      <c r="AI282" s="251" t="str" cm="1">
        <f t="array" ref="AI282">IF(OR(AI$19="",AI$40="",AI$42="",AI$280=""),"",
IF(AI$34&lt;=INDEX(BENG1_eis_grenswaarde_1,AI$280),
      INDEX(BENG1_eis_Als_deeldoor_Ag_kleiner_dan_grenswaarde_1,AI$280),
IF(AI$34&lt;=INDEX(BENG1_eis_grenswaarde_2,AI$280),
      INDEX(BENG1_eis_C1,AI$280) + INDEX(BENG1_eis_C2,AI$280) * (AI$34 - INDEX(BENG1_eis_C3,AI$280) ),
      INDEX(BENG1_eis_C4,AI$280)  + INDEX(BENG1_eis_C5,AI$280) * (AI$34 - INDEX(BENG1_eis_C6,AI$280) ))))</f>
        <v/>
      </c>
      <c r="AJ282" s="122"/>
      <c r="AK282" s="249"/>
      <c r="AL282" s="248"/>
      <c r="AM282" s="251" t="str" cm="1">
        <f t="array" ref="AM282">IF(OR(AM$19="",AM$40="",AM$42="",AM$280=""),"",
IF(AM$34&lt;=INDEX(BENG1_eis_grenswaarde_1,AM$280),
      INDEX(BENG1_eis_Als_deeldoor_Ag_kleiner_dan_grenswaarde_1,AM$280),
IF(AM$34&lt;=INDEX(BENG1_eis_grenswaarde_2,AM$280),
      INDEX(BENG1_eis_C1,AM$280) + INDEX(BENG1_eis_C2,AM$280) * (AM$34 - INDEX(BENG1_eis_C3,AM$280) ),
      INDEX(BENG1_eis_C4,AM$280)  + INDEX(BENG1_eis_C5,AM$280) * (AM$34 - INDEX(BENG1_eis_C6,AM$280) ))))</f>
        <v/>
      </c>
      <c r="AN282" s="251" t="str" cm="1">
        <f t="array" ref="AN282">IF(OR(AN$19="",AN$40="",AN$42="",AN$280=""),"",
IF(AN$34&lt;=INDEX(BENG1_eis_grenswaarde_1,AN$280),
      INDEX(BENG1_eis_Als_deeldoor_Ag_kleiner_dan_grenswaarde_1,AN$280),
IF(AN$34&lt;=INDEX(BENG1_eis_grenswaarde_2,AN$280),
      INDEX(BENG1_eis_C1,AN$280) + INDEX(BENG1_eis_C2,AN$280) * (AN$34 - INDEX(BENG1_eis_C3,AN$280) ),
      INDEX(BENG1_eis_C4,AN$280)  + INDEX(BENG1_eis_C5,AN$280) * (AN$34 - INDEX(BENG1_eis_C6,AN$280) ))))</f>
        <v/>
      </c>
      <c r="AO282" s="251" t="str" cm="1">
        <f t="array" ref="AO282">IF(OR(AO$19="",AO$40="",AO$42="",AO$280=""),"",
IF(AO$34&lt;=INDEX(BENG1_eis_grenswaarde_1,AO$280),
      INDEX(BENG1_eis_Als_deeldoor_Ag_kleiner_dan_grenswaarde_1,AO$280),
IF(AO$34&lt;=INDEX(BENG1_eis_grenswaarde_2,AO$280),
      INDEX(BENG1_eis_C1,AO$280) + INDEX(BENG1_eis_C2,AO$280) * (AO$34 - INDEX(BENG1_eis_C3,AO$280) ),
      INDEX(BENG1_eis_C4,AO$280)  + INDEX(BENG1_eis_C5,AO$280) * (AO$34 - INDEX(BENG1_eis_C6,AO$280) ))))</f>
        <v/>
      </c>
      <c r="AP282" s="251" t="str" cm="1">
        <f t="array" ref="AP282">IF(OR(AP$19="",AP$40="",AP$42="",AP$280=""),"",
IF(AP$34&lt;=INDEX(BENG1_eis_grenswaarde_1,AP$280),
      INDEX(BENG1_eis_Als_deeldoor_Ag_kleiner_dan_grenswaarde_1,AP$280),
IF(AP$34&lt;=INDEX(BENG1_eis_grenswaarde_2,AP$280),
      INDEX(BENG1_eis_C1,AP$280) + INDEX(BENG1_eis_C2,AP$280) * (AP$34 - INDEX(BENG1_eis_C3,AP$280) ),
      INDEX(BENG1_eis_C4,AP$280)  + INDEX(BENG1_eis_C5,AP$280) * (AP$34 - INDEX(BENG1_eis_C6,AP$280) ))))</f>
        <v/>
      </c>
      <c r="AQ282" s="251" t="str" cm="1">
        <f t="array" ref="AQ282">IF(OR(AQ$19="",AQ$40="",AQ$42="",AQ$280=""),"",
IF(AQ$34&lt;=INDEX(BENG1_eis_grenswaarde_1,AQ$280),
      INDEX(BENG1_eis_Als_deeldoor_Ag_kleiner_dan_grenswaarde_1,AQ$280),
IF(AQ$34&lt;=INDEX(BENG1_eis_grenswaarde_2,AQ$280),
      INDEX(BENG1_eis_C1,AQ$280) + INDEX(BENG1_eis_C2,AQ$280) * (AQ$34 - INDEX(BENG1_eis_C3,AQ$280) ),
      INDEX(BENG1_eis_C4,AQ$280)  + INDEX(BENG1_eis_C5,AQ$280) * (AQ$34 - INDEX(BENG1_eis_C6,AQ$280) ))))</f>
        <v/>
      </c>
      <c r="AR282" s="251" t="str" cm="1">
        <f t="array" ref="AR282">IF(OR(AR$19="",AR$40="",AR$42="",AR$280=""),"",
IF(AR$34&lt;=INDEX(BENG1_eis_grenswaarde_1,AR$280),
      INDEX(BENG1_eis_Als_deeldoor_Ag_kleiner_dan_grenswaarde_1,AR$280),
IF(AR$34&lt;=INDEX(BENG1_eis_grenswaarde_2,AR$280),
      INDEX(BENG1_eis_C1,AR$280) + INDEX(BENG1_eis_C2,AR$280) * (AR$34 - INDEX(BENG1_eis_C3,AR$280) ),
      INDEX(BENG1_eis_C4,AR$280)  + INDEX(BENG1_eis_C5,AR$280) * (AR$34 - INDEX(BENG1_eis_C6,AR$280) ))))</f>
        <v/>
      </c>
      <c r="AS282" s="251" t="str" cm="1">
        <f t="array" ref="AS282">IF(OR(AS$19="",AS$40="",AS$42="",AS$280=""),"",
IF(AS$34&lt;=INDEX(BENG1_eis_grenswaarde_1,AS$280),
      INDEX(BENG1_eis_Als_deeldoor_Ag_kleiner_dan_grenswaarde_1,AS$280),
IF(AS$34&lt;=INDEX(BENG1_eis_grenswaarde_2,AS$280),
      INDEX(BENG1_eis_C1,AS$280) + INDEX(BENG1_eis_C2,AS$280) * (AS$34 - INDEX(BENG1_eis_C3,AS$280) ),
      INDEX(BENG1_eis_C4,AS$280)  + INDEX(BENG1_eis_C5,AS$280) * (AS$34 - INDEX(BENG1_eis_C6,AS$280) ))))</f>
        <v/>
      </c>
      <c r="AT282" s="251" t="str" cm="1">
        <f t="array" ref="AT282">IF(OR(AT$19="",AT$40="",AT$42="",AT$280=""),"",
IF(AT$34&lt;=INDEX(BENG1_eis_grenswaarde_1,AT$280),
      INDEX(BENG1_eis_Als_deeldoor_Ag_kleiner_dan_grenswaarde_1,AT$280),
IF(AT$34&lt;=INDEX(BENG1_eis_grenswaarde_2,AT$280),
      INDEX(BENG1_eis_C1,AT$280) + INDEX(BENG1_eis_C2,AT$280) * (AT$34 - INDEX(BENG1_eis_C3,AT$280) ),
      INDEX(BENG1_eis_C4,AT$280)  + INDEX(BENG1_eis_C5,AT$280) * (AT$34 - INDEX(BENG1_eis_C6,AT$280) ))))</f>
        <v/>
      </c>
      <c r="AU282" s="251" t="str" cm="1">
        <f t="array" ref="AU282">IF(OR(AU$19="",AU$40="",AU$42="",AU$280=""),"",
IF(AU$34&lt;=INDEX(BENG1_eis_grenswaarde_1,AU$280),
      INDEX(BENG1_eis_Als_deeldoor_Ag_kleiner_dan_grenswaarde_1,AU$280),
IF(AU$34&lt;=INDEX(BENG1_eis_grenswaarde_2,AU$280),
      INDEX(BENG1_eis_C1,AU$280) + INDEX(BENG1_eis_C2,AU$280) * (AU$34 - INDEX(BENG1_eis_C3,AU$280) ),
      INDEX(BENG1_eis_C4,AU$280)  + INDEX(BENG1_eis_C5,AU$280) * (AU$34 - INDEX(BENG1_eis_C6,AU$280) ))))</f>
        <v/>
      </c>
      <c r="AV282" s="122"/>
      <c r="AW282" s="249"/>
      <c r="AX282" s="248"/>
      <c r="AY282" s="251" t="str" cm="1">
        <f t="array" ref="AY282">IF(OR(AY$19="",AY$40="",AY$42="",AY$280=""),"",
IF(AY$34&lt;=INDEX(BENG1_eis_grenswaarde_1,AY$280),
      INDEX(BENG1_eis_Als_deeldoor_Ag_kleiner_dan_grenswaarde_1,AY$280),
IF(AY$34&lt;=INDEX(BENG1_eis_grenswaarde_2,AY$280),
      INDEX(BENG1_eis_C1,AY$280) + INDEX(BENG1_eis_C2,AY$280) * (AY$34 - INDEX(BENG1_eis_C3,AY$280) ),
      INDEX(BENG1_eis_C4,AY$280)  + INDEX(BENG1_eis_C5,AY$280) * (AY$34 - INDEX(BENG1_eis_C6,AY$280) ))))</f>
        <v/>
      </c>
      <c r="AZ282" s="251" t="str" cm="1">
        <f t="array" ref="AZ282">IF(OR(AZ$19="",AZ$40="",AZ$42="",AZ$280=""),"",
IF(AZ$34&lt;=INDEX(BENG1_eis_grenswaarde_1,AZ$280),
      INDEX(BENG1_eis_Als_deeldoor_Ag_kleiner_dan_grenswaarde_1,AZ$280),
IF(AZ$34&lt;=INDEX(BENG1_eis_grenswaarde_2,AZ$280),
      INDEX(BENG1_eis_C1,AZ$280) + INDEX(BENG1_eis_C2,AZ$280) * (AZ$34 - INDEX(BENG1_eis_C3,AZ$280) ),
      INDEX(BENG1_eis_C4,AZ$280)  + INDEX(BENG1_eis_C5,AZ$280) * (AZ$34 - INDEX(BENG1_eis_C6,AZ$280) ))))</f>
        <v/>
      </c>
      <c r="BA282" s="251" t="str" cm="1">
        <f t="array" ref="BA282">IF(OR(BA$19="",BA$40="",BA$42="",BA$280=""),"",
IF(BA$34&lt;=INDEX(BENG1_eis_grenswaarde_1,BA$280),
      INDEX(BENG1_eis_Als_deeldoor_Ag_kleiner_dan_grenswaarde_1,BA$280),
IF(BA$34&lt;=INDEX(BENG1_eis_grenswaarde_2,BA$280),
      INDEX(BENG1_eis_C1,BA$280) + INDEX(BENG1_eis_C2,BA$280) * (BA$34 - INDEX(BENG1_eis_C3,BA$280) ),
      INDEX(BENG1_eis_C4,BA$280)  + INDEX(BENG1_eis_C5,BA$280) * (BA$34 - INDEX(BENG1_eis_C6,BA$280) ))))</f>
        <v/>
      </c>
      <c r="BB282" s="251" t="str" cm="1">
        <f t="array" ref="BB282">IF(OR(BB$19="",BB$40="",BB$42="",BB$280=""),"",
IF(BB$34&lt;=INDEX(BENG1_eis_grenswaarde_1,BB$280),
      INDEX(BENG1_eis_Als_deeldoor_Ag_kleiner_dan_grenswaarde_1,BB$280),
IF(BB$34&lt;=INDEX(BENG1_eis_grenswaarde_2,BB$280),
      INDEX(BENG1_eis_C1,BB$280) + INDEX(BENG1_eis_C2,BB$280) * (BB$34 - INDEX(BENG1_eis_C3,BB$280) ),
      INDEX(BENG1_eis_C4,BB$280)  + INDEX(BENG1_eis_C5,BB$280) * (BB$34 - INDEX(BENG1_eis_C6,BB$280) ))))</f>
        <v/>
      </c>
      <c r="BC282" s="251" t="str" cm="1">
        <f t="array" ref="BC282">IF(OR(BC$19="",BC$40="",BC$42="",BC$280=""),"",
IF(BC$34&lt;=INDEX(BENG1_eis_grenswaarde_1,BC$280),
      INDEX(BENG1_eis_Als_deeldoor_Ag_kleiner_dan_grenswaarde_1,BC$280),
IF(BC$34&lt;=INDEX(BENG1_eis_grenswaarde_2,BC$280),
      INDEX(BENG1_eis_C1,BC$280) + INDEX(BENG1_eis_C2,BC$280) * (BC$34 - INDEX(BENG1_eis_C3,BC$280) ),
      INDEX(BENG1_eis_C4,BC$280)  + INDEX(BENG1_eis_C5,BC$280) * (BC$34 - INDEX(BENG1_eis_C6,BC$280) ))))</f>
        <v/>
      </c>
      <c r="BD282" s="251" t="str" cm="1">
        <f t="array" ref="BD282">IF(OR(BD$19="",BD$40="",BD$42="",BD$280=""),"",
IF(BD$34&lt;=INDEX(BENG1_eis_grenswaarde_1,BD$280),
      INDEX(BENG1_eis_Als_deeldoor_Ag_kleiner_dan_grenswaarde_1,BD$280),
IF(BD$34&lt;=INDEX(BENG1_eis_grenswaarde_2,BD$280),
      INDEX(BENG1_eis_C1,BD$280) + INDEX(BENG1_eis_C2,BD$280) * (BD$34 - INDEX(BENG1_eis_C3,BD$280) ),
      INDEX(BENG1_eis_C4,BD$280)  + INDEX(BENG1_eis_C5,BD$280) * (BD$34 - INDEX(BENG1_eis_C6,BD$280) ))))</f>
        <v/>
      </c>
      <c r="BE282" s="251" t="str" cm="1">
        <f t="array" ref="BE282">IF(OR(BE$19="",BE$40="",BE$42="",BE$280=""),"",
IF(BE$34&lt;=INDEX(BENG1_eis_grenswaarde_1,BE$280),
      INDEX(BENG1_eis_Als_deeldoor_Ag_kleiner_dan_grenswaarde_1,BE$280),
IF(BE$34&lt;=INDEX(BENG1_eis_grenswaarde_2,BE$280),
      INDEX(BENG1_eis_C1,BE$280) + INDEX(BENG1_eis_C2,BE$280) * (BE$34 - INDEX(BENG1_eis_C3,BE$280) ),
      INDEX(BENG1_eis_C4,BE$280)  + INDEX(BENG1_eis_C5,BE$280) * (BE$34 - INDEX(BENG1_eis_C6,BE$280) ))))</f>
        <v/>
      </c>
      <c r="BF282" s="251" t="str" cm="1">
        <f t="array" ref="BF282">IF(OR(BF$19="",BF$40="",BF$42="",BF$280=""),"",
IF(BF$34&lt;=INDEX(BENG1_eis_grenswaarde_1,BF$280),
      INDEX(BENG1_eis_Als_deeldoor_Ag_kleiner_dan_grenswaarde_1,BF$280),
IF(BF$34&lt;=INDEX(BENG1_eis_grenswaarde_2,BF$280),
      INDEX(BENG1_eis_C1,BF$280) + INDEX(BENG1_eis_C2,BF$280) * (BF$34 - INDEX(BENG1_eis_C3,BF$280) ),
      INDEX(BENG1_eis_C4,BF$280)  + INDEX(BENG1_eis_C5,BF$280) * (BF$34 - INDEX(BENG1_eis_C6,BF$280) ))))</f>
        <v/>
      </c>
      <c r="BG282" s="251" t="str" cm="1">
        <f t="array" ref="BG282">IF(OR(BG$19="",BG$40="",BG$42="",BG$280=""),"",
IF(BG$34&lt;=INDEX(BENG1_eis_grenswaarde_1,BG$280),
      INDEX(BENG1_eis_Als_deeldoor_Ag_kleiner_dan_grenswaarde_1,BG$280),
IF(BG$34&lt;=INDEX(BENG1_eis_grenswaarde_2,BG$280),
      INDEX(BENG1_eis_C1,BG$280) + INDEX(BENG1_eis_C2,BG$280) * (BG$34 - INDEX(BENG1_eis_C3,BG$280) ),
      INDEX(BENG1_eis_C4,BG$280)  + INDEX(BENG1_eis_C5,BG$280) * (BG$34 - INDEX(BENG1_eis_C6,BG$280) ))))</f>
        <v/>
      </c>
      <c r="BH282" s="255"/>
    </row>
    <row r="283" spans="1:60" x14ac:dyDescent="0.2">
      <c r="A283" s="648"/>
      <c r="B283" s="492" t="s">
        <v>335</v>
      </c>
      <c r="C283" s="656" t="s">
        <v>113</v>
      </c>
      <c r="D283" s="750"/>
      <c r="E283" s="246" t="s">
        <v>340</v>
      </c>
      <c r="F283" s="246"/>
      <c r="G283" s="246"/>
      <c r="H283" s="247" t="s">
        <v>317</v>
      </c>
      <c r="I283" s="248"/>
      <c r="J283" s="249"/>
      <c r="K283" s="90"/>
      <c r="L283" s="90"/>
      <c r="M283" s="249"/>
      <c r="N283" s="248"/>
      <c r="O283" s="251" t="str" cm="1">
        <f t="array" ref="O283">IF(O$280="","",INDEX(BENG2_eis,O$280))</f>
        <v/>
      </c>
      <c r="P283" s="251" t="str" cm="1">
        <f t="array" ref="P283">IF(P$280="","",INDEX(BENG2_eis,P$280))</f>
        <v/>
      </c>
      <c r="Q283" s="251" t="str" cm="1">
        <f t="array" ref="Q283">IF(Q$280="","",INDEX(BENG2_eis,Q$280))</f>
        <v/>
      </c>
      <c r="R283" s="251" t="str" cm="1">
        <f t="array" ref="R283">IF(R$280="","",INDEX(BENG2_eis,R$280))</f>
        <v/>
      </c>
      <c r="S283" s="251" t="str" cm="1">
        <f t="array" ref="S283">IF(S$280="","",INDEX(BENG2_eis,S$280))</f>
        <v/>
      </c>
      <c r="T283" s="251" t="str" cm="1">
        <f t="array" ref="T283">IF(T$280="","",INDEX(BENG2_eis,T$280))</f>
        <v/>
      </c>
      <c r="U283" s="251" t="str" cm="1">
        <f t="array" ref="U283">IF(U$280="","",INDEX(BENG2_eis,U$280))</f>
        <v/>
      </c>
      <c r="V283" s="251" t="str" cm="1">
        <f t="array" ref="V283">IF(V$280="","",INDEX(BENG2_eis,V$280))</f>
        <v/>
      </c>
      <c r="W283" s="251" t="str" cm="1">
        <f t="array" ref="W283">IF(W$280="","",INDEX(BENG2_eis,W$280))</f>
        <v/>
      </c>
      <c r="X283" s="122"/>
      <c r="Y283" s="249"/>
      <c r="Z283" s="248"/>
      <c r="AA283" s="251" t="str" cm="1">
        <f t="array" ref="AA283">IF(AA$280="","",INDEX(BENG2_eis,AA$280))</f>
        <v/>
      </c>
      <c r="AB283" s="251" t="str" cm="1">
        <f t="array" ref="AB283">IF(AB$280="","",INDEX(BENG2_eis,AB$280))</f>
        <v/>
      </c>
      <c r="AC283" s="251" t="str" cm="1">
        <f t="array" ref="AC283">IF(AC$280="","",INDEX(BENG2_eis,AC$280))</f>
        <v/>
      </c>
      <c r="AD283" s="251" t="str" cm="1">
        <f t="array" ref="AD283">IF(AD$280="","",INDEX(BENG2_eis,AD$280))</f>
        <v/>
      </c>
      <c r="AE283" s="251" t="str" cm="1">
        <f t="array" ref="AE283">IF(AE$280="","",INDEX(BENG2_eis,AE$280))</f>
        <v/>
      </c>
      <c r="AF283" s="251" t="str" cm="1">
        <f t="array" ref="AF283">IF(AF$280="","",INDEX(BENG2_eis,AF$280))</f>
        <v/>
      </c>
      <c r="AG283" s="251" t="str" cm="1">
        <f t="array" ref="AG283">IF(AG$280="","",INDEX(BENG2_eis,AG$280))</f>
        <v/>
      </c>
      <c r="AH283" s="251" t="str" cm="1">
        <f t="array" ref="AH283">IF(AH$280="","",INDEX(BENG2_eis,AH$280))</f>
        <v/>
      </c>
      <c r="AI283" s="251" t="str" cm="1">
        <f t="array" ref="AI283">IF(AI$280="","",INDEX(BENG2_eis,AI$280))</f>
        <v/>
      </c>
      <c r="AJ283" s="122"/>
      <c r="AK283" s="249"/>
      <c r="AL283" s="248"/>
      <c r="AM283" s="251" t="str" cm="1">
        <f t="array" ref="AM283">IF(AM$280="","",INDEX(BENG2_eis,AM$280))</f>
        <v/>
      </c>
      <c r="AN283" s="251" t="str" cm="1">
        <f t="array" ref="AN283">IF(AN$280="","",INDEX(BENG2_eis,AN$280))</f>
        <v/>
      </c>
      <c r="AO283" s="251" t="str" cm="1">
        <f t="array" ref="AO283">IF(AO$280="","",INDEX(BENG2_eis,AO$280))</f>
        <v/>
      </c>
      <c r="AP283" s="251" t="str" cm="1">
        <f t="array" ref="AP283">IF(AP$280="","",INDEX(BENG2_eis,AP$280))</f>
        <v/>
      </c>
      <c r="AQ283" s="251" t="str" cm="1">
        <f t="array" ref="AQ283">IF(AQ$280="","",INDEX(BENG2_eis,AQ$280))</f>
        <v/>
      </c>
      <c r="AR283" s="251" t="str" cm="1">
        <f t="array" ref="AR283">IF(AR$280="","",INDEX(BENG2_eis,AR$280))</f>
        <v/>
      </c>
      <c r="AS283" s="251" t="str" cm="1">
        <f t="array" ref="AS283">IF(AS$280="","",INDEX(BENG2_eis,AS$280))</f>
        <v/>
      </c>
      <c r="AT283" s="251" t="str" cm="1">
        <f t="array" ref="AT283">IF(AT$280="","",INDEX(BENG2_eis,AT$280))</f>
        <v/>
      </c>
      <c r="AU283" s="251" t="str" cm="1">
        <f t="array" ref="AU283">IF(AU$280="","",INDEX(BENG2_eis,AU$280))</f>
        <v/>
      </c>
      <c r="AV283" s="122"/>
      <c r="AW283" s="249"/>
      <c r="AX283" s="248"/>
      <c r="AY283" s="251" t="str" cm="1">
        <f t="array" ref="AY283">IF(AY$280="","",INDEX(BENG2_eis,AY$280))</f>
        <v/>
      </c>
      <c r="AZ283" s="251" t="str" cm="1">
        <f t="array" ref="AZ283">IF(AZ$280="","",INDEX(BENG2_eis,AZ$280))</f>
        <v/>
      </c>
      <c r="BA283" s="251" t="str" cm="1">
        <f t="array" ref="BA283">IF(BA$280="","",INDEX(BENG2_eis,BA$280))</f>
        <v/>
      </c>
      <c r="BB283" s="251" t="str" cm="1">
        <f t="array" ref="BB283">IF(BB$280="","",INDEX(BENG2_eis,BB$280))</f>
        <v/>
      </c>
      <c r="BC283" s="251" t="str" cm="1">
        <f t="array" ref="BC283">IF(BC$280="","",INDEX(BENG2_eis,BC$280))</f>
        <v/>
      </c>
      <c r="BD283" s="251" t="str" cm="1">
        <f t="array" ref="BD283">IF(BD$280="","",INDEX(BENG2_eis,BD$280))</f>
        <v/>
      </c>
      <c r="BE283" s="251" t="str" cm="1">
        <f t="array" ref="BE283">IF(BE$280="","",INDEX(BENG2_eis,BE$280))</f>
        <v/>
      </c>
      <c r="BF283" s="251" t="str" cm="1">
        <f t="array" ref="BF283">IF(BF$280="","",INDEX(BENG2_eis,BF$280))</f>
        <v/>
      </c>
      <c r="BG283" s="251" t="str" cm="1">
        <f t="array" ref="BG283">IF(BG$280="","",INDEX(BENG2_eis,BG$280))</f>
        <v/>
      </c>
      <c r="BH283" s="255"/>
    </row>
    <row r="284" spans="1:60" x14ac:dyDescent="0.2">
      <c r="A284" s="648"/>
      <c r="B284" s="492" t="s">
        <v>335</v>
      </c>
      <c r="C284" s="656" t="s">
        <v>113</v>
      </c>
      <c r="D284" s="750"/>
      <c r="E284" s="246" t="s">
        <v>341</v>
      </c>
      <c r="F284" s="246"/>
      <c r="G284" s="246"/>
      <c r="H284" s="247" t="s">
        <v>150</v>
      </c>
      <c r="I284" s="248"/>
      <c r="J284" s="249"/>
      <c r="K284" s="90"/>
      <c r="L284" s="90"/>
      <c r="M284" s="249"/>
      <c r="N284" s="248"/>
      <c r="O284" s="252" t="str" cm="1">
        <f t="array" ref="O284">IF(O$280="","",INDEX(BENG3_eis,O$280))</f>
        <v/>
      </c>
      <c r="P284" s="252" t="str" cm="1">
        <f t="array" ref="P284">IF(P$280="","",INDEX(BENG3_eis,P$280))</f>
        <v/>
      </c>
      <c r="Q284" s="252" t="str" cm="1">
        <f t="array" ref="Q284">IF(Q$280="","",INDEX(BENG3_eis,Q$280))</f>
        <v/>
      </c>
      <c r="R284" s="252" t="str" cm="1">
        <f t="array" ref="R284">IF(R$280="","",INDEX(BENG3_eis,R$280))</f>
        <v/>
      </c>
      <c r="S284" s="252" t="str" cm="1">
        <f t="array" ref="S284">IF(S$280="","",INDEX(BENG3_eis,S$280))</f>
        <v/>
      </c>
      <c r="T284" s="252" t="str" cm="1">
        <f t="array" ref="T284">IF(T$280="","",INDEX(BENG3_eis,T$280))</f>
        <v/>
      </c>
      <c r="U284" s="252" t="str" cm="1">
        <f t="array" ref="U284">IF(U$280="","",INDEX(BENG3_eis,U$280))</f>
        <v/>
      </c>
      <c r="V284" s="252" t="str" cm="1">
        <f t="array" ref="V284">IF(V$280="","",INDEX(BENG3_eis,V$280))</f>
        <v/>
      </c>
      <c r="W284" s="252" t="str" cm="1">
        <f t="array" ref="W284">IF(W$280="","",INDEX(BENG3_eis,W$280))</f>
        <v/>
      </c>
      <c r="X284" s="122"/>
      <c r="Y284" s="249"/>
      <c r="Z284" s="248"/>
      <c r="AA284" s="252" t="str" cm="1">
        <f t="array" ref="AA284">IF(AA$280="","",INDEX(BENG3_eis,AA$280))</f>
        <v/>
      </c>
      <c r="AB284" s="252" t="str" cm="1">
        <f t="array" ref="AB284">IF(AB$280="","",INDEX(BENG3_eis,AB$280))</f>
        <v/>
      </c>
      <c r="AC284" s="252" t="str" cm="1">
        <f t="array" ref="AC284">IF(AC$280="","",INDEX(BENG3_eis,AC$280))</f>
        <v/>
      </c>
      <c r="AD284" s="252" t="str" cm="1">
        <f t="array" ref="AD284">IF(AD$280="","",INDEX(BENG3_eis,AD$280))</f>
        <v/>
      </c>
      <c r="AE284" s="252" t="str" cm="1">
        <f t="array" ref="AE284">IF(AE$280="","",INDEX(BENG3_eis,AE$280))</f>
        <v/>
      </c>
      <c r="AF284" s="252" t="str" cm="1">
        <f t="array" ref="AF284">IF(AF$280="","",INDEX(BENG3_eis,AF$280))</f>
        <v/>
      </c>
      <c r="AG284" s="252" t="str" cm="1">
        <f t="array" ref="AG284">IF(AG$280="","",INDEX(BENG3_eis,AG$280))</f>
        <v/>
      </c>
      <c r="AH284" s="252" t="str" cm="1">
        <f t="array" ref="AH284">IF(AH$280="","",INDEX(BENG3_eis,AH$280))</f>
        <v/>
      </c>
      <c r="AI284" s="252" t="str" cm="1">
        <f t="array" ref="AI284">IF(AI$280="","",INDEX(BENG3_eis,AI$280))</f>
        <v/>
      </c>
      <c r="AJ284" s="122"/>
      <c r="AK284" s="249"/>
      <c r="AL284" s="248"/>
      <c r="AM284" s="252" t="str" cm="1">
        <f t="array" ref="AM284">IF(AM$280="","",INDEX(BENG3_eis,AM$280))</f>
        <v/>
      </c>
      <c r="AN284" s="252" t="str" cm="1">
        <f t="array" ref="AN284">IF(AN$280="","",INDEX(BENG3_eis,AN$280))</f>
        <v/>
      </c>
      <c r="AO284" s="252" t="str" cm="1">
        <f t="array" ref="AO284">IF(AO$280="","",INDEX(BENG3_eis,AO$280))</f>
        <v/>
      </c>
      <c r="AP284" s="252" t="str" cm="1">
        <f t="array" ref="AP284">IF(AP$280="","",INDEX(BENG3_eis,AP$280))</f>
        <v/>
      </c>
      <c r="AQ284" s="252" t="str" cm="1">
        <f t="array" ref="AQ284">IF(AQ$280="","",INDEX(BENG3_eis,AQ$280))</f>
        <v/>
      </c>
      <c r="AR284" s="252" t="str" cm="1">
        <f t="array" ref="AR284">IF(AR$280="","",INDEX(BENG3_eis,AR$280))</f>
        <v/>
      </c>
      <c r="AS284" s="252" t="str" cm="1">
        <f t="array" ref="AS284">IF(AS$280="","",INDEX(BENG3_eis,AS$280))</f>
        <v/>
      </c>
      <c r="AT284" s="252" t="str" cm="1">
        <f t="array" ref="AT284">IF(AT$280="","",INDEX(BENG3_eis,AT$280))</f>
        <v/>
      </c>
      <c r="AU284" s="252" t="str" cm="1">
        <f t="array" ref="AU284">IF(AU$280="","",INDEX(BENG3_eis,AU$280))</f>
        <v/>
      </c>
      <c r="AV284" s="122"/>
      <c r="AW284" s="249"/>
      <c r="AX284" s="248"/>
      <c r="AY284" s="252" t="str" cm="1">
        <f t="array" ref="AY284">IF(AY$280="","",INDEX(BENG3_eis,AY$280))</f>
        <v/>
      </c>
      <c r="AZ284" s="252" t="str" cm="1">
        <f t="array" ref="AZ284">IF(AZ$280="","",INDEX(BENG3_eis,AZ$280))</f>
        <v/>
      </c>
      <c r="BA284" s="252" t="str" cm="1">
        <f t="array" ref="BA284">IF(BA$280="","",INDEX(BENG3_eis,BA$280))</f>
        <v/>
      </c>
      <c r="BB284" s="252" t="str" cm="1">
        <f t="array" ref="BB284">IF(BB$280="","",INDEX(BENG3_eis,BB$280))</f>
        <v/>
      </c>
      <c r="BC284" s="252" t="str" cm="1">
        <f t="array" ref="BC284">IF(BC$280="","",INDEX(BENG3_eis,BC$280))</f>
        <v/>
      </c>
      <c r="BD284" s="252" t="str" cm="1">
        <f t="array" ref="BD284">IF(BD$280="","",INDEX(BENG3_eis,BD$280))</f>
        <v/>
      </c>
      <c r="BE284" s="252" t="str" cm="1">
        <f t="array" ref="BE284">IF(BE$280="","",INDEX(BENG3_eis,BE$280))</f>
        <v/>
      </c>
      <c r="BF284" s="252" t="str" cm="1">
        <f t="array" ref="BF284">IF(BF$280="","",INDEX(BENG3_eis,BF$280))</f>
        <v/>
      </c>
      <c r="BG284" s="252" t="str" cm="1">
        <f t="array" ref="BG284">IF(BG$280="","",INDEX(BENG3_eis,BG$280))</f>
        <v/>
      </c>
      <c r="BH284" s="255"/>
    </row>
    <row r="285" spans="1:60" ht="18.75" x14ac:dyDescent="0.2">
      <c r="A285" s="648"/>
      <c r="B285" s="492" t="s">
        <v>335</v>
      </c>
      <c r="C285" s="739" t="s">
        <v>104</v>
      </c>
      <c r="D285" s="749" t="s">
        <v>50</v>
      </c>
      <c r="E285" s="236" t="s">
        <v>342</v>
      </c>
      <c r="F285" s="236"/>
      <c r="G285" s="236"/>
      <c r="H285" s="89"/>
      <c r="I285" s="236"/>
      <c r="J285" s="236"/>
      <c r="K285" s="236"/>
      <c r="L285" s="236"/>
      <c r="M285" s="236"/>
      <c r="N285" s="236"/>
      <c r="O285" s="236"/>
      <c r="P285" s="236"/>
      <c r="Q285" s="236"/>
      <c r="R285" s="236"/>
      <c r="S285" s="236"/>
      <c r="T285" s="236"/>
      <c r="U285" s="236"/>
      <c r="V285" s="236"/>
      <c r="W285" s="236"/>
      <c r="X285" s="236"/>
      <c r="Y285" s="236"/>
      <c r="Z285" s="236"/>
      <c r="AA285" s="236"/>
      <c r="AB285" s="236"/>
      <c r="AC285" s="236"/>
      <c r="AD285" s="236"/>
      <c r="AE285" s="236"/>
      <c r="AF285" s="236"/>
      <c r="AG285" s="236"/>
      <c r="AH285" s="236"/>
      <c r="AI285" s="236"/>
      <c r="AJ285" s="236"/>
      <c r="AK285" s="236"/>
      <c r="AL285" s="236"/>
      <c r="AM285" s="236"/>
      <c r="AN285" s="236"/>
      <c r="AO285" s="236"/>
      <c r="AP285" s="236"/>
      <c r="AQ285" s="236"/>
      <c r="AR285" s="236"/>
      <c r="AS285" s="236"/>
      <c r="AT285" s="236"/>
      <c r="AU285" s="236"/>
      <c r="AV285" s="236"/>
      <c r="AW285" s="236"/>
      <c r="AX285" s="236"/>
      <c r="AY285" s="236"/>
      <c r="AZ285" s="236"/>
      <c r="BA285" s="236"/>
      <c r="BB285" s="236"/>
      <c r="BC285" s="236"/>
      <c r="BD285" s="236"/>
      <c r="BE285" s="236"/>
      <c r="BF285" s="236"/>
      <c r="BG285" s="236"/>
      <c r="BH285" s="38"/>
    </row>
    <row r="286" spans="1:60" x14ac:dyDescent="0.2">
      <c r="A286" s="648"/>
      <c r="B286" s="492" t="s">
        <v>335</v>
      </c>
      <c r="C286" s="656" t="s">
        <v>113</v>
      </c>
      <c r="D286" s="749" t="s">
        <v>50</v>
      </c>
      <c r="E286" s="246" t="s">
        <v>343</v>
      </c>
      <c r="F286" s="246"/>
      <c r="G286" s="246"/>
      <c r="H286" s="247" t="s">
        <v>169</v>
      </c>
      <c r="I286" s="248"/>
      <c r="J286" s="249"/>
      <c r="K286" s="90"/>
      <c r="L286" s="90"/>
      <c r="M286" s="249"/>
      <c r="N286" s="248"/>
      <c r="O286" s="302" t="str" cm="1">
        <f t="array" ref="O286">IF(OR(O$19="",O$24=0,O$31=0),"",
      INDEX(warmtebehoefte_plus_koudebehoefte_ventsysC1_EP1_snijpunt,O$280)
   + INDEX(warmtebehoefte_plus_koudebehoefte_ventsysC1_EP1_C,O$280)*O$52*O$34^INDEX(warmtebehoefte_plus_koudebehoefte_ventsysC1_EP1_n,O$280))</f>
        <v/>
      </c>
      <c r="P286" s="302" t="str" cm="1">
        <f t="array" ref="P286">IF(OR(P$19="",P$24=0,P$31=0),"",
      INDEX(warmtebehoefte_plus_koudebehoefte_ventsysC1_EP1_snijpunt,P$280)
   + INDEX(warmtebehoefte_plus_koudebehoefte_ventsysC1_EP1_C,P$280)*P$52*P$34^INDEX(warmtebehoefte_plus_koudebehoefte_ventsysC1_EP1_n,P$280))</f>
        <v/>
      </c>
      <c r="Q286" s="302" t="str" cm="1">
        <f t="array" ref="Q286">IF(OR(Q$19="",Q$24=0,Q$31=0),"",
      INDEX(warmtebehoefte_plus_koudebehoefte_ventsysC1_EP1_snijpunt,Q$280)
   + INDEX(warmtebehoefte_plus_koudebehoefte_ventsysC1_EP1_C,Q$280)*Q$52*Q$34^INDEX(warmtebehoefte_plus_koudebehoefte_ventsysC1_EP1_n,Q$280))</f>
        <v/>
      </c>
      <c r="R286" s="302" t="str" cm="1">
        <f t="array" ref="R286">IF(OR(R$19="",R$24=0,R$31=0),"",
      INDEX(warmtebehoefte_plus_koudebehoefte_ventsysC1_EP1_snijpunt,R$280)
   + INDEX(warmtebehoefte_plus_koudebehoefte_ventsysC1_EP1_C,R$280)*R$52*R$34^INDEX(warmtebehoefte_plus_koudebehoefte_ventsysC1_EP1_n,R$280))</f>
        <v/>
      </c>
      <c r="S286" s="302" t="str" cm="1">
        <f t="array" ref="S286">IF(OR(S$19="",S$24=0,S$31=0),"",
      INDEX(warmtebehoefte_plus_koudebehoefte_ventsysC1_EP1_snijpunt,S$280)
   + INDEX(warmtebehoefte_plus_koudebehoefte_ventsysC1_EP1_C,S$280)*S$52*S$34^INDEX(warmtebehoefte_plus_koudebehoefte_ventsysC1_EP1_n,S$280))</f>
        <v/>
      </c>
      <c r="T286" s="302" t="str" cm="1">
        <f t="array" ref="T286">IF(OR(T$19="",T$24=0,T$31=0),"",
      INDEX(warmtebehoefte_plus_koudebehoefte_ventsysC1_EP1_snijpunt,T$280)
   + INDEX(warmtebehoefte_plus_koudebehoefte_ventsysC1_EP1_C,T$280)*T$52*T$34^INDEX(warmtebehoefte_plus_koudebehoefte_ventsysC1_EP1_n,T$280))</f>
        <v/>
      </c>
      <c r="U286" s="302" t="str" cm="1">
        <f t="array" ref="U286">IF(OR(U$19="",U$24=0,U$31=0),"",
      INDEX(warmtebehoefte_plus_koudebehoefte_ventsysC1_EP1_snijpunt,U$280)
   + INDEX(warmtebehoefte_plus_koudebehoefte_ventsysC1_EP1_C,U$280)*U$52*U$34^INDEX(warmtebehoefte_plus_koudebehoefte_ventsysC1_EP1_n,U$280))</f>
        <v/>
      </c>
      <c r="V286" s="302" t="str" cm="1">
        <f t="array" ref="V286">IF(OR(V$19="",V$24=0,V$31=0),"",
      INDEX(warmtebehoefte_plus_koudebehoefte_ventsysC1_EP1_snijpunt,V$280)
   + INDEX(warmtebehoefte_plus_koudebehoefte_ventsysC1_EP1_C,V$280)*V$52*V$34^INDEX(warmtebehoefte_plus_koudebehoefte_ventsysC1_EP1_n,V$280))</f>
        <v/>
      </c>
      <c r="W286" s="302" t="str" cm="1">
        <f t="array" ref="W286">IF(OR(W$19="",W$24=0,W$31=0),"",
      INDEX(warmtebehoefte_plus_koudebehoefte_ventsysC1_EP1_snijpunt,W$280)
   + INDEX(warmtebehoefte_plus_koudebehoefte_ventsysC1_EP1_C,W$280)*W$52*W$34^INDEX(warmtebehoefte_plus_koudebehoefte_ventsysC1_EP1_n,W$280))</f>
        <v/>
      </c>
      <c r="X286" s="122"/>
      <c r="Y286" s="249"/>
      <c r="Z286" s="248"/>
      <c r="AA286" s="302" t="str" cm="1">
        <f t="array" ref="AA286">IF(OR(AA$19="",AA$24=0,AA$31=0),"",
      INDEX(warmtebehoefte_plus_koudebehoefte_ventsysC1_EP1_snijpunt,AA$280)
   + INDEX(warmtebehoefte_plus_koudebehoefte_ventsysC1_EP1_C,AA$280)*AA$52*AA$34^INDEX(warmtebehoefte_plus_koudebehoefte_ventsysC1_EP1_n,AA$280))</f>
        <v/>
      </c>
      <c r="AB286" s="302" t="str" cm="1">
        <f t="array" ref="AB286">IF(OR(AB$19="",AB$24=0,AB$31=0),"",
      INDEX(warmtebehoefte_plus_koudebehoefte_ventsysC1_EP1_snijpunt,AB$280)
   + INDEX(warmtebehoefte_plus_koudebehoefte_ventsysC1_EP1_C,AB$280)*AB$52*AB$34^INDEX(warmtebehoefte_plus_koudebehoefte_ventsysC1_EP1_n,AB$280))</f>
        <v/>
      </c>
      <c r="AC286" s="302" t="str" cm="1">
        <f t="array" ref="AC286">IF(OR(AC$19="",AC$24=0,AC$31=0),"",
      INDEX(warmtebehoefte_plus_koudebehoefte_ventsysC1_EP1_snijpunt,AC$280)
   + INDEX(warmtebehoefte_plus_koudebehoefte_ventsysC1_EP1_C,AC$280)*AC$52*AC$34^INDEX(warmtebehoefte_plus_koudebehoefte_ventsysC1_EP1_n,AC$280))</f>
        <v/>
      </c>
      <c r="AD286" s="302" t="str" cm="1">
        <f t="array" ref="AD286">IF(OR(AD$19="",AD$24=0,AD$31=0),"",
      INDEX(warmtebehoefte_plus_koudebehoefte_ventsysC1_EP1_snijpunt,AD$280)
   + INDEX(warmtebehoefte_plus_koudebehoefte_ventsysC1_EP1_C,AD$280)*AD$52*AD$34^INDEX(warmtebehoefte_plus_koudebehoefte_ventsysC1_EP1_n,AD$280))</f>
        <v/>
      </c>
      <c r="AE286" s="302" t="str" cm="1">
        <f t="array" ref="AE286">IF(OR(AE$19="",AE$24=0,AE$31=0),"",
      INDEX(warmtebehoefte_plus_koudebehoefte_ventsysC1_EP1_snijpunt,AE$280)
   + INDEX(warmtebehoefte_plus_koudebehoefte_ventsysC1_EP1_C,AE$280)*AE$52*AE$34^INDEX(warmtebehoefte_plus_koudebehoefte_ventsysC1_EP1_n,AE$280))</f>
        <v/>
      </c>
      <c r="AF286" s="302" t="str" cm="1">
        <f t="array" ref="AF286">IF(OR(AF$19="",AF$24=0,AF$31=0),"",
      INDEX(warmtebehoefte_plus_koudebehoefte_ventsysC1_EP1_snijpunt,AF$280)
   + INDEX(warmtebehoefte_plus_koudebehoefte_ventsysC1_EP1_C,AF$280)*AF$52*AF$34^INDEX(warmtebehoefte_plus_koudebehoefte_ventsysC1_EP1_n,AF$280))</f>
        <v/>
      </c>
      <c r="AG286" s="302" t="str" cm="1">
        <f t="array" ref="AG286">IF(OR(AG$19="",AG$24=0,AG$31=0),"",
      INDEX(warmtebehoefte_plus_koudebehoefte_ventsysC1_EP1_snijpunt,AG$280)
   + INDEX(warmtebehoefte_plus_koudebehoefte_ventsysC1_EP1_C,AG$280)*AG$52*AG$34^INDEX(warmtebehoefte_plus_koudebehoefte_ventsysC1_EP1_n,AG$280))</f>
        <v/>
      </c>
      <c r="AH286" s="302" t="str" cm="1">
        <f t="array" ref="AH286">IF(OR(AH$19="",AH$24=0,AH$31=0),"",
      INDEX(warmtebehoefte_plus_koudebehoefte_ventsysC1_EP1_snijpunt,AH$280)
   + INDEX(warmtebehoefte_plus_koudebehoefte_ventsysC1_EP1_C,AH$280)*AH$52*AH$34^INDEX(warmtebehoefte_plus_koudebehoefte_ventsysC1_EP1_n,AH$280))</f>
        <v/>
      </c>
      <c r="AI286" s="302" t="str" cm="1">
        <f t="array" ref="AI286">IF(OR(AI$19="",AI$24=0,AI$31=0),"",
      INDEX(warmtebehoefte_plus_koudebehoefte_ventsysC1_EP1_snijpunt,AI$280)
   + INDEX(warmtebehoefte_plus_koudebehoefte_ventsysC1_EP1_C,AI$280)*AI$52*AI$34^INDEX(warmtebehoefte_plus_koudebehoefte_ventsysC1_EP1_n,AI$280))</f>
        <v/>
      </c>
      <c r="AJ286" s="122"/>
      <c r="AK286" s="249"/>
      <c r="AL286" s="248"/>
      <c r="AM286" s="302" t="str" cm="1">
        <f t="array" ref="AM286">IF(OR(AM$19="",AM$24=0,AM$31=0),"",
      INDEX(warmtebehoefte_plus_koudebehoefte_ventsysC1_EP1_snijpunt,AM$280)
   + INDEX(warmtebehoefte_plus_koudebehoefte_ventsysC1_EP1_C,AM$280)*AM$52*AM$34^INDEX(warmtebehoefte_plus_koudebehoefte_ventsysC1_EP1_n,AM$280))</f>
        <v/>
      </c>
      <c r="AN286" s="302" t="str" cm="1">
        <f t="array" ref="AN286">IF(OR(AN$19="",AN$24=0,AN$31=0),"",
      INDEX(warmtebehoefte_plus_koudebehoefte_ventsysC1_EP1_snijpunt,AN$280)
   + INDEX(warmtebehoefte_plus_koudebehoefte_ventsysC1_EP1_C,AN$280)*AN$52*AN$34^INDEX(warmtebehoefte_plus_koudebehoefte_ventsysC1_EP1_n,AN$280))</f>
        <v/>
      </c>
      <c r="AO286" s="302" t="str" cm="1">
        <f t="array" ref="AO286">IF(OR(AO$19="",AO$24=0,AO$31=0),"",
      INDEX(warmtebehoefte_plus_koudebehoefte_ventsysC1_EP1_snijpunt,AO$280)
   + INDEX(warmtebehoefte_plus_koudebehoefte_ventsysC1_EP1_C,AO$280)*AO$52*AO$34^INDEX(warmtebehoefte_plus_koudebehoefte_ventsysC1_EP1_n,AO$280))</f>
        <v/>
      </c>
      <c r="AP286" s="302" t="str" cm="1">
        <f t="array" ref="AP286">IF(OR(AP$19="",AP$24=0,AP$31=0),"",
      INDEX(warmtebehoefte_plus_koudebehoefte_ventsysC1_EP1_snijpunt,AP$280)
   + INDEX(warmtebehoefte_plus_koudebehoefte_ventsysC1_EP1_C,AP$280)*AP$52*AP$34^INDEX(warmtebehoefte_plus_koudebehoefte_ventsysC1_EP1_n,AP$280))</f>
        <v/>
      </c>
      <c r="AQ286" s="302" t="str" cm="1">
        <f t="array" ref="AQ286">IF(OR(AQ$19="",AQ$24=0,AQ$31=0),"",
      INDEX(warmtebehoefte_plus_koudebehoefte_ventsysC1_EP1_snijpunt,AQ$280)
   + INDEX(warmtebehoefte_plus_koudebehoefte_ventsysC1_EP1_C,AQ$280)*AQ$52*AQ$34^INDEX(warmtebehoefte_plus_koudebehoefte_ventsysC1_EP1_n,AQ$280))</f>
        <v/>
      </c>
      <c r="AR286" s="302" t="str" cm="1">
        <f t="array" ref="AR286">IF(OR(AR$19="",AR$24=0,AR$31=0),"",
      INDEX(warmtebehoefte_plus_koudebehoefte_ventsysC1_EP1_snijpunt,AR$280)
   + INDEX(warmtebehoefte_plus_koudebehoefte_ventsysC1_EP1_C,AR$280)*AR$52*AR$34^INDEX(warmtebehoefte_plus_koudebehoefte_ventsysC1_EP1_n,AR$280))</f>
        <v/>
      </c>
      <c r="AS286" s="302" t="str" cm="1">
        <f t="array" ref="AS286">IF(OR(AS$19="",AS$24=0,AS$31=0),"",
      INDEX(warmtebehoefte_plus_koudebehoefte_ventsysC1_EP1_snijpunt,AS$280)
   + INDEX(warmtebehoefte_plus_koudebehoefte_ventsysC1_EP1_C,AS$280)*AS$52*AS$34^INDEX(warmtebehoefte_plus_koudebehoefte_ventsysC1_EP1_n,AS$280))</f>
        <v/>
      </c>
      <c r="AT286" s="302" t="str" cm="1">
        <f t="array" ref="AT286">IF(OR(AT$19="",AT$24=0,AT$31=0),"",
      INDEX(warmtebehoefte_plus_koudebehoefte_ventsysC1_EP1_snijpunt,AT$280)
   + INDEX(warmtebehoefte_plus_koudebehoefte_ventsysC1_EP1_C,AT$280)*AT$52*AT$34^INDEX(warmtebehoefte_plus_koudebehoefte_ventsysC1_EP1_n,AT$280))</f>
        <v/>
      </c>
      <c r="AU286" s="302" t="str" cm="1">
        <f t="array" ref="AU286">IF(OR(AU$19="",AU$24=0,AU$31=0),"",
      INDEX(warmtebehoefte_plus_koudebehoefte_ventsysC1_EP1_snijpunt,AU$280)
   + INDEX(warmtebehoefte_plus_koudebehoefte_ventsysC1_EP1_C,AU$280)*AU$52*AU$34^INDEX(warmtebehoefte_plus_koudebehoefte_ventsysC1_EP1_n,AU$280))</f>
        <v/>
      </c>
      <c r="AV286" s="122"/>
      <c r="AW286" s="249"/>
      <c r="AX286" s="248"/>
      <c r="AY286" s="302" t="str" cm="1">
        <f t="array" ref="AY286">IF(OR(AY$19="",AY$24=0,AY$31=0),"",
      INDEX(warmtebehoefte_plus_koudebehoefte_ventsysC1_EP1_snijpunt,AY$280)
   + INDEX(warmtebehoefte_plus_koudebehoefte_ventsysC1_EP1_C,AY$280)*AY$52*AY$34^INDEX(warmtebehoefte_plus_koudebehoefte_ventsysC1_EP1_n,AY$280))</f>
        <v/>
      </c>
      <c r="AZ286" s="302" t="str" cm="1">
        <f t="array" ref="AZ286">IF(OR(AZ$19="",AZ$24=0,AZ$31=0),"",
      INDEX(warmtebehoefte_plus_koudebehoefte_ventsysC1_EP1_snijpunt,AZ$280)
   + INDEX(warmtebehoefte_plus_koudebehoefte_ventsysC1_EP1_C,AZ$280)*AZ$52*AZ$34^INDEX(warmtebehoefte_plus_koudebehoefte_ventsysC1_EP1_n,AZ$280))</f>
        <v/>
      </c>
      <c r="BA286" s="302" t="str" cm="1">
        <f t="array" ref="BA286">IF(OR(BA$19="",BA$24=0,BA$31=0),"",
      INDEX(warmtebehoefte_plus_koudebehoefte_ventsysC1_EP1_snijpunt,BA$280)
   + INDEX(warmtebehoefte_plus_koudebehoefte_ventsysC1_EP1_C,BA$280)*BA$52*BA$34^INDEX(warmtebehoefte_plus_koudebehoefte_ventsysC1_EP1_n,BA$280))</f>
        <v/>
      </c>
      <c r="BB286" s="302" t="str" cm="1">
        <f t="array" ref="BB286">IF(OR(BB$19="",BB$24=0,BB$31=0),"",
      INDEX(warmtebehoefte_plus_koudebehoefte_ventsysC1_EP1_snijpunt,BB$280)
   + INDEX(warmtebehoefte_plus_koudebehoefte_ventsysC1_EP1_C,BB$280)*BB$52*BB$34^INDEX(warmtebehoefte_plus_koudebehoefte_ventsysC1_EP1_n,BB$280))</f>
        <v/>
      </c>
      <c r="BC286" s="302" t="str" cm="1">
        <f t="array" ref="BC286">IF(OR(BC$19="",BC$24=0,BC$31=0),"",
      INDEX(warmtebehoefte_plus_koudebehoefte_ventsysC1_EP1_snijpunt,BC$280)
   + INDEX(warmtebehoefte_plus_koudebehoefte_ventsysC1_EP1_C,BC$280)*BC$52*BC$34^INDEX(warmtebehoefte_plus_koudebehoefte_ventsysC1_EP1_n,BC$280))</f>
        <v/>
      </c>
      <c r="BD286" s="302" t="str" cm="1">
        <f t="array" ref="BD286">IF(OR(BD$19="",BD$24=0,BD$31=0),"",
      INDEX(warmtebehoefte_plus_koudebehoefte_ventsysC1_EP1_snijpunt,BD$280)
   + INDEX(warmtebehoefte_plus_koudebehoefte_ventsysC1_EP1_C,BD$280)*BD$52*BD$34^INDEX(warmtebehoefte_plus_koudebehoefte_ventsysC1_EP1_n,BD$280))</f>
        <v/>
      </c>
      <c r="BE286" s="302" t="str" cm="1">
        <f t="array" ref="BE286">IF(OR(BE$19="",BE$24=0,BE$31=0),"",
      INDEX(warmtebehoefte_plus_koudebehoefte_ventsysC1_EP1_snijpunt,BE$280)
   + INDEX(warmtebehoefte_plus_koudebehoefte_ventsysC1_EP1_C,BE$280)*BE$52*BE$34^INDEX(warmtebehoefte_plus_koudebehoefte_ventsysC1_EP1_n,BE$280))</f>
        <v/>
      </c>
      <c r="BF286" s="302" t="str" cm="1">
        <f t="array" ref="BF286">IF(OR(BF$19="",BF$24=0,BF$31=0),"",
      INDEX(warmtebehoefte_plus_koudebehoefte_ventsysC1_EP1_snijpunt,BF$280)
   + INDEX(warmtebehoefte_plus_koudebehoefte_ventsysC1_EP1_C,BF$280)*BF$52*BF$34^INDEX(warmtebehoefte_plus_koudebehoefte_ventsysC1_EP1_n,BF$280))</f>
        <v/>
      </c>
      <c r="BG286" s="302" t="str" cm="1">
        <f t="array" ref="BG286">IF(OR(BG$19="",BG$24=0,BG$31=0),"",
      INDEX(warmtebehoefte_plus_koudebehoefte_ventsysC1_EP1_snijpunt,BG$280)
   + INDEX(warmtebehoefte_plus_koudebehoefte_ventsysC1_EP1_C,BG$280)*BG$52*BG$34^INDEX(warmtebehoefte_plus_koudebehoefte_ventsysC1_EP1_n,BG$280))</f>
        <v/>
      </c>
      <c r="BH286" s="255"/>
    </row>
    <row r="287" spans="1:60" x14ac:dyDescent="0.2">
      <c r="A287" s="648"/>
      <c r="B287" s="492" t="s">
        <v>335</v>
      </c>
      <c r="C287" s="656" t="s">
        <v>113</v>
      </c>
      <c r="D287" s="749" t="s">
        <v>50</v>
      </c>
      <c r="E287" s="246" t="s">
        <v>344</v>
      </c>
      <c r="F287" s="246"/>
      <c r="G287" s="246"/>
      <c r="H287" s="247" t="s">
        <v>317</v>
      </c>
      <c r="I287" s="248"/>
      <c r="J287" s="249"/>
      <c r="K287" s="90"/>
      <c r="L287" s="90"/>
      <c r="M287" s="249"/>
      <c r="N287" s="248"/>
      <c r="O287" s="302" t="str">
        <f t="shared" ref="O287:W287" si="294">IF(OR(O$19="",O$24=0,O$31=0),"",ROUNDUP(O$255-O$246-O$247-O$248-IF(OR(O$21=woning,O$21=woongebouw),O244,0),2))</f>
        <v/>
      </c>
      <c r="P287" s="302" t="str">
        <f t="shared" si="294"/>
        <v/>
      </c>
      <c r="Q287" s="302" t="str">
        <f t="shared" si="294"/>
        <v/>
      </c>
      <c r="R287" s="302" t="str">
        <f t="shared" si="294"/>
        <v/>
      </c>
      <c r="S287" s="302" t="str">
        <f t="shared" si="294"/>
        <v/>
      </c>
      <c r="T287" s="302" t="str">
        <f t="shared" si="294"/>
        <v/>
      </c>
      <c r="U287" s="302" t="str">
        <f t="shared" si="294"/>
        <v/>
      </c>
      <c r="V287" s="302" t="str">
        <f t="shared" si="294"/>
        <v/>
      </c>
      <c r="W287" s="302" t="str">
        <f t="shared" si="294"/>
        <v/>
      </c>
      <c r="X287" s="122"/>
      <c r="Y287" s="249"/>
      <c r="Z287" s="248"/>
      <c r="AA287" s="302" t="str">
        <f t="shared" ref="AA287:AI287" si="295">IF(OR(AA$19="",AA$24=0,AA$31=0),"",ROUNDUP(AA$255-AA$246-AA$247-AA$248-IF(OR(AA$21=woning,AA$21=woongebouw),AA244,0),2))</f>
        <v/>
      </c>
      <c r="AB287" s="302" t="str">
        <f t="shared" si="295"/>
        <v/>
      </c>
      <c r="AC287" s="302" t="str">
        <f t="shared" si="295"/>
        <v/>
      </c>
      <c r="AD287" s="302" t="str">
        <f t="shared" si="295"/>
        <v/>
      </c>
      <c r="AE287" s="302" t="str">
        <f t="shared" si="295"/>
        <v/>
      </c>
      <c r="AF287" s="302" t="str">
        <f t="shared" si="295"/>
        <v/>
      </c>
      <c r="AG287" s="302" t="str">
        <f t="shared" si="295"/>
        <v/>
      </c>
      <c r="AH287" s="302" t="str">
        <f t="shared" si="295"/>
        <v/>
      </c>
      <c r="AI287" s="302" t="str">
        <f t="shared" si="295"/>
        <v/>
      </c>
      <c r="AJ287" s="122"/>
      <c r="AK287" s="249"/>
      <c r="AL287" s="248"/>
      <c r="AM287" s="302" t="str">
        <f t="shared" ref="AM287:AU287" si="296">IF(OR(AM$19="",AM$24=0,AM$31=0),"",ROUNDUP(AM$255-AM$246-AM$247-AM$248-IF(OR(AM$21=woning,AM$21=woongebouw),AM244,0),2))</f>
        <v/>
      </c>
      <c r="AN287" s="302" t="str">
        <f t="shared" si="296"/>
        <v/>
      </c>
      <c r="AO287" s="302" t="str">
        <f t="shared" si="296"/>
        <v/>
      </c>
      <c r="AP287" s="302" t="str">
        <f t="shared" si="296"/>
        <v/>
      </c>
      <c r="AQ287" s="302" t="str">
        <f t="shared" si="296"/>
        <v/>
      </c>
      <c r="AR287" s="302" t="str">
        <f t="shared" si="296"/>
        <v/>
      </c>
      <c r="AS287" s="302" t="str">
        <f t="shared" si="296"/>
        <v/>
      </c>
      <c r="AT287" s="302" t="str">
        <f t="shared" si="296"/>
        <v/>
      </c>
      <c r="AU287" s="302" t="str">
        <f t="shared" si="296"/>
        <v/>
      </c>
      <c r="AV287" s="122"/>
      <c r="AW287" s="249"/>
      <c r="AX287" s="248"/>
      <c r="AY287" s="302" t="str">
        <f t="shared" ref="AY287:BG287" si="297">IF(OR(AY$19="",AY$24=0,AY$31=0),"",ROUNDUP(AY$255-AY$246-AY$247-AY$248-IF(OR(AY$21=woning,AY$21=woongebouw),AY244,0),2))</f>
        <v/>
      </c>
      <c r="AZ287" s="302" t="str">
        <f t="shared" si="297"/>
        <v/>
      </c>
      <c r="BA287" s="302" t="str">
        <f t="shared" si="297"/>
        <v/>
      </c>
      <c r="BB287" s="302" t="str">
        <f t="shared" si="297"/>
        <v/>
      </c>
      <c r="BC287" s="302" t="str">
        <f t="shared" si="297"/>
        <v/>
      </c>
      <c r="BD287" s="302" t="str">
        <f t="shared" si="297"/>
        <v/>
      </c>
      <c r="BE287" s="302" t="str">
        <f t="shared" si="297"/>
        <v/>
      </c>
      <c r="BF287" s="302" t="str">
        <f t="shared" si="297"/>
        <v/>
      </c>
      <c r="BG287" s="302" t="str">
        <f t="shared" si="297"/>
        <v/>
      </c>
      <c r="BH287" s="255"/>
    </row>
    <row r="288" spans="1:60" x14ac:dyDescent="0.2">
      <c r="A288" s="648"/>
      <c r="B288" s="492" t="s">
        <v>335</v>
      </c>
      <c r="C288" s="656" t="s">
        <v>113</v>
      </c>
      <c r="D288" s="750" t="s">
        <v>50</v>
      </c>
      <c r="E288" s="246" t="s">
        <v>345</v>
      </c>
      <c r="F288" s="246"/>
      <c r="G288" s="246"/>
      <c r="H288" s="247" t="s">
        <v>150</v>
      </c>
      <c r="I288" s="248"/>
      <c r="J288" s="249"/>
      <c r="K288" s="90"/>
      <c r="L288" s="90"/>
      <c r="M288" s="249"/>
      <c r="N288" s="248"/>
      <c r="O288" s="689" t="str">
        <f t="shared" ref="O288:W288" si="298">IF(O$280="","",O275)</f>
        <v/>
      </c>
      <c r="P288" s="689" t="str">
        <f t="shared" si="298"/>
        <v/>
      </c>
      <c r="Q288" s="689" t="str">
        <f t="shared" si="298"/>
        <v/>
      </c>
      <c r="R288" s="689" t="str">
        <f t="shared" si="298"/>
        <v/>
      </c>
      <c r="S288" s="689" t="str">
        <f t="shared" si="298"/>
        <v/>
      </c>
      <c r="T288" s="689" t="str">
        <f t="shared" si="298"/>
        <v/>
      </c>
      <c r="U288" s="689" t="str">
        <f t="shared" si="298"/>
        <v/>
      </c>
      <c r="V288" s="689" t="str">
        <f t="shared" si="298"/>
        <v/>
      </c>
      <c r="W288" s="689" t="str">
        <f t="shared" si="298"/>
        <v/>
      </c>
      <c r="X288" s="690"/>
      <c r="Y288" s="691"/>
      <c r="Z288" s="692"/>
      <c r="AA288" s="689" t="str">
        <f t="shared" ref="AA288:AI288" si="299">IF(AA$280="","",AA275)</f>
        <v/>
      </c>
      <c r="AB288" s="689" t="str">
        <f t="shared" si="299"/>
        <v/>
      </c>
      <c r="AC288" s="689" t="str">
        <f t="shared" si="299"/>
        <v/>
      </c>
      <c r="AD288" s="689" t="str">
        <f t="shared" si="299"/>
        <v/>
      </c>
      <c r="AE288" s="689" t="str">
        <f t="shared" si="299"/>
        <v/>
      </c>
      <c r="AF288" s="689" t="str">
        <f t="shared" si="299"/>
        <v/>
      </c>
      <c r="AG288" s="689" t="str">
        <f t="shared" si="299"/>
        <v/>
      </c>
      <c r="AH288" s="689" t="str">
        <f t="shared" si="299"/>
        <v/>
      </c>
      <c r="AI288" s="689" t="str">
        <f t="shared" si="299"/>
        <v/>
      </c>
      <c r="AJ288" s="690"/>
      <c r="AK288" s="691"/>
      <c r="AL288" s="692"/>
      <c r="AM288" s="689" t="str">
        <f>IF(AM$280="","",AM275)</f>
        <v/>
      </c>
      <c r="AN288" s="689" t="str">
        <f t="shared" ref="AN288:AU288" si="300">IF(AN$280="","",AN275)</f>
        <v/>
      </c>
      <c r="AO288" s="689" t="str">
        <f t="shared" si="300"/>
        <v/>
      </c>
      <c r="AP288" s="689" t="str">
        <f t="shared" si="300"/>
        <v/>
      </c>
      <c r="AQ288" s="689" t="str">
        <f t="shared" si="300"/>
        <v/>
      </c>
      <c r="AR288" s="689" t="str">
        <f t="shared" si="300"/>
        <v/>
      </c>
      <c r="AS288" s="689" t="str">
        <f t="shared" si="300"/>
        <v/>
      </c>
      <c r="AT288" s="689" t="str">
        <f t="shared" si="300"/>
        <v/>
      </c>
      <c r="AU288" s="689" t="str">
        <f t="shared" si="300"/>
        <v/>
      </c>
      <c r="AV288" s="690"/>
      <c r="AW288" s="691"/>
      <c r="AX288" s="692"/>
      <c r="AY288" s="689" t="str">
        <f>IF(AY$280="","",AY275)</f>
        <v/>
      </c>
      <c r="AZ288" s="689" t="str">
        <f t="shared" ref="AZ288:BG288" si="301">IF(AZ$280="","",AZ275)</f>
        <v/>
      </c>
      <c r="BA288" s="689" t="str">
        <f t="shared" si="301"/>
        <v/>
      </c>
      <c r="BB288" s="689" t="str">
        <f t="shared" si="301"/>
        <v/>
      </c>
      <c r="BC288" s="689" t="str">
        <f t="shared" si="301"/>
        <v/>
      </c>
      <c r="BD288" s="689" t="str">
        <f t="shared" si="301"/>
        <v/>
      </c>
      <c r="BE288" s="689" t="str">
        <f t="shared" si="301"/>
        <v/>
      </c>
      <c r="BF288" s="689" t="str">
        <f t="shared" si="301"/>
        <v/>
      </c>
      <c r="BG288" s="689" t="str">
        <f t="shared" si="301"/>
        <v/>
      </c>
      <c r="BH288" s="255"/>
    </row>
    <row r="289" spans="1:60" ht="18.75" x14ac:dyDescent="0.2">
      <c r="A289" s="648"/>
      <c r="B289" s="492" t="s">
        <v>335</v>
      </c>
      <c r="C289" s="739" t="s">
        <v>104</v>
      </c>
      <c r="D289" s="747"/>
      <c r="E289" s="236" t="s">
        <v>346</v>
      </c>
      <c r="F289" s="236"/>
      <c r="G289" s="236"/>
      <c r="H289" s="89"/>
      <c r="I289" s="236"/>
      <c r="J289" s="236"/>
      <c r="K289" s="236"/>
      <c r="L289" s="236"/>
      <c r="M289" s="236"/>
      <c r="N289" s="236"/>
      <c r="O289" s="236"/>
      <c r="P289" s="236"/>
      <c r="Q289" s="236"/>
      <c r="R289" s="236"/>
      <c r="S289" s="236"/>
      <c r="T289" s="236"/>
      <c r="U289" s="236"/>
      <c r="V289" s="236"/>
      <c r="W289" s="236"/>
      <c r="X289" s="236"/>
      <c r="Y289" s="236"/>
      <c r="Z289" s="236"/>
      <c r="AA289" s="236"/>
      <c r="AB289" s="236"/>
      <c r="AC289" s="236"/>
      <c r="AD289" s="236"/>
      <c r="AE289" s="236"/>
      <c r="AF289" s="236"/>
      <c r="AG289" s="236"/>
      <c r="AH289" s="236"/>
      <c r="AI289" s="236"/>
      <c r="AJ289" s="236"/>
      <c r="AK289" s="236"/>
      <c r="AL289" s="236"/>
      <c r="AM289" s="236"/>
      <c r="AN289" s="236"/>
      <c r="AO289" s="236"/>
      <c r="AP289" s="236"/>
      <c r="AQ289" s="236"/>
      <c r="AR289" s="236"/>
      <c r="AS289" s="236"/>
      <c r="AT289" s="236"/>
      <c r="AU289" s="236"/>
      <c r="AV289" s="236"/>
      <c r="AW289" s="236"/>
      <c r="AX289" s="236"/>
      <c r="AY289" s="236"/>
      <c r="AZ289" s="236"/>
      <c r="BA289" s="236"/>
      <c r="BB289" s="236"/>
      <c r="BC289" s="236"/>
      <c r="BD289" s="236"/>
      <c r="BE289" s="236"/>
      <c r="BF289" s="236"/>
      <c r="BG289" s="236"/>
      <c r="BH289" s="38"/>
    </row>
    <row r="290" spans="1:60" x14ac:dyDescent="0.2">
      <c r="A290" s="648"/>
      <c r="B290" s="492" t="s">
        <v>335</v>
      </c>
      <c r="C290" s="656" t="s">
        <v>113</v>
      </c>
      <c r="D290" s="749" t="s">
        <v>50</v>
      </c>
      <c r="E290" s="246" t="s">
        <v>346</v>
      </c>
      <c r="F290" s="246"/>
      <c r="G290" s="246"/>
      <c r="H290" s="247" t="s">
        <v>70</v>
      </c>
      <c r="I290" s="129"/>
      <c r="J290" s="243"/>
      <c r="K290" s="236"/>
      <c r="L290" s="236"/>
      <c r="M290" s="243"/>
      <c r="N290" s="129"/>
      <c r="O290" s="207" t="str">
        <f ca="1">IF(OR(O$24=0,$O$75=0),"",
INDEX(energielabels_labelnamen,MATCH(O287,OFFSET(bibliotheek!$H$510,0,MATCH(O$21,gebruiksfuncties_namen,0),ROWS(energielabels_labelnamen),1),-1)))</f>
        <v/>
      </c>
      <c r="P290" s="207" t="str">
        <f ca="1">IF(OR(P$24=0,$O$75=0),"",
INDEX(energielabels_labelnamen,MATCH(P287,OFFSET(bibliotheek!$H$510,0,MATCH(P$21,gebruiksfuncties_namen,0),ROWS(energielabels_labelnamen),1),-1)))</f>
        <v/>
      </c>
      <c r="Q290" s="207" t="str">
        <f ca="1">IF(OR(Q$24=0,$O$75=0),"",
INDEX(energielabels_labelnamen,MATCH(Q287,OFFSET(bibliotheek!$H$510,0,MATCH(Q$21,gebruiksfuncties_namen,0),ROWS(energielabels_labelnamen),1),-1)))</f>
        <v/>
      </c>
      <c r="R290" s="207" t="str">
        <f ca="1">IF(OR(R$24=0,$O$75=0),"",
INDEX(energielabels_labelnamen,MATCH(R287,OFFSET(bibliotheek!$H$510,0,MATCH(R$21,gebruiksfuncties_namen,0),ROWS(energielabels_labelnamen),1),-1)))</f>
        <v/>
      </c>
      <c r="S290" s="207" t="str">
        <f ca="1">IF(OR(S$24=0,$O$75=0),"",
INDEX(energielabels_labelnamen,MATCH(S287,OFFSET(bibliotheek!$H$510,0,MATCH(S$21,gebruiksfuncties_namen,0),ROWS(energielabels_labelnamen),1),-1)))</f>
        <v/>
      </c>
      <c r="T290" s="207" t="str">
        <f ca="1">IF(OR(T$24=0,$O$75=0),"",
INDEX(energielabels_labelnamen,MATCH(T287,OFFSET(bibliotheek!$H$510,0,MATCH(T$21,gebruiksfuncties_namen,0),ROWS(energielabels_labelnamen),1),-1)))</f>
        <v/>
      </c>
      <c r="U290" s="207" t="str">
        <f ca="1">IF(OR(U$24=0,$O$75=0),"",
INDEX(energielabels_labelnamen,MATCH(U287,OFFSET(bibliotheek!$H$510,0,MATCH(U$21,gebruiksfuncties_namen,0),ROWS(energielabels_labelnamen),1),-1)))</f>
        <v/>
      </c>
      <c r="V290" s="207" t="str">
        <f ca="1">IF(OR(V$24=0,$O$75=0),"",
INDEX(energielabels_labelnamen,MATCH(V287,OFFSET(bibliotheek!$H$510,0,MATCH(V$21,gebruiksfuncties_namen,0),ROWS(energielabels_labelnamen),1),-1)))</f>
        <v/>
      </c>
      <c r="W290" s="207" t="str">
        <f ca="1">IF(OR(W$24=0,$O$75=0),"",
INDEX(energielabels_labelnamen,MATCH(W287,OFFSET(bibliotheek!$H$510,0,MATCH(W$21,gebruiksfuncties_namen,0),ROWS(energielabels_labelnamen),1),-1)))</f>
        <v/>
      </c>
      <c r="X290" s="128"/>
      <c r="Y290" s="243"/>
      <c r="Z290" s="129"/>
      <c r="AA290" s="207" t="str">
        <f ca="1">IF(OR(AA$24=0,$O$75=0),"",
INDEX(energielabels_labelnamen,MATCH(AA287,OFFSET(bibliotheek!$H$510,0,MATCH(AA$21,gebruiksfuncties_namen,0),ROWS(energielabels_labelnamen),1),-1)))</f>
        <v/>
      </c>
      <c r="AB290" s="207" t="str">
        <f ca="1">IF(OR(AB$24=0,$O$75=0),"",
INDEX(energielabels_labelnamen,MATCH(AB287,OFFSET(bibliotheek!$H$510,0,MATCH(AB$21,gebruiksfuncties_namen,0),ROWS(energielabels_labelnamen),1),-1)))</f>
        <v/>
      </c>
      <c r="AC290" s="207" t="str">
        <f ca="1">IF(OR(AC$24=0,$O$75=0),"",
INDEX(energielabels_labelnamen,MATCH(AC287,OFFSET(bibliotheek!$H$510,0,MATCH(AC$21,gebruiksfuncties_namen,0),ROWS(energielabels_labelnamen),1),-1)))</f>
        <v/>
      </c>
      <c r="AD290" s="207" t="str">
        <f ca="1">IF(OR(AD$24=0,$O$75=0),"",
INDEX(energielabels_labelnamen,MATCH(AD287,OFFSET(bibliotheek!$H$510,0,MATCH(AD$21,gebruiksfuncties_namen,0),ROWS(energielabels_labelnamen),1),-1)))</f>
        <v/>
      </c>
      <c r="AE290" s="207" t="str">
        <f ca="1">IF(OR(AE$24=0,$O$75=0),"",
INDEX(energielabels_labelnamen,MATCH(AE287,OFFSET(bibliotheek!$H$510,0,MATCH(AE$21,gebruiksfuncties_namen,0),ROWS(energielabels_labelnamen),1),-1)))</f>
        <v/>
      </c>
      <c r="AF290" s="207" t="str">
        <f ca="1">IF(OR(AF$24=0,$O$75=0),"",
INDEX(energielabels_labelnamen,MATCH(AF287,OFFSET(bibliotheek!$H$510,0,MATCH(AF$21,gebruiksfuncties_namen,0),ROWS(energielabels_labelnamen),1),-1)))</f>
        <v/>
      </c>
      <c r="AG290" s="207" t="str">
        <f ca="1">IF(OR(AG$24=0,$O$75=0),"",
INDEX(energielabels_labelnamen,MATCH(AG287,OFFSET(bibliotheek!$H$510,0,MATCH(AG$21,gebruiksfuncties_namen,0),ROWS(energielabels_labelnamen),1),-1)))</f>
        <v/>
      </c>
      <c r="AH290" s="207" t="str">
        <f ca="1">IF(OR(AH$24=0,$O$75=0),"",
INDEX(energielabels_labelnamen,MATCH(AH287,OFFSET(bibliotheek!$H$510,0,MATCH(AH$21,gebruiksfuncties_namen,0),ROWS(energielabels_labelnamen),1),-1)))</f>
        <v/>
      </c>
      <c r="AI290" s="207" t="str">
        <f ca="1">IF(OR(AI$24=0,$O$75=0),"",
INDEX(energielabels_labelnamen,MATCH(AI287,OFFSET(bibliotheek!$H$510,0,MATCH(AI$21,gebruiksfuncties_namen,0),ROWS(energielabels_labelnamen),1),-1)))</f>
        <v/>
      </c>
      <c r="AJ290" s="128"/>
      <c r="AK290" s="243"/>
      <c r="AL290" s="129"/>
      <c r="AM290" s="207" t="str">
        <f ca="1">IF(OR(AM$24=0,$O$75=0),"",
INDEX(energielabels_labelnamen,MATCH(AM287,OFFSET(bibliotheek!$H$510,0,MATCH(AM$21,gebruiksfuncties_namen,0),ROWS(energielabels_labelnamen),1),-1)))</f>
        <v/>
      </c>
      <c r="AN290" s="207" t="str">
        <f ca="1">IF(OR(AN$24=0,$O$75=0),"",
INDEX(energielabels_labelnamen,MATCH(AN287,OFFSET(bibliotheek!$H$510,0,MATCH(AN$21,gebruiksfuncties_namen,0),ROWS(energielabels_labelnamen),1),-1)))</f>
        <v/>
      </c>
      <c r="AO290" s="207" t="str">
        <f ca="1">IF(OR(AO$24=0,$O$75=0),"",
INDEX(energielabels_labelnamen,MATCH(AO287,OFFSET(bibliotheek!$H$510,0,MATCH(AO$21,gebruiksfuncties_namen,0),ROWS(energielabels_labelnamen),1),-1)))</f>
        <v/>
      </c>
      <c r="AP290" s="207" t="str">
        <f ca="1">IF(OR(AP$24=0,$O$75=0),"",
INDEX(energielabels_labelnamen,MATCH(AP287,OFFSET(bibliotheek!$H$510,0,MATCH(AP$21,gebruiksfuncties_namen,0),ROWS(energielabels_labelnamen),1),-1)))</f>
        <v/>
      </c>
      <c r="AQ290" s="207" t="str">
        <f ca="1">IF(OR(AQ$24=0,$O$75=0),"",
INDEX(energielabels_labelnamen,MATCH(AQ287,OFFSET(bibliotheek!$H$510,0,MATCH(AQ$21,gebruiksfuncties_namen,0),ROWS(energielabels_labelnamen),1),-1)))</f>
        <v/>
      </c>
      <c r="AR290" s="207" t="str">
        <f ca="1">IF(OR(AR$24=0,$O$75=0),"",
INDEX(energielabels_labelnamen,MATCH(AR287,OFFSET(bibliotheek!$H$510,0,MATCH(AR$21,gebruiksfuncties_namen,0),ROWS(energielabels_labelnamen),1),-1)))</f>
        <v/>
      </c>
      <c r="AS290" s="207" t="str">
        <f ca="1">IF(OR(AS$24=0,$O$75=0),"",
INDEX(energielabels_labelnamen,MATCH(AS287,OFFSET(bibliotheek!$H$510,0,MATCH(AS$21,gebruiksfuncties_namen,0),ROWS(energielabels_labelnamen),1),-1)))</f>
        <v/>
      </c>
      <c r="AT290" s="207" t="str">
        <f ca="1">IF(OR(AT$24=0,$O$75=0),"",
INDEX(energielabels_labelnamen,MATCH(AT287,OFFSET(bibliotheek!$H$510,0,MATCH(AT$21,gebruiksfuncties_namen,0),ROWS(energielabels_labelnamen),1),-1)))</f>
        <v/>
      </c>
      <c r="AU290" s="207" t="str">
        <f ca="1">IF(OR(AU$24=0,$O$75=0),"",
INDEX(energielabels_labelnamen,MATCH(AU287,OFFSET(bibliotheek!$H$510,0,MATCH(AU$21,gebruiksfuncties_namen,0),ROWS(energielabels_labelnamen),1),-1)))</f>
        <v/>
      </c>
      <c r="AV290" s="128"/>
      <c r="AW290" s="243"/>
      <c r="AX290" s="129"/>
      <c r="AY290" s="207" t="str">
        <f ca="1">IF(OR(AY$24=0,$O$75=0),"",
INDEX(energielabels_labelnamen,MATCH(AY287,OFFSET(bibliotheek!$H$510,0,MATCH(AY$21,gebruiksfuncties_namen,0),ROWS(energielabels_labelnamen),1),-1)))</f>
        <v/>
      </c>
      <c r="AZ290" s="207" t="str">
        <f ca="1">IF(OR(AZ$24=0,$O$75=0),"",
INDEX(energielabels_labelnamen,MATCH(AZ287,OFFSET(bibliotheek!$H$510,0,MATCH(AZ$21,gebruiksfuncties_namen,0),ROWS(energielabels_labelnamen),1),-1)))</f>
        <v/>
      </c>
      <c r="BA290" s="207" t="str">
        <f ca="1">IF(OR(BA$24=0,$O$75=0),"",
INDEX(energielabels_labelnamen,MATCH(BA287,OFFSET(bibliotheek!$H$510,0,MATCH(BA$21,gebruiksfuncties_namen,0),ROWS(energielabels_labelnamen),1),-1)))</f>
        <v/>
      </c>
      <c r="BB290" s="207" t="str">
        <f ca="1">IF(OR(BB$24=0,$O$75=0),"",
INDEX(energielabels_labelnamen,MATCH(BB287,OFFSET(bibliotheek!$H$510,0,MATCH(BB$21,gebruiksfuncties_namen,0),ROWS(energielabels_labelnamen),1),-1)))</f>
        <v/>
      </c>
      <c r="BC290" s="207" t="str">
        <f ca="1">IF(OR(BC$24=0,$O$75=0),"",
INDEX(energielabels_labelnamen,MATCH(BC287,OFFSET(bibliotheek!$H$510,0,MATCH(BC$21,gebruiksfuncties_namen,0),ROWS(energielabels_labelnamen),1),-1)))</f>
        <v/>
      </c>
      <c r="BD290" s="207" t="str">
        <f ca="1">IF(OR(BD$24=0,$O$75=0),"",
INDEX(energielabels_labelnamen,MATCH(BD287,OFFSET(bibliotheek!$H$510,0,MATCH(BD$21,gebruiksfuncties_namen,0),ROWS(energielabels_labelnamen),1),-1)))</f>
        <v/>
      </c>
      <c r="BE290" s="207" t="str">
        <f ca="1">IF(OR(BE$24=0,$O$75=0),"",
INDEX(energielabels_labelnamen,MATCH(BE287,OFFSET(bibliotheek!$H$510,0,MATCH(BE$21,gebruiksfuncties_namen,0),ROWS(energielabels_labelnamen),1),-1)))</f>
        <v/>
      </c>
      <c r="BF290" s="207" t="str">
        <f ca="1">IF(OR(BF$24=0,$O$75=0),"",
INDEX(energielabels_labelnamen,MATCH(BF287,OFFSET(bibliotheek!$H$510,0,MATCH(BF$21,gebruiksfuncties_namen,0),ROWS(energielabels_labelnamen),1),-1)))</f>
        <v/>
      </c>
      <c r="BG290" s="207" t="str">
        <f ca="1">IF(OR(BG$24=0,$O$75=0),"",
INDEX(energielabels_labelnamen,MATCH(BG287,OFFSET(bibliotheek!$H$510,0,MATCH(BG$21,gebruiksfuncties_namen,0),ROWS(energielabels_labelnamen),1),-1)))</f>
        <v/>
      </c>
      <c r="BH290" s="255"/>
    </row>
    <row r="291" spans="1:60" x14ac:dyDescent="0.2">
      <c r="A291" s="648"/>
      <c r="B291" s="492" t="s">
        <v>335</v>
      </c>
      <c r="C291" s="656" t="s">
        <v>113</v>
      </c>
      <c r="D291" s="749" t="s">
        <v>50</v>
      </c>
      <c r="E291" s="246" t="s">
        <v>1198</v>
      </c>
      <c r="F291" s="1041"/>
      <c r="G291" s="1041"/>
      <c r="H291" s="247" t="s">
        <v>70</v>
      </c>
      <c r="I291" s="129"/>
      <c r="J291" s="243"/>
      <c r="K291" s="236"/>
      <c r="L291" s="236"/>
      <c r="M291" s="243"/>
      <c r="N291" s="129"/>
      <c r="O291" s="207" t="str">
        <f t="shared" ref="O291:W291" si="302">IF(O$28=0,"",INDEX(eindnorm_utiliteit_energielabel,MATCH(O$21,gebruiksfuncties_namen,0)))</f>
        <v/>
      </c>
      <c r="P291" s="207" t="str">
        <f>IF(P$28=0,"",INDEX(eindnorm_utiliteit_energielabel,1,MATCH(P$21,gebruiksfuncties_namen,0)))</f>
        <v/>
      </c>
      <c r="Q291" s="207" t="str">
        <f t="shared" si="302"/>
        <v/>
      </c>
      <c r="R291" s="207" t="str">
        <f t="shared" si="302"/>
        <v/>
      </c>
      <c r="S291" s="207" t="str">
        <f t="shared" si="302"/>
        <v/>
      </c>
      <c r="T291" s="207" t="str">
        <f t="shared" si="302"/>
        <v/>
      </c>
      <c r="U291" s="207" t="str">
        <f t="shared" si="302"/>
        <v/>
      </c>
      <c r="V291" s="207" t="str">
        <f t="shared" si="302"/>
        <v/>
      </c>
      <c r="W291" s="207" t="str">
        <f t="shared" si="302"/>
        <v/>
      </c>
      <c r="X291" s="128"/>
      <c r="Y291" s="243"/>
      <c r="Z291" s="129"/>
      <c r="AA291" s="207" t="str">
        <f t="shared" ref="AA291:AI291" si="303">IF(AA$28=0,"",INDEX(eindnorm_utiliteit_energielabel,MATCH(AA$21,gebruiksfuncties_namen,0)))</f>
        <v/>
      </c>
      <c r="AB291" s="207" t="str">
        <f t="shared" si="303"/>
        <v/>
      </c>
      <c r="AC291" s="207" t="str">
        <f t="shared" si="303"/>
        <v/>
      </c>
      <c r="AD291" s="207" t="str">
        <f t="shared" si="303"/>
        <v/>
      </c>
      <c r="AE291" s="207" t="str">
        <f t="shared" si="303"/>
        <v/>
      </c>
      <c r="AF291" s="207" t="str">
        <f t="shared" si="303"/>
        <v/>
      </c>
      <c r="AG291" s="207" t="str">
        <f t="shared" si="303"/>
        <v/>
      </c>
      <c r="AH291" s="207" t="str">
        <f t="shared" si="303"/>
        <v/>
      </c>
      <c r="AI291" s="207" t="str">
        <f t="shared" si="303"/>
        <v/>
      </c>
      <c r="AJ291" s="128"/>
      <c r="AK291" s="243"/>
      <c r="AL291" s="129"/>
      <c r="AM291" s="207" t="str">
        <f t="shared" ref="AM291:AU291" si="304">IF(AM$28=0,"",INDEX(eindnorm_utiliteit_energielabel,MATCH(AM$21,gebruiksfuncties_namen,0)))</f>
        <v/>
      </c>
      <c r="AN291" s="207" t="str">
        <f t="shared" si="304"/>
        <v/>
      </c>
      <c r="AO291" s="207" t="str">
        <f t="shared" si="304"/>
        <v/>
      </c>
      <c r="AP291" s="207" t="str">
        <f t="shared" si="304"/>
        <v/>
      </c>
      <c r="AQ291" s="207" t="str">
        <f t="shared" si="304"/>
        <v/>
      </c>
      <c r="AR291" s="207" t="str">
        <f t="shared" si="304"/>
        <v/>
      </c>
      <c r="AS291" s="207" t="str">
        <f t="shared" si="304"/>
        <v/>
      </c>
      <c r="AT291" s="207" t="str">
        <f t="shared" si="304"/>
        <v/>
      </c>
      <c r="AU291" s="207" t="str">
        <f t="shared" si="304"/>
        <v/>
      </c>
      <c r="AV291" s="128"/>
      <c r="AW291" s="243"/>
      <c r="AX291" s="129"/>
      <c r="AY291" s="207" t="str">
        <f t="shared" ref="AY291:BG291" si="305">IF(AY$28=0,"",INDEX(eindnorm_utiliteit_energielabel,MATCH(AY$21,gebruiksfuncties_namen,0)))</f>
        <v/>
      </c>
      <c r="AZ291" s="207" t="str">
        <f t="shared" si="305"/>
        <v/>
      </c>
      <c r="BA291" s="207" t="str">
        <f t="shared" si="305"/>
        <v/>
      </c>
      <c r="BB291" s="207" t="str">
        <f t="shared" si="305"/>
        <v/>
      </c>
      <c r="BC291" s="207" t="str">
        <f t="shared" si="305"/>
        <v/>
      </c>
      <c r="BD291" s="207" t="str">
        <f t="shared" si="305"/>
        <v/>
      </c>
      <c r="BE291" s="207" t="str">
        <f t="shared" si="305"/>
        <v/>
      </c>
      <c r="BF291" s="207" t="str">
        <f t="shared" si="305"/>
        <v/>
      </c>
      <c r="BG291" s="207" t="str">
        <f t="shared" si="305"/>
        <v/>
      </c>
      <c r="BH291" s="255"/>
    </row>
    <row r="292" spans="1:60" ht="18.75" x14ac:dyDescent="0.2">
      <c r="A292" s="648"/>
      <c r="B292" s="492" t="s">
        <v>335</v>
      </c>
      <c r="C292" s="739" t="s">
        <v>104</v>
      </c>
      <c r="D292" s="749" t="s">
        <v>50</v>
      </c>
      <c r="E292" s="236" t="s">
        <v>347</v>
      </c>
      <c r="F292" s="236"/>
      <c r="G292" s="236"/>
      <c r="H292" s="89"/>
      <c r="I292" s="236"/>
      <c r="J292" s="236"/>
      <c r="K292" s="236"/>
      <c r="L292" s="236"/>
      <c r="M292" s="236"/>
      <c r="N292" s="236"/>
      <c r="O292" s="236"/>
      <c r="P292" s="236"/>
      <c r="Q292" s="236"/>
      <c r="R292" s="236"/>
      <c r="S292" s="236"/>
      <c r="T292" s="236"/>
      <c r="U292" s="236"/>
      <c r="V292" s="236"/>
      <c r="W292" s="236"/>
      <c r="X292" s="236"/>
      <c r="Y292" s="236"/>
      <c r="Z292" s="236"/>
      <c r="AA292" s="236"/>
      <c r="AB292" s="236"/>
      <c r="AC292" s="236"/>
      <c r="AD292" s="236"/>
      <c r="AE292" s="236"/>
      <c r="AF292" s="236"/>
      <c r="AG292" s="236"/>
      <c r="AH292" s="236"/>
      <c r="AI292" s="236"/>
      <c r="AJ292" s="236"/>
      <c r="AK292" s="236"/>
      <c r="AL292" s="236"/>
      <c r="AM292" s="236"/>
      <c r="AN292" s="236"/>
      <c r="AO292" s="236"/>
      <c r="AP292" s="236"/>
      <c r="AQ292" s="236"/>
      <c r="AR292" s="236"/>
      <c r="AS292" s="236"/>
      <c r="AT292" s="236"/>
      <c r="AU292" s="236"/>
      <c r="AV292" s="236"/>
      <c r="AW292" s="236"/>
      <c r="AX292" s="236"/>
      <c r="AY292" s="236"/>
      <c r="AZ292" s="236"/>
      <c r="BA292" s="236"/>
      <c r="BB292" s="236"/>
      <c r="BC292" s="236"/>
      <c r="BD292" s="236"/>
      <c r="BE292" s="236"/>
      <c r="BF292" s="236"/>
      <c r="BG292" s="236"/>
      <c r="BH292" s="38"/>
    </row>
    <row r="293" spans="1:60" x14ac:dyDescent="0.2">
      <c r="A293" s="648"/>
      <c r="B293" s="492" t="s">
        <v>335</v>
      </c>
      <c r="C293" s="656" t="s">
        <v>113</v>
      </c>
      <c r="D293" s="750"/>
      <c r="E293" s="246" t="s">
        <v>348</v>
      </c>
      <c r="F293" s="246"/>
      <c r="G293" s="246"/>
      <c r="H293" s="247" t="s">
        <v>169</v>
      </c>
      <c r="I293" s="248"/>
      <c r="J293" s="249"/>
      <c r="K293" s="90"/>
      <c r="L293" s="90"/>
      <c r="M293" s="249"/>
      <c r="N293" s="248"/>
      <c r="O293" s="251" t="str">
        <f t="shared" ref="O293:W293" si="306">IF(O$294="","",IF(O$294="nvt","nvt",
INDEX(standaardwaarde_basis,MATCH(O$21,standaardwaarden_gebruiksfuncties,0))+
MAX(0,O$34-1)*INDEX(standaardwaarde_extra_vraag_boven_grenswaarde_vormfactor,MATCH(O$21,standaardwaarden_gebruiksfuncties,0))))</f>
        <v/>
      </c>
      <c r="P293" s="251" t="str">
        <f t="shared" si="306"/>
        <v/>
      </c>
      <c r="Q293" s="251" t="str">
        <f t="shared" si="306"/>
        <v/>
      </c>
      <c r="R293" s="251" t="str">
        <f t="shared" si="306"/>
        <v/>
      </c>
      <c r="S293" s="251" t="str">
        <f t="shared" si="306"/>
        <v/>
      </c>
      <c r="T293" s="251" t="str">
        <f t="shared" si="306"/>
        <v/>
      </c>
      <c r="U293" s="251" t="str">
        <f t="shared" si="306"/>
        <v/>
      </c>
      <c r="V293" s="251" t="str">
        <f t="shared" si="306"/>
        <v/>
      </c>
      <c r="W293" s="251" t="str">
        <f t="shared" si="306"/>
        <v/>
      </c>
      <c r="X293" s="128"/>
      <c r="Y293" s="249"/>
      <c r="Z293" s="248"/>
      <c r="AA293" s="251" t="str">
        <f t="shared" ref="AA293:AI293" si="307">IF(AA$294="","",IF(AA$294="nvt","nvt",
INDEX(standaardwaarde_basis,MATCH(AA$21,standaardwaarden_gebruiksfuncties,0))+
MAX(0,AA$34-1)*INDEX(standaardwaarde_extra_vraag_boven_grenswaarde_vormfactor,MATCH(AA$21,standaardwaarden_gebruiksfuncties,0))))</f>
        <v/>
      </c>
      <c r="AB293" s="251" t="str">
        <f t="shared" si="307"/>
        <v/>
      </c>
      <c r="AC293" s="251" t="str">
        <f t="shared" si="307"/>
        <v/>
      </c>
      <c r="AD293" s="251" t="str">
        <f t="shared" si="307"/>
        <v/>
      </c>
      <c r="AE293" s="251" t="str">
        <f t="shared" si="307"/>
        <v/>
      </c>
      <c r="AF293" s="251" t="str">
        <f t="shared" si="307"/>
        <v/>
      </c>
      <c r="AG293" s="251" t="str">
        <f t="shared" si="307"/>
        <v/>
      </c>
      <c r="AH293" s="251" t="str">
        <f t="shared" si="307"/>
        <v/>
      </c>
      <c r="AI293" s="251" t="str">
        <f t="shared" si="307"/>
        <v/>
      </c>
      <c r="AJ293" s="128"/>
      <c r="AK293" s="249"/>
      <c r="AL293" s="248"/>
      <c r="AM293" s="251" t="str">
        <f t="shared" ref="AM293:AU293" si="308">IF(AM$294="","",IF(AM$294="nvt","nvt",
INDEX(standaardwaarde_basis,MATCH(AM$21,standaardwaarden_gebruiksfuncties,0))+
MAX(0,AM$34-1)*INDEX(standaardwaarde_extra_vraag_boven_grenswaarde_vormfactor,MATCH(AM$21,standaardwaarden_gebruiksfuncties,0))))</f>
        <v/>
      </c>
      <c r="AN293" s="251" t="str">
        <f t="shared" si="308"/>
        <v/>
      </c>
      <c r="AO293" s="251" t="str">
        <f t="shared" si="308"/>
        <v/>
      </c>
      <c r="AP293" s="251" t="str">
        <f t="shared" si="308"/>
        <v/>
      </c>
      <c r="AQ293" s="251" t="str">
        <f t="shared" si="308"/>
        <v/>
      </c>
      <c r="AR293" s="251" t="str">
        <f t="shared" si="308"/>
        <v/>
      </c>
      <c r="AS293" s="251" t="str">
        <f t="shared" si="308"/>
        <v/>
      </c>
      <c r="AT293" s="251" t="str">
        <f t="shared" si="308"/>
        <v/>
      </c>
      <c r="AU293" s="251" t="str">
        <f t="shared" si="308"/>
        <v/>
      </c>
      <c r="AV293" s="128"/>
      <c r="AW293" s="249"/>
      <c r="AX293" s="248"/>
      <c r="AY293" s="251" t="str">
        <f t="shared" ref="AY293:BG293" si="309">IF(AY$294="","",IF(AY$294="nvt","nvt",
INDEX(standaardwaarde_basis,MATCH(AY$21,standaardwaarden_gebruiksfuncties,0))+
MAX(0,AY$34-1)*INDEX(standaardwaarde_extra_vraag_boven_grenswaarde_vormfactor,MATCH(AY$21,standaardwaarden_gebruiksfuncties,0))))</f>
        <v/>
      </c>
      <c r="AZ293" s="251" t="str">
        <f t="shared" si="309"/>
        <v/>
      </c>
      <c r="BA293" s="251" t="str">
        <f t="shared" si="309"/>
        <v/>
      </c>
      <c r="BB293" s="251" t="str">
        <f t="shared" si="309"/>
        <v/>
      </c>
      <c r="BC293" s="251" t="str">
        <f t="shared" si="309"/>
        <v/>
      </c>
      <c r="BD293" s="251" t="str">
        <f t="shared" si="309"/>
        <v/>
      </c>
      <c r="BE293" s="251" t="str">
        <f t="shared" si="309"/>
        <v/>
      </c>
      <c r="BF293" s="251" t="str">
        <f t="shared" si="309"/>
        <v/>
      </c>
      <c r="BG293" s="251" t="str">
        <f t="shared" si="309"/>
        <v/>
      </c>
      <c r="BH293" s="255"/>
    </row>
    <row r="294" spans="1:60" x14ac:dyDescent="0.2">
      <c r="A294" s="648"/>
      <c r="B294" s="492" t="s">
        <v>335</v>
      </c>
      <c r="C294" s="656" t="s">
        <v>113</v>
      </c>
      <c r="D294" s="750"/>
      <c r="E294" s="246" t="s">
        <v>349</v>
      </c>
      <c r="F294" s="246"/>
      <c r="G294" s="246"/>
      <c r="H294" s="247" t="s">
        <v>169</v>
      </c>
      <c r="I294" s="248"/>
      <c r="J294" s="249"/>
      <c r="K294" s="90"/>
      <c r="L294" s="90"/>
      <c r="M294" s="249"/>
      <c r="N294" s="248"/>
      <c r="O294" s="251" t="str">
        <f t="shared" ref="O294:W294" si="310">IF(OR(O$19="",O$40="",O$42="",O$280=""),"",IF(OR(O$21=woning,O$21=woongebouw),O$227,"nvt"))</f>
        <v/>
      </c>
      <c r="P294" s="251" t="str">
        <f t="shared" si="310"/>
        <v/>
      </c>
      <c r="Q294" s="251" t="str">
        <f t="shared" si="310"/>
        <v/>
      </c>
      <c r="R294" s="251" t="str">
        <f t="shared" si="310"/>
        <v/>
      </c>
      <c r="S294" s="251" t="str">
        <f t="shared" si="310"/>
        <v/>
      </c>
      <c r="T294" s="251" t="str">
        <f t="shared" si="310"/>
        <v/>
      </c>
      <c r="U294" s="251" t="str">
        <f t="shared" si="310"/>
        <v/>
      </c>
      <c r="V294" s="251" t="str">
        <f t="shared" si="310"/>
        <v/>
      </c>
      <c r="W294" s="251" t="str">
        <f t="shared" si="310"/>
        <v/>
      </c>
      <c r="X294" s="128"/>
      <c r="Y294" s="249"/>
      <c r="Z294" s="248"/>
      <c r="AA294" s="251" t="str">
        <f t="shared" ref="AA294:AI294" si="311">IF(OR(AA$19="",AA$40="",AA$42="",AA$280=""),"",IF(OR(AA$21=woning,AA$21=woongebouw),AA$227,"nvt"))</f>
        <v/>
      </c>
      <c r="AB294" s="251" t="str">
        <f t="shared" si="311"/>
        <v/>
      </c>
      <c r="AC294" s="251" t="str">
        <f t="shared" si="311"/>
        <v/>
      </c>
      <c r="AD294" s="251" t="str">
        <f t="shared" si="311"/>
        <v/>
      </c>
      <c r="AE294" s="251" t="str">
        <f t="shared" si="311"/>
        <v/>
      </c>
      <c r="AF294" s="251" t="str">
        <f t="shared" si="311"/>
        <v/>
      </c>
      <c r="AG294" s="251" t="str">
        <f t="shared" si="311"/>
        <v/>
      </c>
      <c r="AH294" s="251" t="str">
        <f t="shared" si="311"/>
        <v/>
      </c>
      <c r="AI294" s="251" t="str">
        <f t="shared" si="311"/>
        <v/>
      </c>
      <c r="AJ294" s="128"/>
      <c r="AK294" s="249"/>
      <c r="AL294" s="248"/>
      <c r="AM294" s="251" t="str">
        <f t="shared" ref="AM294:AU294" si="312">IF(OR(AM$19="",AM$40="",AM$42="",AM$280=""),"",IF(OR(AM$21=woning,AM$21=woongebouw),AM$227,"nvt"))</f>
        <v/>
      </c>
      <c r="AN294" s="251" t="str">
        <f t="shared" si="312"/>
        <v/>
      </c>
      <c r="AO294" s="251" t="str">
        <f t="shared" si="312"/>
        <v/>
      </c>
      <c r="AP294" s="251" t="str">
        <f t="shared" si="312"/>
        <v/>
      </c>
      <c r="AQ294" s="251" t="str">
        <f t="shared" si="312"/>
        <v/>
      </c>
      <c r="AR294" s="251" t="str">
        <f t="shared" si="312"/>
        <v/>
      </c>
      <c r="AS294" s="251" t="str">
        <f t="shared" si="312"/>
        <v/>
      </c>
      <c r="AT294" s="251" t="str">
        <f t="shared" si="312"/>
        <v/>
      </c>
      <c r="AU294" s="251" t="str">
        <f t="shared" si="312"/>
        <v/>
      </c>
      <c r="AV294" s="128"/>
      <c r="AW294" s="249"/>
      <c r="AX294" s="248"/>
      <c r="AY294" s="251" t="str">
        <f t="shared" ref="AY294:BG294" si="313">IF(OR(AY$19="",AY$40="",AY$42="",AY$280=""),"",IF(OR(AY$21=woning,AY$21=woongebouw),AY$227,"nvt"))</f>
        <v/>
      </c>
      <c r="AZ294" s="251" t="str">
        <f t="shared" si="313"/>
        <v/>
      </c>
      <c r="BA294" s="251" t="str">
        <f t="shared" si="313"/>
        <v/>
      </c>
      <c r="BB294" s="251" t="str">
        <f t="shared" si="313"/>
        <v/>
      </c>
      <c r="BC294" s="251" t="str">
        <f t="shared" si="313"/>
        <v/>
      </c>
      <c r="BD294" s="251" t="str">
        <f t="shared" si="313"/>
        <v/>
      </c>
      <c r="BE294" s="251" t="str">
        <f t="shared" si="313"/>
        <v/>
      </c>
      <c r="BF294" s="251" t="str">
        <f t="shared" si="313"/>
        <v/>
      </c>
      <c r="BG294" s="251" t="str">
        <f t="shared" si="313"/>
        <v/>
      </c>
      <c r="BH294" s="255"/>
    </row>
    <row r="295" spans="1:60" ht="18.75" x14ac:dyDescent="0.2">
      <c r="A295" s="648"/>
      <c r="B295" s="492" t="s">
        <v>335</v>
      </c>
      <c r="C295" s="739" t="s">
        <v>104</v>
      </c>
      <c r="D295" s="747"/>
      <c r="E295" s="236" t="s">
        <v>350</v>
      </c>
      <c r="F295" s="236"/>
      <c r="G295" s="236"/>
      <c r="H295" s="89"/>
      <c r="I295" s="236"/>
      <c r="J295" s="236"/>
      <c r="K295" s="236"/>
      <c r="L295" s="236"/>
      <c r="M295" s="236"/>
      <c r="N295" s="236"/>
      <c r="O295" s="236"/>
      <c r="P295" s="236"/>
      <c r="Q295" s="236"/>
      <c r="R295" s="236"/>
      <c r="S295" s="236"/>
      <c r="T295" s="236"/>
      <c r="U295" s="236"/>
      <c r="V295" s="236"/>
      <c r="W295" s="236"/>
      <c r="X295" s="236"/>
      <c r="Y295" s="236"/>
      <c r="Z295" s="236"/>
      <c r="AA295" s="236"/>
      <c r="AB295" s="236"/>
      <c r="AC295" s="236"/>
      <c r="AD295" s="236"/>
      <c r="AE295" s="236"/>
      <c r="AF295" s="236"/>
      <c r="AG295" s="236"/>
      <c r="AH295" s="236"/>
      <c r="AI295" s="236"/>
      <c r="AJ295" s="236"/>
      <c r="AK295" s="236"/>
      <c r="AL295" s="236"/>
      <c r="AM295" s="236"/>
      <c r="AN295" s="236"/>
      <c r="AO295" s="236"/>
      <c r="AP295" s="236"/>
      <c r="AQ295" s="236"/>
      <c r="AR295" s="236"/>
      <c r="AS295" s="236"/>
      <c r="AT295" s="236"/>
      <c r="AU295" s="236"/>
      <c r="AV295" s="236"/>
      <c r="AW295" s="236"/>
      <c r="AX295" s="236"/>
      <c r="AY295" s="236"/>
      <c r="AZ295" s="236"/>
      <c r="BA295" s="236"/>
      <c r="BB295" s="236"/>
      <c r="BC295" s="236"/>
      <c r="BD295" s="236"/>
      <c r="BE295" s="236"/>
      <c r="BF295" s="236"/>
      <c r="BG295" s="236"/>
      <c r="BH295" s="38"/>
    </row>
    <row r="296" spans="1:60" x14ac:dyDescent="0.2">
      <c r="A296" s="648"/>
      <c r="B296" s="492" t="s">
        <v>335</v>
      </c>
      <c r="C296" s="656" t="s">
        <v>113</v>
      </c>
      <c r="D296" s="750"/>
      <c r="E296" s="246" t="s">
        <v>351</v>
      </c>
      <c r="F296" s="246"/>
      <c r="G296" s="246"/>
      <c r="H296" s="247" t="s">
        <v>169</v>
      </c>
      <c r="I296" s="248"/>
      <c r="J296" s="249"/>
      <c r="K296" s="90"/>
      <c r="L296" s="90"/>
      <c r="M296" s="249"/>
      <c r="N296" s="248"/>
      <c r="O296" s="251" t="str" cm="1">
        <f t="array" ref="O296">IF(O$294="","",IF(O$294="nvt","nvt",
INDEX(standaardwaarde_basis,MATCH(O$21,standaardwaarden_gebruiksfuncties,0)+1)+
MAX(0,O$34-1)*INDEX(standaardwaarde_extra_vraag_boven_grenswaarde_vormfactor,MATCH(O$21,standaardwaarden_gebruiksfuncties,0)+1)))</f>
        <v/>
      </c>
      <c r="P296" s="251" t="str" cm="1">
        <f t="array" ref="P296">IF(P$294="","",IF(P$294="nvt","nvt",
INDEX(standaardwaarde_basis,MATCH(P$21,standaardwaarden_gebruiksfuncties,0)+1)+
MAX(0,P$34-1)*INDEX(standaardwaarde_extra_vraag_boven_grenswaarde_vormfactor,MATCH(P$21,standaardwaarden_gebruiksfuncties,0)+1)))</f>
        <v/>
      </c>
      <c r="Q296" s="251" t="str" cm="1">
        <f t="array" ref="Q296">IF(Q$294="","",IF(Q$294="nvt","nvt",
INDEX(standaardwaarde_basis,MATCH(Q$21,standaardwaarden_gebruiksfuncties,0)+1)+
MAX(0,Q$34-1)*INDEX(standaardwaarde_extra_vraag_boven_grenswaarde_vormfactor,MATCH(Q$21,standaardwaarden_gebruiksfuncties,0)+1)))</f>
        <v/>
      </c>
      <c r="R296" s="251" t="str" cm="1">
        <f t="array" ref="R296">IF(R$294="","",IF(R$294="nvt","nvt",
INDEX(standaardwaarde_basis,MATCH(R$21,standaardwaarden_gebruiksfuncties,0)+1)+
MAX(0,R$34-1)*INDEX(standaardwaarde_extra_vraag_boven_grenswaarde_vormfactor,MATCH(R$21,standaardwaarden_gebruiksfuncties,0)+1)))</f>
        <v/>
      </c>
      <c r="S296" s="251" t="str" cm="1">
        <f t="array" ref="S296">IF(S$294="","",IF(S$294="nvt","nvt",
INDEX(standaardwaarde_basis,MATCH(S$21,standaardwaarden_gebruiksfuncties,0)+1)+
MAX(0,S$34-1)*INDEX(standaardwaarde_extra_vraag_boven_grenswaarde_vormfactor,MATCH(S$21,standaardwaarden_gebruiksfuncties,0)+1)))</f>
        <v/>
      </c>
      <c r="T296" s="251" t="str" cm="1">
        <f t="array" ref="T296">IF(T$294="","",IF(T$294="nvt","nvt",
INDEX(standaardwaarde_basis,MATCH(T$21,standaardwaarden_gebruiksfuncties,0)+1)+
MAX(0,T$34-1)*INDEX(standaardwaarde_extra_vraag_boven_grenswaarde_vormfactor,MATCH(T$21,standaardwaarden_gebruiksfuncties,0)+1)))</f>
        <v/>
      </c>
      <c r="U296" s="251" t="str" cm="1">
        <f t="array" ref="U296">IF(U$294="","",IF(U$294="nvt","nvt",
INDEX(standaardwaarde_basis,MATCH(U$21,standaardwaarden_gebruiksfuncties,0)+1)+
MAX(0,U$34-1)*INDEX(standaardwaarde_extra_vraag_boven_grenswaarde_vormfactor,MATCH(U$21,standaardwaarden_gebruiksfuncties,0)+1)))</f>
        <v/>
      </c>
      <c r="V296" s="251" t="str" cm="1">
        <f t="array" ref="V296">IF(V$294="","",IF(V$294="nvt","nvt",
INDEX(standaardwaarde_basis,MATCH(V$21,standaardwaarden_gebruiksfuncties,0)+1)+
MAX(0,V$34-1)*INDEX(standaardwaarde_extra_vraag_boven_grenswaarde_vormfactor,MATCH(V$21,standaardwaarden_gebruiksfuncties,0)+1)))</f>
        <v/>
      </c>
      <c r="W296" s="251" t="str" cm="1">
        <f t="array" ref="W296">IF(W$294="","",IF(W$294="nvt","nvt",
INDEX(standaardwaarde_basis,MATCH(W$21,standaardwaarden_gebruiksfuncties,0)+1)+
MAX(0,W$34-1)*INDEX(standaardwaarde_extra_vraag_boven_grenswaarde_vormfactor,MATCH(W$21,standaardwaarden_gebruiksfuncties,0)+1)))</f>
        <v/>
      </c>
      <c r="X296" s="128"/>
      <c r="Y296" s="249"/>
      <c r="Z296" s="248"/>
      <c r="AA296" s="251" t="str" cm="1">
        <f t="array" ref="AA296">IF(AA$294="","",IF(AA$294="nvt","nvt",
INDEX(standaardwaarde_basis,MATCH(AA$21,standaardwaarden_gebruiksfuncties,0)+1)+
MAX(0,AA$34-1)*INDEX(standaardwaarde_extra_vraag_boven_grenswaarde_vormfactor,MATCH(AA$21,standaardwaarden_gebruiksfuncties,0)+1)))</f>
        <v/>
      </c>
      <c r="AB296" s="251" t="str" cm="1">
        <f t="array" ref="AB296">IF(AB$294="","",IF(AB$294="nvt","nvt",
INDEX(standaardwaarde_basis,MATCH(AB$21,standaardwaarden_gebruiksfuncties,0)+1)+
MAX(0,AB$34-1)*INDEX(standaardwaarde_extra_vraag_boven_grenswaarde_vormfactor,MATCH(AB$21,standaardwaarden_gebruiksfuncties,0)+1)))</f>
        <v/>
      </c>
      <c r="AC296" s="251" t="str" cm="1">
        <f t="array" ref="AC296">IF(AC$294="","",IF(AC$294="nvt","nvt",
INDEX(standaardwaarde_basis,MATCH(AC$21,standaardwaarden_gebruiksfuncties,0)+1)+
MAX(0,AC$34-1)*INDEX(standaardwaarde_extra_vraag_boven_grenswaarde_vormfactor,MATCH(AC$21,standaardwaarden_gebruiksfuncties,0)+1)))</f>
        <v/>
      </c>
      <c r="AD296" s="251" t="str" cm="1">
        <f t="array" ref="AD296">IF(AD$294="","",IF(AD$294="nvt","nvt",
INDEX(standaardwaarde_basis,MATCH(AD$21,standaardwaarden_gebruiksfuncties,0)+1)+
MAX(0,AD$34-1)*INDEX(standaardwaarde_extra_vraag_boven_grenswaarde_vormfactor,MATCH(AD$21,standaardwaarden_gebruiksfuncties,0)+1)))</f>
        <v/>
      </c>
      <c r="AE296" s="251" t="str" cm="1">
        <f t="array" ref="AE296">IF(AE$294="","",IF(AE$294="nvt","nvt",
INDEX(standaardwaarde_basis,MATCH(AE$21,standaardwaarden_gebruiksfuncties,0)+1)+
MAX(0,AE$34-1)*INDEX(standaardwaarde_extra_vraag_boven_grenswaarde_vormfactor,MATCH(AE$21,standaardwaarden_gebruiksfuncties,0)+1)))</f>
        <v/>
      </c>
      <c r="AF296" s="251" t="str" cm="1">
        <f t="array" ref="AF296">IF(AF$294="","",IF(AF$294="nvt","nvt",
INDEX(standaardwaarde_basis,MATCH(AF$21,standaardwaarden_gebruiksfuncties,0)+1)+
MAX(0,AF$34-1)*INDEX(standaardwaarde_extra_vraag_boven_grenswaarde_vormfactor,MATCH(AF$21,standaardwaarden_gebruiksfuncties,0)+1)))</f>
        <v/>
      </c>
      <c r="AG296" s="251" t="str" cm="1">
        <f t="array" ref="AG296">IF(AG$294="","",IF(AG$294="nvt","nvt",
INDEX(standaardwaarde_basis,MATCH(AG$21,standaardwaarden_gebruiksfuncties,0)+1)+
MAX(0,AG$34-1)*INDEX(standaardwaarde_extra_vraag_boven_grenswaarde_vormfactor,MATCH(AG$21,standaardwaarden_gebruiksfuncties,0)+1)))</f>
        <v/>
      </c>
      <c r="AH296" s="251" t="str" cm="1">
        <f t="array" ref="AH296">IF(AH$294="","",IF(AH$294="nvt","nvt",
INDEX(standaardwaarde_basis,MATCH(AH$21,standaardwaarden_gebruiksfuncties,0)+1)+
MAX(0,AH$34-1)*INDEX(standaardwaarde_extra_vraag_boven_grenswaarde_vormfactor,MATCH(AH$21,standaardwaarden_gebruiksfuncties,0)+1)))</f>
        <v/>
      </c>
      <c r="AI296" s="251" t="str" cm="1">
        <f t="array" ref="AI296">IF(AI$294="","",IF(AI$294="nvt","nvt",
INDEX(standaardwaarde_basis,MATCH(AI$21,standaardwaarden_gebruiksfuncties,0)+1)+
MAX(0,AI$34-1)*INDEX(standaardwaarde_extra_vraag_boven_grenswaarde_vormfactor,MATCH(AI$21,standaardwaarden_gebruiksfuncties,0)+1)))</f>
        <v/>
      </c>
      <c r="AJ296" s="128"/>
      <c r="AK296" s="249"/>
      <c r="AL296" s="248"/>
      <c r="AM296" s="251" t="str" cm="1">
        <f t="array" ref="AM296">IF(AM$294="","",IF(AM$294="nvt","nvt",
INDEX(standaardwaarde_basis,MATCH(AM$21,standaardwaarden_gebruiksfuncties,0)+1)+
MAX(0,AM$34-1)*INDEX(standaardwaarde_extra_vraag_boven_grenswaarde_vormfactor,MATCH(AM$21,standaardwaarden_gebruiksfuncties,0)+1)))</f>
        <v/>
      </c>
      <c r="AN296" s="251" t="str" cm="1">
        <f t="array" ref="AN296">IF(AN$294="","",IF(AN$294="nvt","nvt",
INDEX(standaardwaarde_basis,MATCH(AN$21,standaardwaarden_gebruiksfuncties,0)+1)+
MAX(0,AN$34-1)*INDEX(standaardwaarde_extra_vraag_boven_grenswaarde_vormfactor,MATCH(AN$21,standaardwaarden_gebruiksfuncties,0)+1)))</f>
        <v/>
      </c>
      <c r="AO296" s="251" t="str" cm="1">
        <f t="array" ref="AO296">IF(AO$294="","",IF(AO$294="nvt","nvt",
INDEX(standaardwaarde_basis,MATCH(AO$21,standaardwaarden_gebruiksfuncties,0)+1)+
MAX(0,AO$34-1)*INDEX(standaardwaarde_extra_vraag_boven_grenswaarde_vormfactor,MATCH(AO$21,standaardwaarden_gebruiksfuncties,0)+1)))</f>
        <v/>
      </c>
      <c r="AP296" s="251" t="str" cm="1">
        <f t="array" ref="AP296">IF(AP$294="","",IF(AP$294="nvt","nvt",
INDEX(standaardwaarde_basis,MATCH(AP$21,standaardwaarden_gebruiksfuncties,0)+1)+
MAX(0,AP$34-1)*INDEX(standaardwaarde_extra_vraag_boven_grenswaarde_vormfactor,MATCH(AP$21,standaardwaarden_gebruiksfuncties,0)+1)))</f>
        <v/>
      </c>
      <c r="AQ296" s="251" t="str" cm="1">
        <f t="array" ref="AQ296">IF(AQ$294="","",IF(AQ$294="nvt","nvt",
INDEX(standaardwaarde_basis,MATCH(AQ$21,standaardwaarden_gebruiksfuncties,0)+1)+
MAX(0,AQ$34-1)*INDEX(standaardwaarde_extra_vraag_boven_grenswaarde_vormfactor,MATCH(AQ$21,standaardwaarden_gebruiksfuncties,0)+1)))</f>
        <v/>
      </c>
      <c r="AR296" s="251" t="str" cm="1">
        <f t="array" ref="AR296">IF(AR$294="","",IF(AR$294="nvt","nvt",
INDEX(standaardwaarde_basis,MATCH(AR$21,standaardwaarden_gebruiksfuncties,0)+1)+
MAX(0,AR$34-1)*INDEX(standaardwaarde_extra_vraag_boven_grenswaarde_vormfactor,MATCH(AR$21,standaardwaarden_gebruiksfuncties,0)+1)))</f>
        <v/>
      </c>
      <c r="AS296" s="251" t="str" cm="1">
        <f t="array" ref="AS296">IF(AS$294="","",IF(AS$294="nvt","nvt",
INDEX(standaardwaarde_basis,MATCH(AS$21,standaardwaarden_gebruiksfuncties,0)+1)+
MAX(0,AS$34-1)*INDEX(standaardwaarde_extra_vraag_boven_grenswaarde_vormfactor,MATCH(AS$21,standaardwaarden_gebruiksfuncties,0)+1)))</f>
        <v/>
      </c>
      <c r="AT296" s="251" t="str" cm="1">
        <f t="array" ref="AT296">IF(AT$294="","",IF(AT$294="nvt","nvt",
INDEX(standaardwaarde_basis,MATCH(AT$21,standaardwaarden_gebruiksfuncties,0)+1)+
MAX(0,AT$34-1)*INDEX(standaardwaarde_extra_vraag_boven_grenswaarde_vormfactor,MATCH(AT$21,standaardwaarden_gebruiksfuncties,0)+1)))</f>
        <v/>
      </c>
      <c r="AU296" s="251" t="str" cm="1">
        <f t="array" ref="AU296">IF(AU$294="","",IF(AU$294="nvt","nvt",
INDEX(standaardwaarde_basis,MATCH(AU$21,standaardwaarden_gebruiksfuncties,0)+1)+
MAX(0,AU$34-1)*INDEX(standaardwaarde_extra_vraag_boven_grenswaarde_vormfactor,MATCH(AU$21,standaardwaarden_gebruiksfuncties,0)+1)))</f>
        <v/>
      </c>
      <c r="AV296" s="128"/>
      <c r="AW296" s="249"/>
      <c r="AX296" s="248"/>
      <c r="AY296" s="251" t="str" cm="1">
        <f t="array" ref="AY296">IF(AY$294="","",IF(AY$294="nvt","nvt",
INDEX(standaardwaarde_basis,MATCH(AY$21,standaardwaarden_gebruiksfuncties,0)+1)+
MAX(0,AY$34-1)*INDEX(standaardwaarde_extra_vraag_boven_grenswaarde_vormfactor,MATCH(AY$21,standaardwaarden_gebruiksfuncties,0)+1)))</f>
        <v/>
      </c>
      <c r="AZ296" s="251" t="str" cm="1">
        <f t="array" ref="AZ296">IF(AZ$294="","",IF(AZ$294="nvt","nvt",
INDEX(standaardwaarde_basis,MATCH(AZ$21,standaardwaarden_gebruiksfuncties,0)+1)+
MAX(0,AZ$34-1)*INDEX(standaardwaarde_extra_vraag_boven_grenswaarde_vormfactor,MATCH(AZ$21,standaardwaarden_gebruiksfuncties,0)+1)))</f>
        <v/>
      </c>
      <c r="BA296" s="251" t="str" cm="1">
        <f t="array" ref="BA296">IF(BA$294="","",IF(BA$294="nvt","nvt",
INDEX(standaardwaarde_basis,MATCH(BA$21,standaardwaarden_gebruiksfuncties,0)+1)+
MAX(0,BA$34-1)*INDEX(standaardwaarde_extra_vraag_boven_grenswaarde_vormfactor,MATCH(BA$21,standaardwaarden_gebruiksfuncties,0)+1)))</f>
        <v/>
      </c>
      <c r="BB296" s="251" t="str" cm="1">
        <f t="array" ref="BB296">IF(BB$294="","",IF(BB$294="nvt","nvt",
INDEX(standaardwaarde_basis,MATCH(BB$21,standaardwaarden_gebruiksfuncties,0)+1)+
MAX(0,BB$34-1)*INDEX(standaardwaarde_extra_vraag_boven_grenswaarde_vormfactor,MATCH(BB$21,standaardwaarden_gebruiksfuncties,0)+1)))</f>
        <v/>
      </c>
      <c r="BC296" s="251" t="str" cm="1">
        <f t="array" ref="BC296">IF(BC$294="","",IF(BC$294="nvt","nvt",
INDEX(standaardwaarde_basis,MATCH(BC$21,standaardwaarden_gebruiksfuncties,0)+1)+
MAX(0,BC$34-1)*INDEX(standaardwaarde_extra_vraag_boven_grenswaarde_vormfactor,MATCH(BC$21,standaardwaarden_gebruiksfuncties,0)+1)))</f>
        <v/>
      </c>
      <c r="BD296" s="251" t="str" cm="1">
        <f t="array" ref="BD296">IF(BD$294="","",IF(BD$294="nvt","nvt",
INDEX(standaardwaarde_basis,MATCH(BD$21,standaardwaarden_gebruiksfuncties,0)+1)+
MAX(0,BD$34-1)*INDEX(standaardwaarde_extra_vraag_boven_grenswaarde_vormfactor,MATCH(BD$21,standaardwaarden_gebruiksfuncties,0)+1)))</f>
        <v/>
      </c>
      <c r="BE296" s="251" t="str" cm="1">
        <f t="array" ref="BE296">IF(BE$294="","",IF(BE$294="nvt","nvt",
INDEX(standaardwaarde_basis,MATCH(BE$21,standaardwaarden_gebruiksfuncties,0)+1)+
MAX(0,BE$34-1)*INDEX(standaardwaarde_extra_vraag_boven_grenswaarde_vormfactor,MATCH(BE$21,standaardwaarden_gebruiksfuncties,0)+1)))</f>
        <v/>
      </c>
      <c r="BF296" s="251" t="str" cm="1">
        <f t="array" ref="BF296">IF(BF$294="","",IF(BF$294="nvt","nvt",
INDEX(standaardwaarde_basis,MATCH(BF$21,standaardwaarden_gebruiksfuncties,0)+1)+
MAX(0,BF$34-1)*INDEX(standaardwaarde_extra_vraag_boven_grenswaarde_vormfactor,MATCH(BF$21,standaardwaarden_gebruiksfuncties,0)+1)))</f>
        <v/>
      </c>
      <c r="BG296" s="251" t="str" cm="1">
        <f t="array" ref="BG296">IF(BG$294="","",IF(BG$294="nvt","nvt",
INDEX(standaardwaarde_basis,MATCH(BG$21,standaardwaarden_gebruiksfuncties,0)+1)+
MAX(0,BG$34-1)*INDEX(standaardwaarde_extra_vraag_boven_grenswaarde_vormfactor,MATCH(BG$21,standaardwaarden_gebruiksfuncties,0)+1)))</f>
        <v/>
      </c>
      <c r="BH296" s="255"/>
    </row>
    <row r="297" spans="1:60" x14ac:dyDescent="0.2">
      <c r="A297" s="648"/>
      <c r="B297" s="492" t="s">
        <v>335</v>
      </c>
      <c r="C297" s="656" t="s">
        <v>113</v>
      </c>
      <c r="D297" s="750"/>
      <c r="E297" s="246" t="s">
        <v>349</v>
      </c>
      <c r="F297" s="246"/>
      <c r="G297" s="246"/>
      <c r="H297" s="247" t="s">
        <v>169</v>
      </c>
      <c r="I297" s="248"/>
      <c r="J297" s="249"/>
      <c r="K297" s="90"/>
      <c r="L297" s="90"/>
      <c r="M297" s="249"/>
      <c r="N297" s="248"/>
      <c r="O297" s="251" t="str">
        <f t="shared" ref="O297:W297" si="314">IF(OR(O$19="",O$40="",O$42="",O$280=""),"",IF(OR(O$21=woning,O$21=woongebouw),O$227,"nvt"))</f>
        <v/>
      </c>
      <c r="P297" s="251" t="str">
        <f t="shared" si="314"/>
        <v/>
      </c>
      <c r="Q297" s="251" t="str">
        <f t="shared" si="314"/>
        <v/>
      </c>
      <c r="R297" s="251" t="str">
        <f t="shared" si="314"/>
        <v/>
      </c>
      <c r="S297" s="251" t="str">
        <f t="shared" si="314"/>
        <v/>
      </c>
      <c r="T297" s="251" t="str">
        <f t="shared" si="314"/>
        <v/>
      </c>
      <c r="U297" s="251" t="str">
        <f t="shared" si="314"/>
        <v/>
      </c>
      <c r="V297" s="251" t="str">
        <f t="shared" si="314"/>
        <v/>
      </c>
      <c r="W297" s="251" t="str">
        <f t="shared" si="314"/>
        <v/>
      </c>
      <c r="X297" s="128"/>
      <c r="Y297" s="249"/>
      <c r="Z297" s="248"/>
      <c r="AA297" s="251" t="str">
        <f t="shared" ref="AA297:AI297" si="315">IF(OR(AA$19="",AA$40="",AA$42="",AA$280=""),"",IF(OR(AA$21=woning,AA$21=woongebouw),AA$227,"nvt"))</f>
        <v/>
      </c>
      <c r="AB297" s="251" t="str">
        <f t="shared" si="315"/>
        <v/>
      </c>
      <c r="AC297" s="251" t="str">
        <f t="shared" si="315"/>
        <v/>
      </c>
      <c r="AD297" s="251" t="str">
        <f t="shared" si="315"/>
        <v/>
      </c>
      <c r="AE297" s="251" t="str">
        <f t="shared" si="315"/>
        <v/>
      </c>
      <c r="AF297" s="251" t="str">
        <f t="shared" si="315"/>
        <v/>
      </c>
      <c r="AG297" s="251" t="str">
        <f t="shared" si="315"/>
        <v/>
      </c>
      <c r="AH297" s="251" t="str">
        <f t="shared" si="315"/>
        <v/>
      </c>
      <c r="AI297" s="251" t="str">
        <f t="shared" si="315"/>
        <v/>
      </c>
      <c r="AJ297" s="128"/>
      <c r="AK297" s="249"/>
      <c r="AL297" s="248"/>
      <c r="AM297" s="251" t="str">
        <f t="shared" ref="AM297:AU297" si="316">IF(OR(AM$19="",AM$40="",AM$42="",AM$280=""),"",IF(OR(AM$21=woning,AM$21=woongebouw),AM$227,"nvt"))</f>
        <v/>
      </c>
      <c r="AN297" s="251" t="str">
        <f t="shared" si="316"/>
        <v/>
      </c>
      <c r="AO297" s="251" t="str">
        <f t="shared" si="316"/>
        <v/>
      </c>
      <c r="AP297" s="251" t="str">
        <f t="shared" si="316"/>
        <v/>
      </c>
      <c r="AQ297" s="251" t="str">
        <f t="shared" si="316"/>
        <v/>
      </c>
      <c r="AR297" s="251" t="str">
        <f t="shared" si="316"/>
        <v/>
      </c>
      <c r="AS297" s="251" t="str">
        <f t="shared" si="316"/>
        <v/>
      </c>
      <c r="AT297" s="251" t="str">
        <f t="shared" si="316"/>
        <v/>
      </c>
      <c r="AU297" s="251" t="str">
        <f t="shared" si="316"/>
        <v/>
      </c>
      <c r="AV297" s="128"/>
      <c r="AW297" s="249"/>
      <c r="AX297" s="248"/>
      <c r="AY297" s="251" t="str">
        <f t="shared" ref="AY297:BG297" si="317">IF(OR(AY$19="",AY$40="",AY$42="",AY$280=""),"",IF(OR(AY$21=woning,AY$21=woongebouw),AY$227,"nvt"))</f>
        <v/>
      </c>
      <c r="AZ297" s="251" t="str">
        <f t="shared" si="317"/>
        <v/>
      </c>
      <c r="BA297" s="251" t="str">
        <f t="shared" si="317"/>
        <v/>
      </c>
      <c r="BB297" s="251" t="str">
        <f t="shared" si="317"/>
        <v/>
      </c>
      <c r="BC297" s="251" t="str">
        <f t="shared" si="317"/>
        <v/>
      </c>
      <c r="BD297" s="251" t="str">
        <f t="shared" si="317"/>
        <v/>
      </c>
      <c r="BE297" s="251" t="str">
        <f t="shared" si="317"/>
        <v/>
      </c>
      <c r="BF297" s="251" t="str">
        <f t="shared" si="317"/>
        <v/>
      </c>
      <c r="BG297" s="251" t="str">
        <f t="shared" si="317"/>
        <v/>
      </c>
      <c r="BH297" s="255"/>
    </row>
    <row r="298" spans="1:60" x14ac:dyDescent="0.2">
      <c r="A298" s="648"/>
      <c r="B298" s="492" t="s">
        <v>335</v>
      </c>
      <c r="C298" s="739" t="s">
        <v>104</v>
      </c>
      <c r="D298" s="747"/>
      <c r="E298" s="90"/>
      <c r="F298" s="90"/>
      <c r="G298" s="90"/>
      <c r="H298" s="96"/>
      <c r="I298" s="90"/>
      <c r="J298" s="93"/>
      <c r="K298" s="90"/>
      <c r="L298" s="90"/>
      <c r="M298" s="93"/>
      <c r="N298" s="90"/>
      <c r="O298" s="122"/>
      <c r="P298" s="122"/>
      <c r="Q298" s="122"/>
      <c r="R298" s="122"/>
      <c r="S298" s="122"/>
      <c r="T298" s="122"/>
      <c r="U298" s="122"/>
      <c r="V298" s="122"/>
      <c r="W298" s="122"/>
      <c r="X298" s="93"/>
      <c r="Y298" s="93"/>
      <c r="Z298" s="90"/>
      <c r="AA298" s="122"/>
      <c r="AB298" s="122"/>
      <c r="AC298" s="122"/>
      <c r="AD298" s="122"/>
      <c r="AE298" s="122"/>
      <c r="AF298" s="122"/>
      <c r="AG298" s="122"/>
      <c r="AH298" s="122"/>
      <c r="AI298" s="122"/>
      <c r="AJ298" s="93"/>
      <c r="AK298" s="93"/>
      <c r="AL298" s="90"/>
      <c r="AM298" s="122"/>
      <c r="AN298" s="122"/>
      <c r="AO298" s="122"/>
      <c r="AP298" s="122"/>
      <c r="AQ298" s="122"/>
      <c r="AR298" s="122"/>
      <c r="AS298" s="122"/>
      <c r="AT298" s="122"/>
      <c r="AU298" s="122"/>
      <c r="AV298" s="93"/>
      <c r="AW298" s="93"/>
      <c r="AX298" s="90"/>
      <c r="AY298" s="122"/>
      <c r="AZ298" s="122"/>
      <c r="BA298" s="122"/>
      <c r="BB298" s="122"/>
      <c r="BC298" s="122"/>
      <c r="BD298" s="122"/>
      <c r="BE298" s="122"/>
      <c r="BF298" s="122"/>
      <c r="BG298" s="122"/>
      <c r="BH298" s="1"/>
    </row>
    <row r="299" spans="1:60" x14ac:dyDescent="0.2">
      <c r="A299" s="648"/>
      <c r="B299" s="492" t="s">
        <v>352</v>
      </c>
      <c r="C299" s="656" t="s">
        <v>104</v>
      </c>
      <c r="D299" s="747"/>
      <c r="E299" s="90"/>
      <c r="F299" s="90"/>
      <c r="G299" s="90"/>
      <c r="H299" s="96"/>
      <c r="I299" s="90"/>
      <c r="J299" s="93"/>
      <c r="K299" s="90"/>
      <c r="L299" s="90"/>
      <c r="M299" s="93"/>
      <c r="N299" s="90"/>
      <c r="O299" s="93"/>
      <c r="P299" s="93"/>
      <c r="Q299" s="93"/>
      <c r="R299" s="93"/>
      <c r="S299" s="93"/>
      <c r="T299" s="93"/>
      <c r="U299" s="93"/>
      <c r="V299" s="93"/>
      <c r="W299" s="93"/>
      <c r="X299" s="93"/>
      <c r="Y299" s="93"/>
      <c r="Z299" s="90"/>
      <c r="AA299" s="93"/>
      <c r="AB299" s="93"/>
      <c r="AC299" s="93"/>
      <c r="AD299" s="93"/>
      <c r="AE299" s="93"/>
      <c r="AF299" s="93"/>
      <c r="AG299" s="93"/>
      <c r="AH299" s="93"/>
      <c r="AI299" s="93"/>
      <c r="AJ299" s="93"/>
      <c r="AK299" s="93"/>
      <c r="AL299" s="90"/>
      <c r="AM299" s="93"/>
      <c r="AN299" s="93"/>
      <c r="AO299" s="93"/>
      <c r="AP299" s="93"/>
      <c r="AQ299" s="93"/>
      <c r="AR299" s="93"/>
      <c r="AS299" s="93"/>
      <c r="AT299" s="93"/>
      <c r="AU299" s="93"/>
      <c r="AV299" s="93"/>
      <c r="AW299" s="93"/>
      <c r="AX299" s="90"/>
      <c r="AY299" s="93"/>
      <c r="AZ299" s="93"/>
      <c r="BA299" s="93"/>
      <c r="BB299" s="93"/>
      <c r="BC299" s="93"/>
      <c r="BD299" s="93"/>
      <c r="BE299" s="93"/>
      <c r="BF299" s="93"/>
      <c r="BG299" s="93"/>
      <c r="BH299" s="1"/>
    </row>
    <row r="300" spans="1:60" s="2" customFormat="1" ht="21" x14ac:dyDescent="0.2">
      <c r="A300" s="649"/>
      <c r="B300" s="492" t="s">
        <v>352</v>
      </c>
      <c r="C300" s="739" t="s">
        <v>104</v>
      </c>
      <c r="D300" s="749" t="s">
        <v>50</v>
      </c>
      <c r="E300" s="253" t="s">
        <v>353</v>
      </c>
      <c r="F300" s="253"/>
      <c r="G300" s="253"/>
      <c r="H300" s="253"/>
      <c r="I300" s="146"/>
      <c r="J300" s="318" t="str">
        <f>J$10&amp;" ton CO2"</f>
        <v>totaal ton CO2</v>
      </c>
      <c r="K300" s="142"/>
      <c r="L300" s="142"/>
      <c r="M300" s="318" t="str">
        <f>M$10&amp;" ton CO2"</f>
        <v>totaal ton CO2</v>
      </c>
      <c r="N300" s="222"/>
      <c r="O300" s="320" t="str">
        <f t="shared" ref="O300:W300" si="318">O$17</f>
        <v/>
      </c>
      <c r="P300" s="320" t="str">
        <f t="shared" si="318"/>
        <v/>
      </c>
      <c r="Q300" s="320" t="str">
        <f t="shared" si="318"/>
        <v/>
      </c>
      <c r="R300" s="320" t="str">
        <f t="shared" si="318"/>
        <v/>
      </c>
      <c r="S300" s="320" t="str">
        <f t="shared" si="318"/>
        <v/>
      </c>
      <c r="T300" s="320" t="str">
        <f t="shared" si="318"/>
        <v/>
      </c>
      <c r="U300" s="320" t="str">
        <f t="shared" si="318"/>
        <v/>
      </c>
      <c r="V300" s="320" t="str">
        <f t="shared" si="318"/>
        <v/>
      </c>
      <c r="W300" s="320" t="str">
        <f t="shared" si="318"/>
        <v/>
      </c>
      <c r="X300" s="214"/>
      <c r="Y300" s="318" t="str">
        <f>Y$10&amp;" ton CO2"</f>
        <v>totaal ton CO2</v>
      </c>
      <c r="Z300" s="222"/>
      <c r="AA300" s="320" t="str">
        <f t="shared" ref="AA300:AI300" si="319">AA$17</f>
        <v/>
      </c>
      <c r="AB300" s="320" t="str">
        <f t="shared" si="319"/>
        <v/>
      </c>
      <c r="AC300" s="320" t="str">
        <f t="shared" si="319"/>
        <v/>
      </c>
      <c r="AD300" s="320" t="str">
        <f t="shared" si="319"/>
        <v/>
      </c>
      <c r="AE300" s="320" t="str">
        <f t="shared" si="319"/>
        <v/>
      </c>
      <c r="AF300" s="320" t="str">
        <f t="shared" si="319"/>
        <v/>
      </c>
      <c r="AG300" s="320" t="str">
        <f t="shared" si="319"/>
        <v/>
      </c>
      <c r="AH300" s="320" t="str">
        <f t="shared" si="319"/>
        <v/>
      </c>
      <c r="AI300" s="320" t="str">
        <f t="shared" si="319"/>
        <v/>
      </c>
      <c r="AJ300" s="214"/>
      <c r="AK300" s="318" t="str">
        <f>AK$10&amp;" ton CO2"</f>
        <v>totaal ton CO2</v>
      </c>
      <c r="AL300" s="222"/>
      <c r="AM300" s="320" t="str">
        <f>AM$17</f>
        <v/>
      </c>
      <c r="AN300" s="320" t="str">
        <f t="shared" ref="AN300:AU300" si="320">AN$17</f>
        <v/>
      </c>
      <c r="AO300" s="320" t="str">
        <f t="shared" si="320"/>
        <v/>
      </c>
      <c r="AP300" s="320" t="str">
        <f t="shared" si="320"/>
        <v/>
      </c>
      <c r="AQ300" s="320" t="str">
        <f t="shared" si="320"/>
        <v/>
      </c>
      <c r="AR300" s="320" t="str">
        <f t="shared" si="320"/>
        <v/>
      </c>
      <c r="AS300" s="320" t="str">
        <f t="shared" si="320"/>
        <v/>
      </c>
      <c r="AT300" s="320" t="str">
        <f t="shared" si="320"/>
        <v/>
      </c>
      <c r="AU300" s="320" t="str">
        <f t="shared" si="320"/>
        <v/>
      </c>
      <c r="AV300" s="214"/>
      <c r="AW300" s="318" t="str">
        <f>AW$10&amp;" ton CO2"</f>
        <v>totaal ton CO2</v>
      </c>
      <c r="AX300" s="222"/>
      <c r="AY300" s="320" t="str">
        <f>AY$17</f>
        <v/>
      </c>
      <c r="AZ300" s="320" t="str">
        <f t="shared" ref="AZ300:BG300" si="321">AZ$17</f>
        <v/>
      </c>
      <c r="BA300" s="320" t="str">
        <f t="shared" si="321"/>
        <v/>
      </c>
      <c r="BB300" s="320" t="str">
        <f t="shared" si="321"/>
        <v/>
      </c>
      <c r="BC300" s="320" t="str">
        <f t="shared" si="321"/>
        <v/>
      </c>
      <c r="BD300" s="320" t="str">
        <f t="shared" si="321"/>
        <v/>
      </c>
      <c r="BE300" s="320" t="str">
        <f t="shared" si="321"/>
        <v/>
      </c>
      <c r="BF300" s="320" t="str">
        <f t="shared" si="321"/>
        <v/>
      </c>
      <c r="BG300" s="320" t="str">
        <f t="shared" si="321"/>
        <v/>
      </c>
      <c r="BH300" s="1"/>
    </row>
    <row r="301" spans="1:60" ht="18.75" x14ac:dyDescent="0.2">
      <c r="A301" s="648"/>
      <c r="B301" s="492" t="s">
        <v>352</v>
      </c>
      <c r="C301" s="739" t="s">
        <v>104</v>
      </c>
      <c r="D301" s="747"/>
      <c r="E301" s="236" t="s">
        <v>354</v>
      </c>
      <c r="F301" s="236"/>
      <c r="G301" s="236"/>
      <c r="H301" s="89"/>
      <c r="I301" s="236"/>
      <c r="J301" s="236"/>
      <c r="K301" s="236"/>
      <c r="L301" s="236"/>
      <c r="M301" s="236"/>
      <c r="N301" s="236"/>
      <c r="O301" s="236"/>
      <c r="P301" s="236"/>
      <c r="Q301" s="236"/>
      <c r="R301" s="236"/>
      <c r="S301" s="236"/>
      <c r="T301" s="236"/>
      <c r="U301" s="236"/>
      <c r="V301" s="236"/>
      <c r="W301" s="236"/>
      <c r="X301" s="236"/>
      <c r="Y301" s="236"/>
      <c r="Z301" s="236"/>
      <c r="AA301" s="236"/>
      <c r="AB301" s="236"/>
      <c r="AC301" s="236"/>
      <c r="AD301" s="236"/>
      <c r="AE301" s="236"/>
      <c r="AF301" s="236"/>
      <c r="AG301" s="236"/>
      <c r="AH301" s="236"/>
      <c r="AI301" s="236"/>
      <c r="AJ301" s="236"/>
      <c r="AK301" s="236"/>
      <c r="AL301" s="236"/>
      <c r="AM301" s="236"/>
      <c r="AN301" s="236"/>
      <c r="AO301" s="236"/>
      <c r="AP301" s="236"/>
      <c r="AQ301" s="236"/>
      <c r="AR301" s="236"/>
      <c r="AS301" s="236"/>
      <c r="AT301" s="236"/>
      <c r="AU301" s="236"/>
      <c r="AV301" s="236"/>
      <c r="AW301" s="236"/>
      <c r="AX301" s="236"/>
      <c r="AY301" s="236"/>
      <c r="AZ301" s="236"/>
      <c r="BA301" s="236"/>
      <c r="BB301" s="236"/>
      <c r="BC301" s="236"/>
      <c r="BD301" s="236"/>
      <c r="BE301" s="236"/>
      <c r="BF301" s="236"/>
      <c r="BG301" s="236"/>
      <c r="BH301" s="38"/>
    </row>
    <row r="302" spans="1:60" x14ac:dyDescent="0.2">
      <c r="A302" s="648"/>
      <c r="B302" s="492" t="s">
        <v>352</v>
      </c>
      <c r="C302" s="656" t="s">
        <v>113</v>
      </c>
      <c r="D302" s="750"/>
      <c r="E302" s="367" t="str">
        <f>$O$73</f>
        <v>verwarming</v>
      </c>
      <c r="F302" s="246"/>
      <c r="G302" s="246"/>
      <c r="H302" s="247" t="s">
        <v>355</v>
      </c>
      <c r="I302" s="248"/>
      <c r="J302" s="375">
        <f t="shared" ref="J302:J310" si="322">M302+Y302+AK302+AW302</f>
        <v>0</v>
      </c>
      <c r="K302" s="376"/>
      <c r="L302" s="376"/>
      <c r="M302" s="375">
        <f t="shared" ref="M302:M309" si="323">SUMPRODUCT(N302:X302,N$24:X$24,N$31:X$31)/1000</f>
        <v>0</v>
      </c>
      <c r="N302" s="376"/>
      <c r="O302" s="254">
        <f t="shared" ref="O302:W302" si="324">IF($O$75=0,0,
($O$121+$O$146+$O$162)/$O$75*O60)</f>
        <v>0</v>
      </c>
      <c r="P302" s="254">
        <f t="shared" si="324"/>
        <v>0</v>
      </c>
      <c r="Q302" s="254">
        <f t="shared" si="324"/>
        <v>0</v>
      </c>
      <c r="R302" s="254">
        <f t="shared" si="324"/>
        <v>0</v>
      </c>
      <c r="S302" s="254">
        <f t="shared" si="324"/>
        <v>0</v>
      </c>
      <c r="T302" s="254">
        <f t="shared" si="324"/>
        <v>0</v>
      </c>
      <c r="U302" s="254">
        <f t="shared" si="324"/>
        <v>0</v>
      </c>
      <c r="V302" s="254">
        <f t="shared" si="324"/>
        <v>0</v>
      </c>
      <c r="W302" s="254">
        <f t="shared" si="324"/>
        <v>0</v>
      </c>
      <c r="X302" s="255"/>
      <c r="Y302" s="375">
        <f t="shared" ref="Y302:Y309" si="325">SUMPRODUCT(Z302:AJ302,Z$24:AJ$24,Z$31:AJ$31)/1000</f>
        <v>0</v>
      </c>
      <c r="Z302" s="376"/>
      <c r="AA302" s="254">
        <f t="shared" ref="AA302:AI302" si="326">IF($AA$75=0,0,
($AA$121+$AA$146+$AA$162)/$AA$75*AA60)</f>
        <v>0</v>
      </c>
      <c r="AB302" s="254">
        <f t="shared" si="326"/>
        <v>0</v>
      </c>
      <c r="AC302" s="254">
        <f t="shared" si="326"/>
        <v>0</v>
      </c>
      <c r="AD302" s="254">
        <f t="shared" si="326"/>
        <v>0</v>
      </c>
      <c r="AE302" s="254">
        <f t="shared" si="326"/>
        <v>0</v>
      </c>
      <c r="AF302" s="254">
        <f t="shared" si="326"/>
        <v>0</v>
      </c>
      <c r="AG302" s="254">
        <f t="shared" si="326"/>
        <v>0</v>
      </c>
      <c r="AH302" s="254">
        <f t="shared" si="326"/>
        <v>0</v>
      </c>
      <c r="AI302" s="254">
        <f t="shared" si="326"/>
        <v>0</v>
      </c>
      <c r="AJ302" s="255"/>
      <c r="AK302" s="375">
        <f t="shared" ref="AK302:AK309" si="327">SUMPRODUCT(AL302:AV302,AL$24:AV$24,AL$31:AV$31)/1000</f>
        <v>0</v>
      </c>
      <c r="AL302" s="213"/>
      <c r="AM302" s="254">
        <f t="shared" ref="AM302:AU302" si="328">IF($AM$75=0,0,
($AM$121+$AM$146+$AM$162)/$AM$75*AM60)</f>
        <v>0</v>
      </c>
      <c r="AN302" s="254">
        <f t="shared" si="328"/>
        <v>0</v>
      </c>
      <c r="AO302" s="254">
        <f t="shared" si="328"/>
        <v>0</v>
      </c>
      <c r="AP302" s="254">
        <f t="shared" si="328"/>
        <v>0</v>
      </c>
      <c r="AQ302" s="254">
        <f t="shared" si="328"/>
        <v>0</v>
      </c>
      <c r="AR302" s="254">
        <f t="shared" si="328"/>
        <v>0</v>
      </c>
      <c r="AS302" s="254">
        <f t="shared" si="328"/>
        <v>0</v>
      </c>
      <c r="AT302" s="254">
        <f t="shared" si="328"/>
        <v>0</v>
      </c>
      <c r="AU302" s="254">
        <f t="shared" si="328"/>
        <v>0</v>
      </c>
      <c r="AV302" s="255"/>
      <c r="AW302" s="375">
        <f t="shared" ref="AW302:AW309" si="329">SUMPRODUCT(AX302:BH302,AX$24:BH$24,AX$31:BH$31)/1000</f>
        <v>0</v>
      </c>
      <c r="AX302" s="213"/>
      <c r="AY302" s="254">
        <f t="shared" ref="AY302:BG302" si="330">IF($AY$75=0,0,
($AY$121+$AY$146+$AY$162)/$AY$75*AY60)</f>
        <v>0</v>
      </c>
      <c r="AZ302" s="254">
        <f t="shared" si="330"/>
        <v>0</v>
      </c>
      <c r="BA302" s="254">
        <f t="shared" si="330"/>
        <v>0</v>
      </c>
      <c r="BB302" s="254">
        <f t="shared" si="330"/>
        <v>0</v>
      </c>
      <c r="BC302" s="254">
        <f t="shared" si="330"/>
        <v>0</v>
      </c>
      <c r="BD302" s="254">
        <f t="shared" si="330"/>
        <v>0</v>
      </c>
      <c r="BE302" s="254">
        <f t="shared" si="330"/>
        <v>0</v>
      </c>
      <c r="BF302" s="254">
        <f t="shared" si="330"/>
        <v>0</v>
      </c>
      <c r="BG302" s="254">
        <f t="shared" si="330"/>
        <v>0</v>
      </c>
      <c r="BH302" s="255"/>
    </row>
    <row r="303" spans="1:60" x14ac:dyDescent="0.2">
      <c r="A303" s="648"/>
      <c r="B303" s="492" t="s">
        <v>352</v>
      </c>
      <c r="C303" s="656" t="s">
        <v>113</v>
      </c>
      <c r="D303" s="750"/>
      <c r="E303" s="367" t="str">
        <f>$P$73</f>
        <v>koeling</v>
      </c>
      <c r="F303" s="246"/>
      <c r="G303" s="246"/>
      <c r="H303" s="247" t="s">
        <v>355</v>
      </c>
      <c r="I303" s="248"/>
      <c r="J303" s="375">
        <f t="shared" si="322"/>
        <v>0</v>
      </c>
      <c r="K303" s="376"/>
      <c r="L303" s="376"/>
      <c r="M303" s="375">
        <f t="shared" si="323"/>
        <v>0</v>
      </c>
      <c r="N303" s="376"/>
      <c r="O303" s="254">
        <f t="shared" ref="O303:W303" si="331">IF($P$75=0,0,
($P$121+$P$146+$P$162)/$P$75*O61)</f>
        <v>0</v>
      </c>
      <c r="P303" s="254">
        <f t="shared" si="331"/>
        <v>0</v>
      </c>
      <c r="Q303" s="254">
        <f t="shared" si="331"/>
        <v>0</v>
      </c>
      <c r="R303" s="254">
        <f t="shared" si="331"/>
        <v>0</v>
      </c>
      <c r="S303" s="254">
        <f t="shared" si="331"/>
        <v>0</v>
      </c>
      <c r="T303" s="254">
        <f t="shared" si="331"/>
        <v>0</v>
      </c>
      <c r="U303" s="254">
        <f t="shared" si="331"/>
        <v>0</v>
      </c>
      <c r="V303" s="254">
        <f t="shared" si="331"/>
        <v>0</v>
      </c>
      <c r="W303" s="254">
        <f t="shared" si="331"/>
        <v>0</v>
      </c>
      <c r="X303" s="255"/>
      <c r="Y303" s="375">
        <f t="shared" si="325"/>
        <v>0</v>
      </c>
      <c r="Z303" s="376"/>
      <c r="AA303" s="254">
        <f t="shared" ref="AA303:AI303" si="332">IF($AB$75=0,0,
($AB$121+$AB$146+$AB$162)/$AB$75*AA61)</f>
        <v>0</v>
      </c>
      <c r="AB303" s="254">
        <f t="shared" si="332"/>
        <v>0</v>
      </c>
      <c r="AC303" s="254">
        <f t="shared" si="332"/>
        <v>0</v>
      </c>
      <c r="AD303" s="254">
        <f t="shared" si="332"/>
        <v>0</v>
      </c>
      <c r="AE303" s="254">
        <f t="shared" si="332"/>
        <v>0</v>
      </c>
      <c r="AF303" s="254">
        <f t="shared" si="332"/>
        <v>0</v>
      </c>
      <c r="AG303" s="254">
        <f t="shared" si="332"/>
        <v>0</v>
      </c>
      <c r="AH303" s="254">
        <f t="shared" si="332"/>
        <v>0</v>
      </c>
      <c r="AI303" s="254">
        <f t="shared" si="332"/>
        <v>0</v>
      </c>
      <c r="AJ303" s="255"/>
      <c r="AK303" s="375">
        <f t="shared" si="327"/>
        <v>0</v>
      </c>
      <c r="AL303" s="213"/>
      <c r="AM303" s="254">
        <f t="shared" ref="AM303:AU303" si="333">IF($AN$75=0,0,
($AN$121+$AN$146+$AN$162)/$AN$75*AM61)</f>
        <v>0</v>
      </c>
      <c r="AN303" s="254">
        <f t="shared" si="333"/>
        <v>0</v>
      </c>
      <c r="AO303" s="254">
        <f t="shared" si="333"/>
        <v>0</v>
      </c>
      <c r="AP303" s="254">
        <f t="shared" si="333"/>
        <v>0</v>
      </c>
      <c r="AQ303" s="254">
        <f t="shared" si="333"/>
        <v>0</v>
      </c>
      <c r="AR303" s="254">
        <f t="shared" si="333"/>
        <v>0</v>
      </c>
      <c r="AS303" s="254">
        <f t="shared" si="333"/>
        <v>0</v>
      </c>
      <c r="AT303" s="254">
        <f t="shared" si="333"/>
        <v>0</v>
      </c>
      <c r="AU303" s="254">
        <f t="shared" si="333"/>
        <v>0</v>
      </c>
      <c r="AV303" s="255"/>
      <c r="AW303" s="375">
        <f t="shared" si="329"/>
        <v>0</v>
      </c>
      <c r="AX303" s="213"/>
      <c r="AY303" s="254">
        <f t="shared" ref="AY303:BG303" si="334">IF($AZ$75=0,0,
($AZ$121+$AZ$146+$AZ$162)/$AZ$75*AY61)</f>
        <v>0</v>
      </c>
      <c r="AZ303" s="254">
        <f t="shared" si="334"/>
        <v>0</v>
      </c>
      <c r="BA303" s="254">
        <f t="shared" si="334"/>
        <v>0</v>
      </c>
      <c r="BB303" s="254">
        <f t="shared" si="334"/>
        <v>0</v>
      </c>
      <c r="BC303" s="254">
        <f t="shared" si="334"/>
        <v>0</v>
      </c>
      <c r="BD303" s="254">
        <f t="shared" si="334"/>
        <v>0</v>
      </c>
      <c r="BE303" s="254">
        <f t="shared" si="334"/>
        <v>0</v>
      </c>
      <c r="BF303" s="254">
        <f t="shared" si="334"/>
        <v>0</v>
      </c>
      <c r="BG303" s="254">
        <f t="shared" si="334"/>
        <v>0</v>
      </c>
      <c r="BH303" s="255"/>
    </row>
    <row r="304" spans="1:60" x14ac:dyDescent="0.2">
      <c r="A304" s="648"/>
      <c r="B304" s="492" t="s">
        <v>352</v>
      </c>
      <c r="C304" s="656" t="s">
        <v>113</v>
      </c>
      <c r="D304" s="750"/>
      <c r="E304" s="367" t="str">
        <f>$Q$73</f>
        <v>tapwater</v>
      </c>
      <c r="F304" s="246"/>
      <c r="G304" s="246"/>
      <c r="H304" s="247" t="s">
        <v>355</v>
      </c>
      <c r="I304" s="248"/>
      <c r="J304" s="375">
        <f t="shared" si="322"/>
        <v>0</v>
      </c>
      <c r="K304" s="376"/>
      <c r="L304" s="376"/>
      <c r="M304" s="375">
        <f t="shared" si="323"/>
        <v>0</v>
      </c>
      <c r="N304" s="376"/>
      <c r="O304" s="254">
        <f t="shared" ref="O304:W304" si="335">IF($Q$75=0,0,
($Q$121+$Q$146+$Q$162)/$Q$75*O62)</f>
        <v>0</v>
      </c>
      <c r="P304" s="254">
        <f t="shared" si="335"/>
        <v>0</v>
      </c>
      <c r="Q304" s="254">
        <f t="shared" si="335"/>
        <v>0</v>
      </c>
      <c r="R304" s="254">
        <f t="shared" si="335"/>
        <v>0</v>
      </c>
      <c r="S304" s="254">
        <f t="shared" si="335"/>
        <v>0</v>
      </c>
      <c r="T304" s="254">
        <f t="shared" si="335"/>
        <v>0</v>
      </c>
      <c r="U304" s="254">
        <f t="shared" si="335"/>
        <v>0</v>
      </c>
      <c r="V304" s="254">
        <f t="shared" si="335"/>
        <v>0</v>
      </c>
      <c r="W304" s="254">
        <f t="shared" si="335"/>
        <v>0</v>
      </c>
      <c r="X304" s="255"/>
      <c r="Y304" s="375">
        <f t="shared" si="325"/>
        <v>0</v>
      </c>
      <c r="Z304" s="376"/>
      <c r="AA304" s="254">
        <f t="shared" ref="AA304:AI304" si="336">IF($AC$75=0,0,
($AC$121+$AC$146+$AC$162)/$AC$75*AA62)</f>
        <v>0</v>
      </c>
      <c r="AB304" s="254">
        <f t="shared" si="336"/>
        <v>0</v>
      </c>
      <c r="AC304" s="254">
        <f t="shared" si="336"/>
        <v>0</v>
      </c>
      <c r="AD304" s="254">
        <f t="shared" si="336"/>
        <v>0</v>
      </c>
      <c r="AE304" s="254">
        <f t="shared" si="336"/>
        <v>0</v>
      </c>
      <c r="AF304" s="254">
        <f t="shared" si="336"/>
        <v>0</v>
      </c>
      <c r="AG304" s="254">
        <f t="shared" si="336"/>
        <v>0</v>
      </c>
      <c r="AH304" s="254">
        <f t="shared" si="336"/>
        <v>0</v>
      </c>
      <c r="AI304" s="254">
        <f t="shared" si="336"/>
        <v>0</v>
      </c>
      <c r="AJ304" s="255"/>
      <c r="AK304" s="375">
        <f t="shared" si="327"/>
        <v>0</v>
      </c>
      <c r="AL304" s="213"/>
      <c r="AM304" s="254">
        <f t="shared" ref="AM304:AU304" si="337">IF($AO$75=0,0,
($AO$121+$AO$146+$AO$162)/$AO$75*AM62)</f>
        <v>0</v>
      </c>
      <c r="AN304" s="254">
        <f t="shared" si="337"/>
        <v>0</v>
      </c>
      <c r="AO304" s="254">
        <f t="shared" si="337"/>
        <v>0</v>
      </c>
      <c r="AP304" s="254">
        <f t="shared" si="337"/>
        <v>0</v>
      </c>
      <c r="AQ304" s="254">
        <f t="shared" si="337"/>
        <v>0</v>
      </c>
      <c r="AR304" s="254">
        <f t="shared" si="337"/>
        <v>0</v>
      </c>
      <c r="AS304" s="254">
        <f t="shared" si="337"/>
        <v>0</v>
      </c>
      <c r="AT304" s="254">
        <f t="shared" si="337"/>
        <v>0</v>
      </c>
      <c r="AU304" s="254">
        <f t="shared" si="337"/>
        <v>0</v>
      </c>
      <c r="AV304" s="255"/>
      <c r="AW304" s="375">
        <f t="shared" si="329"/>
        <v>0</v>
      </c>
      <c r="AX304" s="213"/>
      <c r="AY304" s="254">
        <f t="shared" ref="AY304:BG304" si="338">IF($BA$75=0,0,
($BA$121+$BA$146+$BA$162)/$BA$75*AY62)</f>
        <v>0</v>
      </c>
      <c r="AZ304" s="254">
        <f t="shared" si="338"/>
        <v>0</v>
      </c>
      <c r="BA304" s="254">
        <f t="shared" si="338"/>
        <v>0</v>
      </c>
      <c r="BB304" s="254">
        <f t="shared" si="338"/>
        <v>0</v>
      </c>
      <c r="BC304" s="254">
        <f t="shared" si="338"/>
        <v>0</v>
      </c>
      <c r="BD304" s="254">
        <f t="shared" si="338"/>
        <v>0</v>
      </c>
      <c r="BE304" s="254">
        <f t="shared" si="338"/>
        <v>0</v>
      </c>
      <c r="BF304" s="254">
        <f t="shared" si="338"/>
        <v>0</v>
      </c>
      <c r="BG304" s="254">
        <f t="shared" si="338"/>
        <v>0</v>
      </c>
      <c r="BH304" s="255"/>
    </row>
    <row r="305" spans="1:60" x14ac:dyDescent="0.2">
      <c r="A305" s="648"/>
      <c r="B305" s="492" t="s">
        <v>352</v>
      </c>
      <c r="C305" s="656" t="s">
        <v>113</v>
      </c>
      <c r="D305" s="750"/>
      <c r="E305" s="367" t="str">
        <f>$R$73</f>
        <v>verlichting</v>
      </c>
      <c r="F305" s="246"/>
      <c r="G305" s="246"/>
      <c r="H305" s="247" t="s">
        <v>355</v>
      </c>
      <c r="I305" s="248"/>
      <c r="J305" s="375">
        <f t="shared" si="322"/>
        <v>0</v>
      </c>
      <c r="K305" s="376"/>
      <c r="L305" s="376"/>
      <c r="M305" s="375">
        <f t="shared" si="323"/>
        <v>0</v>
      </c>
      <c r="N305" s="376"/>
      <c r="O305" s="254">
        <f t="shared" ref="O305:W305" si="339">IF($R$75=0,0,$R$162/$R$75*O63)</f>
        <v>0</v>
      </c>
      <c r="P305" s="254">
        <f t="shared" si="339"/>
        <v>0</v>
      </c>
      <c r="Q305" s="254">
        <f t="shared" si="339"/>
        <v>0</v>
      </c>
      <c r="R305" s="254">
        <f t="shared" si="339"/>
        <v>0</v>
      </c>
      <c r="S305" s="254">
        <f t="shared" si="339"/>
        <v>0</v>
      </c>
      <c r="T305" s="254">
        <f t="shared" si="339"/>
        <v>0</v>
      </c>
      <c r="U305" s="254">
        <f t="shared" si="339"/>
        <v>0</v>
      </c>
      <c r="V305" s="254">
        <f t="shared" si="339"/>
        <v>0</v>
      </c>
      <c r="W305" s="254">
        <f t="shared" si="339"/>
        <v>0</v>
      </c>
      <c r="X305" s="255"/>
      <c r="Y305" s="375">
        <f t="shared" si="325"/>
        <v>0</v>
      </c>
      <c r="Z305" s="376"/>
      <c r="AA305" s="254">
        <f t="shared" ref="AA305:AI305" si="340">IF($AD$75=0,0,$AD$162/$AD$75*AA63)</f>
        <v>0</v>
      </c>
      <c r="AB305" s="254">
        <f t="shared" si="340"/>
        <v>0</v>
      </c>
      <c r="AC305" s="254">
        <f t="shared" si="340"/>
        <v>0</v>
      </c>
      <c r="AD305" s="254">
        <f t="shared" si="340"/>
        <v>0</v>
      </c>
      <c r="AE305" s="254">
        <f t="shared" si="340"/>
        <v>0</v>
      </c>
      <c r="AF305" s="254">
        <f t="shared" si="340"/>
        <v>0</v>
      </c>
      <c r="AG305" s="254">
        <f t="shared" si="340"/>
        <v>0</v>
      </c>
      <c r="AH305" s="254">
        <f t="shared" si="340"/>
        <v>0</v>
      </c>
      <c r="AI305" s="254">
        <f t="shared" si="340"/>
        <v>0</v>
      </c>
      <c r="AJ305" s="255"/>
      <c r="AK305" s="375">
        <f t="shared" si="327"/>
        <v>0</v>
      </c>
      <c r="AL305" s="213"/>
      <c r="AM305" s="254">
        <f t="shared" ref="AM305:AU305" si="341">IF($AP$75=0,0,$AP$162/$AP$75*AM63)</f>
        <v>0</v>
      </c>
      <c r="AN305" s="254">
        <f t="shared" si="341"/>
        <v>0</v>
      </c>
      <c r="AO305" s="254">
        <f t="shared" si="341"/>
        <v>0</v>
      </c>
      <c r="AP305" s="254">
        <f t="shared" si="341"/>
        <v>0</v>
      </c>
      <c r="AQ305" s="254">
        <f t="shared" si="341"/>
        <v>0</v>
      </c>
      <c r="AR305" s="254">
        <f t="shared" si="341"/>
        <v>0</v>
      </c>
      <c r="AS305" s="254">
        <f t="shared" si="341"/>
        <v>0</v>
      </c>
      <c r="AT305" s="254">
        <f t="shared" si="341"/>
        <v>0</v>
      </c>
      <c r="AU305" s="254">
        <f t="shared" si="341"/>
        <v>0</v>
      </c>
      <c r="AV305" s="255"/>
      <c r="AW305" s="375">
        <f t="shared" si="329"/>
        <v>0</v>
      </c>
      <c r="AX305" s="213"/>
      <c r="AY305" s="254">
        <f t="shared" ref="AY305:BG305" si="342">IF($BB$75=0,0,$BB$162/$BB$75*AY63)</f>
        <v>0</v>
      </c>
      <c r="AZ305" s="254">
        <f t="shared" si="342"/>
        <v>0</v>
      </c>
      <c r="BA305" s="254">
        <f t="shared" si="342"/>
        <v>0</v>
      </c>
      <c r="BB305" s="254">
        <f t="shared" si="342"/>
        <v>0</v>
      </c>
      <c r="BC305" s="254">
        <f t="shared" si="342"/>
        <v>0</v>
      </c>
      <c r="BD305" s="254">
        <f t="shared" si="342"/>
        <v>0</v>
      </c>
      <c r="BE305" s="254">
        <f t="shared" si="342"/>
        <v>0</v>
      </c>
      <c r="BF305" s="254">
        <f t="shared" si="342"/>
        <v>0</v>
      </c>
      <c r="BG305" s="254">
        <f t="shared" si="342"/>
        <v>0</v>
      </c>
      <c r="BH305" s="255"/>
    </row>
    <row r="306" spans="1:60" x14ac:dyDescent="0.2">
      <c r="A306" s="648"/>
      <c r="B306" s="492" t="s">
        <v>352</v>
      </c>
      <c r="C306" s="656" t="s">
        <v>113</v>
      </c>
      <c r="D306" s="750"/>
      <c r="E306" s="367" t="str">
        <f>$S$73</f>
        <v>ventilatoren</v>
      </c>
      <c r="F306" s="246"/>
      <c r="G306" s="246"/>
      <c r="H306" s="247" t="s">
        <v>355</v>
      </c>
      <c r="I306" s="248"/>
      <c r="J306" s="375">
        <f t="shared" si="322"/>
        <v>0</v>
      </c>
      <c r="K306" s="376"/>
      <c r="L306" s="376"/>
      <c r="M306" s="375">
        <f t="shared" si="323"/>
        <v>0</v>
      </c>
      <c r="N306" s="376"/>
      <c r="O306" s="254">
        <f t="shared" ref="O306:W306" si="343">IF($S$75=0,0,$S$162/$S$75*O64)</f>
        <v>0</v>
      </c>
      <c r="P306" s="254">
        <f t="shared" si="343"/>
        <v>0</v>
      </c>
      <c r="Q306" s="254">
        <f t="shared" si="343"/>
        <v>0</v>
      </c>
      <c r="R306" s="254">
        <f t="shared" si="343"/>
        <v>0</v>
      </c>
      <c r="S306" s="254">
        <f t="shared" si="343"/>
        <v>0</v>
      </c>
      <c r="T306" s="254">
        <f t="shared" si="343"/>
        <v>0</v>
      </c>
      <c r="U306" s="254">
        <f t="shared" si="343"/>
        <v>0</v>
      </c>
      <c r="V306" s="254">
        <f t="shared" si="343"/>
        <v>0</v>
      </c>
      <c r="W306" s="254">
        <f t="shared" si="343"/>
        <v>0</v>
      </c>
      <c r="X306" s="255"/>
      <c r="Y306" s="375">
        <f t="shared" si="325"/>
        <v>0</v>
      </c>
      <c r="Z306" s="376"/>
      <c r="AA306" s="254">
        <f t="shared" ref="AA306:AI306" si="344">IF($AE$75=0,0,$AE$162/$AE$75*AA64)</f>
        <v>0</v>
      </c>
      <c r="AB306" s="254">
        <f t="shared" si="344"/>
        <v>0</v>
      </c>
      <c r="AC306" s="254">
        <f t="shared" si="344"/>
        <v>0</v>
      </c>
      <c r="AD306" s="254">
        <f t="shared" si="344"/>
        <v>0</v>
      </c>
      <c r="AE306" s="254">
        <f t="shared" si="344"/>
        <v>0</v>
      </c>
      <c r="AF306" s="254">
        <f t="shared" si="344"/>
        <v>0</v>
      </c>
      <c r="AG306" s="254">
        <f t="shared" si="344"/>
        <v>0</v>
      </c>
      <c r="AH306" s="254">
        <f t="shared" si="344"/>
        <v>0</v>
      </c>
      <c r="AI306" s="254">
        <f t="shared" si="344"/>
        <v>0</v>
      </c>
      <c r="AJ306" s="255"/>
      <c r="AK306" s="375">
        <f t="shared" si="327"/>
        <v>0</v>
      </c>
      <c r="AL306" s="213"/>
      <c r="AM306" s="254">
        <f t="shared" ref="AM306:AU306" si="345">IF($AQ$75=0,0,$AQ$162/$AQ$75*AM64)</f>
        <v>0</v>
      </c>
      <c r="AN306" s="254">
        <f t="shared" si="345"/>
        <v>0</v>
      </c>
      <c r="AO306" s="254">
        <f t="shared" si="345"/>
        <v>0</v>
      </c>
      <c r="AP306" s="254">
        <f t="shared" si="345"/>
        <v>0</v>
      </c>
      <c r="AQ306" s="254">
        <f t="shared" si="345"/>
        <v>0</v>
      </c>
      <c r="AR306" s="254">
        <f t="shared" si="345"/>
        <v>0</v>
      </c>
      <c r="AS306" s="254">
        <f t="shared" si="345"/>
        <v>0</v>
      </c>
      <c r="AT306" s="254">
        <f t="shared" si="345"/>
        <v>0</v>
      </c>
      <c r="AU306" s="254">
        <f t="shared" si="345"/>
        <v>0</v>
      </c>
      <c r="AV306" s="255"/>
      <c r="AW306" s="375">
        <f t="shared" si="329"/>
        <v>0</v>
      </c>
      <c r="AX306" s="213"/>
      <c r="AY306" s="254">
        <f t="shared" ref="AY306:BG306" si="346">IF($BC$75=0,0,$BC$162/$BC$75*AY64)</f>
        <v>0</v>
      </c>
      <c r="AZ306" s="254">
        <f t="shared" si="346"/>
        <v>0</v>
      </c>
      <c r="BA306" s="254">
        <f t="shared" si="346"/>
        <v>0</v>
      </c>
      <c r="BB306" s="254">
        <f t="shared" si="346"/>
        <v>0</v>
      </c>
      <c r="BC306" s="254">
        <f t="shared" si="346"/>
        <v>0</v>
      </c>
      <c r="BD306" s="254">
        <f t="shared" si="346"/>
        <v>0</v>
      </c>
      <c r="BE306" s="254">
        <f t="shared" si="346"/>
        <v>0</v>
      </c>
      <c r="BF306" s="254">
        <f t="shared" si="346"/>
        <v>0</v>
      </c>
      <c r="BG306" s="254">
        <f t="shared" si="346"/>
        <v>0</v>
      </c>
      <c r="BH306" s="255"/>
    </row>
    <row r="307" spans="1:60" x14ac:dyDescent="0.2">
      <c r="A307" s="648"/>
      <c r="B307" s="492" t="s">
        <v>352</v>
      </c>
      <c r="C307" s="656" t="s">
        <v>113</v>
      </c>
      <c r="D307" s="750"/>
      <c r="E307" s="367" t="str">
        <f>$T$73</f>
        <v>kookgas</v>
      </c>
      <c r="F307" s="246"/>
      <c r="G307" s="246"/>
      <c r="H307" s="247" t="s">
        <v>355</v>
      </c>
      <c r="I307" s="248"/>
      <c r="J307" s="375">
        <f t="shared" si="322"/>
        <v>0</v>
      </c>
      <c r="K307" s="376"/>
      <c r="L307" s="376"/>
      <c r="M307" s="375">
        <f t="shared" si="323"/>
        <v>0</v>
      </c>
      <c r="N307" s="376"/>
      <c r="O307" s="254">
        <f t="shared" ref="O307:W307" si="347">IF($T$75=0,0,$T$162/$T$75*O65)</f>
        <v>0</v>
      </c>
      <c r="P307" s="254">
        <f t="shared" si="347"/>
        <v>0</v>
      </c>
      <c r="Q307" s="254">
        <f t="shared" si="347"/>
        <v>0</v>
      </c>
      <c r="R307" s="254">
        <f t="shared" si="347"/>
        <v>0</v>
      </c>
      <c r="S307" s="254">
        <f t="shared" si="347"/>
        <v>0</v>
      </c>
      <c r="T307" s="254">
        <f t="shared" si="347"/>
        <v>0</v>
      </c>
      <c r="U307" s="254">
        <f t="shared" si="347"/>
        <v>0</v>
      </c>
      <c r="V307" s="254">
        <f t="shared" si="347"/>
        <v>0</v>
      </c>
      <c r="W307" s="254">
        <f t="shared" si="347"/>
        <v>0</v>
      </c>
      <c r="X307" s="255"/>
      <c r="Y307" s="375">
        <f t="shared" si="325"/>
        <v>0</v>
      </c>
      <c r="Z307" s="376"/>
      <c r="AA307" s="254">
        <f t="shared" ref="AA307:AI307" si="348">IF($AF$75=0,0,$AF$162/$AF$75*AA65)</f>
        <v>0</v>
      </c>
      <c r="AB307" s="254">
        <f t="shared" si="348"/>
        <v>0</v>
      </c>
      <c r="AC307" s="254">
        <f t="shared" si="348"/>
        <v>0</v>
      </c>
      <c r="AD307" s="254">
        <f t="shared" si="348"/>
        <v>0</v>
      </c>
      <c r="AE307" s="254">
        <f t="shared" si="348"/>
        <v>0</v>
      </c>
      <c r="AF307" s="254">
        <f t="shared" si="348"/>
        <v>0</v>
      </c>
      <c r="AG307" s="254">
        <f t="shared" si="348"/>
        <v>0</v>
      </c>
      <c r="AH307" s="254">
        <f t="shared" si="348"/>
        <v>0</v>
      </c>
      <c r="AI307" s="254">
        <f t="shared" si="348"/>
        <v>0</v>
      </c>
      <c r="AJ307" s="255"/>
      <c r="AK307" s="375">
        <f t="shared" si="327"/>
        <v>0</v>
      </c>
      <c r="AL307" s="213"/>
      <c r="AM307" s="254">
        <f t="shared" ref="AM307:AU307" si="349">IF($AR$75=0,0,$AR$162/$AR$75*AM65)</f>
        <v>0</v>
      </c>
      <c r="AN307" s="254">
        <f t="shared" si="349"/>
        <v>0</v>
      </c>
      <c r="AO307" s="254">
        <f t="shared" si="349"/>
        <v>0</v>
      </c>
      <c r="AP307" s="254">
        <f t="shared" si="349"/>
        <v>0</v>
      </c>
      <c r="AQ307" s="254">
        <f t="shared" si="349"/>
        <v>0</v>
      </c>
      <c r="AR307" s="254">
        <f t="shared" si="349"/>
        <v>0</v>
      </c>
      <c r="AS307" s="254">
        <f t="shared" si="349"/>
        <v>0</v>
      </c>
      <c r="AT307" s="254">
        <f t="shared" si="349"/>
        <v>0</v>
      </c>
      <c r="AU307" s="254">
        <f t="shared" si="349"/>
        <v>0</v>
      </c>
      <c r="AV307" s="255"/>
      <c r="AW307" s="375">
        <f t="shared" si="329"/>
        <v>0</v>
      </c>
      <c r="AX307" s="213"/>
      <c r="AY307" s="254">
        <f t="shared" ref="AY307:BG307" si="350">IF($BD$75=0,0,$BD$162/$BD$75*AY65)</f>
        <v>0</v>
      </c>
      <c r="AZ307" s="254">
        <f t="shared" si="350"/>
        <v>0</v>
      </c>
      <c r="BA307" s="254">
        <f t="shared" si="350"/>
        <v>0</v>
      </c>
      <c r="BB307" s="254">
        <f t="shared" si="350"/>
        <v>0</v>
      </c>
      <c r="BC307" s="254">
        <f t="shared" si="350"/>
        <v>0</v>
      </c>
      <c r="BD307" s="254">
        <f t="shared" si="350"/>
        <v>0</v>
      </c>
      <c r="BE307" s="254">
        <f t="shared" si="350"/>
        <v>0</v>
      </c>
      <c r="BF307" s="254">
        <f t="shared" si="350"/>
        <v>0</v>
      </c>
      <c r="BG307" s="254">
        <f t="shared" si="350"/>
        <v>0</v>
      </c>
      <c r="BH307" s="255"/>
    </row>
    <row r="308" spans="1:60" x14ac:dyDescent="0.2">
      <c r="A308" s="648"/>
      <c r="B308" s="492" t="s">
        <v>352</v>
      </c>
      <c r="C308" s="656" t="s">
        <v>113</v>
      </c>
      <c r="D308" s="750"/>
      <c r="E308" s="367" t="str">
        <f>$U$73</f>
        <v>overig elektra</v>
      </c>
      <c r="F308" s="246"/>
      <c r="G308" s="246"/>
      <c r="H308" s="247" t="s">
        <v>355</v>
      </c>
      <c r="I308" s="248"/>
      <c r="J308" s="375">
        <f t="shared" si="322"/>
        <v>0</v>
      </c>
      <c r="K308" s="376"/>
      <c r="L308" s="376"/>
      <c r="M308" s="375">
        <f t="shared" si="323"/>
        <v>0</v>
      </c>
      <c r="N308" s="376"/>
      <c r="O308" s="254">
        <f t="shared" ref="O308:W308" si="351">IF($U$75=0,0,$U$162/$U$75*O66)</f>
        <v>0</v>
      </c>
      <c r="P308" s="254">
        <f t="shared" si="351"/>
        <v>0</v>
      </c>
      <c r="Q308" s="254">
        <f t="shared" si="351"/>
        <v>0</v>
      </c>
      <c r="R308" s="254">
        <f t="shared" si="351"/>
        <v>0</v>
      </c>
      <c r="S308" s="254">
        <f t="shared" si="351"/>
        <v>0</v>
      </c>
      <c r="T308" s="254">
        <f t="shared" si="351"/>
        <v>0</v>
      </c>
      <c r="U308" s="254">
        <f t="shared" si="351"/>
        <v>0</v>
      </c>
      <c r="V308" s="254">
        <f t="shared" si="351"/>
        <v>0</v>
      </c>
      <c r="W308" s="254">
        <f t="shared" si="351"/>
        <v>0</v>
      </c>
      <c r="X308" s="255"/>
      <c r="Y308" s="375">
        <f t="shared" si="325"/>
        <v>0</v>
      </c>
      <c r="Z308" s="376"/>
      <c r="AA308" s="254">
        <f t="shared" ref="AA308:AI308" si="352">IF($AG$75=0,0,$AG$162/$AG$75*AA66)</f>
        <v>0</v>
      </c>
      <c r="AB308" s="254">
        <f t="shared" si="352"/>
        <v>0</v>
      </c>
      <c r="AC308" s="254">
        <f t="shared" si="352"/>
        <v>0</v>
      </c>
      <c r="AD308" s="254">
        <f t="shared" si="352"/>
        <v>0</v>
      </c>
      <c r="AE308" s="254">
        <f t="shared" si="352"/>
        <v>0</v>
      </c>
      <c r="AF308" s="254">
        <f t="shared" si="352"/>
        <v>0</v>
      </c>
      <c r="AG308" s="254">
        <f t="shared" si="352"/>
        <v>0</v>
      </c>
      <c r="AH308" s="254">
        <f t="shared" si="352"/>
        <v>0</v>
      </c>
      <c r="AI308" s="254">
        <f t="shared" si="352"/>
        <v>0</v>
      </c>
      <c r="AJ308" s="255"/>
      <c r="AK308" s="375">
        <f t="shared" si="327"/>
        <v>0</v>
      </c>
      <c r="AL308" s="213"/>
      <c r="AM308" s="254">
        <f t="shared" ref="AM308:AU308" si="353">IF($AS$75=0,0,$AS$162/$AS$75*AM66)</f>
        <v>0</v>
      </c>
      <c r="AN308" s="254">
        <f t="shared" si="353"/>
        <v>0</v>
      </c>
      <c r="AO308" s="254">
        <f t="shared" si="353"/>
        <v>0</v>
      </c>
      <c r="AP308" s="254">
        <f t="shared" si="353"/>
        <v>0</v>
      </c>
      <c r="AQ308" s="254">
        <f t="shared" si="353"/>
        <v>0</v>
      </c>
      <c r="AR308" s="254">
        <f t="shared" si="353"/>
        <v>0</v>
      </c>
      <c r="AS308" s="254">
        <f t="shared" si="353"/>
        <v>0</v>
      </c>
      <c r="AT308" s="254">
        <f t="shared" si="353"/>
        <v>0</v>
      </c>
      <c r="AU308" s="254">
        <f t="shared" si="353"/>
        <v>0</v>
      </c>
      <c r="AV308" s="255"/>
      <c r="AW308" s="375">
        <f t="shared" si="329"/>
        <v>0</v>
      </c>
      <c r="AX308" s="213"/>
      <c r="AY308" s="254">
        <f t="shared" ref="AY308:BG308" si="354">IF($BE$75=0,0,$BE$162/$BE$75*AY66)</f>
        <v>0</v>
      </c>
      <c r="AZ308" s="254">
        <f t="shared" si="354"/>
        <v>0</v>
      </c>
      <c r="BA308" s="254">
        <f t="shared" si="354"/>
        <v>0</v>
      </c>
      <c r="BB308" s="254">
        <f t="shared" si="354"/>
        <v>0</v>
      </c>
      <c r="BC308" s="254">
        <f t="shared" si="354"/>
        <v>0</v>
      </c>
      <c r="BD308" s="254">
        <f t="shared" si="354"/>
        <v>0</v>
      </c>
      <c r="BE308" s="254">
        <f t="shared" si="354"/>
        <v>0</v>
      </c>
      <c r="BF308" s="254">
        <f t="shared" si="354"/>
        <v>0</v>
      </c>
      <c r="BG308" s="254">
        <f t="shared" si="354"/>
        <v>0</v>
      </c>
      <c r="BH308" s="255"/>
    </row>
    <row r="309" spans="1:60" x14ac:dyDescent="0.2">
      <c r="A309" s="648"/>
      <c r="B309" s="492" t="s">
        <v>352</v>
      </c>
      <c r="C309" s="656" t="s">
        <v>113</v>
      </c>
      <c r="D309" s="750"/>
      <c r="E309" s="367" t="str">
        <f>$V$73</f>
        <v>mobiliteit</v>
      </c>
      <c r="F309" s="246"/>
      <c r="G309" s="246"/>
      <c r="H309" s="247" t="s">
        <v>355</v>
      </c>
      <c r="I309" s="248"/>
      <c r="J309" s="375">
        <f t="shared" si="322"/>
        <v>0</v>
      </c>
      <c r="K309" s="376"/>
      <c r="L309" s="376"/>
      <c r="M309" s="375">
        <f t="shared" si="323"/>
        <v>0</v>
      </c>
      <c r="N309" s="376"/>
      <c r="O309" s="254">
        <f t="shared" ref="O309:W309" si="355">IF(OR($V$154=0,O$31=0),0,$V$162/$V$154*O$68/O$31)</f>
        <v>0</v>
      </c>
      <c r="P309" s="254">
        <f t="shared" si="355"/>
        <v>0</v>
      </c>
      <c r="Q309" s="254">
        <f t="shared" si="355"/>
        <v>0</v>
      </c>
      <c r="R309" s="254">
        <f t="shared" si="355"/>
        <v>0</v>
      </c>
      <c r="S309" s="254">
        <f t="shared" si="355"/>
        <v>0</v>
      </c>
      <c r="T309" s="254">
        <f t="shared" si="355"/>
        <v>0</v>
      </c>
      <c r="U309" s="254">
        <f t="shared" si="355"/>
        <v>0</v>
      </c>
      <c r="V309" s="254">
        <f t="shared" si="355"/>
        <v>0</v>
      </c>
      <c r="W309" s="254">
        <f t="shared" si="355"/>
        <v>0</v>
      </c>
      <c r="X309" s="255"/>
      <c r="Y309" s="375">
        <f t="shared" si="325"/>
        <v>0</v>
      </c>
      <c r="Z309" s="376"/>
      <c r="AA309" s="254">
        <f t="shared" ref="AA309:AI309" si="356">IF(OR($AH$154=0,AA$31=0),0,$AH$162/$AH$154*AA$68/AA$31)</f>
        <v>0</v>
      </c>
      <c r="AB309" s="254">
        <f t="shared" si="356"/>
        <v>0</v>
      </c>
      <c r="AC309" s="254">
        <f t="shared" si="356"/>
        <v>0</v>
      </c>
      <c r="AD309" s="254">
        <f t="shared" si="356"/>
        <v>0</v>
      </c>
      <c r="AE309" s="254">
        <f t="shared" si="356"/>
        <v>0</v>
      </c>
      <c r="AF309" s="254">
        <f t="shared" si="356"/>
        <v>0</v>
      </c>
      <c r="AG309" s="254">
        <f t="shared" si="356"/>
        <v>0</v>
      </c>
      <c r="AH309" s="254">
        <f t="shared" si="356"/>
        <v>0</v>
      </c>
      <c r="AI309" s="254">
        <f t="shared" si="356"/>
        <v>0</v>
      </c>
      <c r="AJ309" s="255"/>
      <c r="AK309" s="375">
        <f t="shared" si="327"/>
        <v>0</v>
      </c>
      <c r="AL309" s="213"/>
      <c r="AM309" s="254">
        <f t="shared" ref="AM309:AU309" si="357">IF(OR($AT$154=0,AM$31=0),0,$AT$162/$AT$154*AM$68/AM$31)</f>
        <v>0</v>
      </c>
      <c r="AN309" s="254">
        <f t="shared" si="357"/>
        <v>0</v>
      </c>
      <c r="AO309" s="254">
        <f t="shared" si="357"/>
        <v>0</v>
      </c>
      <c r="AP309" s="254">
        <f t="shared" si="357"/>
        <v>0</v>
      </c>
      <c r="AQ309" s="254">
        <f t="shared" si="357"/>
        <v>0</v>
      </c>
      <c r="AR309" s="254">
        <f t="shared" si="357"/>
        <v>0</v>
      </c>
      <c r="AS309" s="254">
        <f t="shared" si="357"/>
        <v>0</v>
      </c>
      <c r="AT309" s="254">
        <f t="shared" si="357"/>
        <v>0</v>
      </c>
      <c r="AU309" s="254">
        <f t="shared" si="357"/>
        <v>0</v>
      </c>
      <c r="AV309" s="255"/>
      <c r="AW309" s="375">
        <f t="shared" si="329"/>
        <v>0</v>
      </c>
      <c r="AX309" s="213"/>
      <c r="AY309" s="254">
        <f t="shared" ref="AY309:BG309" si="358">IF(OR($BF$154=0,AY$31=0),0,$BF$162/$BF$154*AY$68/AY$31)</f>
        <v>0</v>
      </c>
      <c r="AZ309" s="254">
        <f t="shared" si="358"/>
        <v>0</v>
      </c>
      <c r="BA309" s="254">
        <f t="shared" si="358"/>
        <v>0</v>
      </c>
      <c r="BB309" s="254">
        <f t="shared" si="358"/>
        <v>0</v>
      </c>
      <c r="BC309" s="254">
        <f t="shared" si="358"/>
        <v>0</v>
      </c>
      <c r="BD309" s="254">
        <f t="shared" si="358"/>
        <v>0</v>
      </c>
      <c r="BE309" s="254">
        <f t="shared" si="358"/>
        <v>0</v>
      </c>
      <c r="BF309" s="254">
        <f t="shared" si="358"/>
        <v>0</v>
      </c>
      <c r="BG309" s="254">
        <f t="shared" si="358"/>
        <v>0</v>
      </c>
      <c r="BH309" s="255"/>
    </row>
    <row r="310" spans="1:60" x14ac:dyDescent="0.2">
      <c r="A310" s="648"/>
      <c r="B310" s="492" t="s">
        <v>352</v>
      </c>
      <c r="C310" s="656" t="s">
        <v>113</v>
      </c>
      <c r="D310" s="750"/>
      <c r="E310" s="246" t="s">
        <v>356</v>
      </c>
      <c r="F310" s="246"/>
      <c r="G310" s="246"/>
      <c r="H310" s="247" t="s">
        <v>355</v>
      </c>
      <c r="I310" s="248"/>
      <c r="J310" s="375">
        <f t="shared" si="322"/>
        <v>0</v>
      </c>
      <c r="K310" s="376"/>
      <c r="L310" s="376"/>
      <c r="M310" s="375">
        <f>SUM(M302:M309)</f>
        <v>0</v>
      </c>
      <c r="N310" s="376"/>
      <c r="O310" s="254">
        <f t="shared" ref="O310:W310" si="359">SUM(O302:O309)</f>
        <v>0</v>
      </c>
      <c r="P310" s="254">
        <f t="shared" si="359"/>
        <v>0</v>
      </c>
      <c r="Q310" s="254">
        <f t="shared" si="359"/>
        <v>0</v>
      </c>
      <c r="R310" s="254">
        <f t="shared" si="359"/>
        <v>0</v>
      </c>
      <c r="S310" s="254">
        <f t="shared" si="359"/>
        <v>0</v>
      </c>
      <c r="T310" s="254">
        <f>SUM(T302:T309)</f>
        <v>0</v>
      </c>
      <c r="U310" s="254">
        <f t="shared" si="359"/>
        <v>0</v>
      </c>
      <c r="V310" s="254">
        <f t="shared" si="359"/>
        <v>0</v>
      </c>
      <c r="W310" s="254">
        <f t="shared" si="359"/>
        <v>0</v>
      </c>
      <c r="X310" s="255"/>
      <c r="Y310" s="375">
        <f>SUM(Y302:Y309)</f>
        <v>0</v>
      </c>
      <c r="Z310" s="376"/>
      <c r="AA310" s="254">
        <f t="shared" ref="AA310:AI310" si="360">SUM(AA302:AA309)</f>
        <v>0</v>
      </c>
      <c r="AB310" s="254">
        <f t="shared" si="360"/>
        <v>0</v>
      </c>
      <c r="AC310" s="254">
        <f t="shared" si="360"/>
        <v>0</v>
      </c>
      <c r="AD310" s="254">
        <f t="shared" si="360"/>
        <v>0</v>
      </c>
      <c r="AE310" s="254">
        <f t="shared" si="360"/>
        <v>0</v>
      </c>
      <c r="AF310" s="254">
        <f>SUM(AF302:AF309)</f>
        <v>0</v>
      </c>
      <c r="AG310" s="254">
        <f t="shared" si="360"/>
        <v>0</v>
      </c>
      <c r="AH310" s="254">
        <f t="shared" si="360"/>
        <v>0</v>
      </c>
      <c r="AI310" s="254">
        <f t="shared" si="360"/>
        <v>0</v>
      </c>
      <c r="AJ310" s="255"/>
      <c r="AK310" s="375">
        <f>SUM(AK302:AK309)</f>
        <v>0</v>
      </c>
      <c r="AL310" s="213"/>
      <c r="AM310" s="254">
        <f t="shared" ref="AM310:AU310" si="361">SUM(AM302:AM309)</f>
        <v>0</v>
      </c>
      <c r="AN310" s="254">
        <f t="shared" si="361"/>
        <v>0</v>
      </c>
      <c r="AO310" s="254">
        <f t="shared" si="361"/>
        <v>0</v>
      </c>
      <c r="AP310" s="254">
        <f t="shared" si="361"/>
        <v>0</v>
      </c>
      <c r="AQ310" s="254">
        <f t="shared" si="361"/>
        <v>0</v>
      </c>
      <c r="AR310" s="254">
        <f>SUM(AR302:AR309)</f>
        <v>0</v>
      </c>
      <c r="AS310" s="254">
        <f t="shared" si="361"/>
        <v>0</v>
      </c>
      <c r="AT310" s="254">
        <f t="shared" si="361"/>
        <v>0</v>
      </c>
      <c r="AU310" s="254">
        <f t="shared" si="361"/>
        <v>0</v>
      </c>
      <c r="AV310" s="255"/>
      <c r="AW310" s="375">
        <f>SUM(AW302:AW309)</f>
        <v>0</v>
      </c>
      <c r="AX310" s="213"/>
      <c r="AY310" s="254">
        <f t="shared" ref="AY310:BG310" si="362">SUM(AY302:AY309)</f>
        <v>0</v>
      </c>
      <c r="AZ310" s="254">
        <f t="shared" si="362"/>
        <v>0</v>
      </c>
      <c r="BA310" s="254">
        <f t="shared" si="362"/>
        <v>0</v>
      </c>
      <c r="BB310" s="254">
        <f t="shared" si="362"/>
        <v>0</v>
      </c>
      <c r="BC310" s="254">
        <f t="shared" si="362"/>
        <v>0</v>
      </c>
      <c r="BD310" s="254">
        <f>SUM(BD302:BD309)</f>
        <v>0</v>
      </c>
      <c r="BE310" s="254">
        <f t="shared" si="362"/>
        <v>0</v>
      </c>
      <c r="BF310" s="254">
        <f t="shared" si="362"/>
        <v>0</v>
      </c>
      <c r="BG310" s="254">
        <f t="shared" si="362"/>
        <v>0</v>
      </c>
      <c r="BH310" s="255"/>
    </row>
    <row r="311" spans="1:60" ht="18.75" x14ac:dyDescent="0.2">
      <c r="A311" s="648"/>
      <c r="B311" s="492" t="s">
        <v>352</v>
      </c>
      <c r="C311" s="739" t="s">
        <v>104</v>
      </c>
      <c r="D311" s="747"/>
      <c r="E311" s="236" t="s">
        <v>357</v>
      </c>
      <c r="F311" s="236"/>
      <c r="G311" s="236"/>
      <c r="H311" s="89"/>
      <c r="I311" s="236"/>
      <c r="J311" s="279"/>
      <c r="K311" s="279"/>
      <c r="L311" s="279"/>
      <c r="M311" s="279"/>
      <c r="N311" s="279"/>
      <c r="O311" s="279"/>
      <c r="P311" s="279"/>
      <c r="Q311" s="279"/>
      <c r="R311" s="279"/>
      <c r="S311" s="279"/>
      <c r="T311" s="279"/>
      <c r="U311" s="279"/>
      <c r="V311" s="279"/>
      <c r="W311" s="279"/>
      <c r="X311" s="279"/>
      <c r="Y311" s="279"/>
      <c r="Z311" s="279"/>
      <c r="AA311" s="279"/>
      <c r="AB311" s="279"/>
      <c r="AC311" s="279"/>
      <c r="AD311" s="279"/>
      <c r="AE311" s="279"/>
      <c r="AF311" s="279"/>
      <c r="AG311" s="279"/>
      <c r="AH311" s="279"/>
      <c r="AI311" s="279"/>
      <c r="AJ311" s="279"/>
      <c r="AK311" s="279"/>
      <c r="AL311" s="279"/>
      <c r="AM311" s="279"/>
      <c r="AN311" s="279"/>
      <c r="AO311" s="279"/>
      <c r="AP311" s="279"/>
      <c r="AQ311" s="279"/>
      <c r="AR311" s="279"/>
      <c r="AS311" s="279"/>
      <c r="AT311" s="279"/>
      <c r="AU311" s="279"/>
      <c r="AV311" s="279"/>
      <c r="AW311" s="279"/>
      <c r="AX311" s="279"/>
      <c r="AY311" s="279"/>
      <c r="AZ311" s="279"/>
      <c r="BA311" s="279"/>
      <c r="BB311" s="279"/>
      <c r="BC311" s="279"/>
      <c r="BD311" s="279"/>
      <c r="BE311" s="279"/>
      <c r="BF311" s="279"/>
      <c r="BG311" s="279"/>
      <c r="BH311" s="38"/>
    </row>
    <row r="312" spans="1:60" x14ac:dyDescent="0.2">
      <c r="A312" s="648"/>
      <c r="B312" s="492" t="s">
        <v>352</v>
      </c>
      <c r="C312" s="656" t="s">
        <v>113</v>
      </c>
      <c r="D312" s="750"/>
      <c r="E312" s="220" t="s">
        <v>358</v>
      </c>
      <c r="F312" s="246"/>
      <c r="G312" s="246"/>
      <c r="H312" s="247" t="s">
        <v>355</v>
      </c>
      <c r="I312" s="248"/>
      <c r="J312" s="375">
        <f>M312+Y312+AK312+AW312</f>
        <v>0</v>
      </c>
      <c r="K312" s="376"/>
      <c r="L312" s="376"/>
      <c r="M312" s="375">
        <f>SUMPRODUCT(N312:X312,N$24:X$24,N$31:X$31)/1000</f>
        <v>0</v>
      </c>
      <c r="N312" s="376"/>
      <c r="O312" s="254">
        <f t="shared" ref="O312:W312" si="363">IF(OR(O$24=0,O$31=0,($M$167+$M$168)=0),0,
-(O234*$M$167/($M$167+$M$168)*$M$181*1000)/(O24*O31))</f>
        <v>0</v>
      </c>
      <c r="P312" s="254">
        <f t="shared" si="363"/>
        <v>0</v>
      </c>
      <c r="Q312" s="254">
        <f t="shared" si="363"/>
        <v>0</v>
      </c>
      <c r="R312" s="254">
        <f t="shared" si="363"/>
        <v>0</v>
      </c>
      <c r="S312" s="254">
        <f t="shared" si="363"/>
        <v>0</v>
      </c>
      <c r="T312" s="254">
        <f t="shared" si="363"/>
        <v>0</v>
      </c>
      <c r="U312" s="254">
        <f t="shared" si="363"/>
        <v>0</v>
      </c>
      <c r="V312" s="254">
        <f t="shared" si="363"/>
        <v>0</v>
      </c>
      <c r="W312" s="254">
        <f t="shared" si="363"/>
        <v>0</v>
      </c>
      <c r="X312" s="255"/>
      <c r="Y312" s="375">
        <f>SUMPRODUCT(Z312:AJ312,Z$24:AJ$24,Z$31:AJ$31)/1000</f>
        <v>0</v>
      </c>
      <c r="Z312" s="376"/>
      <c r="AA312" s="254">
        <f t="shared" ref="AA312:AI312" si="364">IF(OR(AA$24=0,AA$31=0,($Y$167+$Y$168)=0),0,
-(AA234*$Y$167/($Y$167+$Y$168)*$Y$181*1000)/(AA24*AA31))</f>
        <v>0</v>
      </c>
      <c r="AB312" s="254">
        <f t="shared" si="364"/>
        <v>0</v>
      </c>
      <c r="AC312" s="254">
        <f t="shared" si="364"/>
        <v>0</v>
      </c>
      <c r="AD312" s="254">
        <f t="shared" si="364"/>
        <v>0</v>
      </c>
      <c r="AE312" s="254">
        <f t="shared" si="364"/>
        <v>0</v>
      </c>
      <c r="AF312" s="254">
        <f t="shared" si="364"/>
        <v>0</v>
      </c>
      <c r="AG312" s="254">
        <f t="shared" si="364"/>
        <v>0</v>
      </c>
      <c r="AH312" s="254">
        <f t="shared" si="364"/>
        <v>0</v>
      </c>
      <c r="AI312" s="254">
        <f t="shared" si="364"/>
        <v>0</v>
      </c>
      <c r="AJ312" s="255"/>
      <c r="AK312" s="375">
        <f>SUMPRODUCT(AL312:AV312,AL$24:AV$24,AL$31:AV$31)/1000</f>
        <v>0</v>
      </c>
      <c r="AL312" s="213"/>
      <c r="AM312" s="254">
        <f t="shared" ref="AM312:AU312" si="365">IF(OR(AM$24=0,AM$31=0,($AK$167+$AK$168)=0),0,
-(AM234*$AK$167/($AK$167+$AK$168)*$AK$181*1000)/(AM24*AM31))</f>
        <v>0</v>
      </c>
      <c r="AN312" s="254">
        <f t="shared" si="365"/>
        <v>0</v>
      </c>
      <c r="AO312" s="254">
        <f t="shared" si="365"/>
        <v>0</v>
      </c>
      <c r="AP312" s="254">
        <f t="shared" si="365"/>
        <v>0</v>
      </c>
      <c r="AQ312" s="254">
        <f t="shared" si="365"/>
        <v>0</v>
      </c>
      <c r="AR312" s="254">
        <f t="shared" si="365"/>
        <v>0</v>
      </c>
      <c r="AS312" s="254">
        <f t="shared" si="365"/>
        <v>0</v>
      </c>
      <c r="AT312" s="254">
        <f t="shared" si="365"/>
        <v>0</v>
      </c>
      <c r="AU312" s="254">
        <f t="shared" si="365"/>
        <v>0</v>
      </c>
      <c r="AV312" s="255"/>
      <c r="AW312" s="375">
        <f>SUMPRODUCT(AX312:BH312,AX$24:BH$24,AX$31:BH$31)/1000</f>
        <v>0</v>
      </c>
      <c r="AX312" s="213"/>
      <c r="AY312" s="254">
        <f t="shared" ref="AY312:BG312" si="366">IF(OR(AY$24=0,AY$31=0,($AW$167+$AW$168)=0),0,
-(AY234*$AW$167/($AW$167+$AW$168)*$AW$181*1000)/(AY24*AY31))</f>
        <v>0</v>
      </c>
      <c r="AZ312" s="254">
        <f t="shared" si="366"/>
        <v>0</v>
      </c>
      <c r="BA312" s="254">
        <f t="shared" si="366"/>
        <v>0</v>
      </c>
      <c r="BB312" s="254">
        <f t="shared" si="366"/>
        <v>0</v>
      </c>
      <c r="BC312" s="254">
        <f t="shared" si="366"/>
        <v>0</v>
      </c>
      <c r="BD312" s="254">
        <f t="shared" si="366"/>
        <v>0</v>
      </c>
      <c r="BE312" s="254">
        <f t="shared" si="366"/>
        <v>0</v>
      </c>
      <c r="BF312" s="254">
        <f t="shared" si="366"/>
        <v>0</v>
      </c>
      <c r="BG312" s="254">
        <f t="shared" si="366"/>
        <v>0</v>
      </c>
      <c r="BH312" s="255"/>
    </row>
    <row r="313" spans="1:60" x14ac:dyDescent="0.2">
      <c r="A313" s="648"/>
      <c r="B313" s="492" t="s">
        <v>352</v>
      </c>
      <c r="C313" s="656" t="s">
        <v>113</v>
      </c>
      <c r="D313" s="750"/>
      <c r="E313" s="220" t="s">
        <v>359</v>
      </c>
      <c r="F313" s="246"/>
      <c r="G313" s="246"/>
      <c r="H313" s="247" t="s">
        <v>355</v>
      </c>
      <c r="I313" s="248"/>
      <c r="J313" s="375">
        <f>M313+Y313+AK313+AW313</f>
        <v>0</v>
      </c>
      <c r="K313" s="376"/>
      <c r="L313" s="376"/>
      <c r="M313" s="375">
        <f>SUMPRODUCT(N313:X313,N$24:X$24,N$31:X$31)/1000</f>
        <v>0</v>
      </c>
      <c r="N313" s="376"/>
      <c r="O313" s="254">
        <f t="shared" ref="O313:W313" si="367">IF(OR(O$24=0,O$31=0,($M$167+$M$168)=0),0,
-O70*$M$181/($M$167+$M$168)/O31)</f>
        <v>0</v>
      </c>
      <c r="P313" s="254">
        <f t="shared" si="367"/>
        <v>0</v>
      </c>
      <c r="Q313" s="254">
        <f t="shared" si="367"/>
        <v>0</v>
      </c>
      <c r="R313" s="254">
        <f t="shared" si="367"/>
        <v>0</v>
      </c>
      <c r="S313" s="254">
        <f t="shared" si="367"/>
        <v>0</v>
      </c>
      <c r="T313" s="254">
        <f t="shared" si="367"/>
        <v>0</v>
      </c>
      <c r="U313" s="254">
        <f t="shared" si="367"/>
        <v>0</v>
      </c>
      <c r="V313" s="254">
        <f t="shared" si="367"/>
        <v>0</v>
      </c>
      <c r="W313" s="254">
        <f t="shared" si="367"/>
        <v>0</v>
      </c>
      <c r="X313" s="255"/>
      <c r="Y313" s="375">
        <f>SUMPRODUCT(Z313:AJ313,Z$24:AJ$24,Z$31:AJ$31)/1000</f>
        <v>0</v>
      </c>
      <c r="Z313" s="376"/>
      <c r="AA313" s="254">
        <f t="shared" ref="AA313:AI313" si="368">IF(OR(AA$24=0,AA$31=0,($Y$167+$Y$168)=0),0,
-AA70*$Y$181/($Y$167+$Y$168)/AA31)</f>
        <v>0</v>
      </c>
      <c r="AB313" s="254">
        <f t="shared" si="368"/>
        <v>0</v>
      </c>
      <c r="AC313" s="254">
        <f t="shared" si="368"/>
        <v>0</v>
      </c>
      <c r="AD313" s="254">
        <f t="shared" si="368"/>
        <v>0</v>
      </c>
      <c r="AE313" s="254">
        <f t="shared" si="368"/>
        <v>0</v>
      </c>
      <c r="AF313" s="254">
        <f t="shared" si="368"/>
        <v>0</v>
      </c>
      <c r="AG313" s="254">
        <f t="shared" si="368"/>
        <v>0</v>
      </c>
      <c r="AH313" s="254">
        <f t="shared" si="368"/>
        <v>0</v>
      </c>
      <c r="AI313" s="254">
        <f t="shared" si="368"/>
        <v>0</v>
      </c>
      <c r="AJ313" s="255"/>
      <c r="AK313" s="375">
        <f>SUMPRODUCT(AL313:AV313,AL$24:AV$24,AL$31:AV$31)/1000</f>
        <v>0</v>
      </c>
      <c r="AL313" s="213"/>
      <c r="AM313" s="254">
        <f t="shared" ref="AM313:AU313" si="369">IF(OR(AM$24=0,AM$31=0,($AK$167+$AK$168)=0),0,
-AM70*$AK$181/($AK$167+$AK$168)/AM31)</f>
        <v>0</v>
      </c>
      <c r="AN313" s="254">
        <f t="shared" si="369"/>
        <v>0</v>
      </c>
      <c r="AO313" s="254">
        <f t="shared" si="369"/>
        <v>0</v>
      </c>
      <c r="AP313" s="254">
        <f t="shared" si="369"/>
        <v>0</v>
      </c>
      <c r="AQ313" s="254">
        <f t="shared" si="369"/>
        <v>0</v>
      </c>
      <c r="AR313" s="254">
        <f t="shared" si="369"/>
        <v>0</v>
      </c>
      <c r="AS313" s="254">
        <f t="shared" si="369"/>
        <v>0</v>
      </c>
      <c r="AT313" s="254">
        <f t="shared" si="369"/>
        <v>0</v>
      </c>
      <c r="AU313" s="254">
        <f t="shared" si="369"/>
        <v>0</v>
      </c>
      <c r="AV313" s="255"/>
      <c r="AW313" s="375">
        <f>SUMPRODUCT(AX313:BH313,AX$24:BH$24,AX$31:BH$31)/1000</f>
        <v>0</v>
      </c>
      <c r="AX313" s="213"/>
      <c r="AY313" s="254">
        <f t="shared" ref="AY313:BG313" si="370">IF(OR(AY$24=0,AY$31=0,($AW$167+$AW$168)=0),0,
-AY70*$AW$181/($AW$167+$AW$168)/AY31)</f>
        <v>0</v>
      </c>
      <c r="AZ313" s="254">
        <f t="shared" si="370"/>
        <v>0</v>
      </c>
      <c r="BA313" s="254">
        <f t="shared" si="370"/>
        <v>0</v>
      </c>
      <c r="BB313" s="254">
        <f t="shared" si="370"/>
        <v>0</v>
      </c>
      <c r="BC313" s="254">
        <f t="shared" si="370"/>
        <v>0</v>
      </c>
      <c r="BD313" s="254">
        <f t="shared" si="370"/>
        <v>0</v>
      </c>
      <c r="BE313" s="254">
        <f t="shared" si="370"/>
        <v>0</v>
      </c>
      <c r="BF313" s="254">
        <f t="shared" si="370"/>
        <v>0</v>
      </c>
      <c r="BG313" s="254">
        <f t="shared" si="370"/>
        <v>0</v>
      </c>
      <c r="BH313" s="255"/>
    </row>
    <row r="314" spans="1:60" x14ac:dyDescent="0.2">
      <c r="A314" s="648"/>
      <c r="B314" s="492" t="s">
        <v>352</v>
      </c>
      <c r="C314" s="656" t="s">
        <v>113</v>
      </c>
      <c r="D314" s="750"/>
      <c r="E314" s="246" t="s">
        <v>360</v>
      </c>
      <c r="F314" s="246"/>
      <c r="G314" s="246"/>
      <c r="H314" s="247" t="s">
        <v>355</v>
      </c>
      <c r="I314" s="248"/>
      <c r="J314" s="375">
        <f>M314+Y314+AK314+AW314</f>
        <v>0</v>
      </c>
      <c r="K314" s="376"/>
      <c r="L314" s="376"/>
      <c r="M314" s="375">
        <f>M312+M313</f>
        <v>0</v>
      </c>
      <c r="N314" s="376"/>
      <c r="O314" s="254">
        <f t="shared" ref="O314:W314" si="371">O312+O313</f>
        <v>0</v>
      </c>
      <c r="P314" s="254">
        <f t="shared" si="371"/>
        <v>0</v>
      </c>
      <c r="Q314" s="254">
        <f t="shared" si="371"/>
        <v>0</v>
      </c>
      <c r="R314" s="254">
        <f t="shared" si="371"/>
        <v>0</v>
      </c>
      <c r="S314" s="254">
        <f t="shared" si="371"/>
        <v>0</v>
      </c>
      <c r="T314" s="254">
        <f>T312+T313</f>
        <v>0</v>
      </c>
      <c r="U314" s="254">
        <f t="shared" si="371"/>
        <v>0</v>
      </c>
      <c r="V314" s="254">
        <f t="shared" si="371"/>
        <v>0</v>
      </c>
      <c r="W314" s="254">
        <f t="shared" si="371"/>
        <v>0</v>
      </c>
      <c r="X314" s="255"/>
      <c r="Y314" s="375">
        <f>Y312+Y313</f>
        <v>0</v>
      </c>
      <c r="Z314" s="376"/>
      <c r="AA314" s="254">
        <f t="shared" ref="AA314:AI314" si="372">AA312+AA313</f>
        <v>0</v>
      </c>
      <c r="AB314" s="254">
        <f t="shared" si="372"/>
        <v>0</v>
      </c>
      <c r="AC314" s="254">
        <f t="shared" si="372"/>
        <v>0</v>
      </c>
      <c r="AD314" s="254">
        <f t="shared" si="372"/>
        <v>0</v>
      </c>
      <c r="AE314" s="254">
        <f t="shared" si="372"/>
        <v>0</v>
      </c>
      <c r="AF314" s="254">
        <f>AF312+AF313</f>
        <v>0</v>
      </c>
      <c r="AG314" s="254">
        <f t="shared" si="372"/>
        <v>0</v>
      </c>
      <c r="AH314" s="254">
        <f t="shared" si="372"/>
        <v>0</v>
      </c>
      <c r="AI314" s="254">
        <f t="shared" si="372"/>
        <v>0</v>
      </c>
      <c r="AJ314" s="255"/>
      <c r="AK314" s="375">
        <f>AK312+AK313</f>
        <v>0</v>
      </c>
      <c r="AL314" s="213"/>
      <c r="AM314" s="254">
        <f t="shared" ref="AM314:AU314" si="373">AM312+AM313</f>
        <v>0</v>
      </c>
      <c r="AN314" s="254">
        <f t="shared" si="373"/>
        <v>0</v>
      </c>
      <c r="AO314" s="254">
        <f t="shared" si="373"/>
        <v>0</v>
      </c>
      <c r="AP314" s="254">
        <f t="shared" si="373"/>
        <v>0</v>
      </c>
      <c r="AQ314" s="254">
        <f t="shared" si="373"/>
        <v>0</v>
      </c>
      <c r="AR314" s="254">
        <f>AR312+AR313</f>
        <v>0</v>
      </c>
      <c r="AS314" s="254">
        <f t="shared" si="373"/>
        <v>0</v>
      </c>
      <c r="AT314" s="254">
        <f t="shared" si="373"/>
        <v>0</v>
      </c>
      <c r="AU314" s="254">
        <f t="shared" si="373"/>
        <v>0</v>
      </c>
      <c r="AV314" s="255"/>
      <c r="AW314" s="375">
        <f>AW312+AW313</f>
        <v>0</v>
      </c>
      <c r="AX314" s="213"/>
      <c r="AY314" s="254">
        <f t="shared" ref="AY314:BG314" si="374">AY312+AY313</f>
        <v>0</v>
      </c>
      <c r="AZ314" s="254">
        <f t="shared" si="374"/>
        <v>0</v>
      </c>
      <c r="BA314" s="254">
        <f t="shared" si="374"/>
        <v>0</v>
      </c>
      <c r="BB314" s="254">
        <f t="shared" si="374"/>
        <v>0</v>
      </c>
      <c r="BC314" s="254">
        <f t="shared" si="374"/>
        <v>0</v>
      </c>
      <c r="BD314" s="254">
        <f>BD312+BD313</f>
        <v>0</v>
      </c>
      <c r="BE314" s="254">
        <f t="shared" si="374"/>
        <v>0</v>
      </c>
      <c r="BF314" s="254">
        <f t="shared" si="374"/>
        <v>0</v>
      </c>
      <c r="BG314" s="254">
        <f t="shared" si="374"/>
        <v>0</v>
      </c>
      <c r="BH314" s="255"/>
    </row>
    <row r="315" spans="1:60" ht="18.75" x14ac:dyDescent="0.2">
      <c r="A315" s="648"/>
      <c r="B315" s="492" t="s">
        <v>352</v>
      </c>
      <c r="C315" s="739" t="s">
        <v>104</v>
      </c>
      <c r="D315" s="747"/>
      <c r="E315" s="236" t="s">
        <v>361</v>
      </c>
      <c r="F315" s="236"/>
      <c r="G315" s="236"/>
      <c r="H315" s="89"/>
      <c r="I315" s="236"/>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279"/>
      <c r="AF315" s="279"/>
      <c r="AG315" s="279"/>
      <c r="AH315" s="279"/>
      <c r="AI315" s="279"/>
      <c r="AJ315" s="279"/>
      <c r="AK315" s="279"/>
      <c r="AL315" s="279"/>
      <c r="AM315" s="279"/>
      <c r="AN315" s="279"/>
      <c r="AO315" s="279"/>
      <c r="AP315" s="279"/>
      <c r="AQ315" s="279"/>
      <c r="AR315" s="279"/>
      <c r="AS315" s="279"/>
      <c r="AT315" s="279"/>
      <c r="AU315" s="279"/>
      <c r="AV315" s="279"/>
      <c r="AW315" s="279"/>
      <c r="AX315" s="279"/>
      <c r="AY315" s="279"/>
      <c r="AZ315" s="279"/>
      <c r="BA315" s="279"/>
      <c r="BB315" s="279"/>
      <c r="BC315" s="279"/>
      <c r="BD315" s="279"/>
      <c r="BE315" s="279"/>
      <c r="BF315" s="279"/>
      <c r="BG315" s="279"/>
      <c r="BH315" s="38"/>
    </row>
    <row r="316" spans="1:60" x14ac:dyDescent="0.2">
      <c r="A316" s="648"/>
      <c r="B316" s="492" t="s">
        <v>352</v>
      </c>
      <c r="C316" s="656" t="s">
        <v>113</v>
      </c>
      <c r="D316" s="750"/>
      <c r="E316" s="246" t="s">
        <v>362</v>
      </c>
      <c r="F316" s="246"/>
      <c r="G316" s="246"/>
      <c r="H316" s="247" t="s">
        <v>355</v>
      </c>
      <c r="I316" s="248"/>
      <c r="J316" s="375">
        <f>M316+Y316+AK316+AW316</f>
        <v>0</v>
      </c>
      <c r="K316" s="376"/>
      <c r="L316" s="376"/>
      <c r="M316" s="375">
        <f>M310+M314</f>
        <v>0</v>
      </c>
      <c r="N316" s="376"/>
      <c r="O316" s="254">
        <f t="shared" ref="O316:W316" si="375">O310+O314</f>
        <v>0</v>
      </c>
      <c r="P316" s="254">
        <f t="shared" si="375"/>
        <v>0</v>
      </c>
      <c r="Q316" s="254">
        <f t="shared" si="375"/>
        <v>0</v>
      </c>
      <c r="R316" s="254">
        <f t="shared" si="375"/>
        <v>0</v>
      </c>
      <c r="S316" s="254">
        <f t="shared" si="375"/>
        <v>0</v>
      </c>
      <c r="T316" s="254">
        <f>T310+T314</f>
        <v>0</v>
      </c>
      <c r="U316" s="254">
        <f t="shared" si="375"/>
        <v>0</v>
      </c>
      <c r="V316" s="254">
        <f t="shared" si="375"/>
        <v>0</v>
      </c>
      <c r="W316" s="254">
        <f t="shared" si="375"/>
        <v>0</v>
      </c>
      <c r="X316" s="255"/>
      <c r="Y316" s="375">
        <f>Y310+Y314</f>
        <v>0</v>
      </c>
      <c r="Z316" s="376"/>
      <c r="AA316" s="254">
        <f t="shared" ref="AA316:AI316" si="376">AA310+AA314</f>
        <v>0</v>
      </c>
      <c r="AB316" s="254">
        <f t="shared" si="376"/>
        <v>0</v>
      </c>
      <c r="AC316" s="254">
        <f t="shared" si="376"/>
        <v>0</v>
      </c>
      <c r="AD316" s="254">
        <f t="shared" si="376"/>
        <v>0</v>
      </c>
      <c r="AE316" s="254">
        <f t="shared" si="376"/>
        <v>0</v>
      </c>
      <c r="AF316" s="254">
        <f>AF310+AF314</f>
        <v>0</v>
      </c>
      <c r="AG316" s="254">
        <f t="shared" si="376"/>
        <v>0</v>
      </c>
      <c r="AH316" s="254">
        <f t="shared" si="376"/>
        <v>0</v>
      </c>
      <c r="AI316" s="254">
        <f t="shared" si="376"/>
        <v>0</v>
      </c>
      <c r="AJ316" s="255"/>
      <c r="AK316" s="375">
        <f>AK310+AK314</f>
        <v>0</v>
      </c>
      <c r="AL316" s="213"/>
      <c r="AM316" s="254">
        <f t="shared" ref="AM316:AU316" si="377">AM310+AM314</f>
        <v>0</v>
      </c>
      <c r="AN316" s="254">
        <f t="shared" si="377"/>
        <v>0</v>
      </c>
      <c r="AO316" s="254">
        <f t="shared" si="377"/>
        <v>0</v>
      </c>
      <c r="AP316" s="254">
        <f t="shared" si="377"/>
        <v>0</v>
      </c>
      <c r="AQ316" s="254">
        <f t="shared" si="377"/>
        <v>0</v>
      </c>
      <c r="AR316" s="254">
        <f>AR310+AR314</f>
        <v>0</v>
      </c>
      <c r="AS316" s="254">
        <f t="shared" si="377"/>
        <v>0</v>
      </c>
      <c r="AT316" s="254">
        <f t="shared" si="377"/>
        <v>0</v>
      </c>
      <c r="AU316" s="254">
        <f t="shared" si="377"/>
        <v>0</v>
      </c>
      <c r="AV316" s="255"/>
      <c r="AW316" s="375">
        <f>AW310+AW314</f>
        <v>0</v>
      </c>
      <c r="AX316" s="213"/>
      <c r="AY316" s="254">
        <f t="shared" ref="AY316:BG316" si="378">AY310+AY314</f>
        <v>0</v>
      </c>
      <c r="AZ316" s="254">
        <f t="shared" si="378"/>
        <v>0</v>
      </c>
      <c r="BA316" s="254">
        <f t="shared" si="378"/>
        <v>0</v>
      </c>
      <c r="BB316" s="254">
        <f t="shared" si="378"/>
        <v>0</v>
      </c>
      <c r="BC316" s="254">
        <f t="shared" si="378"/>
        <v>0</v>
      </c>
      <c r="BD316" s="254">
        <f>BD310+BD314</f>
        <v>0</v>
      </c>
      <c r="BE316" s="254">
        <f t="shared" si="378"/>
        <v>0</v>
      </c>
      <c r="BF316" s="254">
        <f t="shared" si="378"/>
        <v>0</v>
      </c>
      <c r="BG316" s="254">
        <f t="shared" si="378"/>
        <v>0</v>
      </c>
      <c r="BH316" s="255"/>
    </row>
    <row r="317" spans="1:60" ht="18.75" x14ac:dyDescent="0.2">
      <c r="A317" s="648"/>
      <c r="B317" s="492" t="s">
        <v>352</v>
      </c>
      <c r="C317" s="739" t="s">
        <v>104</v>
      </c>
      <c r="D317" s="747"/>
      <c r="E317" s="236" t="s">
        <v>363</v>
      </c>
      <c r="F317" s="236"/>
      <c r="G317" s="236"/>
      <c r="H317" s="89"/>
      <c r="I317" s="236"/>
      <c r="J317" s="279"/>
      <c r="K317" s="236"/>
      <c r="L317" s="236"/>
      <c r="M317" s="279"/>
      <c r="N317" s="236"/>
      <c r="O317" s="236"/>
      <c r="P317" s="236"/>
      <c r="Q317" s="236"/>
      <c r="R317" s="236"/>
      <c r="S317" s="236"/>
      <c r="T317" s="236"/>
      <c r="U317" s="236"/>
      <c r="V317" s="236"/>
      <c r="W317" s="236"/>
      <c r="X317" s="236"/>
      <c r="Y317" s="279"/>
      <c r="Z317" s="236"/>
      <c r="AA317" s="236"/>
      <c r="AB317" s="236"/>
      <c r="AC317" s="236"/>
      <c r="AD317" s="236"/>
      <c r="AE317" s="236"/>
      <c r="AF317" s="236"/>
      <c r="AG317" s="236"/>
      <c r="AH317" s="236"/>
      <c r="AI317" s="236"/>
      <c r="AJ317" s="236"/>
      <c r="AK317" s="279"/>
      <c r="AL317" s="236"/>
      <c r="AM317" s="236"/>
      <c r="AN317" s="236"/>
      <c r="AO317" s="236"/>
      <c r="AP317" s="236"/>
      <c r="AQ317" s="236"/>
      <c r="AR317" s="236"/>
      <c r="AS317" s="236"/>
      <c r="AT317" s="236"/>
      <c r="AU317" s="236"/>
      <c r="AV317" s="236"/>
      <c r="AW317" s="279"/>
      <c r="AX317" s="236"/>
      <c r="AY317" s="236"/>
      <c r="AZ317" s="236"/>
      <c r="BA317" s="236"/>
      <c r="BB317" s="236"/>
      <c r="BC317" s="236"/>
      <c r="BD317" s="236"/>
      <c r="BE317" s="236"/>
      <c r="BF317" s="236"/>
      <c r="BG317" s="236"/>
      <c r="BH317" s="38"/>
    </row>
    <row r="318" spans="1:60" x14ac:dyDescent="0.2">
      <c r="A318" s="648"/>
      <c r="B318" s="492" t="s">
        <v>352</v>
      </c>
      <c r="C318" s="656" t="s">
        <v>113</v>
      </c>
      <c r="D318" s="750"/>
      <c r="E318" s="246" t="s">
        <v>362</v>
      </c>
      <c r="F318" s="220"/>
      <c r="G318" s="687"/>
      <c r="H318" s="247" t="s">
        <v>355</v>
      </c>
      <c r="I318" s="129"/>
      <c r="J318" s="243">
        <f>M318+Y318+AK318+AW318</f>
        <v>0</v>
      </c>
      <c r="K318" s="236"/>
      <c r="L318" s="236"/>
      <c r="M318" s="375">
        <f>SUMPRODUCT(N318:X318,N$24:X$24,N$31:X$31)/1000</f>
        <v>0</v>
      </c>
      <c r="N318" s="129"/>
      <c r="O318" s="207">
        <f t="shared" ref="O318:W318" si="379">O316+(O302+O312)*($M$53-1)</f>
        <v>0</v>
      </c>
      <c r="P318" s="207">
        <f t="shared" si="379"/>
        <v>0</v>
      </c>
      <c r="Q318" s="207">
        <f t="shared" si="379"/>
        <v>0</v>
      </c>
      <c r="R318" s="207">
        <f t="shared" si="379"/>
        <v>0</v>
      </c>
      <c r="S318" s="207">
        <f t="shared" si="379"/>
        <v>0</v>
      </c>
      <c r="T318" s="207">
        <f t="shared" si="379"/>
        <v>0</v>
      </c>
      <c r="U318" s="207">
        <f t="shared" si="379"/>
        <v>0</v>
      </c>
      <c r="V318" s="207">
        <f t="shared" si="379"/>
        <v>0</v>
      </c>
      <c r="W318" s="207">
        <f t="shared" si="379"/>
        <v>0</v>
      </c>
      <c r="X318" s="128"/>
      <c r="Y318" s="375">
        <f>SUMPRODUCT(Z318:AJ318,Z$24:AJ$24,Z$31:AJ$31)/1000</f>
        <v>0</v>
      </c>
      <c r="Z318" s="129"/>
      <c r="AA318" s="207">
        <f t="shared" ref="AA318:AI318" si="380">AA316+(AA302+AA312)*($Y$53-1)</f>
        <v>0</v>
      </c>
      <c r="AB318" s="207">
        <f t="shared" si="380"/>
        <v>0</v>
      </c>
      <c r="AC318" s="207">
        <f t="shared" si="380"/>
        <v>0</v>
      </c>
      <c r="AD318" s="207">
        <f t="shared" si="380"/>
        <v>0</v>
      </c>
      <c r="AE318" s="207">
        <f t="shared" si="380"/>
        <v>0</v>
      </c>
      <c r="AF318" s="207">
        <f t="shared" si="380"/>
        <v>0</v>
      </c>
      <c r="AG318" s="207">
        <f t="shared" si="380"/>
        <v>0</v>
      </c>
      <c r="AH318" s="207">
        <f t="shared" si="380"/>
        <v>0</v>
      </c>
      <c r="AI318" s="207">
        <f t="shared" si="380"/>
        <v>0</v>
      </c>
      <c r="AJ318" s="128"/>
      <c r="AK318" s="375">
        <f>SUMPRODUCT(AL318:AV318,AL$24:AV$24,AL$31:AV$31)/1000</f>
        <v>0</v>
      </c>
      <c r="AL318" s="129"/>
      <c r="AM318" s="207">
        <f t="shared" ref="AM318:AU318" si="381">AM316+(AM302+AM312)*($AK$53-1)</f>
        <v>0</v>
      </c>
      <c r="AN318" s="207">
        <f t="shared" si="381"/>
        <v>0</v>
      </c>
      <c r="AO318" s="207">
        <f t="shared" si="381"/>
        <v>0</v>
      </c>
      <c r="AP318" s="207">
        <f t="shared" si="381"/>
        <v>0</v>
      </c>
      <c r="AQ318" s="207">
        <f t="shared" si="381"/>
        <v>0</v>
      </c>
      <c r="AR318" s="207">
        <f t="shared" si="381"/>
        <v>0</v>
      </c>
      <c r="AS318" s="207">
        <f t="shared" si="381"/>
        <v>0</v>
      </c>
      <c r="AT318" s="207">
        <f t="shared" si="381"/>
        <v>0</v>
      </c>
      <c r="AU318" s="207">
        <f t="shared" si="381"/>
        <v>0</v>
      </c>
      <c r="AV318" s="128"/>
      <c r="AW318" s="375">
        <f>SUMPRODUCT(AX318:BH318,AX$24:BH$24,AX$31:BH$31)/1000</f>
        <v>0</v>
      </c>
      <c r="AX318" s="129"/>
      <c r="AY318" s="207">
        <f t="shared" ref="AY318:BG318" si="382">AY316+(AY302+AY312)*($AW$53-1)</f>
        <v>0</v>
      </c>
      <c r="AZ318" s="207">
        <f t="shared" si="382"/>
        <v>0</v>
      </c>
      <c r="BA318" s="207">
        <f t="shared" si="382"/>
        <v>0</v>
      </c>
      <c r="BB318" s="207">
        <f t="shared" si="382"/>
        <v>0</v>
      </c>
      <c r="BC318" s="207">
        <f t="shared" si="382"/>
        <v>0</v>
      </c>
      <c r="BD318" s="207">
        <f t="shared" si="382"/>
        <v>0</v>
      </c>
      <c r="BE318" s="207">
        <f t="shared" si="382"/>
        <v>0</v>
      </c>
      <c r="BF318" s="207">
        <f t="shared" si="382"/>
        <v>0</v>
      </c>
      <c r="BG318" s="207">
        <f t="shared" si="382"/>
        <v>0</v>
      </c>
      <c r="BH318" s="255"/>
    </row>
    <row r="319" spans="1:60" x14ac:dyDescent="0.2">
      <c r="A319" s="648"/>
      <c r="B319" s="492" t="s">
        <v>352</v>
      </c>
      <c r="C319" s="739" t="s">
        <v>104</v>
      </c>
      <c r="D319" s="747"/>
      <c r="E319" s="90"/>
      <c r="F319" s="90"/>
      <c r="G319" s="90"/>
      <c r="H319" s="96"/>
      <c r="I319" s="90"/>
      <c r="J319" s="93"/>
      <c r="K319" s="90"/>
      <c r="L319" s="90"/>
      <c r="M319" s="93"/>
      <c r="N319" s="90"/>
      <c r="O319" s="122"/>
      <c r="P319" s="122"/>
      <c r="Q319" s="122"/>
      <c r="R319" s="122"/>
      <c r="S319" s="122"/>
      <c r="T319" s="122"/>
      <c r="U319" s="122"/>
      <c r="V319" s="122"/>
      <c r="W319" s="122"/>
      <c r="X319" s="93"/>
      <c r="Y319" s="93"/>
      <c r="Z319" s="90"/>
      <c r="AA319" s="93"/>
      <c r="AB319" s="93"/>
      <c r="AC319" s="93"/>
      <c r="AD319" s="93"/>
      <c r="AE319" s="93"/>
      <c r="AF319" s="93"/>
      <c r="AG319" s="93"/>
      <c r="AH319" s="93"/>
      <c r="AI319" s="93"/>
      <c r="AJ319" s="93"/>
      <c r="AK319" s="93"/>
      <c r="AL319" s="90"/>
      <c r="AM319" s="93"/>
      <c r="AN319" s="93"/>
      <c r="AO319" s="93"/>
      <c r="AP319" s="93"/>
      <c r="AQ319" s="93"/>
      <c r="AR319" s="93"/>
      <c r="AS319" s="93"/>
      <c r="AT319" s="93"/>
      <c r="AU319" s="93"/>
      <c r="AV319" s="93"/>
      <c r="AW319" s="93"/>
      <c r="AX319" s="90"/>
      <c r="AY319" s="93"/>
      <c r="AZ319" s="93"/>
      <c r="BA319" s="93"/>
      <c r="BB319" s="93"/>
      <c r="BC319" s="93"/>
      <c r="BD319" s="93"/>
      <c r="BE319" s="93"/>
      <c r="BF319" s="93"/>
      <c r="BG319" s="93"/>
      <c r="BH319" s="1"/>
    </row>
    <row r="320" spans="1:60" ht="21" x14ac:dyDescent="0.2">
      <c r="A320" s="648"/>
      <c r="B320" s="492" t="s">
        <v>364</v>
      </c>
      <c r="C320" s="656" t="s">
        <v>104</v>
      </c>
      <c r="D320" s="752" t="s">
        <v>89</v>
      </c>
      <c r="E320" s="553" t="s">
        <v>87</v>
      </c>
      <c r="F320" s="553"/>
      <c r="G320" s="553"/>
      <c r="H320" s="554"/>
      <c r="I320" s="554"/>
      <c r="J320" s="555"/>
      <c r="K320" s="824"/>
      <c r="L320" s="824"/>
      <c r="M320" s="555"/>
      <c r="N320" s="555"/>
      <c r="O320" s="555"/>
      <c r="P320" s="555"/>
      <c r="Q320" s="555"/>
      <c r="R320" s="555"/>
      <c r="S320" s="555"/>
      <c r="T320" s="555"/>
      <c r="U320" s="555"/>
      <c r="V320" s="555"/>
      <c r="W320" s="555"/>
      <c r="X320" s="555"/>
      <c r="Y320" s="555"/>
      <c r="Z320" s="555"/>
      <c r="AA320" s="555"/>
      <c r="AB320" s="555"/>
      <c r="AC320" s="555"/>
      <c r="AD320" s="555"/>
      <c r="AE320" s="555"/>
      <c r="AF320" s="555"/>
      <c r="AG320" s="555"/>
      <c r="AH320" s="555"/>
      <c r="AI320" s="555"/>
      <c r="AJ320" s="555"/>
      <c r="AK320" s="555"/>
      <c r="AL320" s="555"/>
      <c r="AM320" s="555"/>
      <c r="AN320" s="555"/>
      <c r="AO320" s="555"/>
      <c r="AP320" s="555"/>
      <c r="AQ320" s="555"/>
      <c r="AR320" s="555"/>
      <c r="AS320" s="555"/>
      <c r="AT320" s="555"/>
      <c r="AU320" s="555"/>
      <c r="AV320" s="555"/>
      <c r="AW320" s="555"/>
      <c r="AX320" s="555"/>
      <c r="AY320" s="556"/>
      <c r="AZ320" s="556"/>
      <c r="BA320" s="556"/>
      <c r="BB320" s="556"/>
      <c r="BC320" s="556"/>
      <c r="BD320" s="556"/>
      <c r="BE320" s="556"/>
      <c r="BF320" s="556"/>
      <c r="BG320" s="556"/>
      <c r="BH320" s="270"/>
    </row>
  </sheetData>
  <sheetProtection algorithmName="SHA-512" hashValue="lo7oBn2ZdbKCPuCh02QmeWGjPDhyRPC3LMILiZghiFUV1sU8tcv4f7HMeTz6/3iORcF/zVgwueMrMKmelaFbFA==" saltValue="YJRuxf9VlMUzo6wO4Mr6Nw==" spinCount="100000" sheet="1" objects="1" scenarios="1" formatColumns="0" autoFilter="0"/>
  <autoFilter ref="B8:C320" xr:uid="{41D3E58C-B86B-4AE1-8380-FDD6F14E9537}">
    <filterColumn colId="1">
      <filters>
        <filter val="00. kop"/>
        <filter val="01. invoer"/>
        <filter val="04. resultaat"/>
      </filters>
    </filterColumn>
  </autoFilter>
  <dataConsolidate/>
  <mergeCells count="4">
    <mergeCell ref="E3:F3"/>
    <mergeCell ref="F4:H4"/>
    <mergeCell ref="B5:B7"/>
    <mergeCell ref="C5:C7"/>
  </mergeCells>
  <phoneticPr fontId="0" type="noConversion"/>
  <conditionalFormatting sqref="B16:B26 B27:C320">
    <cfRule type="expression" dxfId="929" priority="267">
      <formula>B16=""</formula>
    </cfRule>
  </conditionalFormatting>
  <conditionalFormatting sqref="C10">
    <cfRule type="expression" dxfId="928" priority="550">
      <formula>C10=""</formula>
    </cfRule>
  </conditionalFormatting>
  <conditionalFormatting sqref="C12:C26">
    <cfRule type="expression" dxfId="927" priority="268">
      <formula>C12=""</formula>
    </cfRule>
  </conditionalFormatting>
  <conditionalFormatting sqref="E54">
    <cfRule type="expression" dxfId="926" priority="8">
      <formula>$G$6=FALSE</formula>
    </cfRule>
  </conditionalFormatting>
  <conditionalFormatting sqref="E278:J278">
    <cfRule type="expression" dxfId="925" priority="5209">
      <formula>$G$6=TRUE</formula>
    </cfRule>
  </conditionalFormatting>
  <conditionalFormatting sqref="F4:F5 H3">
    <cfRule type="expression" dxfId="924" priority="1157">
      <formula>F3=""</formula>
    </cfRule>
  </conditionalFormatting>
  <conditionalFormatting sqref="F5">
    <cfRule type="expression" dxfId="923" priority="978">
      <formula>OR($F$5="",ISERROR(MATCH(F5,opwekking_elektriciteit,0))=TRUE)</formula>
    </cfRule>
  </conditionalFormatting>
  <conditionalFormatting sqref="F2:H2">
    <cfRule type="expression" dxfId="922" priority="1854">
      <formula>$F$2&lt;&gt;""</formula>
    </cfRule>
  </conditionalFormatting>
  <conditionalFormatting sqref="J32:J33">
    <cfRule type="cellIs" dxfId="921" priority="595" operator="greaterThan">
      <formula>0</formula>
    </cfRule>
  </conditionalFormatting>
  <conditionalFormatting sqref="J40:J42">
    <cfRule type="expression" dxfId="920" priority="257">
      <formula>J40="OK"</formula>
    </cfRule>
  </conditionalFormatting>
  <conditionalFormatting sqref="J46:J47">
    <cfRule type="expression" dxfId="919" priority="255">
      <formula>J46="OK"</formula>
    </cfRule>
  </conditionalFormatting>
  <conditionalFormatting sqref="J50">
    <cfRule type="cellIs" dxfId="918" priority="244" operator="notEqual">
      <formula>"OK"</formula>
    </cfRule>
  </conditionalFormatting>
  <conditionalFormatting sqref="J80">
    <cfRule type="cellIs" dxfId="917" priority="690" operator="notEqual">
      <formula>"OK"</formula>
    </cfRule>
  </conditionalFormatting>
  <conditionalFormatting sqref="J135">
    <cfRule type="cellIs" dxfId="916" priority="187" operator="equal">
      <formula>0</formula>
    </cfRule>
  </conditionalFormatting>
  <conditionalFormatting sqref="J138 J142 J146 M135 M138 M142 M146 Y135 Y138 Y142 Y146 AK135 AK138 AK142 AK146 AW135 AW138 AW142 AW146">
    <cfRule type="cellIs" dxfId="915" priority="230" operator="equal">
      <formula>0</formula>
    </cfRule>
  </conditionalFormatting>
  <conditionalFormatting sqref="M32:M33">
    <cfRule type="cellIs" dxfId="914" priority="594" operator="greaterThan">
      <formula>0</formula>
    </cfRule>
  </conditionalFormatting>
  <conditionalFormatting sqref="M131:M146 Y131:Y146 AK131:AK146 AW131:AW146">
    <cfRule type="expression" dxfId="913" priority="1476">
      <formula>SUM(M$131:M$146)=0</formula>
    </cfRule>
  </conditionalFormatting>
  <conditionalFormatting sqref="M275 O275:X275 AJ275 AV275 BH275">
    <cfRule type="expression" dxfId="912" priority="2351">
      <formula>#REF!&gt;M275</formula>
    </cfRule>
  </conditionalFormatting>
  <conditionalFormatting sqref="O80 AA80 AM80 AY80">
    <cfRule type="expression" dxfId="911" priority="239">
      <formula>OR(AND(O80="",O$24&gt;0),ISERROR(MATCH(O80,toestellen_RV_invoer,0)))</formula>
    </cfRule>
  </conditionalFormatting>
  <conditionalFormatting sqref="O84 O91 O106:Q106 O109:Q109 O116:Q116 O120:Q120 O126:Q126 Q84 Q91 AA84 AA91 AA106:AC106 AA109:AC109 AA116:AC116 AA120:AC120 AA126:AC126 AC84 AC91 AM84 AM91 AM106:AO106 AM109:AO109 AM116:AO116 AM120:AO120 AM126:AO126 AO84 AO91 AY84 AY91 AY109:BA109 AY116:BA116 AY120:BA120 AY126:BA126 BA84 BA91">
    <cfRule type="expression" dxfId="910" priority="748">
      <formula>AND(O$75&gt;0,O84="")</formula>
    </cfRule>
  </conditionalFormatting>
  <conditionalFormatting sqref="O87 Q87 AA87 AC87 AM87 AO87 AY87 BA87">
    <cfRule type="expression" dxfId="909" priority="1155">
      <formula>OR(AND(O$75&gt;0,O87=""),AND(O87&lt;&gt;"ja",O87&lt;&gt;"nee",O87&lt;&gt;""))</formula>
    </cfRule>
  </conditionalFormatting>
  <conditionalFormatting sqref="O126 Q126 AA126 AC126 AM126 AO126 AY126 BA126">
    <cfRule type="expression" dxfId="908" priority="3648">
      <formula>O$125=0</formula>
    </cfRule>
  </conditionalFormatting>
  <conditionalFormatting sqref="O80:Q81 O83:Q85 O87:Q88 O90:Q92 O94:Q96 AA80:AC81 AA83:AC85 AA87:AC88 AA90:AC92 AA94:AC96 AM80:AO81 AM83:AO85 AM87:AO88 AM90:AO92 AM94:AO96 AY80:BA81 AY83:BA85 AY87:BA88 AY90:BA92 AY94:BA96">
    <cfRule type="expression" dxfId="907" priority="5509">
      <formula>O$75=0</formula>
    </cfRule>
    <cfRule type="expression" dxfId="906" priority="5508">
      <formula>O$29=0</formula>
    </cfRule>
  </conditionalFormatting>
  <conditionalFormatting sqref="O101:Q101 AA101:AC101 AA131:AC131 AM101:AO101 AM131:AO131 AY101:BA101 AY131:BA131">
    <cfRule type="expression" dxfId="905" priority="840">
      <formula>O$75=0</formula>
    </cfRule>
  </conditionalFormatting>
  <conditionalFormatting sqref="O102:Q103 O105:Q113 O115:Q116 O119:Q121 O123:Q126 P117:Q117 AA101:AC103 AA105:AC113 AA115:AC117 AA119:AC121 AA123:AC126 AM101:AO103 AM105:AO113 AM115:AO117 AM119:AO121 AM123:AO126 AY101:BA103 AY105:BA113 AY115:BA117 AY119:BA121 AY123:BA126">
    <cfRule type="expression" dxfId="904" priority="201">
      <formula>OR(O$75=0,O$101="geen")</formula>
    </cfRule>
  </conditionalFormatting>
  <conditionalFormatting sqref="O131:Q131">
    <cfRule type="expression" dxfId="903" priority="774">
      <formula>O$75=0</formula>
    </cfRule>
  </conditionalFormatting>
  <conditionalFormatting sqref="O132:Q138 O140:Q142 O144:Q146 AA132:AC138 AA140:AC142 AA144:AC146 AM132:AO138 AM140:AO142 AM144:AO146 AY132:BA138 AY140:BA142 AY144:BA146">
    <cfRule type="expression" dxfId="902" priority="184">
      <formula>OR(O$75=0,O$131="geen")</formula>
    </cfRule>
  </conditionalFormatting>
  <conditionalFormatting sqref="O137:Q137 O141:Q141 O145:Q145 AA137:AC137 AA141:AC141 AA145:AC145 AM137:AO137 AM141:AO141 AM145:AO145 AY137:BA137 AY141:BA141 AY145:BA145">
    <cfRule type="expression" dxfId="901" priority="5101">
      <formula>AND(O$75&gt;0,O$131&lt;&gt;"geen",O137="")</formula>
    </cfRule>
  </conditionalFormatting>
  <conditionalFormatting sqref="O151:Q153 AA151:AC153 AM151:AO153 AY151:BA153">
    <cfRule type="expression" dxfId="900" priority="5599">
      <formula>OR(O$29=0,O$123=0)</formula>
    </cfRule>
  </conditionalFormatting>
  <conditionalFormatting sqref="O152:Q152 AA152:AC152 AM152:AO152 AY152:BA152">
    <cfRule type="expression" dxfId="899" priority="826">
      <formula>AND(O$123&gt;0,O152="")</formula>
    </cfRule>
  </conditionalFormatting>
  <conditionalFormatting sqref="O167:S169">
    <cfRule type="expression" dxfId="898" priority="768">
      <formula>O$29=0</formula>
    </cfRule>
  </conditionalFormatting>
  <conditionalFormatting sqref="O197:S202">
    <cfRule type="expression" dxfId="897" priority="765">
      <formula>O$29=0</formula>
    </cfRule>
  </conditionalFormatting>
  <conditionalFormatting sqref="O209:S215">
    <cfRule type="expression" dxfId="896" priority="761">
      <formula>O$29=0</formula>
    </cfRule>
  </conditionalFormatting>
  <conditionalFormatting sqref="O216:S216">
    <cfRule type="expression" dxfId="895" priority="511">
      <formula>O$29=0</formula>
    </cfRule>
  </conditionalFormatting>
  <conditionalFormatting sqref="O17:W17">
    <cfRule type="expression" dxfId="894" priority="483">
      <formula>AND(O17&lt;&gt;"",ISERROR(MATCH(O17,woningen_gebouwen_namen,0))=TRUE)</formula>
    </cfRule>
  </conditionalFormatting>
  <conditionalFormatting sqref="O19:W19 AA19:AI19 AM19:AU19 AY19:BG19">
    <cfRule type="expression" dxfId="893" priority="582">
      <formula>O19=""</formula>
    </cfRule>
  </conditionalFormatting>
  <conditionalFormatting sqref="O20:W21 AM20:AU21 AY20:BG21">
    <cfRule type="expression" dxfId="892" priority="578">
      <formula>O$19=""</formula>
    </cfRule>
  </conditionalFormatting>
  <conditionalFormatting sqref="O22:W22">
    <cfRule type="expression" dxfId="891" priority="576">
      <formula>OR(O$19="",AND(O$21&lt;&gt;woning,O$21&lt;&gt;woongebouw))</formula>
    </cfRule>
  </conditionalFormatting>
  <conditionalFormatting sqref="O24:W25 AA24:BG25">
    <cfRule type="expression" dxfId="890" priority="344">
      <formula>O$19=""</formula>
    </cfRule>
  </conditionalFormatting>
  <conditionalFormatting sqref="O25:W25 AM25:AU25 AY25:BG25">
    <cfRule type="expression" dxfId="889" priority="3155">
      <formula>AND(O$19="",O25&gt;0)</formula>
    </cfRule>
    <cfRule type="expression" dxfId="888" priority="3157">
      <formula>AND(O$19&lt;&gt;"",O25="")</formula>
    </cfRule>
  </conditionalFormatting>
  <conditionalFormatting sqref="O26:W29 O31:W35">
    <cfRule type="expression" dxfId="887" priority="9">
      <formula>OR(O$19="",O$24=0)</formula>
    </cfRule>
  </conditionalFormatting>
  <conditionalFormatting sqref="O40:W48 O50:W50 O52:W55 O58:W58 O60:W66 O68:W68 O70:W70">
    <cfRule type="expression" dxfId="886" priority="203">
      <formula>OR(O$19="",O$24=0)</formula>
    </cfRule>
  </conditionalFormatting>
  <conditionalFormatting sqref="O41:W41 AA41:AI41 AM41:AU41 AY41:BG41">
    <cfRule type="expression" dxfId="885" priority="11">
      <formula>AND(O$19&lt;&gt;"",O$24&gt;0,O41&lt;&gt;"",ISERROR(MATCH(O41,isolatiepakketten_gebouwschil_namen,0))=TRUE)</formula>
    </cfRule>
  </conditionalFormatting>
  <conditionalFormatting sqref="O42:W42 AA42:AI42 AM42:AU42 AY42:BG42">
    <cfRule type="expression" dxfId="884" priority="3204">
      <formula>OR(AND(O$19&lt;&gt;"",O$24&gt;0,O42=""),ISERROR(MATCH(O42,ventilatiesystemen_namen,0))=TRUE)</formula>
    </cfRule>
  </conditionalFormatting>
  <conditionalFormatting sqref="O43:W43 AA43:AI43 AM43:AU43 AY43:BG43">
    <cfRule type="expression" dxfId="882" priority="3232">
      <formula>OR(AND(O$19&lt;&gt;"",O$24&gt;0,O43=""),ISERROR(MATCH(O43,ventilatoren_typen,0))=TRUE)</formula>
    </cfRule>
  </conditionalFormatting>
  <conditionalFormatting sqref="O44:W44 AA44:AI44 AM44:AU44 AY44:BG44">
    <cfRule type="expression" dxfId="881" priority="4425">
      <formula>OR(O44&lt;0.5,O44&gt;2,AND(O$19&lt;&gt;"",O44=""))</formula>
    </cfRule>
  </conditionalFormatting>
  <conditionalFormatting sqref="O45:W46 AA45:AI46 AM45:AU46 AY45:BG46">
    <cfRule type="expression" dxfId="880" priority="4932">
      <formula>AND(O$19&lt;&gt;"",O$28&gt;0,O45="")</formula>
    </cfRule>
    <cfRule type="expression" dxfId="879" priority="247">
      <formula>OR(O$19="",O$28=0)</formula>
    </cfRule>
  </conditionalFormatting>
  <conditionalFormatting sqref="O46:W46 AA46:AI46 AM46:AU46 AY46:BG46">
    <cfRule type="expression" dxfId="878" priority="5035">
      <formula>AND(O46&lt;&gt;"",ISERROR(MATCH(O46,verlichtingsregeling_namen,0))=TRUE)</formula>
    </cfRule>
  </conditionalFormatting>
  <conditionalFormatting sqref="O47:W47 AA47:AI47 AM47:AU47 AY47:BG47">
    <cfRule type="expression" dxfId="877" priority="5044">
      <formula>OR(AND(O$19&lt;&gt;"",O$24&gt;0,O47=""),AND(O47&lt;&gt;elektriciteit,O47&lt;&gt;aardgas))</formula>
    </cfRule>
    <cfRule type="expression" dxfId="876" priority="293">
      <formula>OR(O$19="",O$26+O$27=0,AND(O$21&lt;&gt;woning,O$21&lt;&gt;woongebouw))</formula>
    </cfRule>
  </conditionalFormatting>
  <conditionalFormatting sqref="O48:W48 AA48:AI48 AM48:AU48 AY48:BG48">
    <cfRule type="expression" dxfId="875" priority="5052">
      <formula>OR(O48&lt;0,O48&gt;1,AND(O$19&lt;&gt;"",O48=""))</formula>
    </cfRule>
  </conditionalFormatting>
  <conditionalFormatting sqref="O50:W50 AA50:AI50 AM50:AU50 AY50:BG50">
    <cfRule type="cellIs" dxfId="874" priority="5072" operator="equal">
      <formula>"nee"</formula>
    </cfRule>
    <cfRule type="expression" dxfId="873" priority="292">
      <formula>$O19=""</formula>
    </cfRule>
  </conditionalFormatting>
  <conditionalFormatting sqref="O53:W53 AA53:AI53 AM53:AU53 AY53:BG53">
    <cfRule type="cellIs" dxfId="872" priority="49" operator="equal">
      <formula>0</formula>
    </cfRule>
  </conditionalFormatting>
  <conditionalFormatting sqref="O54:W54 AA54:AI54 AM54:AU54 AY54:BG54">
    <cfRule type="expression" dxfId="871" priority="5621">
      <formula>O$24=0</formula>
    </cfRule>
    <cfRule type="expression" dxfId="870" priority="5622">
      <formula>AND(O$24&gt;0,O54="",$G$6=TRUE)</formula>
    </cfRule>
    <cfRule type="expression" dxfId="869" priority="5623">
      <formula>AND(O$24&gt;0,O$54&gt;0,O$54&lt;&gt;O$55,$G$6=TRUE)</formula>
    </cfRule>
  </conditionalFormatting>
  <conditionalFormatting sqref="O68:W68 AA68:AI68 AM68:AU68 AY68:BG68">
    <cfRule type="expression" dxfId="868" priority="976">
      <formula>AND(O$19&lt;&gt;"",O68="")</formula>
    </cfRule>
  </conditionalFormatting>
  <conditionalFormatting sqref="O70:W70">
    <cfRule type="expression" dxfId="867" priority="209">
      <formula>AND(O$19&lt;&gt;"",O70="")</formula>
    </cfRule>
  </conditionalFormatting>
  <conditionalFormatting sqref="O75:W75 AA75:AI75 AM75:AU75 AY75:BG75">
    <cfRule type="expression" dxfId="866" priority="805">
      <formula>O$29=0</formula>
    </cfRule>
  </conditionalFormatting>
  <conditionalFormatting sqref="O227:W227 AM227:AU227 AM234:AU236 AM251:AU253 AM255:AU255 AY227:BG227 AY234:BG236">
    <cfRule type="expression" dxfId="865" priority="764">
      <formula>O$24=0</formula>
    </cfRule>
  </conditionalFormatting>
  <conditionalFormatting sqref="O229:W229 O241:W249 O251:W253 O255:W255 O257:W257 O262:W262 O264:W269 O271:W271 O273:W273 O275:W275 O282:W284 O286:W288 O290:W291 O293:W294 O296:W297 O302:W310 O312:W314 O316:W316 O318:W318">
    <cfRule type="expression" dxfId="864" priority="297">
      <formula>O$24=0</formula>
    </cfRule>
  </conditionalFormatting>
  <conditionalFormatting sqref="O286:W287">
    <cfRule type="expression" dxfId="863" priority="1758">
      <formula>O286&gt;O282</formula>
    </cfRule>
  </conditionalFormatting>
  <conditionalFormatting sqref="O291:W291 AA291:AI291 AM291:AU291 AY291:BG291">
    <cfRule type="expression" dxfId="862" priority="5644">
      <formula>O$24=0</formula>
    </cfRule>
    <cfRule type="expression" dxfId="861" priority="5643">
      <formula>#REF!&lt;O$287</formula>
    </cfRule>
  </conditionalFormatting>
  <conditionalFormatting sqref="O294:W294">
    <cfRule type="expression" dxfId="860" priority="88">
      <formula>AND(O294&lt;&gt;"nvt",O294&lt;=O293)</formula>
    </cfRule>
    <cfRule type="expression" dxfId="859" priority="87">
      <formula>AND(O294&lt;&gt;"nvt",O294&gt;O293)</formula>
    </cfRule>
  </conditionalFormatting>
  <conditionalFormatting sqref="O297:W297">
    <cfRule type="expression" dxfId="858" priority="86">
      <formula>AND(O297&lt;&gt;"nvt",O297&lt;=O296)</formula>
    </cfRule>
    <cfRule type="expression" dxfId="857" priority="85">
      <formula>AND(O297&lt;&gt;"nvt",O297&gt;O296)</formula>
    </cfRule>
  </conditionalFormatting>
  <conditionalFormatting sqref="O40:BG41">
    <cfRule type="expression" dxfId="856" priority="2">
      <formula>OR(O$19="",O$24=0)</formula>
    </cfRule>
  </conditionalFormatting>
  <conditionalFormatting sqref="P80 AB80 AN80 AZ80">
    <cfRule type="expression" dxfId="855" priority="698">
      <formula>OR(AND(P80="",P$24&gt;0),ISERROR(MATCH(P80,toestellen_KOEL_invoer,0)))</formula>
    </cfRule>
  </conditionalFormatting>
  <conditionalFormatting sqref="P81 P83:P85 P87:P88 P90:P92 P94:P96 AB81 AB83:AB85 AB87:AB88 AB90:AB92 AB94:AB96 AN81 AN83:AN85 AN87:AN88 AN90:AN92 AN94:AN96 AZ81 AZ83:AZ85 AZ87:AZ88 AZ90:AZ92 AZ94:AZ96">
    <cfRule type="expression" dxfId="854" priority="134">
      <formula>P$80="geen"</formula>
    </cfRule>
  </conditionalFormatting>
  <conditionalFormatting sqref="Q80 AC80 AO80 BA80">
    <cfRule type="expression" dxfId="853" priority="716">
      <formula>OR(AND(Q80="",Q$24&gt;0),ISERROR(MATCH(Q80,toestellen_TAP_invoer,0)))</formula>
    </cfRule>
  </conditionalFormatting>
  <conditionalFormatting sqref="Q87 AC87 AO87 BA87">
    <cfRule type="expression" dxfId="852" priority="5584">
      <formula>OR(AND(Q$24&gt;0,Q$75&gt;0,Q87=""),AND(Q87&lt;&gt;"ja",Q87&lt;&gt;"nee",Q87&lt;&gt;""))</formula>
    </cfRule>
  </conditionalFormatting>
  <conditionalFormatting sqref="T155:T156">
    <cfRule type="expression" dxfId="851" priority="276">
      <formula>T$29=0</formula>
    </cfRule>
  </conditionalFormatting>
  <conditionalFormatting sqref="T158:T159">
    <cfRule type="expression" dxfId="850" priority="274">
      <formula>T$29=0</formula>
    </cfRule>
  </conditionalFormatting>
  <conditionalFormatting sqref="T161">
    <cfRule type="expression" dxfId="849" priority="273">
      <formula>T$29=0</formula>
    </cfRule>
  </conditionalFormatting>
  <conditionalFormatting sqref="T167:T169">
    <cfRule type="expression" dxfId="848" priority="474">
      <formula>T$29=0</formula>
    </cfRule>
  </conditionalFormatting>
  <conditionalFormatting sqref="T186:T188">
    <cfRule type="expression" dxfId="847" priority="278">
      <formula>T$29=0</formula>
    </cfRule>
  </conditionalFormatting>
  <conditionalFormatting sqref="T190">
    <cfRule type="expression" dxfId="846" priority="277">
      <formula>T$29=0</formula>
    </cfRule>
  </conditionalFormatting>
  <conditionalFormatting sqref="T197:T202">
    <cfRule type="expression" dxfId="845" priority="472">
      <formula>T$29=0</formula>
    </cfRule>
  </conditionalFormatting>
  <conditionalFormatting sqref="T204">
    <cfRule type="expression" dxfId="844" priority="476">
      <formula>T$29=0</formula>
    </cfRule>
  </conditionalFormatting>
  <conditionalFormatting sqref="T209:T216">
    <cfRule type="expression" dxfId="843" priority="455">
      <formula>T$29=0</formula>
    </cfRule>
  </conditionalFormatting>
  <conditionalFormatting sqref="T221:T222">
    <cfRule type="expression" dxfId="842" priority="466">
      <formula>T$29=0</formula>
    </cfRule>
  </conditionalFormatting>
  <conditionalFormatting sqref="U154:W156">
    <cfRule type="expression" dxfId="841" priority="769">
      <formula>U$29=0</formula>
    </cfRule>
  </conditionalFormatting>
  <conditionalFormatting sqref="U186:W188">
    <cfRule type="expression" dxfId="840" priority="766">
      <formula>U$29=0</formula>
    </cfRule>
  </conditionalFormatting>
  <conditionalFormatting sqref="AA187">
    <cfRule type="expression" dxfId="839" priority="533">
      <formula>AA$29=0</formula>
    </cfRule>
  </conditionalFormatting>
  <conditionalFormatting sqref="AA209:AC209">
    <cfRule type="expression" dxfId="838" priority="122">
      <formula>AA$29=0</formula>
    </cfRule>
  </conditionalFormatting>
  <conditionalFormatting sqref="AA186:AE186">
    <cfRule type="expression" dxfId="837" priority="538">
      <formula>AA$29=0</formula>
    </cfRule>
  </conditionalFormatting>
  <conditionalFormatting sqref="AA216:AE216">
    <cfRule type="expression" dxfId="836" priority="512">
      <formula>AA$29=0</formula>
    </cfRule>
  </conditionalFormatting>
  <conditionalFormatting sqref="AA20:AI21">
    <cfRule type="expression" dxfId="835" priority="577">
      <formula>AA$19=""</formula>
    </cfRule>
  </conditionalFormatting>
  <conditionalFormatting sqref="AA22:AI22">
    <cfRule type="expression" dxfId="834" priority="233">
      <formula>OR(AA$19="",AND(AA$21&lt;&gt;woning,AA$21&lt;&gt;woongebouw))</formula>
    </cfRule>
  </conditionalFormatting>
  <conditionalFormatting sqref="AA25:AI25">
    <cfRule type="expression" dxfId="833" priority="5060">
      <formula>AND(AA$19="",AA25&gt;0)</formula>
    </cfRule>
    <cfRule type="expression" dxfId="832" priority="5061">
      <formula>AND(AA$19&lt;&gt;"",AA25="")</formula>
    </cfRule>
  </conditionalFormatting>
  <conditionalFormatting sqref="AA26:AI29 AA31:AI35 AA42:AI48 AA60:AI66 AM26:AU29 AM31:AU35 AM42:AU48 AM60:AU66 AY26:BG29 AY31:BG35 AY42:BG48 AY60:BG66">
    <cfRule type="expression" dxfId="831" priority="2295">
      <formula>OR(AA$19="",AA$24=0)</formula>
    </cfRule>
  </conditionalFormatting>
  <conditionalFormatting sqref="AA68:AI68 AM68:AU68 AY68:BG68">
    <cfRule type="expression" dxfId="830" priority="975">
      <formula>OR(AA$19="",AA$24=0)</formula>
    </cfRule>
  </conditionalFormatting>
  <conditionalFormatting sqref="AA70:AI70">
    <cfRule type="expression" dxfId="829" priority="139">
      <formula>OR(AA$19="",AA$24=0)</formula>
    </cfRule>
    <cfRule type="expression" dxfId="828" priority="140">
      <formula>AND(AA$19&lt;&gt;"",AA70="")</formula>
    </cfRule>
  </conditionalFormatting>
  <conditionalFormatting sqref="AA227:AI227 AA229:AI230 AA234:AI237 AA251:AI253 AA255:AI255 AA257:AI258 AA262:AI269 AA271:AI271 AA273:AI273 AA275:AI276 AA280:AI280 AA282:AI284 AA286:AI288 AA290:AI290 AA241:BG249">
    <cfRule type="expression" dxfId="827" priority="26">
      <formula>AA$24=0</formula>
    </cfRule>
  </conditionalFormatting>
  <conditionalFormatting sqref="AA292:AI292">
    <cfRule type="expression" dxfId="826" priority="116">
      <formula>AA292&lt;AA287</formula>
    </cfRule>
  </conditionalFormatting>
  <conditionalFormatting sqref="AA294:AI294">
    <cfRule type="expression" dxfId="825" priority="81">
      <formula>AND(AA294&lt;&gt;"nvt",AA294&gt;AA293)</formula>
    </cfRule>
    <cfRule type="expression" dxfId="824" priority="82">
      <formula>AND(AA294&lt;&gt;"nvt",AA294&lt;=AA293)</formula>
    </cfRule>
  </conditionalFormatting>
  <conditionalFormatting sqref="AA297:AI297">
    <cfRule type="expression" dxfId="823" priority="80">
      <formula>AND(AA297&lt;&gt;"nvt",AA297&lt;=AA296)</formula>
    </cfRule>
    <cfRule type="expression" dxfId="822" priority="79">
      <formula>AND(AA297&lt;&gt;"nvt",AA297&gt;AA296)</formula>
    </cfRule>
  </conditionalFormatting>
  <conditionalFormatting sqref="AA302:AI310 AA312:AI314 AA316:AI316 AA318:AI318">
    <cfRule type="expression" dxfId="821" priority="303">
      <formula>AA$24=0</formula>
    </cfRule>
  </conditionalFormatting>
  <conditionalFormatting sqref="AA286:AU287">
    <cfRule type="expression" dxfId="820" priority="1393">
      <formula>AA286&gt;AA282</formula>
    </cfRule>
  </conditionalFormatting>
  <conditionalFormatting sqref="AA295:AX295">
    <cfRule type="expression" dxfId="819" priority="71">
      <formula>AA295&lt;AA290</formula>
    </cfRule>
  </conditionalFormatting>
  <conditionalFormatting sqref="AF186:AF188">
    <cfRule type="expression" dxfId="818" priority="412">
      <formula>AF$29=0</formula>
    </cfRule>
  </conditionalFormatting>
  <conditionalFormatting sqref="AF221:AF222">
    <cfRule type="expression" dxfId="817" priority="423">
      <formula>AF$29=0</formula>
    </cfRule>
  </conditionalFormatting>
  <conditionalFormatting sqref="AF209:BD216">
    <cfRule type="expression" dxfId="816" priority="317">
      <formula>AF$29=0</formula>
    </cfRule>
  </conditionalFormatting>
  <conditionalFormatting sqref="AM187">
    <cfRule type="expression" dxfId="815" priority="532">
      <formula>AM$29=0</formula>
    </cfRule>
  </conditionalFormatting>
  <conditionalFormatting sqref="AM209:AO209">
    <cfRule type="expression" dxfId="814" priority="121">
      <formula>AM$29=0</formula>
    </cfRule>
  </conditionalFormatting>
  <conditionalFormatting sqref="AM22:AU22">
    <cfRule type="expression" dxfId="813" priority="232">
      <formula>OR(AM$19="",AND(AM$21&lt;&gt;woning,AM$21&lt;&gt;woongebouw))</formula>
    </cfRule>
  </conditionalFormatting>
  <conditionalFormatting sqref="AM70:AU70">
    <cfRule type="expression" dxfId="812" priority="137">
      <formula>OR(AM$19="",AM$24=0)</formula>
    </cfRule>
    <cfRule type="expression" dxfId="811" priority="138">
      <formula>AND(AM$19&lt;&gt;"",AM70="")</formula>
    </cfRule>
  </conditionalFormatting>
  <conditionalFormatting sqref="AM229:AU229">
    <cfRule type="expression" dxfId="810" priority="359">
      <formula>AM$24=0</formula>
    </cfRule>
  </conditionalFormatting>
  <conditionalFormatting sqref="AM257:AU257">
    <cfRule type="expression" dxfId="809" priority="366">
      <formula>AM$24=0</formula>
    </cfRule>
  </conditionalFormatting>
  <conditionalFormatting sqref="AM290:AU290">
    <cfRule type="expression" dxfId="808" priority="21">
      <formula>AM$24=0</formula>
    </cfRule>
  </conditionalFormatting>
  <conditionalFormatting sqref="AM292:AU292">
    <cfRule type="expression" dxfId="807" priority="115">
      <formula>AM292&lt;AM287</formula>
    </cfRule>
  </conditionalFormatting>
  <conditionalFormatting sqref="AM294:AU294">
    <cfRule type="expression" dxfId="806" priority="76">
      <formula>AND(AM294&lt;&gt;"nvt",AM294&lt;=AM293)</formula>
    </cfRule>
    <cfRule type="expression" dxfId="805" priority="75">
      <formula>AND(AM294&lt;&gt;"nvt",AM294&gt;AM293)</formula>
    </cfRule>
  </conditionalFormatting>
  <conditionalFormatting sqref="AM297:AU297">
    <cfRule type="expression" dxfId="804" priority="74">
      <formula>AND(AM297&lt;&gt;"nvt",AM297&lt;=AM296)</formula>
    </cfRule>
    <cfRule type="expression" dxfId="803" priority="73">
      <formula>AND(AM297&lt;&gt;"nvt",AM297&gt;AM296)</formula>
    </cfRule>
  </conditionalFormatting>
  <conditionalFormatting sqref="AM302:AU310 AM312:AU314 AM316:AU316 AM318:AU318">
    <cfRule type="expression" dxfId="802" priority="302">
      <formula>AM$24=0</formula>
    </cfRule>
  </conditionalFormatting>
  <conditionalFormatting sqref="AR186:AR188">
    <cfRule type="expression" dxfId="801" priority="367">
      <formula>AR$29=0</formula>
    </cfRule>
  </conditionalFormatting>
  <conditionalFormatting sqref="AR221:AR222">
    <cfRule type="expression" dxfId="800" priority="377">
      <formula>AR$29=0</formula>
    </cfRule>
  </conditionalFormatting>
  <conditionalFormatting sqref="AR289">
    <cfRule type="expression" dxfId="799" priority="389">
      <formula>AR289&lt;AR285</formula>
    </cfRule>
  </conditionalFormatting>
  <conditionalFormatting sqref="AY187">
    <cfRule type="expression" dxfId="798" priority="531">
      <formula>AY$29=0</formula>
    </cfRule>
  </conditionalFormatting>
  <conditionalFormatting sqref="AY106:BA106">
    <cfRule type="expression" dxfId="797" priority="4941">
      <formula>AND(AY$75&gt;0,AY106="")</formula>
    </cfRule>
  </conditionalFormatting>
  <conditionalFormatting sqref="AY209:BA209">
    <cfRule type="expression" dxfId="796" priority="120">
      <formula>AY$29=0</formula>
    </cfRule>
  </conditionalFormatting>
  <conditionalFormatting sqref="AY186:BC186">
    <cfRule type="expression" dxfId="795" priority="536">
      <formula>AY$29=0</formula>
    </cfRule>
  </conditionalFormatting>
  <conditionalFormatting sqref="AY22:BG22">
    <cfRule type="expression" dxfId="794" priority="231">
      <formula>OR(AY$19="",AND(AY$21&lt;&gt;woning,AY$21&lt;&gt;woongebouw))</formula>
    </cfRule>
  </conditionalFormatting>
  <conditionalFormatting sqref="AY70:BG70">
    <cfRule type="expression" dxfId="793" priority="136">
      <formula>AND(AY$19&lt;&gt;"",AY70="")</formula>
    </cfRule>
    <cfRule type="expression" dxfId="792" priority="135">
      <formula>OR(AY$19="",AY$24=0)</formula>
    </cfRule>
  </conditionalFormatting>
  <conditionalFormatting sqref="AY229:BG229">
    <cfRule type="expression" dxfId="791" priority="314">
      <formula>AY$24=0</formula>
    </cfRule>
  </conditionalFormatting>
  <conditionalFormatting sqref="AY251:BG253 AY255:BG255 AY257:BG257 AY262:BG269 AY271:BG271 AY273:BG273 AY275:BG275 AY280:BG280 AY282:BG284 AY286:BG288 AY293:BG294 AY296:BG297 AY302:BG310">
    <cfRule type="expression" dxfId="790" priority="294">
      <formula>AY$24=0</formula>
    </cfRule>
  </conditionalFormatting>
  <conditionalFormatting sqref="AY286:BG287">
    <cfRule type="expression" dxfId="789" priority="1391">
      <formula>AY286&gt;AY282</formula>
    </cfRule>
  </conditionalFormatting>
  <conditionalFormatting sqref="AY290:BG290">
    <cfRule type="expression" dxfId="788" priority="16">
      <formula>AY$24=0</formula>
    </cfRule>
  </conditionalFormatting>
  <conditionalFormatting sqref="AY290:BG291 AY312:BG314 AY316:BG316">
    <cfRule type="expression" dxfId="787" priority="320">
      <formula>AY$24=0</formula>
    </cfRule>
  </conditionalFormatting>
  <conditionalFormatting sqref="AY294:BG294">
    <cfRule type="expression" dxfId="786" priority="70">
      <formula>AND(AY294&lt;&gt;"nvt",AY294&lt;=AY293)</formula>
    </cfRule>
    <cfRule type="expression" dxfId="785" priority="69">
      <formula>AND(AY294&lt;&gt;"nvt",AY294&gt;AY293)</formula>
    </cfRule>
  </conditionalFormatting>
  <conditionalFormatting sqref="AY297:BG297">
    <cfRule type="expression" dxfId="784" priority="68">
      <formula>AND(AY297&lt;&gt;"nvt",AY297&lt;=AY296)</formula>
    </cfRule>
    <cfRule type="expression" dxfId="783" priority="67">
      <formula>AND(AY297&lt;&gt;"nvt",AY297&gt;AY296)</formula>
    </cfRule>
  </conditionalFormatting>
  <conditionalFormatting sqref="AY318:BG318">
    <cfRule type="expression" dxfId="782" priority="319">
      <formula>AY$24=0</formula>
    </cfRule>
  </conditionalFormatting>
  <conditionalFormatting sqref="BD161:BD162">
    <cfRule type="expression" dxfId="781" priority="279">
      <formula>BD$29=0</formula>
    </cfRule>
  </conditionalFormatting>
  <conditionalFormatting sqref="BD186:BD188">
    <cfRule type="expression" dxfId="780" priority="321">
      <formula>BD$29=0</formula>
    </cfRule>
  </conditionalFormatting>
  <conditionalFormatting sqref="BD221:BD222">
    <cfRule type="expression" dxfId="779" priority="331">
      <formula>BD$29=0</formula>
    </cfRule>
  </conditionalFormatting>
  <conditionalFormatting sqref="BD288">
    <cfRule type="expression" dxfId="778" priority="343">
      <formula>BD288&lt;BD284</formula>
    </cfRule>
  </conditionalFormatting>
  <conditionalFormatting sqref="BH186:BH188 BH190:BH192">
    <cfRule type="expression" dxfId="777" priority="1791">
      <formula>AND(BH186&lt;&gt;"-",BH186&gt;BH187)</formula>
    </cfRule>
  </conditionalFormatting>
  <conditionalFormatting sqref="BH227">
    <cfRule type="expression" dxfId="776" priority="4639">
      <formula>AND(BH227&lt;&gt;"-",BH227&gt;#REF!)</formula>
    </cfRule>
  </conditionalFormatting>
  <conditionalFormatting sqref="O288:W288 AA288:AI288 AM288:AU288 AY288:BG288">
    <cfRule type="expression" dxfId="775" priority="1">
      <formula>$O$288&lt;$O$284</formula>
    </cfRule>
  </conditionalFormatting>
  <dataValidations xWindow="97" yWindow="1212" count="97">
    <dataValidation allowBlank="1" showInputMessage="1" showErrorMessage="1" promptTitle="CO2 emisse" prompt="De CO2 emissie in kg/m2.jaar per woningtype, per energiepost en voor het totaal._x000a__x000a_De CO2 emissie in ton/jaar per (deel)locatie, per energiepost en voor het totaal._x000a__x000a_" sqref="D300" xr:uid="{A3A12D46-CB7F-4FE8-AADE-076FD2CF8966}"/>
    <dataValidation type="list" allowBlank="1" showInputMessage="1" showErrorMessage="1" errorTitle="Toestel RV" error="Kies een beschikbaar toestel." sqref="AA80 O80 AM80" xr:uid="{E3DD390B-0C2B-4EBD-9C72-75E0626F9700}">
      <formula1>toestellen_RV_invoer</formula1>
    </dataValidation>
    <dataValidation allowBlank="1" showInputMessage="1" showErrorMessage="1" promptTitle="Primair energiegebruik" prompt="Het primair energiegebruik in kWh_prim/m2.jaar per woningtype, per energiepost en voor het totaal._x000a__x000a_Het primair energiegebruik in GJ_prim/jaar per (deel)locatie, per energiepost en voor het totaal._x000a__x000a_Het is geen maat voor BENG 2." sqref="D239" xr:uid="{B471E37A-CA4A-442C-AF47-CB7936135971}"/>
    <dataValidation allowBlank="1" showInputMessage="1" showErrorMessage="1" promptTitle="Warmte-/koudebehoefte" prompt="De warmte- en koudebehoefte van de woning of het utiliteitsgebouw is gegeven in kWh/m2._x000a__x000a_Het is geen maat voor BENG 1, omdat het ventilatiesysteem voor BENG 1 per definitie C1 moet zijn. En dat is hier niet het geval." sqref="D225" xr:uid="{959F8E59-C46D-45B1-B369-1C9EC04C6732}"/>
    <dataValidation allowBlank="1" showInputMessage="1" showErrorMessage="1" promptTitle="Mobiliteit" prompt="Het geschatte elektriciteitsgebruik voor mobiliteit, bijvoorbeeld door elektrische auto's, kan worden ingevuld in kWh per woning of per utiliteitsgebouw." sqref="D68" xr:uid="{20C1A7C7-E836-49C6-9E35-887C5AD41C87}"/>
    <dataValidation allowBlank="1" showInputMessage="1" showErrorMessage="1" promptTitle="PV" prompt="Opbrengst PV op gevel en dak in kWh per woning | utiliteitsgebouw." sqref="D70" xr:uid="{6FF0BE9D-A713-4EE6-A95B-57541D34D612}"/>
    <dataValidation allowBlank="1" showInputMessage="1" showErrorMessage="1" promptTitle="Karakteristiek energiegebruik" prompt="Totaal naar primaire energie omgerekend fossiele brandstoffen voor gebouwgebonden energiegebruik (voor woningen ZONDER verlichting), verminderd met primair energiegebruik op eigen perceel geproduceerde energie._x000a__x000a_Cf. NTA8800 par. 5.5." sqref="D262" xr:uid="{2745FAD5-4819-49BA-BB6B-0060C0C87A93}"/>
    <dataValidation allowBlank="1" showInputMessage="1" showErrorMessage="1" promptTitle="Relatieve bijdrage per type" prompt="De relatieve bijdrage per energiepost (verwarming, warmtapwater, ..) wordt per type woning, woongebouw, utiliteitsgebouw bepaald op basis van de primaire energiegebruiken conform EPG/BENG." sqref="D234" xr:uid="{CDFE3B71-5EB4-4C5D-9B97-B988DF444C38}"/>
    <dataValidation allowBlank="1" showInputMessage="1" showErrorMessage="1" promptTitle="Distributieverlies extern" prompt="Het warmteverlies bij warmtedistributie buiten het gebouw in MWh per woning en/of utiliteitsgebouw._x000a__x000a_Als hiervoor waarden beschikbaar zijn, kunnen de forfaitaire waarden uit het model worden overschreven." sqref="D89" xr:uid="{EE755FCD-EE53-4C23-BDD9-717D86F8E70E}"/>
    <dataValidation allowBlank="1" showInputMessage="1" showErrorMessage="1" promptTitle="Forfaitaire waarden PV" prompt="Forfaitaire waarde voor opbrengst van PV: 875 kWh/kWp._x000a_" sqref="D168" xr:uid="{314439A7-CC14-4B2E-B110-D361892B516B}"/>
    <dataValidation allowBlank="1" showInputMessage="1" showErrorMessage="1" promptTitle="Opwekkingsrendement" prompt="Binnen de Uniforme Maatlat wordt het opwekkingsrendement op bovenwaarde gebruikt." sqref="D108" xr:uid="{CB8A8E20-C1DE-4DAE-A36D-4A822BBBD114}"/>
    <dataValidation allowBlank="1" showInputMessage="1" showErrorMessage="1" promptTitle="Primaire energiefactor" prompt="Het is mogelijk een eigen primaire energiefactor in te voeren. _x000a_Let op: Het verrekenen van aftapwarmte gaat via 'gederfde elektriciteit'." sqref="D140" xr:uid="{4EB943FB-1609-46DA-905A-910881D0C3C4}"/>
    <dataValidation type="decimal" allowBlank="1" showInputMessage="1" showErrorMessage="1" sqref="AM139 AM142:AM143 AA142:AA143 O142:O143 AA139 AY142" xr:uid="{C7504A49-41E3-4DCF-8353-2D7A4C5473C6}">
      <formula1>0</formula1>
      <formula2>1</formula2>
    </dataValidation>
    <dataValidation type="whole" allowBlank="1" showInputMessage="1" showErrorMessage="1" sqref="AN139:AO139 AN142:AO143 AB142:AC143 P142:Q143 AB139:AC139 AZ142:BA142" xr:uid="{F346A92F-EC91-4E80-89ED-E3661BEBE5B9}">
      <formula1>0</formula1>
      <formula2>1</formula2>
    </dataValidation>
    <dataValidation allowBlank="1" showInputMessage="1" showErrorMessage="1" promptTitle="Regerenatie WKO" prompt="Indien regeneratie van de WKO wordt voorzien wordt het elektriciteitsverbruik voor regeneratie bepaald als volgt:_x000a_Elektriciteitsverbruik regeneratie = abs (hoeveelheid warmte uit aquifer – hoeveelheid koude uit aquifer) * specifiek vermogen regeneratie_x000a_" sqref="D123" xr:uid="{2CE5EDA2-9F22-4617-AF52-5224C1F2BED4}"/>
    <dataValidation allowBlank="1" showInputMessage="1" showErrorMessage="1" promptTitle="Primair energiegebruik" prompt="De Uniforme Maatlat rekent op onderwaarde. De EPG rekent echter op bovenwaarde. De berekende primaire energiebruiken in de EPG zijn daarom hoger." sqref="D159" xr:uid="{9CE6192E-F6C0-4C2D-BE2F-6429AFDD6EC2}"/>
    <dataValidation allowBlank="1" showInputMessage="1" showErrorMessage="1" promptTitle="BENG-eisen" prompt="Als er meer dan één gebruiksfunctie is, dan is de eis gelijk aan het naar gebruiksoppervlakte gewogen gemiddelde over de verschillende functies." sqref="A273" xr:uid="{A531D7D1-07C5-4B24-B29F-877C2686B7A6}"/>
    <dataValidation type="list" allowBlank="1" showInputMessage="1" showErrorMessage="1" sqref="F5" xr:uid="{FC58D90B-854A-4D58-BD5B-E8560F869701}">
      <formula1>opwekking_elektriciteit</formula1>
    </dataValidation>
    <dataValidation type="list" allowBlank="1" showInputMessage="1" showErrorMessage="1" sqref="AY80" xr:uid="{3DB82375-3C0D-4FAA-9CFF-74F121497017}">
      <formula1>toestellen_RV_invoer</formula1>
    </dataValidation>
    <dataValidation type="list" allowBlank="1" showInputMessage="1" showErrorMessage="1" sqref="P80 AB80 AZ80 AN80" xr:uid="{BF2F42B6-F3DE-4B01-9EEB-27F88A7F6AE3}">
      <formula1>toestellen_KOEL_invoer</formula1>
    </dataValidation>
    <dataValidation type="list" allowBlank="1" showInputMessage="1" showErrorMessage="1" sqref="Q80 AC80 BA80 AO80" xr:uid="{E730BBB4-8875-4FE2-ABF6-03233CC831F1}">
      <formula1>toestellen_TAP_invoer</formula1>
    </dataValidation>
    <dataValidation allowBlank="1" showInputMessage="1" showErrorMessage="1" promptTitle="Distributieverlies binnen gebouw" prompt="Warmtedistributieverlies binnen woning|gebouw voor ruimteverwarming en warmtapwater, en afgifteverlies (radiator, vloerverwarming) voor ruimteverwarming._x000a_(Afgifteverlies voor warmtapwater zit verwerkt in het kengetal voor energiebehoefte warmtapwater.)" sqref="D82" xr:uid="{07667BB5-B5D3-4D1E-92BA-BAF6ED370C0A}"/>
    <dataValidation allowBlank="1" showInputMessage="1" showErrorMessage="1" promptTitle="Gegevensfilter en navigatie" prompt="&lt;-_x000a_Het gegevensfilter biedt de mogelijkheid om (delen van) tabellen in de UMGO te filteren._x000a__x000a_-&gt;_x000a_Navigatieknoppen naar andere tabbladen." sqref="D8" xr:uid="{8EB41D1A-FB67-42E0-A888-2D0AB8812A25}"/>
    <dataValidation allowBlank="1" showInputMessage="1" showErrorMessage="1" promptTitle="Warmtebehoefte warmtapwater" prompt="De energiebehoefte voor warmtapwatergebruik wordt berekend op basis van rekenregels in NTA8800 (paragraaf 13.2)." sqref="D62" xr:uid="{ADBF0287-9781-4CE3-8C8F-8E8A66538DD6}"/>
    <dataValidation allowBlank="1" showInputMessage="1" showErrorMessage="1" promptTitle="Isolatiepakket gebouwschil" prompt="De aangeboden isolatiepakketten voor de gebouwschil bepalen de gemiddelde warmtedoorgangscoëfficiënt van de gebouwschil. In de bibliotheek zijn de Rc- en U-waarden per pakket en per bouwdeel aangegeven._x000a__x000a_Eigen pakketten zijn daaraan toe te voegen." sqref="D40" xr:uid="{752AC3BB-451F-482E-8D9A-C2499AA8D86B}"/>
    <dataValidation type="list" allowBlank="1" showInputMessage="1" showErrorMessage="1" errorTitle="Toestel RV" error="Kies een beschikbaar toestel." sqref="Q87 AA87 AC87 AM87 AO87 AY87 BA87 O87" xr:uid="{D73A7A98-F399-48E6-B015-68667823EB82}">
      <formula1>"ja,nee"</formula1>
    </dataValidation>
    <dataValidation allowBlank="1" showInputMessage="1" showErrorMessage="1" promptTitle="Correctiefactor ruimteverwarming" prompt="Werkelijk energiegebruik voor ruimteverwarming wijkt vaak af van energiegebruik cf. EPG._x000a__x000a_Slecht geïsoleerde woningen verbruiken gemiddeld minder en goed geïsoleerde woningen verbruiken gemiddeld meer dan berekend._x000a__x000a_Deze correctiefactor verrekent dat." sqref="D54:D55" xr:uid="{3DC29C14-7A9C-47C9-868D-6952E423DCAA}"/>
    <dataValidation type="list" allowBlank="1" showInputMessage="1" showErrorMessage="1" sqref="O42:W42 AY42:BG42 AA42:AI42 AM42:AU42" xr:uid="{732BF28C-9E82-441F-BE04-64EFBD19AC37}">
      <formula1>ventilatiesystemen_namen</formula1>
    </dataValidation>
    <dataValidation type="list" allowBlank="1" showInputMessage="1" showErrorMessage="1" sqref="O43:W43 AA43:AI43 AY43:BG43 AM43:AU43" xr:uid="{984FD9D4-3B45-487B-9CF9-EB3D2FB6691F}">
      <formula1>ventilatoren_typen</formula1>
    </dataValidation>
    <dataValidation type="list" allowBlank="1" showInputMessage="1" showErrorMessage="1" sqref="O46:W46 AA46:AI46 AY46:BG46 AM46:AU46" xr:uid="{72EC363D-3EA9-4083-912E-018FA9EA24A7}">
      <formula1>verlichtingsregeling_namen</formula1>
    </dataValidation>
    <dataValidation allowBlank="1" showInputMessage="1" showErrorMessage="1" promptTitle="Vermogen verwarming &amp; koeling" prompt="Een indicatie van het verwarmings- en koelvermogen op basis van formules NTA8800. Zie 'bibliotheek' voor meer details." sqref="D96" xr:uid="{3079F8E6-90AD-4395-A017-1D5A4FC675E9}"/>
    <dataValidation allowBlank="1" showInputMessage="1" showErrorMessage="1" promptTitle="Aantal toestellen" prompt="Voor toestellen met geografisch niveau:_x000a_- 'gebouw': aantal woningen en gebouwen in deellocatie._x000a_- 'gebied': totale gebruiksoppervlakte in deelgebied delen door gemiddeld maximaal te verwarmen/koelen oppervlak._x000a_- 'centraal': 1." sqref="D95" xr:uid="{DB581705-0A3D-4B71-B0C1-5196DDCDF890}"/>
    <dataValidation allowBlank="1" showInputMessage="1" showErrorMessage="1" promptTitle="Hernieuwbare energie warmtepomp" prompt="Ingezette hernieuwbare energie door warmtepompen. Mits EN:_x000a_- COP (of eta) &gt;=1,0;_x000a_- bron is GEEN ventilatieretourlucht_x000a_- warmtepomp GEEN booster-wp._x000a__x000a_EPren;hp = QHW;gen;hp;out * (1-1/COP) * fPren;renheat_x000a__x000a_Cf. NTA8800 par. 5.6.2." sqref="D264 D209" xr:uid="{82A7078C-580F-462E-958C-476253D5F877}"/>
    <dataValidation allowBlank="1" showInputMessage="1" showErrorMessage="1" promptTitle="Hernieuwbare energie biomassa" prompt="Ingezette hernieuwbare energie door biomassatoestel._x000a__x000a_EPren;gen;out = QHW;gen;out * fPren;bmX_x000a__x000a_Waarbij de X in fPren;bmX staat voor A, B of C afhankelijk van het type biomassa._x000a__x000a_Cf. NTA8800 par. 5.6.2._x000a_" sqref="D266 D211" xr:uid="{B49E92EA-4D24-447F-936A-2016E556E3A0}"/>
    <dataValidation allowBlank="1" showInputMessage="1" showErrorMessage="1" promptTitle="Hernieuwbaar ext. warmte/koude" prompt="Ingezette hernieuwbare energie door externe warmte-/koudelevering. Waarbij de X in fPren;d[hcw]X staat voor 'kwal' (met) of 'forf' (zonder kwalteitsverklaring)._x000a__x000a_EPren;gen;out = Q[HCW];gen;out * fPren;d[hcw]X_x000a__x000a_Cf. NTA8800 par. 5.6.2._x000a_" sqref="D267" xr:uid="{9B5FB2E0-7A32-4F2A-8307-8D285BC9533B}"/>
    <dataValidation allowBlank="1" showInputMessage="1" showErrorMessage="1" promptTitle="Hernieuwbaar zonne-energie therm" prompt="Onder praktijkomstandigheden aangeleverde hoeveelheid hernieuwbare energie, door thermische zonne-energiesystemen (zonneboiler(combi)s op eigen perceel._x000a__x000a_EPren;sol;prac = QHW;sol;prac * fPren;renheat_x000a__x000a_Cf. NTA8800 par. 5.6.2._x000a_" sqref="D269 D214" xr:uid="{CE91BCAF-92BE-4089-9580-3BD281477EE4}"/>
    <dataValidation allowBlank="1" showInputMessage="1" showErrorMessage="1" promptTitle="Hernieuwbaar opgewekte elek." prompt="Op het eigen perceel opgewekte primaire hernieuwbare elektriciteit._x000a__x000a_EPren;el = Eel;PV/PVT/wind * fPren;renelect_x000a__x000a_Cf. NTA8800 par. 5.6.2.4." sqref="D271 D215" xr:uid="{75D51F46-CDD9-40DF-9A2B-A301A2DB8735}"/>
    <dataValidation allowBlank="1" showInputMessage="1" showErrorMessage="1" promptTitle="Totaal hernieuwbare prim energie" prompt="Hernieuwbare 'primaire' energie van de woning of het gebouw." sqref="D273" xr:uid="{88D2F169-EF58-4AB0-BCEC-D1FC6DEFF137}"/>
    <dataValidation allowBlank="1" showInputMessage="1" showErrorMessage="1" promptTitle="Hernieuwb. abs. koel ext. warmte" prompt="Geleverde energie door absorptiekoeling op externe warmtelevering._x000a__x000a_EPren;gen;out = QC;gen;out * fPren;dhX_x000a__x000a_Waarbij de X in fPren;dhX staat voor 'kwal' (met) of 'forf' (zonder kwalteitsverklaring)._x000a__x000a_Cf. NTA8800 par. 5.6.2." sqref="D268 D213" xr:uid="{5010E6AD-1C41-4C95-AEA0-DE55B7EBDF0C}"/>
    <dataValidation allowBlank="1" showInputMessage="1" showErrorMessage="1" promptTitle="Aandeel hernieuwb. prim energie" prompt="Aandeel hernieuwbare energie._x000a__x000a_RERPrenTOT = EPrenTot / (EPTot + EPrenTot) * 100%_x000a__x000a_Cf. NTA8800 par. 5.3.1.3, formule 5.3" sqref="D275" xr:uid="{054D8929-2850-4D7B-9973-0C0499953701}"/>
    <dataValidation allowBlank="1" showInputMessage="1" showErrorMessage="1" promptTitle="Hernieuwbaar door vrije koeling" prompt="Geleverde energie door vrije koeling. Mits EER &gt;= 8 (anders EPren;gen;out = 0)_x000a__x000a_EPren;gen;out = QC;gen;out * fPren;rencold_x000a__x000a_Cf. NTA8800 par. 5.6.2.2_x000a_" sqref="D265 D210" xr:uid="{18B9C8E2-BCF8-4AAA-B6C7-50C04465C9D1}"/>
    <dataValidation allowBlank="1" showInputMessage="1" showErrorMessage="1" promptTitle="Warmtebehoefte ruimteverwarming" prompt="De warmtebehoefte voor verwarming is afgeleid met data van gebouwen uit de energielabeldatabase (UT) en Voorbeeldgebouwen 2020. Na (her)berekenen met NTA8800 is een verband afgeleid tussen warmtebehoefte en:_x000a_- Als/Ag_x000a_- U gem_x000a_- vent.sys." sqref="D60" xr:uid="{9246FC70-D5DE-481A-A012-7B4FE91F14DE}"/>
    <dataValidation allowBlank="1" showInputMessage="1" showErrorMessage="1" promptTitle="Koudebehoefte koeling" prompt="De koudebehoefte voor koeling is afgeleid met data van gebouwen uit de energielabeldatabase (UT) en Voorbeeldgebouwen 2020. Na (her)berekenen met NTA8800 is een verband afgeleid tussen koudebehoefte en:_x000a_- Als/Ag_x000a_- U gem_x000a_- vent.sys." sqref="D61" xr:uid="{73A2DA58-0850-4212-B3D1-F68E5C38CF50}"/>
    <dataValidation allowBlank="1" showInputMessage="1" showErrorMessage="1" promptTitle="Elektriciteitsvraag verlichting" prompt="De elektriciteitsvraag voor verlichting is afgeleid met gebouwen uit de energielabeldatabase (UT) en Voorbeeldgebouwen 2020. Na (her)berekenen met NTA8800 wordt de elektricitetsvraag berekend obv:_x000a_- geïnstalleerd vermogen in W/m2_x000a_- verlichtingsregeling" sqref="D63" xr:uid="{BB1A4861-63AF-497D-82B0-8A069B4BF785}"/>
    <dataValidation allowBlank="1" showInputMessage="1" showErrorMessage="1" promptTitle="Elektriciteitsvraag ventilatoren" prompt="De elektriciteitsvraag voor ventilatoren is afgeleid met gebouwen uit de energielabeldatabase (UT) en Voorbeeldgebouwen 2020. Na (her)berekenen met NTA8800 wordt de elektricitetsvraag berekend obv:_x000a_- ventilatiesysteem_x000a_- wissel-gelijkstroom/installatiejaar" sqref="D64" xr:uid="{AC29EABB-BED5-4997-965F-A428157B2D96}"/>
    <dataValidation allowBlank="1" showInputMessage="1" showErrorMessage="1" promptTitle="Elektriciteitsgebruik overig" prompt="Het elektriciteitsgebruik binnen het gebouw, niet gerelateerd aan gebouwinstallaties (computers, printers, elektrisch koken, klusapparatuur et cetera)._x000a__x000a_Voor woningen zijn CBS cijfers gebruikt. Voor utiliteitsgebouwen tabel 7.3 uit NTA8800." sqref="D66" xr:uid="{9CF056C4-E2C0-43F6-8FB6-E63F2F5B247B}"/>
    <dataValidation allowBlank="1" showInputMessage="1" showErrorMessage="1" promptTitle="Besparing elektr. apparatuur" prompt="Reductie van het niet gebouwgebonden elektriciteitsgebruik zoals dat in de onderstaande tabel is berekend._x000a__x000a_Een reductie van 100% betekent dat in de UMGO het niet gebouwgebonden elektriciteitsgebruik niet in de berekening wordt meegenomen." sqref="D48" xr:uid="{A7A890C4-6C78-45B6-8FB7-751618BAD15F}"/>
    <dataValidation allowBlank="1" showInputMessage="1" showErrorMessage="1" promptTitle="Energiegebruik per energiepost" prompt="Per deellocatie is de energiebehoefte van alle woningen en gebouwen per energiepost gesommeerd." sqref="D75" xr:uid="{D8F27C35-CF4B-4F27-8AEB-30EC1C8FA1E8}"/>
    <dataValidation allowBlank="1" showInputMessage="1" showErrorMessage="1" promptTitle="BENG eisen 2021" prompt="De BENG eisen zijn overgenomen van:_x000a__x000a_https://zoek.officielebekendmakingen.nl/stb-2019-501.html_x000a__x000a_" sqref="D281" xr:uid="{1A89A682-F289-4924-B858-01086967836E}"/>
    <dataValidation allowBlank="1" showInputMessage="1" showErrorMessage="1" promptTitle="Energieprestaties" prompt="De berekende energieprestatie (bestaande bouw EN nieuwbouw) is afgezet tegen de BENG eisen voor NIEUWBOUW._x000a__x000a_GROEN: berekende waarde voldoet WEL aan de eis_x000a_ROOD: berekende waarde voldoet NIET aan de eis_x000a__x000a_" sqref="D285" xr:uid="{17655FDE-EF17-4D1B-AEA6-51D26D085AAF}"/>
    <dataValidation allowBlank="1" showInputMessage="1" showErrorMessage="1" promptTitle="energiebehoefte-indicator" prompt="Warmtebehoefte ruimteverwarming + koudebehoefte voor koeling, berekend met ventilatiesysteem C1, in kWh/m2._x000a__x000a_NTA8800, par. 5.3.1.1_x000a__x000a_" sqref="D286" xr:uid="{58BDC3EB-8B38-4008-B427-3698356D844B}"/>
    <dataValidation allowBlank="1" showInputMessage="1" showErrorMessage="1" promptTitle="primaire energie indicator" prompt="Het totale gebouwgebonden primaire (vermeden) energiegebruik (voor woningen ZONDER verlichting) in kWh/m2._x000a__x000a_NTA8800, par. 5.3.1.2_x000a__x000a_" sqref="D287" xr:uid="{2E3E4E57-814B-438C-827F-51A66308AC49}"/>
    <dataValidation allowBlank="1" showInputMessage="1" showErrorMessage="1" promptTitle="Hernieuwbaar ext. warmte/koude" prompt="Ingezette hernieuwbare energie door externe warmte-/koudelevering._x000a__x000a_EPren;gen;out = Q[HCW];gen;out * fPren;d[hcw]X_x000a__x000a_X staat voor 'kwal' (kwalteitsverklaring) of 'forf' (forfaitair)._x000a__x000a_Cf. NTA8800 par. 5.6.2." sqref="D212" xr:uid="{2AE88821-6422-4523-B1E6-D1A273FDF1C5}"/>
    <dataValidation type="decimal" allowBlank="1" showInputMessage="1" showErrorMessage="1" errorTitle="Bereik 0%-100%" error="De ingevoerde waarde is buiten het bereik." sqref="AY106:BA106 AA106:AC106 O106:Q106 AM106:AO106" xr:uid="{49A7B2C1-14D3-47EA-B8BF-9E61A494CC33}">
      <formula1>0</formula1>
      <formula2>1</formula2>
    </dataValidation>
    <dataValidation type="decimal" allowBlank="1" showInputMessage="1" showErrorMessage="1" errorTitle="Bereik 0,1-15,0" error="De ingevoerde waarde valt buiten het bereik." sqref="AA109:AC109 AY109:BA109 AY137:BA137 O137:Q137 AA137:AC137 O109:Q109 AM137:AO137 AM109:AO109" xr:uid="{8F451621-75BD-496D-AF34-EFAF85EDE51E}">
      <formula1>0.1</formula1>
      <formula2>15</formula2>
    </dataValidation>
    <dataValidation type="decimal" allowBlank="1" showInputMessage="1" showErrorMessage="1" errorTitle="Bereik 0%-100%" error="De ingevoerde waarde valt buiten het bereik." sqref="O48:W48 AA48:AI48 AY48:BG48 AM48:AU48" xr:uid="{24F560BB-445F-4BE4-8699-0C171C1DD4D7}">
      <formula1>0</formula1>
      <formula2>1</formula2>
    </dataValidation>
    <dataValidation type="decimal" operator="greaterThanOrEqual" allowBlank="1" showInputMessage="1" showErrorMessage="1" errorTitle="Bereik ≥0" error="De ingevulde waarde valt buiten het bereik." sqref="O25:W25 AA25:AI25 AY25:BG25 AM25:AU25" xr:uid="{E2151683-FF9C-4D97-9C42-80A4F481E1B1}">
      <formula1>0</formula1>
    </dataValidation>
    <dataValidation type="decimal" allowBlank="1" showInputMessage="1" showErrorMessage="1" errorTitle="Bereik 0-30" error="De ingevoerde waarde valt buiten het bereik." sqref="O45:W45 AA45:AI45 AY45:BG45 AM45:AU45" xr:uid="{AFE0B17D-7CB3-4C43-97BB-EF9A79976831}">
      <formula1>0</formula1>
      <formula2>30</formula2>
    </dataValidation>
    <dataValidation type="decimal" operator="greaterThanOrEqual" allowBlank="1" showInputMessage="1" showErrorMessage="1" errorTitle="Bereik ≥0" error="De ingevoerde waarde valt buiten het bereik." sqref="BA91 O68:W68 AA68:AI68 O91 Q91 AA91 AC91 AM91 AO91 AY91 AY68:BG68 AM68:AU68" xr:uid="{9D434F8C-8F65-4557-81B7-907612229BE3}">
      <formula1>0</formula1>
    </dataValidation>
    <dataValidation type="decimal" operator="greaterThanOrEqual" allowBlank="1" showInputMessage="1" showErrorMessage="1" errorTitle="Bereik ≥0" error="De ingevoerde waarde valt buiten het bereik." promptTitle="Energiepakket / energiebehoefte" sqref="O70:W70 AA70:AI70 AY70:BG70 AM70:AU70" xr:uid="{91B84CE6-6D01-4DC6-8A29-0383B34E225C}">
      <formula1>0</formula1>
    </dataValidation>
    <dataValidation type="decimal" allowBlank="1" showInputMessage="1" showErrorMessage="1" errorTitle="Bereik 0,10-1,00" error="De ingevoerde waarde valt buiten het bereik." sqref="O84 Q84 AA84 AC84 AY84 BA84 AM84 AO84" xr:uid="{93ABE72B-F511-46C1-9982-133D373EAC54}">
      <formula1>0.1</formula1>
      <formula2>1</formula2>
    </dataValidation>
    <dataValidation type="decimal" allowBlank="1" showInputMessage="1" showErrorMessage="1" errorTitle="Bereik 0,0-2,0" error="De ingevoerde waarde valt buiten het bereik." sqref="O116:Q116 AA116:AC116 AY116:BA116 O141:Q141 AA141:AC141 AY141:BA141 O120 AM141:AO141 AM116:AO116" xr:uid="{C2ADB055-2E93-4B3A-A310-CA23A4AE9746}">
      <formula1>0</formula1>
      <formula2>2</formula2>
    </dataValidation>
    <dataValidation type="decimal" allowBlank="1" showInputMessage="1" showErrorMessage="1" errorTitle="Bereik 0,0-1,0" error="De ingevoerde waarde valt buiten het bereik." sqref="AY152:BA152 AA120:AC120 AY120:BA120 O145:Q145 AA145:AC145 AY145:BA145 O152:Q152 AA152:AC152 P120:Q120 AM152:AO152 AM145:AO145 AM120:AO120" xr:uid="{236B6213-928F-4B98-820E-394B7152A39E}">
      <formula1>0</formula1>
      <formula2>1</formula2>
    </dataValidation>
    <dataValidation type="decimal" allowBlank="1" showInputMessage="1" showErrorMessage="1" errorTitle="Bereik 0,0-0,5" error="De ingevoerde waarde valt buiten het bereik." sqref="O126:Q126 AA126:AC126 AY126:BA126 AM126:AO126" xr:uid="{31A260F9-82EE-4023-AE5B-EDF2795CF5D6}">
      <formula1>0</formula1>
      <formula2>0.5</formula2>
    </dataValidation>
    <dataValidation allowBlank="1" showInputMessage="1" showErrorMessage="1" promptTitle="Energie niet voor verwarmen/koel" prompt="Elektra en gas NIET voor verwarmen/koelen._x000a_- gebouwgebonden (hulpenergie_x000a_   toestellen, verlichting,_x000a_   ventilatoren);_x000a_- niet gebouwgebonden (apparatuur_x000a_   (tv, computer, elektrisch koken,_x000a_   klusapparatuur, etc), mobiliteit);_x000a_-  kookgas" sqref="D149" xr:uid="{DA7565E4-D392-4F5A-A9E2-ED54681255F3}"/>
    <dataValidation allowBlank="1" showInputMessage="1" showErrorMessage="1" promptTitle="Thermische zonne-energie" prompt="Het thermisch zonne-energiesysteem levert een % van de warmtevraag inclusief intern distributieverlies._x000a__x000a_In de UMGO worden de volgende forfaitaire waarden aangehouden:_x000a_- ruimteverwarming: 15%;_x000a_- warmtapwater: 50%." sqref="D86" xr:uid="{02AED43B-1458-4899-A484-9F4430289817}"/>
    <dataValidation allowBlank="1" showInputMessage="1" showErrorMessage="1" promptTitle="Installatie" prompt="De installatie voor verwarming, koeling en warmtapwater wordt vastgelegd door keuze voor het type preferent toestel, de warmteverliezen door interen en externe warmtedistributie en gebruik van thermische zonne-energie." sqref="D78" xr:uid="{97C17504-8930-4D72-94B8-C0D4038DC4E6}"/>
    <dataValidation allowBlank="1" showInputMessage="1" showErrorMessage="1" promptTitle="Keuze preferent toestel" prompt="De keuze van het preferente toestel bepaalt welke forfaitaire waarden voor warmtedistributie, energiedragers en rendementen uit de bibliotheek worden opgehaald." sqref="D79" xr:uid="{AA9432F3-812C-4161-81A3-7E3CBA492533}"/>
    <dataValidation allowBlank="1" showInputMessage="1" showErrorMessage="1" promptTitle="Te leveren warmte en koude" prompt="Aan het distributiesysteem te leveren warmte|koude wordt berekend op basis van de warmte- en koudevraag van woningen en utiliteitsgebouwen (energiebehoefte per energiepost), de verliezen door warmte-/koudedistributie en gebruik van thermische zonnewarmte." sqref="D93" xr:uid="{8D003FA6-39A8-4D6F-B935-B39A4F59B5C5}"/>
    <dataValidation allowBlank="1" showInputMessage="1" showErrorMessage="1" promptTitle="Preferent toestel" prompt="Hier kunnen de kenmerken van het al eerder gekozen preferente toestel worden gewijzigd._x000a_De kenmerken bepalen welk deel van de te leveren warmte|koude door het preferente toestel geleverd wordt en hoeveel primair energiegebruik en CO2 emissie dat kost." sqref="D99" xr:uid="{B7576171-861C-43EE-91D6-0BAD233FF224}"/>
    <dataValidation allowBlank="1" showInputMessage="1" showErrorMessage="1" promptTitle="Niet preferent toestel" prompt="Kenmerken wijzigen van het niet preferente toestel (niet preferent toestel bepaald door type installatie)._x000a_De kenmerken bepalen de te leveren warmte|koude door het niet preferente toestel, het finaal/primair energiegebruik en de CO2 emissie." sqref="D129" xr:uid="{D134B48B-66FC-4AED-9C69-0D3813D9F71B}"/>
    <dataValidation allowBlank="1" showInputMessage="1" showErrorMessage="1" promptTitle="Resultaten" prompt="De tabel geeft een samenvatting van het primair energiegebruik, de CO2 emissie en het gasverbruik van de locatie(s) als gevolg van energetische keuzes in deze variant." sqref="D10" xr:uid="{347DAFFD-F188-4C8A-932F-B7A3F78EE032}"/>
    <dataValidation allowBlank="1" showInputMessage="1" showErrorMessage="1" promptTitle="Woningen|utiliteitsgebouwen" prompt="De tabel geeft een terugkoppeling van de ingevoerde woningen en utileitsgebouwen in" sqref="D17" xr:uid="{F36194A3-7F01-4859-8911-67202147A79A}"/>
    <dataValidation allowBlank="1" showInputMessage="1" showErrorMessage="1" promptTitle="Besparing warmtevraag tapwater" prompt="Reductie (of toename) van de warmtevraag voor warmtapwater t.o.v. van de berekende warmtevraag cf. NTA 8800._x000a__x000a_Te denken valt aan DWTW, waterbesparende kranen, lagere bezetting, bewust energiezuinig gedrag, et cetera." sqref="D44" xr:uid="{6C6204F7-9E07-4530-A2FD-53F9DF9761C9}"/>
    <dataValidation allowBlank="1" showInputMessage="1" showErrorMessage="1" promptTitle="Energielabel" prompt="Het energielabel wordt bepaald op basis van het gebouwgebonden primair energiegebruik in kWh/m2._x000a__x000a_Zie 'Regeling energieprestatie gebouwen', https://wetten.overheid.nl/BWBR0020921/2021-07-01" sqref="D290" xr:uid="{B6000326-9099-4F74-AD70-258E69865B48}"/>
    <dataValidation allowBlank="1" showInputMessage="1" showErrorMessage="1" promptTitle="Energieprestatie indicatoren" prompt="De energieprestatie indicatoren gaan alleen over GEBOUWGEBONDEN energiegebruik en zijn bepaald cf. paragraaf 5.3.1 van NTA 8800._x000a__x000a_" sqref="D278" xr:uid="{8DE63E0A-EFDC-40E6-ACEE-7C4D51A2A069}"/>
    <dataValidation allowBlank="1" showInputMessage="1" showErrorMessage="1" promptTitle="Hernieuwbare 'primaire' energie" prompt="De totale hernieuwbare 'primaire' energie voor GEBOUWGEBONDEN energiegebruik is berekend cf. NTA8800._x000a__x000a_NTA8800 par. 5.6." sqref="D260" xr:uid="{1358E344-C667-492E-9DDA-0E1CB35ADDA0}"/>
    <dataValidation allowBlank="1" showInputMessage="1" showErrorMessage="1" promptTitle="Kookgas" prompt="Gasverbruik voor kookgas." sqref="D65" xr:uid="{0FB05954-C11B-4010-BD75-1721C735A39B}"/>
    <dataValidation type="list" allowBlank="1" showInputMessage="1" showErrorMessage="1" sqref="O47:W47 AA47:AI47 AY47:BG47 AM47:AU47" xr:uid="{43CD5BFA-1E12-4290-8267-63CDA19AB4FF}">
      <formula1>"elektriciteit,aardgas"</formula1>
    </dataValidation>
    <dataValidation allowBlank="1" showInputMessage="1" showErrorMessage="1" promptTitle="Aandeel hernieuwbare energie" prompt="Aandeel hernieuwbare energie._x000a__x000a_RERPrenTOT = EPrenTot / (EPTot + EPrenTot) * 100%_x000a__x000a_Cf. NTA8800 par. 5.3.1.3, formule 5.3" sqref="D288" xr:uid="{CE3E123E-8148-40BA-967F-BFBE0F6BC912}"/>
    <dataValidation allowBlank="1" showInputMessage="1" showErrorMessage="1" promptTitle="Bijdrage zonthermisch MWh" prompt="Bijdrage zonthermisch = %bijdrage zonthermisch * (energiebehoefte + intern distributieverlies)_x000a__x000a_Het % bijdrage zonthermisch is verschillend voor RV en TAP en staat in de bibliotheek." sqref="D88" xr:uid="{B2CB6022-D26C-41FB-9D08-3ED43CF28569}"/>
    <dataValidation allowBlank="1" showInputMessage="1" showErrorMessage="1" promptTitle="Indicatie geïnstalleerd vermogen" prompt="Forfaitaire, conservatieve, waarden in NTA8800, par. 14.3, in W/m2:_x000a_- winkels: 30_x000a_- gezondheid met bed, logies, cellen: 17_x000a_- overige functies: 16_x000a__x000a_Gebruikelijk is 30% lager._x000a_Energiezuinig 50%-60% lager." sqref="D45" xr:uid="{F482F784-8CB3-41AA-BB67-ED330C8EC611}"/>
    <dataValidation allowBlank="1" showInputMessage="1" showErrorMessage="1" promptTitle="Elektriciteit 'overig'" prompt="Elektriciteit 'overig' is het elektriciteitsgebruik voor hulpenergie installaties, verlichting, ventilatoren, apparatuur, mobiliteit, elektrisch koken, etcetera." sqref="D154" xr:uid="{A0C5F7EC-ABF8-43CE-A99C-974A3C5EE414}"/>
    <dataValidation type="decimal" allowBlank="1" showInputMessage="1" showErrorMessage="1" errorTitle="Bereik 0%-100%" error="De ingevoerde waarde valt buiten het bereik." sqref="O44:W44 AA44:AI44 AY44:BG44 AM44:AU44" xr:uid="{74C54E3E-F48C-4AB3-AAD2-D40CC77843A7}">
      <formula1>0.5</formula1>
      <formula2>2</formula2>
    </dataValidation>
    <dataValidation type="textLength" errorStyle="warning" allowBlank="1" showInputMessage="1" showErrorMessage="1" errorTitle="Maximaal 30 karakters" error="Maximaal 30 karakters" sqref="E3 F4" xr:uid="{E85D288B-7874-4F31-8C23-0ADD72961271}">
      <formula1>0</formula1>
      <formula2>30</formula2>
    </dataValidation>
    <dataValidation type="textLength" errorStyle="warning" allowBlank="1" showInputMessage="1" showErrorMessage="1" errorTitle="Maximaal 30 karakters" error="Maximaal 30 karakters" sqref="H3" xr:uid="{A3C002CD-DD4E-477B-8D14-CD3D6187C906}">
      <formula1>0</formula1>
      <formula2>40</formula2>
    </dataValidation>
    <dataValidation type="textLength" allowBlank="1" showInputMessage="1" showErrorMessage="1" errorTitle="Maximaal 65 karakters" error="Maximaal 65 karakters." sqref="F4" xr:uid="{C83996CD-F397-4F2F-A9B6-88C88407661E}">
      <formula1>0</formula1>
      <formula2>65</formula2>
    </dataValidation>
    <dataValidation allowBlank="1" showInputMessage="1" showErrorMessage="1" promptTitle="Primaire energiefactor" prompt="Primaire energiefactor energiedrager._x000a__x000a_Bij collectieve WKK met/zonder derving, geothermie, etc wordt de primaire energiefactor uitgerekend cf. NEN7125_2017 paragraaf 7.3.4.5/6/9._x000a__x000a_Bij een EMG-verklaring wordt de waarde voor fPdel overgenomen." sqref="D115" xr:uid="{A1009EB4-4586-4CA5-96DD-7A9774C24E1D}"/>
    <dataValidation allowBlank="1" showInputMessage="1" showErrorMessage="1" promptTitle="Elektriciteitsderving bij WKK" prompt="Bij WKK's waarbij de elektriciteitsproductie afneemt bij onttrekking van warmte, wordt de primaire energiefactor uitgerekend met de verhouding tussen elektriciteitsderving en thermische omzettingsgetal (Δε;chp;el / ε;chp;th)._x000a__x000a_NEN7125_2017 par 7.3.4.6" sqref="D110" xr:uid="{6A0978A1-5DE9-41B8-B572-0224C2B8B722}"/>
    <dataValidation allowBlank="1" showInputMessage="1" showErrorMessage="1" promptTitle="CO2 emissiecoëfficiënt" prompt="CO2 emissiecoëfficiënt energiedrager._x000a__x000a_Bij collectieve WKK met/zonder derving, geothermie, etc wordt de CO2 emissiecoëfficiënt uitgerekend cf. NEN7125_2017 paragraaf 7.3.4.5/6/9._x000a__x000a_Bij een EMG-verklaring wordt de waarde voor K_CO2 del overgenomen." sqref="D119" xr:uid="{B259BF10-7771-4241-B06F-33902CC97DAE}"/>
    <dataValidation allowBlank="1" showInputMessage="1" showErrorMessage="1" promptTitle="Standaardwaarde" prompt="Deze standaard geeft aan wanneer een woning goed genoeg is geïsoleerd om aardgasvrij te worden. Hij is ontstaan uit het Klimaatakkoord._x000a_" sqref="D292" xr:uid="{ED67F2F5-93A2-48DF-B07A-D4799B0E513D}"/>
    <dataValidation allowBlank="1" showInputMessage="1" showErrorMessage="1" promptTitle="Correctiefactor verwarming" prompt="Slecht geïsoleerde woningen verbruiken gemiddeld veel minder en goed geïsoleerde woningen verbruiken gemiddeld wat meer dan berekend cf NTA8800._x000a__x000a_Deze correctiefactor verrekent dat._x000a__x000a_Rekenwaarde warmtebehoefte = correctiefactor * warmtebehoefte cf NTA8800" sqref="D53" xr:uid="{E27F4D66-0CB7-4689-813A-F6D590E28775}"/>
    <dataValidation type="decimal" allowBlank="1" showInputMessage="1" showErrorMessage="1" errorTitle="Invoer valt buiten bereik" error="De ingevoerde waarde valt buiten het bereik." sqref="O54:W55 AA54:AI55 AM54:AU55 AY54:BG55" xr:uid="{2AED0598-9DF0-4E84-A117-71584D1683F5}">
      <formula1>0.2</formula1>
      <formula2>2</formula2>
    </dataValidation>
    <dataValidation allowBlank="1" showInputMessage="1" showErrorMessage="1" promptTitle="Correctie warmtebehoefte RV" prompt="In slecht geïsoleerde gebouwen berekent NTA8800 gemiddeld té hoge energiegebruiken voor ruimteverwarming._x000a_De correctie corrigeert de NTA berekening op basis van de gemiddelde U-waarde._x000a__x000a_&gt;&gt; energieprestatie-indicatoren zijn alleen geldig ZONDER correctie." sqref="D6" xr:uid="{D3F96453-CA1B-48C8-88B4-D4690F18BCDB}"/>
    <dataValidation type="list" allowBlank="1" showInputMessage="1" showErrorMessage="1" promptTitle="Energiepakket / energiebehoefte" sqref="AY41:BG41 AA41:AI41 AM41:AU41 O41:W41" xr:uid="{F22FA4F3-0FBB-45B7-B302-72714BCA4508}">
      <formula1>isolatiepakketten_gebouwschil_namen</formula1>
    </dataValidation>
    <dataValidation allowBlank="1" showInputMessage="1" showErrorMessage="1" promptTitle="Energiepakket / energiebehoefte" sqref="O40:BG40" xr:uid="{607B1DF2-6AE6-4DD3-9829-C34CCBC8D0CD}"/>
    <dataValidation allowBlank="1" showInputMessage="1" showErrorMessage="1" promptTitle="Renocatiestandaard utiliteit" prompt="De renovatiestandaard is een vrijwillige richtlijn voor de energieprestatie van utiliteitsgebouwen. Na 2030 wordt er een verplichte eindnorm bepaald waaraan de energieprestaties van alle gebouwen moeten voldoen in 2050." sqref="D291" xr:uid="{3BC16C0B-01CC-4FB5-94D7-550392ACA558}"/>
  </dataValidations>
  <hyperlinks>
    <hyperlink ref="D281" r:id="rId1" tooltip="verwijzing naar Staatsblad 2019, 501 met BENG-eisen" xr:uid="{69AA9192-6C3E-4CD5-ABD6-813CF7683FD6}"/>
  </hyperlinks>
  <pageMargins left="0.23622047244094491" right="0.23622047244094491" top="0.74803149606299213" bottom="0.74803149606299213" header="0.31496062992125984" footer="0.31496062992125984"/>
  <pageSetup paperSize="9" scale="25" fitToHeight="0" orientation="landscape" r:id="rId2"/>
  <headerFooter alignWithMargins="0"/>
  <ignoredErrors>
    <ignoredError sqref="AJ235:AL235 AV235:AX235 T201 AF201 AR201 BD201 T158 AF158:AF160 AR158:AR160 BD158:BD160 P115 P140"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4123" r:id="rId5" name="Correctie_RV">
              <controlPr defaultSize="0" autoFill="0" autoLine="0" autoPict="0">
                <anchor moveWithCells="1">
                  <from>
                    <xdr:col>6</xdr:col>
                    <xdr:colOff>66675</xdr:colOff>
                    <xdr:row>5</xdr:row>
                    <xdr:rowOff>0</xdr:rowOff>
                  </from>
                  <to>
                    <xdr:col>6</xdr:col>
                    <xdr:colOff>542925</xdr:colOff>
                    <xdr:row>6</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639" id="{CA6B6D33-4D2C-403F-88BC-AE1EF1A4BC7D}">
            <xm:f>OR(O$19="",O$24=0,IFERROR(INDEX(bibliotheek!$J$51:$J$56,MATCH(IF(O$19="",bibliotheek!$E$51,O$42),ventilatiesystemen_namen,0))="A",0))</xm:f>
            <x14:dxf>
              <font>
                <color theme="0" tint="-4.9989318521683403E-2"/>
              </font>
              <fill>
                <patternFill>
                  <bgColor theme="0" tint="-4.9989318521683403E-2"/>
                </patternFill>
              </fill>
            </x14:dxf>
          </x14:cfRule>
          <xm:sqref>O43:W43 AA43:AI43 AM43:AU43 AY43:BG43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CBBCD-FF53-490F-81FF-C17AB62C760A}">
  <sheetPr codeName="Blad9" filterMode="1">
    <tabColor theme="6" tint="0.39997558519241921"/>
    <outlinePr showOutlineSymbols="0"/>
    <pageSetUpPr fitToPage="1"/>
  </sheetPr>
  <dimension ref="A1:BH320"/>
  <sheetViews>
    <sheetView showGridLines="0" showRowColHeaders="0" zoomScaleNormal="100" workbookViewId="0">
      <pane xSplit="11" ySplit="15" topLeftCell="L16" activePane="bottomRight" state="frozen"/>
      <selection pane="topRight" activeCell="L1" sqref="L1"/>
      <selection pane="bottomLeft" activeCell="A16" sqref="A16"/>
      <selection pane="bottomRight" activeCell="H3" sqref="H3"/>
    </sheetView>
  </sheetViews>
  <sheetFormatPr defaultRowHeight="15.75" x14ac:dyDescent="0.2"/>
  <cols>
    <col min="1" max="1" width="0.5703125" style="651" customWidth="1"/>
    <col min="2" max="3" width="2.7109375" style="61" customWidth="1"/>
    <col min="4" max="4" width="2.7109375" style="233" customWidth="1"/>
    <col min="5" max="5" width="26.7109375" customWidth="1"/>
    <col min="6" max="7" width="17.7109375" customWidth="1"/>
    <col min="8" max="8" width="21.7109375" customWidth="1"/>
    <col min="9" max="9" width="0.28515625" customWidth="1"/>
    <col min="10" max="10" width="15.7109375" customWidth="1"/>
    <col min="11" max="12" width="0.85546875" customWidth="1"/>
    <col min="13" max="13" width="15.7109375" customWidth="1"/>
    <col min="14" max="14" width="0.28515625" customWidth="1"/>
    <col min="15" max="23" width="12.7109375" customWidth="1"/>
    <col min="24" max="24" width="1.7109375" customWidth="1"/>
    <col min="25" max="25" width="15.7109375" customWidth="1"/>
    <col min="26" max="26" width="0.28515625" customWidth="1"/>
    <col min="27" max="35" width="12.7109375" customWidth="1"/>
    <col min="36" max="36" width="1.7109375" customWidth="1"/>
    <col min="37" max="37" width="15.7109375" customWidth="1"/>
    <col min="38" max="38" width="0.28515625" customWidth="1"/>
    <col min="39" max="47" width="12.7109375" customWidth="1"/>
    <col min="48" max="48" width="1.7109375" customWidth="1"/>
    <col min="49" max="49" width="15.7109375" customWidth="1"/>
    <col min="50" max="50" width="0.28515625" customWidth="1"/>
    <col min="51" max="59" width="12.7109375" customWidth="1"/>
    <col min="60" max="60" width="1.140625" customWidth="1"/>
    <col min="61" max="65" width="9.140625" customWidth="1"/>
  </cols>
  <sheetData>
    <row r="1" spans="1:60" s="832" customFormat="1" ht="21" x14ac:dyDescent="0.2">
      <c r="A1" s="826"/>
      <c r="B1" s="826"/>
      <c r="C1" s="826"/>
      <c r="D1" s="827"/>
      <c r="E1" s="829" t="str">
        <f>disclaimer!$E$7&amp;" - "&amp;"versie "&amp;TEXT(disclaimer!$E$8,"d mmm jjjj")</f>
        <v>Uniforme Maatlat Gebouwde Omgeving 5.04 - versie 5 apr 2023</v>
      </c>
      <c r="F1" s="830"/>
      <c r="G1" s="830"/>
      <c r="H1" s="829"/>
      <c r="I1" s="830"/>
      <c r="J1" s="828"/>
      <c r="K1" s="831"/>
      <c r="L1" s="831"/>
      <c r="M1" s="831"/>
      <c r="N1" s="831"/>
      <c r="O1" s="835"/>
      <c r="P1" s="831"/>
      <c r="Q1" s="831"/>
      <c r="R1" s="831"/>
      <c r="S1" s="831"/>
      <c r="T1" s="831"/>
      <c r="U1" s="831"/>
      <c r="V1" s="831"/>
      <c r="W1" s="831"/>
      <c r="X1" s="831"/>
      <c r="Y1" s="831"/>
      <c r="Z1" s="831"/>
      <c r="AA1" s="835"/>
      <c r="AB1" s="831"/>
      <c r="AC1" s="831"/>
      <c r="AD1" s="831"/>
      <c r="AE1" s="831"/>
      <c r="AF1" s="831"/>
      <c r="AG1" s="831"/>
      <c r="AH1" s="831"/>
      <c r="AI1" s="831"/>
      <c r="AJ1" s="831"/>
      <c r="AK1" s="831"/>
      <c r="AL1" s="831"/>
      <c r="AM1" s="835"/>
      <c r="AN1" s="831"/>
      <c r="AO1" s="831"/>
      <c r="AP1" s="831"/>
      <c r="AQ1" s="831"/>
      <c r="AR1" s="831"/>
      <c r="AS1" s="831"/>
      <c r="AT1" s="831"/>
      <c r="AU1" s="831"/>
      <c r="AV1" s="831"/>
      <c r="AW1" s="831"/>
      <c r="AX1" s="831"/>
      <c r="AY1" s="831"/>
      <c r="AZ1" s="831"/>
      <c r="BA1" s="831"/>
      <c r="BB1" s="831"/>
      <c r="BC1" s="831"/>
      <c r="BD1" s="831"/>
      <c r="BE1" s="831"/>
      <c r="BF1" s="831"/>
      <c r="BG1" s="831"/>
      <c r="BH1" s="831"/>
    </row>
    <row r="2" spans="1:60" s="922" customFormat="1" ht="23.25" x14ac:dyDescent="0.35">
      <c r="A2" s="917"/>
      <c r="B2" s="918"/>
      <c r="C2" s="918"/>
      <c r="D2" s="919"/>
      <c r="E2" s="920" t="str">
        <f ca="1">IFERROR(MID(CELL("bestandsnaam",A1),SEARCH("]",CELL("bestandsnaam",A1),1)+1,99),"bestand nog niet opgeslagen")</f>
        <v>variant 2</v>
      </c>
      <c r="F2" s="921" t="str">
        <f>IF('woningen|utiliteit'!$G$2&lt;&gt;"","Controleer invoer gebouwen",IF(J50&lt;&gt;"OK","NB  Energiemaatregelen niet correct/volledig ingevuld",IF(J80&lt;&gt;"OK","NB  Vul alle installaties in","")))</f>
        <v/>
      </c>
      <c r="G2" s="921"/>
      <c r="H2" s="976"/>
      <c r="I2" s="850"/>
      <c r="J2" s="923"/>
      <c r="K2" s="903"/>
      <c r="L2" s="903"/>
      <c r="M2" s="926" t="s">
        <v>90</v>
      </c>
      <c r="N2" s="925"/>
      <c r="O2" s="940" t="s">
        <v>91</v>
      </c>
      <c r="P2" s="924"/>
      <c r="Q2" s="924"/>
      <c r="R2" s="924"/>
      <c r="S2" s="924"/>
      <c r="T2" s="924"/>
      <c r="U2" s="924"/>
      <c r="V2" s="924"/>
      <c r="W2" s="924"/>
      <c r="X2" s="924"/>
      <c r="Y2" s="926" t="s">
        <v>90</v>
      </c>
      <c r="Z2" s="925"/>
      <c r="AA2" s="940" t="s">
        <v>91</v>
      </c>
      <c r="AB2" s="924"/>
      <c r="AC2" s="924"/>
      <c r="AD2" s="924"/>
      <c r="AE2" s="924"/>
      <c r="AF2" s="924"/>
      <c r="AG2" s="924"/>
      <c r="AH2" s="924"/>
      <c r="AI2" s="924"/>
      <c r="AJ2" s="924"/>
      <c r="AK2" s="926" t="s">
        <v>90</v>
      </c>
      <c r="AL2" s="925"/>
      <c r="AM2" s="940" t="s">
        <v>91</v>
      </c>
      <c r="AN2" s="924"/>
      <c r="AO2" s="924"/>
      <c r="AP2" s="924"/>
      <c r="AQ2" s="924"/>
      <c r="AR2" s="924"/>
      <c r="AS2" s="924"/>
      <c r="AT2" s="924"/>
      <c r="AU2" s="924"/>
      <c r="AV2" s="924"/>
      <c r="AW2" s="926" t="s">
        <v>90</v>
      </c>
      <c r="AX2" s="925"/>
      <c r="AY2" s="940" t="s">
        <v>91</v>
      </c>
      <c r="AZ2" s="924"/>
      <c r="BA2" s="924"/>
      <c r="BB2" s="924"/>
      <c r="BC2" s="924"/>
      <c r="BD2" s="924"/>
      <c r="BE2" s="924"/>
      <c r="BF2" s="924"/>
      <c r="BG2" s="924"/>
      <c r="BH2" s="256"/>
    </row>
    <row r="3" spans="1:60" x14ac:dyDescent="0.2">
      <c r="A3" s="649"/>
      <c r="B3" s="491"/>
      <c r="C3" s="491"/>
      <c r="D3" s="747"/>
      <c r="E3" s="1068" t="str">
        <f>"project: "&amp;IF('woningen|utiliteit'!$F$3="","",'woningen|utiliteit'!$F$3)</f>
        <v xml:space="preserve">project: </v>
      </c>
      <c r="F3" s="1069"/>
      <c r="G3" s="853" t="s">
        <v>92</v>
      </c>
      <c r="H3" s="854"/>
      <c r="I3" s="90"/>
      <c r="K3" s="903"/>
      <c r="L3" s="903"/>
      <c r="M3" s="904" t="s">
        <v>93</v>
      </c>
      <c r="N3" s="905"/>
      <c r="O3" s="941" t="str">
        <f>IF(M24=0,"-",O101&amp;IF(O105=1,"","   |  "&amp;O131))</f>
        <v>-</v>
      </c>
      <c r="P3" s="906"/>
      <c r="Q3" s="907"/>
      <c r="R3" s="907"/>
      <c r="S3" s="907"/>
      <c r="T3" s="907"/>
      <c r="U3" s="907"/>
      <c r="V3" s="907"/>
      <c r="W3" s="907"/>
      <c r="X3" s="91"/>
      <c r="Y3" s="904" t="s">
        <v>93</v>
      </c>
      <c r="Z3" s="905"/>
      <c r="AA3" s="941" t="str">
        <f>IF(Y24=0,"-",AA101&amp;IF(AA105=1,"","   |  "&amp;AA131))</f>
        <v>-</v>
      </c>
      <c r="AB3" s="906"/>
      <c r="AC3" s="907"/>
      <c r="AD3" s="907"/>
      <c r="AE3" s="907"/>
      <c r="AF3" s="907"/>
      <c r="AG3" s="907"/>
      <c r="AH3" s="907"/>
      <c r="AI3" s="907"/>
      <c r="AJ3" s="91"/>
      <c r="AK3" s="904" t="s">
        <v>93</v>
      </c>
      <c r="AL3" s="905"/>
      <c r="AM3" s="941" t="str">
        <f>IF(AK24=0,"-",AM101&amp;IF(AM105=1,"","   |  "&amp;AM131))</f>
        <v>-</v>
      </c>
      <c r="AN3" s="906"/>
      <c r="AO3" s="907"/>
      <c r="AP3" s="907"/>
      <c r="AQ3" s="907"/>
      <c r="AR3" s="907"/>
      <c r="AS3" s="907"/>
      <c r="AT3" s="907"/>
      <c r="AU3" s="907"/>
      <c r="AV3" s="91"/>
      <c r="AW3" s="904" t="s">
        <v>93</v>
      </c>
      <c r="AX3" s="905"/>
      <c r="AY3" s="941" t="str">
        <f>IF(AW24=0,"-",AY101&amp;IF(AY105=1,"","   |  "&amp;AY131))</f>
        <v>-</v>
      </c>
      <c r="AZ3" s="906"/>
      <c r="BA3" s="907"/>
      <c r="BB3" s="907"/>
      <c r="BC3" s="907"/>
      <c r="BD3" s="907"/>
      <c r="BE3" s="907"/>
      <c r="BF3" s="907"/>
      <c r="BG3" s="907"/>
      <c r="BH3" s="256"/>
    </row>
    <row r="4" spans="1:60" x14ac:dyDescent="0.2">
      <c r="A4" s="649"/>
      <c r="B4" s="491"/>
      <c r="C4" s="491"/>
      <c r="D4" s="747"/>
      <c r="E4" s="855" t="s">
        <v>94</v>
      </c>
      <c r="F4" s="1070"/>
      <c r="G4" s="1070"/>
      <c r="H4" s="1071"/>
      <c r="I4" s="90"/>
      <c r="K4" s="903"/>
      <c r="L4" s="903"/>
      <c r="M4" s="908" t="s">
        <v>95</v>
      </c>
      <c r="N4" s="905"/>
      <c r="O4" s="942" t="str">
        <f>IF(M24=0,"-",P101&amp;IF(P105=1,"","   |  "&amp;P131))</f>
        <v>-</v>
      </c>
      <c r="P4" s="909"/>
      <c r="Q4" s="910"/>
      <c r="R4" s="907"/>
      <c r="S4" s="907"/>
      <c r="T4" s="907"/>
      <c r="U4" s="907"/>
      <c r="V4" s="907"/>
      <c r="W4" s="907"/>
      <c r="X4" s="91"/>
      <c r="Y4" s="908" t="s">
        <v>95</v>
      </c>
      <c r="Z4" s="905"/>
      <c r="AA4" s="942" t="str">
        <f>IF(Y24=0,"-",AB101&amp;IF(AB105=1,"","   |  "&amp;AB131))</f>
        <v>-</v>
      </c>
      <c r="AB4" s="909"/>
      <c r="AC4" s="910"/>
      <c r="AD4" s="907"/>
      <c r="AE4" s="907"/>
      <c r="AF4" s="907"/>
      <c r="AG4" s="907"/>
      <c r="AH4" s="907"/>
      <c r="AI4" s="907"/>
      <c r="AJ4" s="91"/>
      <c r="AK4" s="908" t="s">
        <v>95</v>
      </c>
      <c r="AL4" s="905"/>
      <c r="AM4" s="942" t="str">
        <f>IF(AK24=0,"-",AN101&amp;IF(AN105=1,"","   |  "&amp;AN131))</f>
        <v>-</v>
      </c>
      <c r="AN4" s="909"/>
      <c r="AO4" s="910"/>
      <c r="AP4" s="907"/>
      <c r="AQ4" s="907"/>
      <c r="AR4" s="907"/>
      <c r="AS4" s="907"/>
      <c r="AT4" s="907"/>
      <c r="AU4" s="907"/>
      <c r="AV4" s="91"/>
      <c r="AW4" s="908" t="s">
        <v>95</v>
      </c>
      <c r="AX4" s="905"/>
      <c r="AY4" s="942" t="str">
        <f>IF(AW24=0,"-",AZ101&amp;IF(AZ105=1,"","   |  "&amp;AZ131))</f>
        <v>-</v>
      </c>
      <c r="AZ4" s="909"/>
      <c r="BA4" s="910"/>
      <c r="BB4" s="907"/>
      <c r="BC4" s="907"/>
      <c r="BD4" s="907"/>
      <c r="BE4" s="907"/>
      <c r="BF4" s="907"/>
      <c r="BG4" s="907"/>
      <c r="BH4" s="256"/>
    </row>
    <row r="5" spans="1:60" x14ac:dyDescent="0.2">
      <c r="A5" s="649"/>
      <c r="B5" s="1072" t="s">
        <v>96</v>
      </c>
      <c r="C5" s="1072" t="s">
        <v>97</v>
      </c>
      <c r="D5" s="747"/>
      <c r="E5" s="855" t="s">
        <v>98</v>
      </c>
      <c r="F5" s="977" t="s">
        <v>99</v>
      </c>
      <c r="G5" s="978">
        <f>HLOOKUP($F$5,bibliotheek!$E$261:$R$264,ROWS(bibliotheek!$E$261:$E$262),FALSE)</f>
        <v>1.45</v>
      </c>
      <c r="H5" s="979">
        <f>HLOOKUP($F$5,bibliotheek!$E$261:$R$264,ROWS(bibliotheek!$E$261:$E$264),FALSE)</f>
        <v>0.34</v>
      </c>
      <c r="I5" s="90"/>
      <c r="J5" s="834"/>
      <c r="K5" s="91"/>
      <c r="L5" s="91"/>
      <c r="M5" s="904" t="s">
        <v>100</v>
      </c>
      <c r="N5" s="905"/>
      <c r="O5" s="941" t="str">
        <f>IF(M24=0,"-",Q101&amp;IF(Q105=1,"","   |  "&amp;Q131))</f>
        <v>-</v>
      </c>
      <c r="P5" s="907"/>
      <c r="Q5" s="907"/>
      <c r="R5" s="907"/>
      <c r="S5" s="907"/>
      <c r="T5" s="907"/>
      <c r="U5" s="907"/>
      <c r="V5" s="907"/>
      <c r="W5" s="907"/>
      <c r="X5" s="91"/>
      <c r="Y5" s="904" t="s">
        <v>100</v>
      </c>
      <c r="Z5" s="905"/>
      <c r="AA5" s="941" t="str">
        <f>IF(Y24=0,"-",AC101&amp;IF(AC105=1,"","   |  "&amp;AC131))</f>
        <v>-</v>
      </c>
      <c r="AB5" s="907"/>
      <c r="AC5" s="907"/>
      <c r="AD5" s="907"/>
      <c r="AE5" s="907"/>
      <c r="AF5" s="907"/>
      <c r="AG5" s="907"/>
      <c r="AH5" s="907"/>
      <c r="AI5" s="907"/>
      <c r="AJ5" s="91"/>
      <c r="AK5" s="904" t="s">
        <v>100</v>
      </c>
      <c r="AL5" s="905"/>
      <c r="AM5" s="941" t="str">
        <f>IF(AK24=0,"-",AO101&amp;IF(AO105=1,"","   |  "&amp;AO131))</f>
        <v>-</v>
      </c>
      <c r="AN5" s="907"/>
      <c r="AO5" s="907"/>
      <c r="AP5" s="907"/>
      <c r="AQ5" s="907"/>
      <c r="AR5" s="907"/>
      <c r="AS5" s="907"/>
      <c r="AT5" s="907"/>
      <c r="AU5" s="907"/>
      <c r="AV5" s="91"/>
      <c r="AW5" s="904" t="s">
        <v>100</v>
      </c>
      <c r="AX5" s="905"/>
      <c r="AY5" s="941" t="str">
        <f>IF(AW24=0,"-",BA101&amp;IF(BA105=1,"","   |  "&amp;BA131))</f>
        <v>-</v>
      </c>
      <c r="AZ5" s="907"/>
      <c r="BA5" s="907"/>
      <c r="BB5" s="907"/>
      <c r="BC5" s="907"/>
      <c r="BD5" s="907"/>
      <c r="BE5" s="907"/>
      <c r="BF5" s="907"/>
      <c r="BG5" s="907"/>
      <c r="BH5" s="256"/>
    </row>
    <row r="6" spans="1:60" x14ac:dyDescent="0.2">
      <c r="A6" s="649"/>
      <c r="B6" s="1072"/>
      <c r="C6" s="1072"/>
      <c r="D6" s="748" t="s">
        <v>50</v>
      </c>
      <c r="E6" s="856" t="s">
        <v>101</v>
      </c>
      <c r="F6" s="857"/>
      <c r="G6" s="1034" t="b">
        <v>0</v>
      </c>
      <c r="H6" s="980" t="str">
        <f>IF(G6=TRUE,"(energieprestatie ongeldig)","")</f>
        <v/>
      </c>
      <c r="I6" s="90"/>
      <c r="J6" s="834"/>
      <c r="K6" s="834"/>
      <c r="L6" s="834"/>
      <c r="M6" s="834"/>
      <c r="N6" s="834"/>
      <c r="O6" s="834"/>
      <c r="P6" s="834"/>
      <c r="Q6" s="834"/>
      <c r="R6" s="834"/>
      <c r="S6" s="834"/>
      <c r="T6" s="834"/>
      <c r="U6" s="834"/>
      <c r="V6" s="834"/>
      <c r="W6" s="834"/>
      <c r="X6" s="834"/>
      <c r="Y6" s="834"/>
      <c r="Z6" s="834"/>
      <c r="AA6" s="834"/>
      <c r="AB6" s="834"/>
      <c r="AC6" s="834"/>
      <c r="AD6" s="834"/>
      <c r="AE6" s="834"/>
      <c r="AF6" s="834"/>
      <c r="AG6" s="834"/>
      <c r="AH6" s="834"/>
      <c r="AI6" s="834"/>
      <c r="AJ6" s="834"/>
      <c r="AK6" s="834"/>
      <c r="AL6" s="834"/>
      <c r="AM6" s="834"/>
      <c r="AN6" s="834"/>
      <c r="AO6" s="834"/>
      <c r="AP6" s="834"/>
      <c r="AQ6" s="834"/>
      <c r="AR6" s="834"/>
      <c r="AS6" s="834"/>
      <c r="AT6" s="834"/>
      <c r="AU6" s="834"/>
      <c r="AV6" s="834"/>
      <c r="AW6" s="834"/>
      <c r="AX6" s="834"/>
      <c r="AY6" s="834"/>
      <c r="AZ6" s="834"/>
      <c r="BA6" s="834"/>
      <c r="BB6" s="834"/>
      <c r="BC6" s="834"/>
      <c r="BD6" s="834"/>
      <c r="BE6" s="834"/>
      <c r="BF6" s="834"/>
      <c r="BG6" s="834"/>
      <c r="BH6" s="256"/>
    </row>
    <row r="7" spans="1:60" s="914" customFormat="1" x14ac:dyDescent="0.2">
      <c r="A7" s="987"/>
      <c r="B7" s="1072"/>
      <c r="C7" s="1072"/>
      <c r="D7" s="911"/>
      <c r="E7" s="912"/>
      <c r="F7" s="912"/>
      <c r="G7" s="912"/>
      <c r="H7" s="912"/>
      <c r="I7" s="912"/>
      <c r="J7" s="913"/>
      <c r="K7" s="913"/>
      <c r="L7" s="913"/>
      <c r="M7" s="912"/>
      <c r="N7" s="912"/>
      <c r="O7" s="1035"/>
      <c r="P7" s="912"/>
      <c r="Q7" s="912"/>
      <c r="R7" s="912"/>
      <c r="S7" s="912"/>
      <c r="T7" s="911"/>
      <c r="U7" s="911"/>
      <c r="V7" s="911"/>
    </row>
    <row r="8" spans="1:60" ht="21" x14ac:dyDescent="0.35">
      <c r="A8" s="649"/>
      <c r="B8" s="658"/>
      <c r="C8" s="658"/>
      <c r="D8" s="748" t="s">
        <v>50</v>
      </c>
      <c r="E8" s="848"/>
      <c r="F8" s="1"/>
      <c r="G8" s="1"/>
      <c r="H8" s="1"/>
      <c r="I8" s="2"/>
      <c r="J8" s="849" t="s">
        <v>102</v>
      </c>
      <c r="K8" s="850"/>
      <c r="L8" s="850"/>
      <c r="M8" s="849" t="s">
        <v>67</v>
      </c>
      <c r="N8" s="851"/>
      <c r="O8" s="943" t="str">
        <f>IF(M24=0,"[geen gebouwgegevens ingevoerd]",IF('woningen|utiliteit'!$L$17="","[geen naam locatie ingevoerd]",'woningen|utiliteit'!$L$17))</f>
        <v>[geen gebouwgegevens ingevoerd]</v>
      </c>
      <c r="P8" s="851"/>
      <c r="Q8" s="851"/>
      <c r="R8" s="851"/>
      <c r="S8" s="851"/>
      <c r="T8" s="852"/>
      <c r="U8" s="852"/>
      <c r="V8" s="851"/>
      <c r="W8" s="851"/>
      <c r="X8" s="850"/>
      <c r="Y8" s="849" t="s">
        <v>84</v>
      </c>
      <c r="Z8" s="851"/>
      <c r="AA8" s="943" t="str">
        <f>IF(Y24=0,"[geen gebouwgegevens ingevoerd]",IF('woningen|utiliteit'!$L$31="","[geen naam locatie ingevoerd]",'woningen|utiliteit'!$L$31))</f>
        <v>[geen gebouwgegevens ingevoerd]</v>
      </c>
      <c r="AB8" s="851"/>
      <c r="AC8" s="851"/>
      <c r="AD8" s="851"/>
      <c r="AE8" s="851"/>
      <c r="AF8" s="852"/>
      <c r="AG8" s="852"/>
      <c r="AH8" s="851"/>
      <c r="AI8" s="851"/>
      <c r="AJ8" s="850"/>
      <c r="AK8" s="849" t="s">
        <v>85</v>
      </c>
      <c r="AL8" s="851"/>
      <c r="AM8" s="943" t="str">
        <f>IF(AK24=0,"[geen gebouwgegevens ingevoerd]",IF('woningen|utiliteit'!$L$45="","[geen naam locatie ingevoerd]",'woningen|utiliteit'!$L$45))</f>
        <v>[geen gebouwgegevens ingevoerd]</v>
      </c>
      <c r="AN8" s="851"/>
      <c r="AO8" s="851"/>
      <c r="AP8" s="851"/>
      <c r="AQ8" s="851"/>
      <c r="AR8" s="852"/>
      <c r="AS8" s="852"/>
      <c r="AT8" s="851"/>
      <c r="AU8" s="851"/>
      <c r="AV8" s="850"/>
      <c r="AW8" s="849" t="s">
        <v>86</v>
      </c>
      <c r="AX8" s="851"/>
      <c r="AY8" s="943" t="str">
        <f>IF(AW24=0,"[geen gebouwgegevens ingevoerd]",IF('woningen|utiliteit'!$L$59="","[geen naam locatie ingevoerd]",'woningen|utiliteit'!$L$59))</f>
        <v>[geen gebouwgegevens ingevoerd]</v>
      </c>
      <c r="AZ8" s="218"/>
      <c r="BA8" s="218"/>
      <c r="BB8" s="218"/>
      <c r="BC8" s="218"/>
      <c r="BD8" s="219"/>
      <c r="BE8" s="219"/>
      <c r="BF8" s="218"/>
      <c r="BG8" s="218"/>
      <c r="BH8" s="1"/>
    </row>
    <row r="9" spans="1:60" s="682" customFormat="1" ht="5.25" x14ac:dyDescent="0.2">
      <c r="A9" s="678"/>
      <c r="B9" s="841" t="s">
        <v>103</v>
      </c>
      <c r="C9" s="657" t="s">
        <v>104</v>
      </c>
      <c r="D9" s="679"/>
      <c r="E9" s="680"/>
      <c r="F9" s="680"/>
      <c r="G9" s="680"/>
      <c r="H9" s="680"/>
      <c r="I9" s="680"/>
      <c r="J9" s="681"/>
      <c r="K9" s="681"/>
      <c r="L9" s="681"/>
      <c r="M9" s="680"/>
      <c r="N9" s="680"/>
      <c r="O9" s="680"/>
      <c r="P9" s="680"/>
      <c r="Q9" s="680"/>
      <c r="R9" s="680"/>
      <c r="S9" s="680"/>
      <c r="T9" s="679"/>
      <c r="U9" s="679"/>
      <c r="V9" s="679"/>
    </row>
    <row r="10" spans="1:60" ht="21" x14ac:dyDescent="0.2">
      <c r="A10" s="648"/>
      <c r="B10" s="739" t="s">
        <v>103</v>
      </c>
      <c r="C10" s="656" t="s">
        <v>104</v>
      </c>
      <c r="D10" s="748" t="s">
        <v>50</v>
      </c>
      <c r="E10" s="670" t="s">
        <v>105</v>
      </c>
      <c r="F10" s="670"/>
      <c r="G10" s="670"/>
      <c r="H10" s="670"/>
      <c r="I10" s="88"/>
      <c r="J10" s="241" t="s">
        <v>58</v>
      </c>
      <c r="K10" s="142"/>
      <c r="L10" s="142"/>
      <c r="M10" s="216" t="s">
        <v>58</v>
      </c>
      <c r="N10" s="222"/>
      <c r="O10" s="217" t="s">
        <v>93</v>
      </c>
      <c r="P10" s="217" t="s">
        <v>95</v>
      </c>
      <c r="Q10" s="217" t="s">
        <v>106</v>
      </c>
      <c r="R10" s="217" t="s">
        <v>107</v>
      </c>
      <c r="S10" s="217" t="s">
        <v>108</v>
      </c>
      <c r="T10" s="217" t="s">
        <v>109</v>
      </c>
      <c r="U10" s="217" t="s">
        <v>110</v>
      </c>
      <c r="V10" s="217" t="s">
        <v>111</v>
      </c>
      <c r="W10" s="217" t="s">
        <v>112</v>
      </c>
      <c r="X10" s="214"/>
      <c r="Y10" s="216" t="s">
        <v>58</v>
      </c>
      <c r="Z10" s="222"/>
      <c r="AA10" s="217" t="str">
        <f>$O$10</f>
        <v>verwarming</v>
      </c>
      <c r="AB10" s="217" t="str">
        <f>$P$10</f>
        <v>koeling</v>
      </c>
      <c r="AC10" s="217" t="str">
        <f>$Q$10</f>
        <v>tapwater</v>
      </c>
      <c r="AD10" s="217" t="str">
        <f>$R$10</f>
        <v>verlichting</v>
      </c>
      <c r="AE10" s="217" t="str">
        <f>$S$10</f>
        <v>ventilatoren</v>
      </c>
      <c r="AF10" s="217" t="str">
        <f>$T$10</f>
        <v>kookgas</v>
      </c>
      <c r="AG10" s="217" t="str">
        <f>$U$10</f>
        <v>overig elektra</v>
      </c>
      <c r="AH10" s="217" t="str">
        <f>$V$10</f>
        <v>mobiliteit</v>
      </c>
      <c r="AI10" s="217" t="str">
        <f>$W$10</f>
        <v>zonnepanelen</v>
      </c>
      <c r="AJ10" s="214"/>
      <c r="AK10" s="216" t="s">
        <v>58</v>
      </c>
      <c r="AL10" s="222"/>
      <c r="AM10" s="217" t="str">
        <f>$O$10</f>
        <v>verwarming</v>
      </c>
      <c r="AN10" s="217" t="str">
        <f>$P$10</f>
        <v>koeling</v>
      </c>
      <c r="AO10" s="217" t="str">
        <f>$Q$10</f>
        <v>tapwater</v>
      </c>
      <c r="AP10" s="217" t="str">
        <f>$R$10</f>
        <v>verlichting</v>
      </c>
      <c r="AQ10" s="217" t="str">
        <f>$S$10</f>
        <v>ventilatoren</v>
      </c>
      <c r="AR10" s="217" t="str">
        <f>$T$10</f>
        <v>kookgas</v>
      </c>
      <c r="AS10" s="217" t="str">
        <f>$U$10</f>
        <v>overig elektra</v>
      </c>
      <c r="AT10" s="217" t="str">
        <f>$V$10</f>
        <v>mobiliteit</v>
      </c>
      <c r="AU10" s="217" t="str">
        <f>$W$10</f>
        <v>zonnepanelen</v>
      </c>
      <c r="AV10" s="214"/>
      <c r="AW10" s="216" t="s">
        <v>58</v>
      </c>
      <c r="AX10" s="222"/>
      <c r="AY10" s="217" t="str">
        <f>$O$10</f>
        <v>verwarming</v>
      </c>
      <c r="AZ10" s="217" t="str">
        <f>$P$10</f>
        <v>koeling</v>
      </c>
      <c r="BA10" s="217" t="str">
        <f>$Q$10</f>
        <v>tapwater</v>
      </c>
      <c r="BB10" s="217" t="str">
        <f>$R$10</f>
        <v>verlichting</v>
      </c>
      <c r="BC10" s="217" t="str">
        <f>$S$10</f>
        <v>ventilatoren</v>
      </c>
      <c r="BD10" s="217" t="str">
        <f>$T$10</f>
        <v>kookgas</v>
      </c>
      <c r="BE10" s="217" t="str">
        <f>$U$10</f>
        <v>overig elektra</v>
      </c>
      <c r="BF10" s="217" t="str">
        <f>$V$10</f>
        <v>mobiliteit</v>
      </c>
      <c r="BG10" s="217" t="str">
        <f>$W$10</f>
        <v>zonnepanelen</v>
      </c>
      <c r="BH10" s="1"/>
    </row>
    <row r="11" spans="1:60" s="682" customFormat="1" ht="5.25" x14ac:dyDescent="0.2">
      <c r="A11" s="678"/>
      <c r="B11" s="841" t="s">
        <v>103</v>
      </c>
      <c r="C11" s="841" t="s">
        <v>104</v>
      </c>
      <c r="D11" s="679"/>
      <c r="E11" s="680"/>
      <c r="F11" s="680"/>
      <c r="G11" s="680"/>
      <c r="H11" s="680"/>
      <c r="I11" s="680"/>
      <c r="J11" s="681"/>
      <c r="K11" s="681"/>
      <c r="L11" s="681"/>
      <c r="M11" s="680"/>
      <c r="N11" s="680"/>
      <c r="O11" s="680"/>
      <c r="P11" s="680"/>
      <c r="Q11" s="680"/>
      <c r="R11" s="680"/>
      <c r="S11" s="680"/>
      <c r="T11" s="679"/>
      <c r="U11" s="679"/>
      <c r="V11" s="679"/>
    </row>
    <row r="12" spans="1:60" x14ac:dyDescent="0.2">
      <c r="A12" s="648"/>
      <c r="B12" s="739" t="s">
        <v>103</v>
      </c>
      <c r="C12" s="656" t="s">
        <v>113</v>
      </c>
      <c r="D12" s="747"/>
      <c r="E12" s="220" t="s">
        <v>114</v>
      </c>
      <c r="F12" s="220"/>
      <c r="G12" s="220"/>
      <c r="H12" s="221" t="s">
        <v>115</v>
      </c>
      <c r="I12" s="94"/>
      <c r="J12" s="243">
        <f>M12+Y12+AK12+AW12</f>
        <v>0</v>
      </c>
      <c r="K12" s="294"/>
      <c r="L12" s="294"/>
      <c r="M12" s="243">
        <f>SUM(N12:X12)</f>
        <v>0</v>
      </c>
      <c r="N12" s="95"/>
      <c r="O12" s="207">
        <f>O117+O142+O159-O177</f>
        <v>0</v>
      </c>
      <c r="P12" s="207">
        <f t="shared" ref="P12:W12" si="0">P117+P142+P159-P177</f>
        <v>0</v>
      </c>
      <c r="Q12" s="207">
        <f t="shared" si="0"/>
        <v>0</v>
      </c>
      <c r="R12" s="207">
        <f t="shared" si="0"/>
        <v>0</v>
      </c>
      <c r="S12" s="207">
        <f t="shared" si="0"/>
        <v>0</v>
      </c>
      <c r="T12" s="207">
        <f t="shared" si="0"/>
        <v>0</v>
      </c>
      <c r="U12" s="207">
        <f>U117+U142+U159-U177</f>
        <v>0</v>
      </c>
      <c r="V12" s="207">
        <f t="shared" si="0"/>
        <v>0</v>
      </c>
      <c r="W12" s="207">
        <f t="shared" si="0"/>
        <v>0</v>
      </c>
      <c r="X12" s="324"/>
      <c r="Y12" s="243">
        <f>SUM(Z12:AJ12)</f>
        <v>0</v>
      </c>
      <c r="Z12" s="95"/>
      <c r="AA12" s="207">
        <f t="shared" ref="AA12:AI12" si="1">AA117+AA142+AA159-AA177</f>
        <v>0</v>
      </c>
      <c r="AB12" s="207">
        <f t="shared" si="1"/>
        <v>0</v>
      </c>
      <c r="AC12" s="207">
        <f t="shared" si="1"/>
        <v>0</v>
      </c>
      <c r="AD12" s="207">
        <f t="shared" si="1"/>
        <v>0</v>
      </c>
      <c r="AE12" s="207">
        <f t="shared" si="1"/>
        <v>0</v>
      </c>
      <c r="AF12" s="207">
        <f t="shared" si="1"/>
        <v>0</v>
      </c>
      <c r="AG12" s="207">
        <f t="shared" si="1"/>
        <v>0</v>
      </c>
      <c r="AH12" s="207">
        <f t="shared" si="1"/>
        <v>0</v>
      </c>
      <c r="AI12" s="207">
        <f t="shared" si="1"/>
        <v>0</v>
      </c>
      <c r="AJ12" s="324"/>
      <c r="AK12" s="243">
        <f>SUM(AL12:AV12)</f>
        <v>0</v>
      </c>
      <c r="AL12" s="95"/>
      <c r="AM12" s="207">
        <f t="shared" ref="AM12:AU12" si="2">AM117+AM142+AM159-AM177</f>
        <v>0</v>
      </c>
      <c r="AN12" s="207">
        <f t="shared" si="2"/>
        <v>0</v>
      </c>
      <c r="AO12" s="207">
        <f t="shared" si="2"/>
        <v>0</v>
      </c>
      <c r="AP12" s="207">
        <f t="shared" si="2"/>
        <v>0</v>
      </c>
      <c r="AQ12" s="207">
        <f t="shared" si="2"/>
        <v>0</v>
      </c>
      <c r="AR12" s="207">
        <f t="shared" si="2"/>
        <v>0</v>
      </c>
      <c r="AS12" s="207">
        <f t="shared" si="2"/>
        <v>0</v>
      </c>
      <c r="AT12" s="207">
        <f t="shared" si="2"/>
        <v>0</v>
      </c>
      <c r="AU12" s="207">
        <f t="shared" si="2"/>
        <v>0</v>
      </c>
      <c r="AV12" s="324"/>
      <c r="AW12" s="243">
        <f>SUM(AX12:BH12)</f>
        <v>0</v>
      </c>
      <c r="AX12" s="95"/>
      <c r="AY12" s="207">
        <f t="shared" ref="AY12:BG12" si="3">AY117+AY142+AY159-AY177</f>
        <v>0</v>
      </c>
      <c r="AZ12" s="207">
        <f t="shared" si="3"/>
        <v>0</v>
      </c>
      <c r="BA12" s="207">
        <f t="shared" si="3"/>
        <v>0</v>
      </c>
      <c r="BB12" s="207">
        <f t="shared" si="3"/>
        <v>0</v>
      </c>
      <c r="BC12" s="207">
        <f t="shared" si="3"/>
        <v>0</v>
      </c>
      <c r="BD12" s="207">
        <f t="shared" si="3"/>
        <v>0</v>
      </c>
      <c r="BE12" s="207">
        <f t="shared" si="3"/>
        <v>0</v>
      </c>
      <c r="BF12" s="207">
        <f t="shared" si="3"/>
        <v>0</v>
      </c>
      <c r="BG12" s="207">
        <f t="shared" si="3"/>
        <v>0</v>
      </c>
      <c r="BH12" s="255"/>
    </row>
    <row r="13" spans="1:60" x14ac:dyDescent="0.2">
      <c r="A13" s="648"/>
      <c r="B13" s="739" t="s">
        <v>103</v>
      </c>
      <c r="C13" s="656" t="s">
        <v>113</v>
      </c>
      <c r="D13" s="747"/>
      <c r="E13" s="220" t="s">
        <v>116</v>
      </c>
      <c r="F13" s="220"/>
      <c r="G13" s="220"/>
      <c r="H13" s="221" t="s">
        <v>117</v>
      </c>
      <c r="I13" s="94"/>
      <c r="J13" s="243">
        <f>M13+Y13+AK13+AW13</f>
        <v>0</v>
      </c>
      <c r="K13" s="294"/>
      <c r="L13" s="294"/>
      <c r="M13" s="243">
        <f>SUM(N13:X13)</f>
        <v>0</v>
      </c>
      <c r="N13" s="95"/>
      <c r="O13" s="207">
        <f t="shared" ref="O13:V13" si="4">O121+O146+O162</f>
        <v>0</v>
      </c>
      <c r="P13" s="207">
        <f t="shared" si="4"/>
        <v>0</v>
      </c>
      <c r="Q13" s="207">
        <f t="shared" si="4"/>
        <v>0</v>
      </c>
      <c r="R13" s="207">
        <f t="shared" si="4"/>
        <v>0</v>
      </c>
      <c r="S13" s="207">
        <f t="shared" si="4"/>
        <v>0</v>
      </c>
      <c r="T13" s="207">
        <f t="shared" si="4"/>
        <v>0</v>
      </c>
      <c r="U13" s="207">
        <f t="shared" si="4"/>
        <v>0</v>
      </c>
      <c r="V13" s="207">
        <f t="shared" si="4"/>
        <v>0</v>
      </c>
      <c r="W13" s="207">
        <f>W121+W146+W162-W181</f>
        <v>0</v>
      </c>
      <c r="X13" s="324"/>
      <c r="Y13" s="243">
        <f>SUM(Z13:AJ13)</f>
        <v>0</v>
      </c>
      <c r="Z13" s="95"/>
      <c r="AA13" s="207">
        <f t="shared" ref="AA13:AH13" si="5">AA121+AA146+AA162</f>
        <v>0</v>
      </c>
      <c r="AB13" s="207">
        <f t="shared" si="5"/>
        <v>0</v>
      </c>
      <c r="AC13" s="207">
        <f t="shared" si="5"/>
        <v>0</v>
      </c>
      <c r="AD13" s="207">
        <f t="shared" si="5"/>
        <v>0</v>
      </c>
      <c r="AE13" s="207">
        <f t="shared" si="5"/>
        <v>0</v>
      </c>
      <c r="AF13" s="207">
        <f t="shared" si="5"/>
        <v>0</v>
      </c>
      <c r="AG13" s="207">
        <f t="shared" si="5"/>
        <v>0</v>
      </c>
      <c r="AH13" s="207">
        <f t="shared" si="5"/>
        <v>0</v>
      </c>
      <c r="AI13" s="207">
        <f>AI121+AI146+AI162-AI181</f>
        <v>0</v>
      </c>
      <c r="AJ13" s="324"/>
      <c r="AK13" s="243">
        <f>SUM(AL13:AV13)</f>
        <v>0</v>
      </c>
      <c r="AL13" s="95"/>
      <c r="AM13" s="207">
        <f t="shared" ref="AM13:AT13" si="6">AM121+AM146+AM162</f>
        <v>0</v>
      </c>
      <c r="AN13" s="207">
        <f t="shared" si="6"/>
        <v>0</v>
      </c>
      <c r="AO13" s="207">
        <f t="shared" si="6"/>
        <v>0</v>
      </c>
      <c r="AP13" s="207">
        <f t="shared" si="6"/>
        <v>0</v>
      </c>
      <c r="AQ13" s="207">
        <f t="shared" si="6"/>
        <v>0</v>
      </c>
      <c r="AR13" s="207">
        <f t="shared" si="6"/>
        <v>0</v>
      </c>
      <c r="AS13" s="207">
        <f t="shared" si="6"/>
        <v>0</v>
      </c>
      <c r="AT13" s="207">
        <f t="shared" si="6"/>
        <v>0</v>
      </c>
      <c r="AU13" s="207">
        <f>AU121+AU146+AU162-AU181</f>
        <v>0</v>
      </c>
      <c r="AV13" s="324"/>
      <c r="AW13" s="243">
        <f>SUM(AX13:BH13)</f>
        <v>0</v>
      </c>
      <c r="AX13" s="95"/>
      <c r="AY13" s="207">
        <f t="shared" ref="AY13:BF13" si="7">AY121+AY146+AY162</f>
        <v>0</v>
      </c>
      <c r="AZ13" s="207">
        <f t="shared" si="7"/>
        <v>0</v>
      </c>
      <c r="BA13" s="207">
        <f t="shared" si="7"/>
        <v>0</v>
      </c>
      <c r="BB13" s="207">
        <f t="shared" si="7"/>
        <v>0</v>
      </c>
      <c r="BC13" s="207">
        <f t="shared" si="7"/>
        <v>0</v>
      </c>
      <c r="BD13" s="207">
        <f t="shared" si="7"/>
        <v>0</v>
      </c>
      <c r="BE13" s="207">
        <f t="shared" si="7"/>
        <v>0</v>
      </c>
      <c r="BF13" s="207">
        <f t="shared" si="7"/>
        <v>0</v>
      </c>
      <c r="BG13" s="207">
        <f>BG121+BG146+BG162-BG181</f>
        <v>0</v>
      </c>
      <c r="BH13" s="255"/>
    </row>
    <row r="14" spans="1:60" x14ac:dyDescent="0.2">
      <c r="A14" s="648"/>
      <c r="B14" s="739" t="s">
        <v>103</v>
      </c>
      <c r="C14" s="656" t="s">
        <v>113</v>
      </c>
      <c r="D14" s="747"/>
      <c r="E14" s="220" t="s">
        <v>118</v>
      </c>
      <c r="F14" s="220"/>
      <c r="G14" s="220"/>
      <c r="H14" s="221" t="s">
        <v>119</v>
      </c>
      <c r="I14" s="94"/>
      <c r="J14" s="243">
        <f>M14+Y14+AK14+AW14</f>
        <v>0</v>
      </c>
      <c r="K14" s="294"/>
      <c r="L14" s="294"/>
      <c r="M14" s="243">
        <f>SUM(N14:X14)</f>
        <v>0</v>
      </c>
      <c r="N14" s="95"/>
      <c r="O14" s="207">
        <f t="shared" ref="O14:W14" si="8">O186*O29/1000</f>
        <v>0</v>
      </c>
      <c r="P14" s="207">
        <f t="shared" si="8"/>
        <v>0</v>
      </c>
      <c r="Q14" s="207">
        <f t="shared" si="8"/>
        <v>0</v>
      </c>
      <c r="R14" s="207">
        <f t="shared" si="8"/>
        <v>0</v>
      </c>
      <c r="S14" s="207">
        <f t="shared" si="8"/>
        <v>0</v>
      </c>
      <c r="T14" s="207">
        <f t="shared" si="8"/>
        <v>0</v>
      </c>
      <c r="U14" s="207">
        <f t="shared" si="8"/>
        <v>0</v>
      </c>
      <c r="V14" s="207">
        <f t="shared" si="8"/>
        <v>0</v>
      </c>
      <c r="W14" s="207">
        <f t="shared" si="8"/>
        <v>0</v>
      </c>
      <c r="X14" s="324"/>
      <c r="Y14" s="243">
        <f>SUM(Z14:AJ14)</f>
        <v>0</v>
      </c>
      <c r="Z14" s="95"/>
      <c r="AA14" s="207">
        <f t="shared" ref="AA14:AI14" si="9">AA186*AA29/1000</f>
        <v>0</v>
      </c>
      <c r="AB14" s="207">
        <f t="shared" si="9"/>
        <v>0</v>
      </c>
      <c r="AC14" s="207">
        <f t="shared" si="9"/>
        <v>0</v>
      </c>
      <c r="AD14" s="207">
        <f t="shared" si="9"/>
        <v>0</v>
      </c>
      <c r="AE14" s="207">
        <f t="shared" si="9"/>
        <v>0</v>
      </c>
      <c r="AF14" s="207">
        <f t="shared" si="9"/>
        <v>0</v>
      </c>
      <c r="AG14" s="207">
        <f t="shared" si="9"/>
        <v>0</v>
      </c>
      <c r="AH14" s="207">
        <f t="shared" si="9"/>
        <v>0</v>
      </c>
      <c r="AI14" s="207">
        <f t="shared" si="9"/>
        <v>0</v>
      </c>
      <c r="AJ14" s="324"/>
      <c r="AK14" s="243">
        <f>SUM(AL14:AV14)</f>
        <v>0</v>
      </c>
      <c r="AL14" s="95"/>
      <c r="AM14" s="207">
        <f t="shared" ref="AM14:AU14" si="10">AM186*AM29/1000</f>
        <v>0</v>
      </c>
      <c r="AN14" s="207">
        <f t="shared" si="10"/>
        <v>0</v>
      </c>
      <c r="AO14" s="207">
        <f t="shared" si="10"/>
        <v>0</v>
      </c>
      <c r="AP14" s="207">
        <f t="shared" si="10"/>
        <v>0</v>
      </c>
      <c r="AQ14" s="207">
        <f t="shared" si="10"/>
        <v>0</v>
      </c>
      <c r="AR14" s="207">
        <f t="shared" si="10"/>
        <v>0</v>
      </c>
      <c r="AS14" s="207">
        <f t="shared" si="10"/>
        <v>0</v>
      </c>
      <c r="AT14" s="207">
        <f t="shared" si="10"/>
        <v>0</v>
      </c>
      <c r="AU14" s="207">
        <f t="shared" si="10"/>
        <v>0</v>
      </c>
      <c r="AV14" s="324"/>
      <c r="AW14" s="243">
        <f>SUM(AX14:BH14)</f>
        <v>0</v>
      </c>
      <c r="AX14" s="95"/>
      <c r="AY14" s="207">
        <f t="shared" ref="AY14:BG14" si="11">AY186*AY29/1000</f>
        <v>0</v>
      </c>
      <c r="AZ14" s="207">
        <f t="shared" si="11"/>
        <v>0</v>
      </c>
      <c r="BA14" s="207">
        <f t="shared" si="11"/>
        <v>0</v>
      </c>
      <c r="BB14" s="207">
        <f t="shared" si="11"/>
        <v>0</v>
      </c>
      <c r="BC14" s="207">
        <f t="shared" si="11"/>
        <v>0</v>
      </c>
      <c r="BD14" s="207">
        <f t="shared" si="11"/>
        <v>0</v>
      </c>
      <c r="BE14" s="207">
        <f t="shared" si="11"/>
        <v>0</v>
      </c>
      <c r="BF14" s="207">
        <f t="shared" si="11"/>
        <v>0</v>
      </c>
      <c r="BG14" s="207">
        <f t="shared" si="11"/>
        <v>0</v>
      </c>
      <c r="BH14" s="257"/>
    </row>
    <row r="15" spans="1:60" s="847" customFormat="1" ht="5.25" x14ac:dyDescent="0.2">
      <c r="A15" s="842"/>
      <c r="B15" s="843" t="s">
        <v>103</v>
      </c>
      <c r="C15" s="841" t="s">
        <v>113</v>
      </c>
      <c r="D15" s="756"/>
      <c r="E15" s="844"/>
      <c r="F15" s="844"/>
      <c r="G15" s="844"/>
      <c r="H15" s="845"/>
      <c r="I15" s="844"/>
      <c r="J15" s="846"/>
      <c r="K15" s="844"/>
      <c r="L15" s="844"/>
      <c r="M15" s="846"/>
      <c r="N15" s="844"/>
      <c r="O15" s="846"/>
      <c r="P15" s="846"/>
      <c r="Q15" s="846"/>
      <c r="R15" s="846"/>
      <c r="S15" s="846"/>
      <c r="T15" s="846"/>
      <c r="U15" s="846"/>
      <c r="V15" s="846"/>
      <c r="W15" s="846"/>
      <c r="X15" s="846"/>
      <c r="Y15" s="846"/>
      <c r="Z15" s="844"/>
      <c r="AA15" s="846"/>
      <c r="AB15" s="846"/>
      <c r="AC15" s="846"/>
      <c r="AD15" s="846"/>
      <c r="AE15" s="846"/>
      <c r="AF15" s="846"/>
      <c r="AG15" s="846"/>
      <c r="AH15" s="846"/>
      <c r="AI15" s="846"/>
      <c r="AJ15" s="846"/>
      <c r="AK15" s="846"/>
      <c r="AL15" s="844"/>
      <c r="AM15" s="846"/>
      <c r="AN15" s="846"/>
      <c r="AO15" s="846"/>
      <c r="AP15" s="846"/>
      <c r="AQ15" s="846"/>
      <c r="AR15" s="846"/>
      <c r="AS15" s="846"/>
      <c r="AT15" s="846"/>
      <c r="AU15" s="846"/>
      <c r="AV15" s="846"/>
      <c r="AW15" s="846"/>
      <c r="AX15" s="844"/>
      <c r="AY15" s="846"/>
      <c r="AZ15" s="846"/>
      <c r="BA15" s="846"/>
      <c r="BB15" s="846"/>
      <c r="BC15" s="846"/>
      <c r="BD15" s="846"/>
      <c r="BE15" s="846"/>
      <c r="BF15" s="846"/>
      <c r="BG15" s="846"/>
      <c r="BH15" s="846"/>
    </row>
    <row r="16" spans="1:60" x14ac:dyDescent="0.2">
      <c r="A16" s="653"/>
      <c r="B16" s="739" t="s">
        <v>120</v>
      </c>
      <c r="C16" s="739" t="s">
        <v>104</v>
      </c>
      <c r="D16" s="747"/>
      <c r="E16" s="90"/>
      <c r="F16" s="90"/>
      <c r="G16" s="90"/>
      <c r="H16" s="96"/>
      <c r="I16" s="90"/>
      <c r="J16" s="93"/>
      <c r="K16" s="90"/>
      <c r="L16" s="90"/>
      <c r="M16" s="93"/>
      <c r="N16" s="90"/>
      <c r="O16" s="93"/>
      <c r="P16" s="93"/>
      <c r="Q16" s="93"/>
      <c r="R16" s="93"/>
      <c r="S16" s="93"/>
      <c r="T16" s="93"/>
      <c r="U16" s="93"/>
      <c r="V16" s="93"/>
      <c r="W16" s="93"/>
      <c r="X16" s="93"/>
      <c r="Y16" s="93"/>
      <c r="Z16" s="90"/>
      <c r="AA16" s="93"/>
      <c r="AB16" s="93"/>
      <c r="AC16" s="93"/>
      <c r="AD16" s="93"/>
      <c r="AE16" s="93"/>
      <c r="AF16" s="93"/>
      <c r="AG16" s="93"/>
      <c r="AH16" s="93"/>
      <c r="AI16" s="93"/>
      <c r="AJ16" s="93"/>
      <c r="AK16" s="93"/>
      <c r="AL16" s="90"/>
      <c r="AM16" s="93"/>
      <c r="AN16" s="93"/>
      <c r="AO16" s="93"/>
      <c r="AP16" s="93"/>
      <c r="AQ16" s="93"/>
      <c r="AR16" s="93"/>
      <c r="AS16" s="93"/>
      <c r="AT16" s="93"/>
      <c r="AU16" s="93"/>
      <c r="AV16" s="93"/>
      <c r="AW16" s="93"/>
      <c r="AX16" s="90"/>
      <c r="AY16" s="93"/>
      <c r="AZ16" s="93"/>
      <c r="BA16" s="93"/>
      <c r="BB16" s="93"/>
      <c r="BC16" s="93"/>
      <c r="BD16" s="93"/>
      <c r="BE16" s="93"/>
      <c r="BF16" s="93"/>
      <c r="BG16" s="93"/>
      <c r="BH16" s="1"/>
    </row>
    <row r="17" spans="1:60" s="2" customFormat="1" ht="21" x14ac:dyDescent="0.2">
      <c r="A17" s="649"/>
      <c r="B17" s="739" t="s">
        <v>120</v>
      </c>
      <c r="C17" s="739" t="s">
        <v>104</v>
      </c>
      <c r="D17" s="748" t="s">
        <v>50</v>
      </c>
      <c r="E17" s="253" t="s">
        <v>121</v>
      </c>
      <c r="F17" s="253"/>
      <c r="G17" s="253"/>
      <c r="H17" s="253"/>
      <c r="I17" s="146"/>
      <c r="J17" s="318" t="str">
        <f>J$10</f>
        <v>totaal</v>
      </c>
      <c r="K17" s="142"/>
      <c r="L17" s="142"/>
      <c r="M17" s="319" t="str">
        <f>M$10</f>
        <v>totaal</v>
      </c>
      <c r="N17" s="234"/>
      <c r="O17" s="320" t="str">
        <f>IF(O19="","",O19)</f>
        <v/>
      </c>
      <c r="P17" s="320" t="str">
        <f t="shared" ref="P17:W17" si="12">IF(P19="","",P19)</f>
        <v/>
      </c>
      <c r="Q17" s="320" t="str">
        <f t="shared" si="12"/>
        <v/>
      </c>
      <c r="R17" s="320" t="str">
        <f t="shared" si="12"/>
        <v/>
      </c>
      <c r="S17" s="320" t="str">
        <f t="shared" si="12"/>
        <v/>
      </c>
      <c r="T17" s="320" t="str">
        <f>IF(T19="","",T19)</f>
        <v/>
      </c>
      <c r="U17" s="320" t="str">
        <f t="shared" si="12"/>
        <v/>
      </c>
      <c r="V17" s="320" t="str">
        <f t="shared" si="12"/>
        <v/>
      </c>
      <c r="W17" s="320" t="str">
        <f t="shared" si="12"/>
        <v/>
      </c>
      <c r="X17" s="214"/>
      <c r="Y17" s="319" t="str">
        <f>Y$10</f>
        <v>totaal</v>
      </c>
      <c r="Z17" s="234"/>
      <c r="AA17" s="320" t="str">
        <f>IF(AA19="","",AA19)</f>
        <v/>
      </c>
      <c r="AB17" s="320" t="str">
        <f t="shared" ref="AB17:AI17" si="13">IF(AB19="","",AB19)</f>
        <v/>
      </c>
      <c r="AC17" s="320" t="str">
        <f t="shared" si="13"/>
        <v/>
      </c>
      <c r="AD17" s="320" t="str">
        <f t="shared" si="13"/>
        <v/>
      </c>
      <c r="AE17" s="320" t="str">
        <f t="shared" si="13"/>
        <v/>
      </c>
      <c r="AF17" s="320" t="str">
        <f>IF(AF19="","",AF19)</f>
        <v/>
      </c>
      <c r="AG17" s="320" t="str">
        <f t="shared" si="13"/>
        <v/>
      </c>
      <c r="AH17" s="320" t="str">
        <f t="shared" si="13"/>
        <v/>
      </c>
      <c r="AI17" s="320" t="str">
        <f t="shared" si="13"/>
        <v/>
      </c>
      <c r="AJ17" s="214"/>
      <c r="AK17" s="319" t="str">
        <f>AK$10</f>
        <v>totaal</v>
      </c>
      <c r="AL17" s="234"/>
      <c r="AM17" s="320" t="str">
        <f>IF(AM19="","",AM19)</f>
        <v/>
      </c>
      <c r="AN17" s="320" t="str">
        <f t="shared" ref="AN17:AU17" si="14">IF(AN19="","",AN19)</f>
        <v/>
      </c>
      <c r="AO17" s="320" t="str">
        <f t="shared" si="14"/>
        <v/>
      </c>
      <c r="AP17" s="320" t="str">
        <f t="shared" si="14"/>
        <v/>
      </c>
      <c r="AQ17" s="320" t="str">
        <f t="shared" si="14"/>
        <v/>
      </c>
      <c r="AR17" s="320" t="str">
        <f>IF(AR19="","",AR19)</f>
        <v/>
      </c>
      <c r="AS17" s="320" t="str">
        <f t="shared" si="14"/>
        <v/>
      </c>
      <c r="AT17" s="320" t="str">
        <f t="shared" si="14"/>
        <v/>
      </c>
      <c r="AU17" s="320" t="str">
        <f t="shared" si="14"/>
        <v/>
      </c>
      <c r="AV17" s="214"/>
      <c r="AW17" s="319" t="str">
        <f>AW$10</f>
        <v>totaal</v>
      </c>
      <c r="AX17" s="234"/>
      <c r="AY17" s="320" t="str">
        <f>IF(AY19="","",AY19)</f>
        <v/>
      </c>
      <c r="AZ17" s="320" t="str">
        <f t="shared" ref="AZ17:BG17" si="15">IF(AZ19="","",AZ19)</f>
        <v/>
      </c>
      <c r="BA17" s="320" t="str">
        <f t="shared" si="15"/>
        <v/>
      </c>
      <c r="BB17" s="320" t="str">
        <f t="shared" si="15"/>
        <v/>
      </c>
      <c r="BC17" s="320" t="str">
        <f t="shared" si="15"/>
        <v/>
      </c>
      <c r="BD17" s="320" t="str">
        <f>IF(BD19="","",BD19)</f>
        <v/>
      </c>
      <c r="BE17" s="320" t="str">
        <f t="shared" si="15"/>
        <v/>
      </c>
      <c r="BF17" s="320" t="str">
        <f t="shared" si="15"/>
        <v/>
      </c>
      <c r="BG17" s="320" t="str">
        <f t="shared" si="15"/>
        <v/>
      </c>
      <c r="BH17" s="1"/>
    </row>
    <row r="18" spans="1:60" ht="18.75" x14ac:dyDescent="0.2">
      <c r="A18" s="648"/>
      <c r="B18" s="739" t="s">
        <v>120</v>
      </c>
      <c r="C18" s="739" t="s">
        <v>104</v>
      </c>
      <c r="D18" s="747"/>
      <c r="E18" s="236" t="s">
        <v>122</v>
      </c>
      <c r="F18" s="236"/>
      <c r="G18" s="236"/>
      <c r="H18" s="89"/>
      <c r="I18" s="236"/>
      <c r="J18" s="236"/>
      <c r="K18" s="236"/>
      <c r="L18" s="236"/>
      <c r="M18" s="236"/>
      <c r="N18" s="236"/>
      <c r="O18" s="236"/>
      <c r="P18" s="236"/>
      <c r="Q18" s="236"/>
      <c r="R18" s="236"/>
      <c r="S18" s="236"/>
      <c r="T18" s="236"/>
      <c r="U18" s="236"/>
      <c r="V18" s="236"/>
      <c r="W18" s="236"/>
      <c r="X18" s="236"/>
      <c r="Y18" s="236"/>
      <c r="Z18" s="236"/>
      <c r="AA18" s="236"/>
      <c r="AB18" s="791"/>
      <c r="AC18" s="236"/>
      <c r="AD18" s="236"/>
      <c r="AE18" s="236"/>
      <c r="AF18" s="236"/>
      <c r="AG18" s="236"/>
      <c r="AH18" s="236"/>
      <c r="AI18" s="236"/>
      <c r="AJ18" s="236"/>
      <c r="AK18" s="236"/>
      <c r="AL18" s="236"/>
      <c r="AM18" s="236"/>
      <c r="AN18" s="791"/>
      <c r="AO18" s="791"/>
      <c r="AP18" s="236"/>
      <c r="AQ18" s="236"/>
      <c r="AR18" s="236"/>
      <c r="AS18" s="236"/>
      <c r="AT18" s="236"/>
      <c r="AU18" s="236"/>
      <c r="AV18" s="236"/>
      <c r="AW18" s="236"/>
      <c r="AX18" s="236"/>
      <c r="AY18" s="236"/>
      <c r="AZ18" s="236"/>
      <c r="BA18" s="236"/>
      <c r="BB18" s="236"/>
      <c r="BC18" s="236"/>
      <c r="BD18" s="236"/>
      <c r="BE18" s="236"/>
      <c r="BF18" s="236"/>
      <c r="BG18" s="236"/>
      <c r="BH18" s="38"/>
    </row>
    <row r="19" spans="1:60" x14ac:dyDescent="0.2">
      <c r="A19" s="648"/>
      <c r="B19" s="739" t="s">
        <v>120</v>
      </c>
      <c r="C19" s="656" t="s">
        <v>113</v>
      </c>
      <c r="D19" s="747"/>
      <c r="E19" s="220" t="s">
        <v>122</v>
      </c>
      <c r="F19" s="182"/>
      <c r="G19" s="182"/>
      <c r="H19" s="183" t="s">
        <v>70</v>
      </c>
      <c r="I19" s="235"/>
      <c r="J19" s="224"/>
      <c r="K19" s="232"/>
      <c r="L19" s="232"/>
      <c r="M19" s="224"/>
      <c r="N19" s="99"/>
      <c r="O19" s="453" t="str">
        <f>IF('woningen|utiliteit'!L18="","",'woningen|utiliteit'!L18)</f>
        <v/>
      </c>
      <c r="P19" s="453" t="str">
        <f>IF('woningen|utiliteit'!M18="","",'woningen|utiliteit'!M18)</f>
        <v/>
      </c>
      <c r="Q19" s="453" t="str">
        <f>IF('woningen|utiliteit'!N18="","",'woningen|utiliteit'!N18)</f>
        <v/>
      </c>
      <c r="R19" s="453" t="str">
        <f>IF('woningen|utiliteit'!O18="","",'woningen|utiliteit'!O18)</f>
        <v/>
      </c>
      <c r="S19" s="453" t="str">
        <f>IF('woningen|utiliteit'!P18="","",'woningen|utiliteit'!P18)</f>
        <v/>
      </c>
      <c r="T19" s="453" t="str">
        <f>IF('woningen|utiliteit'!Q18="","",'woningen|utiliteit'!Q18)</f>
        <v/>
      </c>
      <c r="U19" s="453" t="str">
        <f>IF('woningen|utiliteit'!R18="","",'woningen|utiliteit'!R18)</f>
        <v/>
      </c>
      <c r="V19" s="453" t="str">
        <f>IF('woningen|utiliteit'!S18="","",'woningen|utiliteit'!S18)</f>
        <v/>
      </c>
      <c r="W19" s="453" t="str">
        <f>IF('woningen|utiliteit'!T18="","",'woningen|utiliteit'!T18)</f>
        <v/>
      </c>
      <c r="X19" s="98"/>
      <c r="Y19" s="224"/>
      <c r="Z19" s="99"/>
      <c r="AA19" s="453" t="str">
        <f>IF('woningen|utiliteit'!L32="","",'woningen|utiliteit'!L32)</f>
        <v/>
      </c>
      <c r="AB19" s="453" t="str">
        <f>IF('woningen|utiliteit'!M32="","",'woningen|utiliteit'!M32)</f>
        <v/>
      </c>
      <c r="AC19" s="453" t="str">
        <f>IF('woningen|utiliteit'!N32="","",'woningen|utiliteit'!N32)</f>
        <v/>
      </c>
      <c r="AD19" s="453" t="str">
        <f>IF('woningen|utiliteit'!O32="","",'woningen|utiliteit'!O32)</f>
        <v/>
      </c>
      <c r="AE19" s="453" t="str">
        <f>IF('woningen|utiliteit'!P32="","",'woningen|utiliteit'!P32)</f>
        <v/>
      </c>
      <c r="AF19" s="453" t="str">
        <f>IF('woningen|utiliteit'!Q32="","",'woningen|utiliteit'!Q32)</f>
        <v/>
      </c>
      <c r="AG19" s="453" t="str">
        <f>IF('woningen|utiliteit'!R32="","",'woningen|utiliteit'!R32)</f>
        <v/>
      </c>
      <c r="AH19" s="453" t="str">
        <f>IF('woningen|utiliteit'!S32="","",'woningen|utiliteit'!S32)</f>
        <v/>
      </c>
      <c r="AI19" s="453" t="str">
        <f>IF('woningen|utiliteit'!T32="","",'woningen|utiliteit'!T32)</f>
        <v/>
      </c>
      <c r="AJ19" s="98"/>
      <c r="AK19" s="224"/>
      <c r="AL19" s="99"/>
      <c r="AM19" s="453" t="str">
        <f>IF('woningen|utiliteit'!L46="","",'woningen|utiliteit'!L46)</f>
        <v/>
      </c>
      <c r="AN19" s="453" t="str">
        <f>IF('woningen|utiliteit'!M46="","",'woningen|utiliteit'!M46)</f>
        <v/>
      </c>
      <c r="AO19" s="453" t="str">
        <f>IF('woningen|utiliteit'!N46="","",'woningen|utiliteit'!N46)</f>
        <v/>
      </c>
      <c r="AP19" s="453" t="str">
        <f>IF('woningen|utiliteit'!O46="","",'woningen|utiliteit'!O46)</f>
        <v/>
      </c>
      <c r="AQ19" s="453" t="str">
        <f>IF('woningen|utiliteit'!P46="","",'woningen|utiliteit'!P46)</f>
        <v/>
      </c>
      <c r="AR19" s="453" t="str">
        <f>IF('woningen|utiliteit'!Q46="","",'woningen|utiliteit'!Q46)</f>
        <v/>
      </c>
      <c r="AS19" s="453" t="str">
        <f>IF('woningen|utiliteit'!R46="","",'woningen|utiliteit'!R46)</f>
        <v/>
      </c>
      <c r="AT19" s="453" t="str">
        <f>IF('woningen|utiliteit'!S46="","",'woningen|utiliteit'!S46)</f>
        <v/>
      </c>
      <c r="AU19" s="453" t="str">
        <f>IF('woningen|utiliteit'!T46="","",'woningen|utiliteit'!T46)</f>
        <v/>
      </c>
      <c r="AV19" s="98"/>
      <c r="AW19" s="224"/>
      <c r="AX19" s="99"/>
      <c r="AY19" s="453" t="str">
        <f>IF('woningen|utiliteit'!L60="","",'woningen|utiliteit'!L60)</f>
        <v/>
      </c>
      <c r="AZ19" s="453" t="str">
        <f>IF('woningen|utiliteit'!M60="","",'woningen|utiliteit'!M60)</f>
        <v/>
      </c>
      <c r="BA19" s="453" t="str">
        <f>IF('woningen|utiliteit'!N60="","",'woningen|utiliteit'!N60)</f>
        <v/>
      </c>
      <c r="BB19" s="453" t="str">
        <f>IF('woningen|utiliteit'!O60="","",'woningen|utiliteit'!O60)</f>
        <v/>
      </c>
      <c r="BC19" s="453" t="str">
        <f>IF('woningen|utiliteit'!P60="","",'woningen|utiliteit'!P60)</f>
        <v/>
      </c>
      <c r="BD19" s="453" t="str">
        <f>IF('woningen|utiliteit'!Q60="","",'woningen|utiliteit'!Q60)</f>
        <v/>
      </c>
      <c r="BE19" s="453" t="str">
        <f>IF('woningen|utiliteit'!R60="","",'woningen|utiliteit'!R60)</f>
        <v/>
      </c>
      <c r="BF19" s="453" t="str">
        <f>IF('woningen|utiliteit'!S60="","",'woningen|utiliteit'!S60)</f>
        <v/>
      </c>
      <c r="BG19" s="453" t="str">
        <f>IF('woningen|utiliteit'!T60="","",'woningen|utiliteit'!T60)</f>
        <v/>
      </c>
      <c r="BH19" s="258"/>
    </row>
    <row r="20" spans="1:60" x14ac:dyDescent="0.2">
      <c r="A20" s="648"/>
      <c r="B20" s="739" t="s">
        <v>120</v>
      </c>
      <c r="C20" s="656" t="s">
        <v>113</v>
      </c>
      <c r="D20" s="747"/>
      <c r="E20" s="317" t="s">
        <v>123</v>
      </c>
      <c r="F20" s="286"/>
      <c r="G20" s="286"/>
      <c r="H20" s="360" t="s">
        <v>70</v>
      </c>
      <c r="I20" s="716"/>
      <c r="J20" s="226"/>
      <c r="K20" s="232"/>
      <c r="L20" s="232"/>
      <c r="M20" s="226"/>
      <c r="N20" s="106"/>
      <c r="O20" s="637" t="str">
        <f>IF('woningen|utiliteit'!L20="","",'woningen|utiliteit'!L20)</f>
        <v/>
      </c>
      <c r="P20" s="637" t="str">
        <f>IF('woningen|utiliteit'!M20="","",'woningen|utiliteit'!M20)</f>
        <v/>
      </c>
      <c r="Q20" s="637" t="str">
        <f>IF('woningen|utiliteit'!N20="","",'woningen|utiliteit'!N20)</f>
        <v/>
      </c>
      <c r="R20" s="637" t="str">
        <f>IF('woningen|utiliteit'!O20="","",'woningen|utiliteit'!O20)</f>
        <v/>
      </c>
      <c r="S20" s="637" t="str">
        <f>IF('woningen|utiliteit'!P20="","",'woningen|utiliteit'!P20)</f>
        <v/>
      </c>
      <c r="T20" s="637" t="str">
        <f>IF('woningen|utiliteit'!Q20="","",'woningen|utiliteit'!Q20)</f>
        <v/>
      </c>
      <c r="U20" s="637" t="str">
        <f>IF('woningen|utiliteit'!R20="","",'woningen|utiliteit'!R20)</f>
        <v/>
      </c>
      <c r="V20" s="637" t="str">
        <f>IF('woningen|utiliteit'!S20="","",'woningen|utiliteit'!S20)</f>
        <v/>
      </c>
      <c r="W20" s="637" t="str">
        <f>IF('woningen|utiliteit'!T20="","",'woningen|utiliteit'!T20)</f>
        <v/>
      </c>
      <c r="X20" s="98"/>
      <c r="Y20" s="226"/>
      <c r="Z20" s="106"/>
      <c r="AA20" s="637" t="str">
        <f>IF('woningen|utiliteit'!L34="","",'woningen|utiliteit'!L34)</f>
        <v/>
      </c>
      <c r="AB20" s="637" t="str">
        <f>IF('woningen|utiliteit'!M34="","",'woningen|utiliteit'!M34)</f>
        <v/>
      </c>
      <c r="AC20" s="637" t="str">
        <f>IF('woningen|utiliteit'!N34="","",'woningen|utiliteit'!N34)</f>
        <v/>
      </c>
      <c r="AD20" s="637" t="str">
        <f>IF('woningen|utiliteit'!O34="","",'woningen|utiliteit'!O34)</f>
        <v/>
      </c>
      <c r="AE20" s="637" t="str">
        <f>IF('woningen|utiliteit'!P34="","",'woningen|utiliteit'!P34)</f>
        <v/>
      </c>
      <c r="AF20" s="637" t="str">
        <f>IF('woningen|utiliteit'!Q34="","",'woningen|utiliteit'!Q34)</f>
        <v/>
      </c>
      <c r="AG20" s="637" t="str">
        <f>IF('woningen|utiliteit'!R34="","",'woningen|utiliteit'!R34)</f>
        <v/>
      </c>
      <c r="AH20" s="637" t="str">
        <f>IF('woningen|utiliteit'!S34="","",'woningen|utiliteit'!S34)</f>
        <v/>
      </c>
      <c r="AI20" s="637" t="str">
        <f>IF('woningen|utiliteit'!T34="","",'woningen|utiliteit'!T34)</f>
        <v/>
      </c>
      <c r="AJ20" s="98"/>
      <c r="AK20" s="226"/>
      <c r="AL20" s="106"/>
      <c r="AM20" s="637" t="str">
        <f>IF('woningen|utiliteit'!L48="","",'woningen|utiliteit'!L48)</f>
        <v/>
      </c>
      <c r="AN20" s="637" t="str">
        <f>IF('woningen|utiliteit'!M48="","",'woningen|utiliteit'!M48)</f>
        <v/>
      </c>
      <c r="AO20" s="637" t="str">
        <f>IF('woningen|utiliteit'!N48="","",'woningen|utiliteit'!N48)</f>
        <v/>
      </c>
      <c r="AP20" s="637" t="str">
        <f>IF('woningen|utiliteit'!O48="","",'woningen|utiliteit'!O48)</f>
        <v/>
      </c>
      <c r="AQ20" s="637" t="str">
        <f>IF('woningen|utiliteit'!P48="","",'woningen|utiliteit'!P48)</f>
        <v/>
      </c>
      <c r="AR20" s="637" t="str">
        <f>IF('woningen|utiliteit'!Q48="","",'woningen|utiliteit'!Q48)</f>
        <v/>
      </c>
      <c r="AS20" s="637" t="str">
        <f>IF('woningen|utiliteit'!R48="","",'woningen|utiliteit'!R48)</f>
        <v/>
      </c>
      <c r="AT20" s="637" t="str">
        <f>IF('woningen|utiliteit'!S48="","",'woningen|utiliteit'!S48)</f>
        <v/>
      </c>
      <c r="AU20" s="637" t="str">
        <f>IF('woningen|utiliteit'!T48="","",'woningen|utiliteit'!T48)</f>
        <v/>
      </c>
      <c r="AV20" s="98"/>
      <c r="AW20" s="226"/>
      <c r="AX20" s="106"/>
      <c r="AY20" s="637" t="str">
        <f>IF('woningen|utiliteit'!L62="","",'woningen|utiliteit'!L62)</f>
        <v/>
      </c>
      <c r="AZ20" s="637" t="str">
        <f>IF('woningen|utiliteit'!M62="","",'woningen|utiliteit'!M62)</f>
        <v/>
      </c>
      <c r="BA20" s="637" t="str">
        <f>IF('woningen|utiliteit'!N62="","",'woningen|utiliteit'!N62)</f>
        <v/>
      </c>
      <c r="BB20" s="637" t="str">
        <f>IF('woningen|utiliteit'!O62="","",'woningen|utiliteit'!O62)</f>
        <v/>
      </c>
      <c r="BC20" s="637" t="str">
        <f>IF('woningen|utiliteit'!P62="","",'woningen|utiliteit'!P62)</f>
        <v/>
      </c>
      <c r="BD20" s="637" t="str">
        <f>IF('woningen|utiliteit'!Q62="","",'woningen|utiliteit'!Q62)</f>
        <v/>
      </c>
      <c r="BE20" s="637" t="str">
        <f>IF('woningen|utiliteit'!R62="","",'woningen|utiliteit'!R62)</f>
        <v/>
      </c>
      <c r="BF20" s="637" t="str">
        <f>IF('woningen|utiliteit'!S62="","",'woningen|utiliteit'!S62)</f>
        <v/>
      </c>
      <c r="BG20" s="637" t="str">
        <f>IF('woningen|utiliteit'!T62="","",'woningen|utiliteit'!T62)</f>
        <v/>
      </c>
      <c r="BH20" s="258"/>
    </row>
    <row r="21" spans="1:60" s="38" customFormat="1" x14ac:dyDescent="0.2">
      <c r="A21" s="648"/>
      <c r="B21" s="739" t="s">
        <v>120</v>
      </c>
      <c r="C21" s="656" t="s">
        <v>113</v>
      </c>
      <c r="D21" s="747"/>
      <c r="E21" s="316" t="s">
        <v>124</v>
      </c>
      <c r="F21" s="713"/>
      <c r="G21" s="713"/>
      <c r="H21" s="361" t="s">
        <v>70</v>
      </c>
      <c r="I21" s="97"/>
      <c r="J21" s="714"/>
      <c r="K21" s="105"/>
      <c r="L21" s="105"/>
      <c r="M21" s="714"/>
      <c r="N21" s="715"/>
      <c r="O21" s="619" t="str">
        <f>IF(O$19="","",HLOOKUP(O$19,woningen_gebouwen_gegevens,ROWS(bibliotheek!$E$13:$E$14),FALSE))</f>
        <v/>
      </c>
      <c r="P21" s="619" t="str">
        <f>IF(P$19="","",HLOOKUP(P$19,woningen_gebouwen_gegevens,ROWS(bibliotheek!$E$13:$E$14),FALSE))</f>
        <v/>
      </c>
      <c r="Q21" s="619" t="str">
        <f>IF(Q$19="","",HLOOKUP(Q$19,woningen_gebouwen_gegevens,ROWS(bibliotheek!$E$13:$E$14),FALSE))</f>
        <v/>
      </c>
      <c r="R21" s="619" t="str">
        <f>IF(R$19="","",HLOOKUP(R$19,woningen_gebouwen_gegevens,ROWS(bibliotheek!$E$13:$E$14),FALSE))</f>
        <v/>
      </c>
      <c r="S21" s="619" t="str">
        <f>IF(S$19="","",HLOOKUP(S$19,woningen_gebouwen_gegevens,ROWS(bibliotheek!$E$13:$E$14),FALSE))</f>
        <v/>
      </c>
      <c r="T21" s="619" t="str">
        <f>IF(T$19="","",HLOOKUP(T$19,woningen_gebouwen_gegevens,ROWS(bibliotheek!$E$13:$E$14),FALSE))</f>
        <v/>
      </c>
      <c r="U21" s="619" t="str">
        <f>IF(U$19="","",HLOOKUP(U$19,woningen_gebouwen_gegevens,ROWS(bibliotheek!$E$13:$E$14),FALSE))</f>
        <v/>
      </c>
      <c r="V21" s="619" t="str">
        <f>IF(V$19="","",HLOOKUP(V$19,woningen_gebouwen_gegevens,ROWS(bibliotheek!$E$13:$E$14),FALSE))</f>
        <v/>
      </c>
      <c r="W21" s="619" t="str">
        <f>IF(W$19="","",HLOOKUP(W$19,woningen_gebouwen_gegevens,ROWS(bibliotheek!$E$13:$E$14),FALSE))</f>
        <v/>
      </c>
      <c r="X21" s="388"/>
      <c r="Y21" s="181"/>
      <c r="Z21" s="389"/>
      <c r="AA21" s="453" t="str">
        <f>IF(AA$19="","",HLOOKUP(AA$19,woningen_gebouwen_gegevens,ROWS(bibliotheek!$E$13:$E$14),FALSE))</f>
        <v/>
      </c>
      <c r="AB21" s="453" t="str">
        <f>IF(AB$19="","",HLOOKUP(AB$19,woningen_gebouwen_gegevens,ROWS(bibliotheek!$E$13:$E$14),FALSE))</f>
        <v/>
      </c>
      <c r="AC21" s="453" t="str">
        <f>IF(AC$19="","",HLOOKUP(AC$19,woningen_gebouwen_gegevens,ROWS(bibliotheek!$E$13:$E$14),FALSE))</f>
        <v/>
      </c>
      <c r="AD21" s="453" t="str">
        <f>IF(AD$19="","",HLOOKUP(AD$19,woningen_gebouwen_gegevens,ROWS(bibliotheek!$E$13:$E$14),FALSE))</f>
        <v/>
      </c>
      <c r="AE21" s="453" t="str">
        <f>IF(AE$19="","",HLOOKUP(AE$19,woningen_gebouwen_gegevens,ROWS(bibliotheek!$E$13:$E$14),FALSE))</f>
        <v/>
      </c>
      <c r="AF21" s="453" t="str">
        <f>IF(AF$19="","",HLOOKUP(AF$19,woningen_gebouwen_gegevens,ROWS(bibliotheek!$E$13:$E$14),FALSE))</f>
        <v/>
      </c>
      <c r="AG21" s="453" t="str">
        <f>IF(AG$19="","",HLOOKUP(AG$19,woningen_gebouwen_gegevens,ROWS(bibliotheek!$E$13:$E$14),FALSE))</f>
        <v/>
      </c>
      <c r="AH21" s="453" t="str">
        <f>IF(AH$19="","",HLOOKUP(AH$19,woningen_gebouwen_gegevens,ROWS(bibliotheek!$E$13:$E$14),FALSE))</f>
        <v/>
      </c>
      <c r="AI21" s="453" t="str">
        <f>IF(AI$19="","",HLOOKUP(AI$19,woningen_gebouwen_gegevens,ROWS(bibliotheek!$E$13:$E$14),FALSE))</f>
        <v/>
      </c>
      <c r="AJ21" s="388"/>
      <c r="AK21" s="181"/>
      <c r="AL21" s="389"/>
      <c r="AM21" s="453" t="str">
        <f>IF(AM$19="","",HLOOKUP(AM$19,woningen_gebouwen_gegevens,ROWS(bibliotheek!$E$13:$E$14),FALSE))</f>
        <v/>
      </c>
      <c r="AN21" s="453" t="str">
        <f>IF(AN$19="","",HLOOKUP(AN$19,woningen_gebouwen_gegevens,ROWS(bibliotheek!$E$13:$E$14),FALSE))</f>
        <v/>
      </c>
      <c r="AO21" s="453" t="str">
        <f>IF(AO$19="","",HLOOKUP(AO$19,woningen_gebouwen_gegevens,ROWS(bibliotheek!$E$13:$E$14),FALSE))</f>
        <v/>
      </c>
      <c r="AP21" s="453" t="str">
        <f>IF(AP$19="","",HLOOKUP(AP$19,woningen_gebouwen_gegevens,ROWS(bibliotheek!$E$13:$E$14),FALSE))</f>
        <v/>
      </c>
      <c r="AQ21" s="453" t="str">
        <f>IF(AQ$19="","",HLOOKUP(AQ$19,woningen_gebouwen_gegevens,ROWS(bibliotheek!$E$13:$E$14),FALSE))</f>
        <v/>
      </c>
      <c r="AR21" s="453" t="str">
        <f>IF(AR$19="","",HLOOKUP(AR$19,woningen_gebouwen_gegevens,ROWS(bibliotheek!$E$13:$E$14),FALSE))</f>
        <v/>
      </c>
      <c r="AS21" s="453" t="str">
        <f>IF(AS$19="","",HLOOKUP(AS$19,woningen_gebouwen_gegevens,ROWS(bibliotheek!$E$13:$E$14),FALSE))</f>
        <v/>
      </c>
      <c r="AT21" s="453" t="str">
        <f>IF(AT$19="","",HLOOKUP(AT$19,woningen_gebouwen_gegevens,ROWS(bibliotheek!$E$13:$E$14),FALSE))</f>
        <v/>
      </c>
      <c r="AU21" s="453" t="str">
        <f>IF(AU$19="","",HLOOKUP(AU$19,woningen_gebouwen_gegevens,ROWS(bibliotheek!$E$13:$E$14),FALSE))</f>
        <v/>
      </c>
      <c r="AV21" s="388"/>
      <c r="AW21" s="181"/>
      <c r="AX21" s="389"/>
      <c r="AY21" s="453" t="str">
        <f>IF(AY$19="","",HLOOKUP(AY$19,woningen_gebouwen_gegevens,ROWS(bibliotheek!$E$13:$E$14),FALSE))</f>
        <v/>
      </c>
      <c r="AZ21" s="453" t="str">
        <f>IF(AZ$19="","",HLOOKUP(AZ$19,woningen_gebouwen_gegevens,ROWS(bibliotheek!$E$13:$E$14),FALSE))</f>
        <v/>
      </c>
      <c r="BA21" s="453" t="str">
        <f>IF(BA$19="","",HLOOKUP(BA$19,woningen_gebouwen_gegevens,ROWS(bibliotheek!$E$13:$E$14),FALSE))</f>
        <v/>
      </c>
      <c r="BB21" s="453" t="str">
        <f>IF(BB$19="","",HLOOKUP(BB$19,woningen_gebouwen_gegevens,ROWS(bibliotheek!$E$13:$E$14),FALSE))</f>
        <v/>
      </c>
      <c r="BC21" s="453" t="str">
        <f>IF(BC$19="","",HLOOKUP(BC$19,woningen_gebouwen_gegevens,ROWS(bibliotheek!$E$13:$E$14),FALSE))</f>
        <v/>
      </c>
      <c r="BD21" s="453" t="str">
        <f>IF(BD$19="","",HLOOKUP(BD$19,woningen_gebouwen_gegevens,ROWS(bibliotheek!$E$13:$E$14),FALSE))</f>
        <v/>
      </c>
      <c r="BE21" s="453" t="str">
        <f>IF(BE$19="","",HLOOKUP(BE$19,woningen_gebouwen_gegevens,ROWS(bibliotheek!$E$13:$E$14),FALSE))</f>
        <v/>
      </c>
      <c r="BF21" s="453" t="str">
        <f>IF(BF$19="","",HLOOKUP(BF$19,woningen_gebouwen_gegevens,ROWS(bibliotheek!$E$13:$E$14),FALSE))</f>
        <v/>
      </c>
      <c r="BG21" s="453" t="str">
        <f>IF(BG$19="","",HLOOKUP(BG$19,woningen_gebouwen_gegevens,ROWS(bibliotheek!$E$13:$E$14),FALSE))</f>
        <v/>
      </c>
      <c r="BH21" s="258"/>
    </row>
    <row r="22" spans="1:60" x14ac:dyDescent="0.2">
      <c r="A22" s="648"/>
      <c r="B22" s="739" t="s">
        <v>120</v>
      </c>
      <c r="C22" s="656" t="s">
        <v>113</v>
      </c>
      <c r="D22" s="747"/>
      <c r="E22" s="220" t="s">
        <v>125</v>
      </c>
      <c r="F22" s="220"/>
      <c r="G22" s="220"/>
      <c r="H22" s="221" t="s">
        <v>70</v>
      </c>
      <c r="I22" s="129"/>
      <c r="J22" s="719"/>
      <c r="K22" s="294"/>
      <c r="L22" s="294"/>
      <c r="M22" s="228"/>
      <c r="N22" s="100"/>
      <c r="O22" s="453" t="str">
        <f>IF(O$19="","",HLOOKUP(O$19,woningen_gebouwen_gegevens,ROWS(bibliotheek!$E$13:$E$15),FALSE))</f>
        <v/>
      </c>
      <c r="P22" s="453" t="str">
        <f>IF(P$19="","",HLOOKUP(P$19,woningen_gebouwen_gegevens,ROWS(bibliotheek!$E$13:$E$15),FALSE))</f>
        <v/>
      </c>
      <c r="Q22" s="453" t="str">
        <f>IF(Q$19="","",HLOOKUP(Q$19,woningen_gebouwen_gegevens,ROWS(bibliotheek!$E$13:$E$15),FALSE))</f>
        <v/>
      </c>
      <c r="R22" s="453" t="str">
        <f>IF(R$19="","",HLOOKUP(R$19,woningen_gebouwen_gegevens,ROWS(bibliotheek!$E$13:$E$15),FALSE))</f>
        <v/>
      </c>
      <c r="S22" s="453" t="str">
        <f>IF(S$19="","",HLOOKUP(S$19,woningen_gebouwen_gegevens,ROWS(bibliotheek!$E$13:$E$15),FALSE))</f>
        <v/>
      </c>
      <c r="T22" s="453" t="str">
        <f>IF(T$19="","",HLOOKUP(T$19,woningen_gebouwen_gegevens,ROWS(bibliotheek!$E$13:$E$15),FALSE))</f>
        <v/>
      </c>
      <c r="U22" s="453" t="str">
        <f>IF(U$19="","",HLOOKUP(U$19,woningen_gebouwen_gegevens,ROWS(bibliotheek!$E$13:$E$15),FALSE))</f>
        <v/>
      </c>
      <c r="V22" s="453" t="str">
        <f>IF(V$19="","",HLOOKUP(V$19,woningen_gebouwen_gegevens,ROWS(bibliotheek!$E$13:$E$15),FALSE))</f>
        <v/>
      </c>
      <c r="W22" s="453" t="str">
        <f>IF(W$19="","",HLOOKUP(W$19,woningen_gebouwen_gegevens,ROWS(bibliotheek!$E$13:$E$15),FALSE))</f>
        <v/>
      </c>
      <c r="X22" s="101"/>
      <c r="Y22" s="228"/>
      <c r="Z22" s="100"/>
      <c r="AA22" s="453" t="str">
        <f>IF(AA$19="","",HLOOKUP(AA$19,woningen_gebouwen_gegevens,ROWS(bibliotheek!$E$13:$E$15),FALSE))</f>
        <v/>
      </c>
      <c r="AB22" s="453" t="str">
        <f>IF(AB$19="","",HLOOKUP(AB$19,woningen_gebouwen_gegevens,ROWS(bibliotheek!$E$13:$E$15),FALSE))</f>
        <v/>
      </c>
      <c r="AC22" s="453" t="str">
        <f>IF(AC$19="","",HLOOKUP(AC$19,woningen_gebouwen_gegevens,ROWS(bibliotheek!$E$13:$E$15),FALSE))</f>
        <v/>
      </c>
      <c r="AD22" s="453" t="str">
        <f>IF(AD$19="","",HLOOKUP(AD$19,woningen_gebouwen_gegevens,ROWS(bibliotheek!$E$13:$E$15),FALSE))</f>
        <v/>
      </c>
      <c r="AE22" s="453" t="str">
        <f>IF(AE$19="","",HLOOKUP(AE$19,woningen_gebouwen_gegevens,ROWS(bibliotheek!$E$13:$E$15),FALSE))</f>
        <v/>
      </c>
      <c r="AF22" s="453" t="str">
        <f>IF(AF$19="","",HLOOKUP(AF$19,woningen_gebouwen_gegevens,ROWS(bibliotheek!$E$13:$E$15),FALSE))</f>
        <v/>
      </c>
      <c r="AG22" s="453" t="str">
        <f>IF(AG$19="","",HLOOKUP(AG$19,woningen_gebouwen_gegevens,ROWS(bibliotheek!$E$13:$E$15),FALSE))</f>
        <v/>
      </c>
      <c r="AH22" s="453" t="str">
        <f>IF(AH$19="","",HLOOKUP(AH$19,woningen_gebouwen_gegevens,ROWS(bibliotheek!$E$13:$E$15),FALSE))</f>
        <v/>
      </c>
      <c r="AI22" s="453" t="str">
        <f>IF(AI$19="","",HLOOKUP(AI$19,woningen_gebouwen_gegevens,ROWS(bibliotheek!$E$13:$E$15),FALSE))</f>
        <v/>
      </c>
      <c r="AJ22" s="101"/>
      <c r="AK22" s="228"/>
      <c r="AL22" s="100"/>
      <c r="AM22" s="453" t="str">
        <f>IF(AM$19="","",HLOOKUP(AM$19,woningen_gebouwen_gegevens,ROWS(bibliotheek!$E$13:$E$15),FALSE))</f>
        <v/>
      </c>
      <c r="AN22" s="453" t="str">
        <f>IF(AN$19="","",HLOOKUP(AN$19,woningen_gebouwen_gegevens,ROWS(bibliotheek!$E$13:$E$15),FALSE))</f>
        <v/>
      </c>
      <c r="AO22" s="453" t="str">
        <f>IF(AO$19="","",HLOOKUP(AO$19,woningen_gebouwen_gegevens,ROWS(bibliotheek!$E$13:$E$15),FALSE))</f>
        <v/>
      </c>
      <c r="AP22" s="453" t="str">
        <f>IF(AP$19="","",HLOOKUP(AP$19,woningen_gebouwen_gegevens,ROWS(bibliotheek!$E$13:$E$15),FALSE))</f>
        <v/>
      </c>
      <c r="AQ22" s="453" t="str">
        <f>IF(AQ$19="","",HLOOKUP(AQ$19,woningen_gebouwen_gegevens,ROWS(bibliotheek!$E$13:$E$15),FALSE))</f>
        <v/>
      </c>
      <c r="AR22" s="453" t="str">
        <f>IF(AR$19="","",HLOOKUP(AR$19,woningen_gebouwen_gegevens,ROWS(bibliotheek!$E$13:$E$15),FALSE))</f>
        <v/>
      </c>
      <c r="AS22" s="453" t="str">
        <f>IF(AS$19="","",HLOOKUP(AS$19,woningen_gebouwen_gegevens,ROWS(bibliotheek!$E$13:$E$15),FALSE))</f>
        <v/>
      </c>
      <c r="AT22" s="453" t="str">
        <f>IF(AT$19="","",HLOOKUP(AT$19,woningen_gebouwen_gegevens,ROWS(bibliotheek!$E$13:$E$15),FALSE))</f>
        <v/>
      </c>
      <c r="AU22" s="453" t="str">
        <f>IF(AU$19="","",HLOOKUP(AU$19,woningen_gebouwen_gegevens,ROWS(bibliotheek!$E$13:$E$15),FALSE))</f>
        <v/>
      </c>
      <c r="AV22" s="101"/>
      <c r="AW22" s="228"/>
      <c r="AX22" s="100"/>
      <c r="AY22" s="453" t="str">
        <f>IF(AY$19="","",HLOOKUP(AY$19,woningen_gebouwen_gegevens,ROWS(bibliotheek!$E$13:$E$15),FALSE))</f>
        <v/>
      </c>
      <c r="AZ22" s="453" t="str">
        <f>IF(AZ$19="","",HLOOKUP(AZ$19,woningen_gebouwen_gegevens,ROWS(bibliotheek!$E$13:$E$15),FALSE))</f>
        <v/>
      </c>
      <c r="BA22" s="453" t="str">
        <f>IF(BA$19="","",HLOOKUP(BA$19,woningen_gebouwen_gegevens,ROWS(bibliotheek!$E$13:$E$15),FALSE))</f>
        <v/>
      </c>
      <c r="BB22" s="453" t="str">
        <f>IF(BB$19="","",HLOOKUP(BB$19,woningen_gebouwen_gegevens,ROWS(bibliotheek!$E$13:$E$15),FALSE))</f>
        <v/>
      </c>
      <c r="BC22" s="453" t="str">
        <f>IF(BC$19="","",HLOOKUP(BC$19,woningen_gebouwen_gegevens,ROWS(bibliotheek!$E$13:$E$15),FALSE))</f>
        <v/>
      </c>
      <c r="BD22" s="453" t="str">
        <f>IF(BD$19="","",HLOOKUP(BD$19,woningen_gebouwen_gegevens,ROWS(bibliotheek!$E$13:$E$15),FALSE))</f>
        <v/>
      </c>
      <c r="BE22" s="453" t="str">
        <f>IF(BE$19="","",HLOOKUP(BE$19,woningen_gebouwen_gegevens,ROWS(bibliotheek!$E$13:$E$15),FALSE))</f>
        <v/>
      </c>
      <c r="BF22" s="453" t="str">
        <f>IF(BF$19="","",HLOOKUP(BF$19,woningen_gebouwen_gegevens,ROWS(bibliotheek!$E$13:$E$15),FALSE))</f>
        <v/>
      </c>
      <c r="BG22" s="453" t="str">
        <f>IF(BG$19="","",HLOOKUP(BG$19,woningen_gebouwen_gegevens,ROWS(bibliotheek!$E$13:$E$15),FALSE))</f>
        <v/>
      </c>
      <c r="BH22" s="259"/>
    </row>
    <row r="23" spans="1:60" ht="18.75" x14ac:dyDescent="0.2">
      <c r="A23" s="648"/>
      <c r="B23" s="739" t="s">
        <v>120</v>
      </c>
      <c r="C23" s="739" t="s">
        <v>104</v>
      </c>
      <c r="D23" s="747"/>
      <c r="E23" s="236" t="s">
        <v>126</v>
      </c>
      <c r="F23" s="236"/>
      <c r="G23" s="236"/>
      <c r="H23" s="89"/>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38"/>
    </row>
    <row r="24" spans="1:60" x14ac:dyDescent="0.2">
      <c r="A24" s="648"/>
      <c r="B24" s="739" t="s">
        <v>120</v>
      </c>
      <c r="C24" s="656" t="s">
        <v>127</v>
      </c>
      <c r="D24" s="747"/>
      <c r="E24" s="316" t="s">
        <v>128</v>
      </c>
      <c r="F24" s="316"/>
      <c r="G24" s="316"/>
      <c r="H24" s="361" t="s">
        <v>129</v>
      </c>
      <c r="I24" s="131"/>
      <c r="J24" s="225">
        <f>M24+Y24+AK24+AW24</f>
        <v>0</v>
      </c>
      <c r="K24" s="102"/>
      <c r="L24" s="102"/>
      <c r="M24" s="469">
        <f>SUM(N24:X24)</f>
        <v>0</v>
      </c>
      <c r="N24" s="103"/>
      <c r="O24" s="618">
        <f>IF('woningen|utiliteit'!L18="",0,IF(O25&lt;&gt;"",O25,'woningen|utiliteit'!L21))</f>
        <v>0</v>
      </c>
      <c r="P24" s="618">
        <f>IF('woningen|utiliteit'!M18="",0,IF(P25&lt;&gt;"",P25,'woningen|utiliteit'!M21))</f>
        <v>0</v>
      </c>
      <c r="Q24" s="619">
        <f>IF('woningen|utiliteit'!N18="",0,IF(Q25&lt;&gt;"",Q25,'woningen|utiliteit'!N21))</f>
        <v>0</v>
      </c>
      <c r="R24" s="619">
        <f>IF('woningen|utiliteit'!O18="",0,IF(R25&lt;&gt;"",R25,'woningen|utiliteit'!O21))</f>
        <v>0</v>
      </c>
      <c r="S24" s="619">
        <f>IF('woningen|utiliteit'!P18="",0,IF(S25&lt;&gt;"",S25,'woningen|utiliteit'!P21))</f>
        <v>0</v>
      </c>
      <c r="T24" s="619">
        <f>IF('woningen|utiliteit'!Q18="",0,IF(T25&lt;&gt;"",T25,'woningen|utiliteit'!Q21))</f>
        <v>0</v>
      </c>
      <c r="U24" s="619">
        <f>IF('woningen|utiliteit'!R18="",0,IF(U25&lt;&gt;"",U25,'woningen|utiliteit'!R21))</f>
        <v>0</v>
      </c>
      <c r="V24" s="619">
        <f>IF('woningen|utiliteit'!S18="",0,IF(V25&lt;&gt;"",V25,'woningen|utiliteit'!S21))</f>
        <v>0</v>
      </c>
      <c r="W24" s="618">
        <f>IF('woningen|utiliteit'!T18="",0,IF(W25&lt;&gt;"",W25,'woningen|utiliteit'!T21))</f>
        <v>0</v>
      </c>
      <c r="X24" s="104"/>
      <c r="Y24" s="229">
        <f>SUM(Z24:AJ24)</f>
        <v>0</v>
      </c>
      <c r="Z24" s="103"/>
      <c r="AA24" s="618">
        <f>IF('woningen|utiliteit'!L32="",0,IF(AA25&lt;&gt;"",AA25,'woningen|utiliteit'!L35))</f>
        <v>0</v>
      </c>
      <c r="AB24" s="618">
        <f>IF('woningen|utiliteit'!M32="",0,IF(AB25&lt;&gt;"",AB25,'woningen|utiliteit'!M35))</f>
        <v>0</v>
      </c>
      <c r="AC24" s="619">
        <f>IF('woningen|utiliteit'!N32="",0,IF(AC25&lt;&gt;"",AC25,'woningen|utiliteit'!N35))</f>
        <v>0</v>
      </c>
      <c r="AD24" s="619">
        <f>IF('woningen|utiliteit'!O32="",0,IF(AD25&lt;&gt;"",AD25,'woningen|utiliteit'!O35))</f>
        <v>0</v>
      </c>
      <c r="AE24" s="619">
        <f>IF('woningen|utiliteit'!P32="",0,IF(AE25&lt;&gt;"",AE25,'woningen|utiliteit'!P35))</f>
        <v>0</v>
      </c>
      <c r="AF24" s="619">
        <f>IF('woningen|utiliteit'!Q32="",0,IF(AF25&lt;&gt;"",AF25,'woningen|utiliteit'!Q35))</f>
        <v>0</v>
      </c>
      <c r="AG24" s="619">
        <f>IF('woningen|utiliteit'!R32="",0,IF(AG25&lt;&gt;"",AG25,'woningen|utiliteit'!R35))</f>
        <v>0</v>
      </c>
      <c r="AH24" s="619">
        <f>IF('woningen|utiliteit'!S32="",0,IF(AH25&lt;&gt;"",AH25,'woningen|utiliteit'!S35))</f>
        <v>0</v>
      </c>
      <c r="AI24" s="618">
        <f>IF('woningen|utiliteit'!T32="",0,IF(AI25&lt;&gt;"",AI25,'woningen|utiliteit'!T35))</f>
        <v>0</v>
      </c>
      <c r="AJ24" s="104"/>
      <c r="AK24" s="229">
        <f>SUM(AL24:AV24)</f>
        <v>0</v>
      </c>
      <c r="AL24" s="103"/>
      <c r="AM24" s="618">
        <f>IF('woningen|utiliteit'!L46="",0,IF(AM25&lt;&gt;"",AM25,'woningen|utiliteit'!L49))</f>
        <v>0</v>
      </c>
      <c r="AN24" s="618">
        <f>IF('woningen|utiliteit'!M46="",0,IF(AN25&lt;&gt;"",AN25,'woningen|utiliteit'!M49))</f>
        <v>0</v>
      </c>
      <c r="AO24" s="619">
        <f>IF('woningen|utiliteit'!N46="",0,IF(AO25&lt;&gt;"",AO25,'woningen|utiliteit'!N49))</f>
        <v>0</v>
      </c>
      <c r="AP24" s="619">
        <f>IF('woningen|utiliteit'!O46="",0,IF(AP25&lt;&gt;"",AP25,'woningen|utiliteit'!O49))</f>
        <v>0</v>
      </c>
      <c r="AQ24" s="619">
        <f>IF('woningen|utiliteit'!P46="",0,IF(AQ25&lt;&gt;"",AQ25,'woningen|utiliteit'!P49))</f>
        <v>0</v>
      </c>
      <c r="AR24" s="619">
        <f>IF('woningen|utiliteit'!Q46="",0,IF(AR25&lt;&gt;"",AR25,'woningen|utiliteit'!Q49))</f>
        <v>0</v>
      </c>
      <c r="AS24" s="619">
        <f>IF('woningen|utiliteit'!R46="",0,IF(AS25&lt;&gt;"",AS25,'woningen|utiliteit'!R49))</f>
        <v>0</v>
      </c>
      <c r="AT24" s="619">
        <f>IF('woningen|utiliteit'!S46="",0,IF(AT25&lt;&gt;"",AT25,'woningen|utiliteit'!S49))</f>
        <v>0</v>
      </c>
      <c r="AU24" s="618">
        <f>IF('woningen|utiliteit'!T46="",0,IF(AU25&lt;&gt;"",AU25,'woningen|utiliteit'!T49))</f>
        <v>0</v>
      </c>
      <c r="AV24" s="104"/>
      <c r="AW24" s="229">
        <f>SUM(AX24:BH24)</f>
        <v>0</v>
      </c>
      <c r="AX24" s="103"/>
      <c r="AY24" s="618">
        <f>IF('woningen|utiliteit'!L60="",0,IF(AY25&lt;&gt;"",AY25,'woningen|utiliteit'!L63))</f>
        <v>0</v>
      </c>
      <c r="AZ24" s="618">
        <f>IF('woningen|utiliteit'!M60="",0,IF(AZ25&lt;&gt;"",AZ25,'woningen|utiliteit'!M63))</f>
        <v>0</v>
      </c>
      <c r="BA24" s="619">
        <f>IF('woningen|utiliteit'!N60="",0,IF(BA25&lt;&gt;"",BA25,'woningen|utiliteit'!N63))</f>
        <v>0</v>
      </c>
      <c r="BB24" s="619">
        <f>IF('woningen|utiliteit'!O60="",0,IF(BB25&lt;&gt;"",BB25,'woningen|utiliteit'!O63))</f>
        <v>0</v>
      </c>
      <c r="BC24" s="619">
        <f>IF('woningen|utiliteit'!P60="",0,IF(BC25&lt;&gt;"",BC25,'woningen|utiliteit'!P63))</f>
        <v>0</v>
      </c>
      <c r="BD24" s="619">
        <f>IF('woningen|utiliteit'!Q60="",0,IF(BD25&lt;&gt;"",BD25,'woningen|utiliteit'!Q63))</f>
        <v>0</v>
      </c>
      <c r="BE24" s="619">
        <f>IF('woningen|utiliteit'!R60="",0,IF(BE25&lt;&gt;"",BE25,'woningen|utiliteit'!R63))</f>
        <v>0</v>
      </c>
      <c r="BF24" s="619">
        <f>IF('woningen|utiliteit'!S60="",0,IF(BF25&lt;&gt;"",BF25,'woningen|utiliteit'!S63))</f>
        <v>0</v>
      </c>
      <c r="BG24" s="618">
        <f>IF('woningen|utiliteit'!T60="",0,IF(BG25&lt;&gt;"",BG25,'woningen|utiliteit'!T63))</f>
        <v>0</v>
      </c>
      <c r="BH24" s="258"/>
    </row>
    <row r="25" spans="1:60" x14ac:dyDescent="0.2">
      <c r="A25" s="648"/>
      <c r="B25" s="739" t="s">
        <v>120</v>
      </c>
      <c r="C25" s="656" t="s">
        <v>127</v>
      </c>
      <c r="D25" s="747"/>
      <c r="E25" s="412" t="s">
        <v>82</v>
      </c>
      <c r="F25" s="317"/>
      <c r="G25" s="317"/>
      <c r="H25" s="360"/>
      <c r="I25" s="97"/>
      <c r="J25" s="362"/>
      <c r="K25" s="105"/>
      <c r="L25" s="105"/>
      <c r="M25" s="467"/>
      <c r="N25" s="106"/>
      <c r="O25" s="325"/>
      <c r="P25" s="325"/>
      <c r="Q25" s="325"/>
      <c r="R25" s="325"/>
      <c r="S25" s="325"/>
      <c r="T25" s="325"/>
      <c r="U25" s="325"/>
      <c r="V25" s="325"/>
      <c r="W25" s="325"/>
      <c r="X25" s="98"/>
      <c r="Y25" s="238"/>
      <c r="Z25" s="106"/>
      <c r="AA25" s="325"/>
      <c r="AB25" s="325"/>
      <c r="AC25" s="325"/>
      <c r="AD25" s="325"/>
      <c r="AE25" s="325"/>
      <c r="AF25" s="325"/>
      <c r="AG25" s="325"/>
      <c r="AH25" s="325"/>
      <c r="AI25" s="325"/>
      <c r="AJ25" s="98"/>
      <c r="AK25" s="238"/>
      <c r="AL25" s="106"/>
      <c r="AM25" s="325"/>
      <c r="AN25" s="325"/>
      <c r="AO25" s="325"/>
      <c r="AP25" s="325"/>
      <c r="AQ25" s="325"/>
      <c r="AR25" s="325"/>
      <c r="AS25" s="325"/>
      <c r="AT25" s="325"/>
      <c r="AU25" s="325"/>
      <c r="AV25" s="98"/>
      <c r="AW25" s="238"/>
      <c r="AX25" s="106"/>
      <c r="AY25" s="325"/>
      <c r="AZ25" s="325"/>
      <c r="BA25" s="325"/>
      <c r="BB25" s="325"/>
      <c r="BC25" s="325"/>
      <c r="BD25" s="325"/>
      <c r="BE25" s="325"/>
      <c r="BF25" s="325"/>
      <c r="BG25" s="325"/>
      <c r="BH25" s="214"/>
    </row>
    <row r="26" spans="1:60" x14ac:dyDescent="0.2">
      <c r="A26" s="648"/>
      <c r="B26" s="739" t="s">
        <v>120</v>
      </c>
      <c r="C26" s="656" t="s">
        <v>113</v>
      </c>
      <c r="D26" s="747"/>
      <c r="E26" s="316" t="s">
        <v>130</v>
      </c>
      <c r="F26" s="220"/>
      <c r="G26" s="220"/>
      <c r="H26" s="183" t="s">
        <v>77</v>
      </c>
      <c r="I26" s="107"/>
      <c r="J26" s="225">
        <f>M26+Y26+AK26+AW26</f>
        <v>0</v>
      </c>
      <c r="K26" s="102"/>
      <c r="L26" s="102"/>
      <c r="M26" s="249">
        <f>SUM(N26:X26)</f>
        <v>0</v>
      </c>
      <c r="N26" s="108"/>
      <c r="O26" s="620">
        <f t="shared" ref="O26:W26" si="16">IF(O$21=woning,O$24,0)</f>
        <v>0</v>
      </c>
      <c r="P26" s="620">
        <f t="shared" si="16"/>
        <v>0</v>
      </c>
      <c r="Q26" s="620">
        <f t="shared" si="16"/>
        <v>0</v>
      </c>
      <c r="R26" s="620">
        <f t="shared" si="16"/>
        <v>0</v>
      </c>
      <c r="S26" s="620">
        <f t="shared" si="16"/>
        <v>0</v>
      </c>
      <c r="T26" s="620">
        <f t="shared" si="16"/>
        <v>0</v>
      </c>
      <c r="U26" s="620">
        <f t="shared" si="16"/>
        <v>0</v>
      </c>
      <c r="V26" s="620">
        <f t="shared" si="16"/>
        <v>0</v>
      </c>
      <c r="W26" s="620">
        <f t="shared" si="16"/>
        <v>0</v>
      </c>
      <c r="X26" s="109"/>
      <c r="Y26" s="469">
        <f>SUM(Z26:AJ26)</f>
        <v>0</v>
      </c>
      <c r="Z26" s="108"/>
      <c r="AA26" s="620">
        <f t="shared" ref="AA26:AI26" si="17">IF(AA$21=woning,AA$24,0)</f>
        <v>0</v>
      </c>
      <c r="AB26" s="620">
        <f t="shared" si="17"/>
        <v>0</v>
      </c>
      <c r="AC26" s="620">
        <f t="shared" si="17"/>
        <v>0</v>
      </c>
      <c r="AD26" s="620">
        <f t="shared" si="17"/>
        <v>0</v>
      </c>
      <c r="AE26" s="620">
        <f t="shared" si="17"/>
        <v>0</v>
      </c>
      <c r="AF26" s="620">
        <f t="shared" si="17"/>
        <v>0</v>
      </c>
      <c r="AG26" s="620">
        <f t="shared" si="17"/>
        <v>0</v>
      </c>
      <c r="AH26" s="620">
        <f t="shared" si="17"/>
        <v>0</v>
      </c>
      <c r="AI26" s="620">
        <f t="shared" si="17"/>
        <v>0</v>
      </c>
      <c r="AJ26" s="109"/>
      <c r="AK26" s="229">
        <f>SUM(AL26:AV26)</f>
        <v>0</v>
      </c>
      <c r="AL26" s="108"/>
      <c r="AM26" s="620">
        <f>IF(AM$21=woning,AM$24,0)</f>
        <v>0</v>
      </c>
      <c r="AN26" s="620">
        <f t="shared" ref="AN26:AU26" si="18">IF(AN$21=woning,AN$24,0)</f>
        <v>0</v>
      </c>
      <c r="AO26" s="620">
        <f t="shared" si="18"/>
        <v>0</v>
      </c>
      <c r="AP26" s="620">
        <f t="shared" si="18"/>
        <v>0</v>
      </c>
      <c r="AQ26" s="620">
        <f t="shared" si="18"/>
        <v>0</v>
      </c>
      <c r="AR26" s="620">
        <f t="shared" si="18"/>
        <v>0</v>
      </c>
      <c r="AS26" s="620">
        <f t="shared" si="18"/>
        <v>0</v>
      </c>
      <c r="AT26" s="620">
        <f t="shared" si="18"/>
        <v>0</v>
      </c>
      <c r="AU26" s="620">
        <f t="shared" si="18"/>
        <v>0</v>
      </c>
      <c r="AV26" s="109"/>
      <c r="AW26" s="469">
        <f>SUM(AX26:BH26)</f>
        <v>0</v>
      </c>
      <c r="AX26" s="108"/>
      <c r="AY26" s="620">
        <f t="shared" ref="AY26:BG26" si="19">IF(AY$21=woning,AY$24,0)</f>
        <v>0</v>
      </c>
      <c r="AZ26" s="620">
        <f t="shared" si="19"/>
        <v>0</v>
      </c>
      <c r="BA26" s="620">
        <f t="shared" si="19"/>
        <v>0</v>
      </c>
      <c r="BB26" s="620">
        <f t="shared" si="19"/>
        <v>0</v>
      </c>
      <c r="BC26" s="620">
        <f t="shared" si="19"/>
        <v>0</v>
      </c>
      <c r="BD26" s="620">
        <f t="shared" si="19"/>
        <v>0</v>
      </c>
      <c r="BE26" s="620">
        <f t="shared" si="19"/>
        <v>0</v>
      </c>
      <c r="BF26" s="620">
        <f t="shared" si="19"/>
        <v>0</v>
      </c>
      <c r="BG26" s="620">
        <f t="shared" si="19"/>
        <v>0</v>
      </c>
      <c r="BH26" s="214"/>
    </row>
    <row r="27" spans="1:60" x14ac:dyDescent="0.2">
      <c r="A27" s="648"/>
      <c r="B27" s="739" t="s">
        <v>120</v>
      </c>
      <c r="C27" s="656" t="s">
        <v>113</v>
      </c>
      <c r="D27" s="747"/>
      <c r="E27" s="316" t="s">
        <v>131</v>
      </c>
      <c r="F27" s="220"/>
      <c r="G27" s="220"/>
      <c r="H27" s="183" t="s">
        <v>77</v>
      </c>
      <c r="I27" s="107"/>
      <c r="J27" s="225">
        <f>M27+Y27+AK27+AW27</f>
        <v>0</v>
      </c>
      <c r="K27" s="102"/>
      <c r="L27" s="102"/>
      <c r="M27" s="249">
        <f>SUM(N27:X27)</f>
        <v>0</v>
      </c>
      <c r="N27" s="108"/>
      <c r="O27" s="620">
        <f t="shared" ref="O27:W27" si="20">IF(O$21=woongebouw,O$24,0)</f>
        <v>0</v>
      </c>
      <c r="P27" s="620">
        <f t="shared" si="20"/>
        <v>0</v>
      </c>
      <c r="Q27" s="620">
        <f t="shared" si="20"/>
        <v>0</v>
      </c>
      <c r="R27" s="620">
        <f t="shared" si="20"/>
        <v>0</v>
      </c>
      <c r="S27" s="620">
        <f t="shared" si="20"/>
        <v>0</v>
      </c>
      <c r="T27" s="620">
        <f t="shared" si="20"/>
        <v>0</v>
      </c>
      <c r="U27" s="620">
        <f t="shared" si="20"/>
        <v>0</v>
      </c>
      <c r="V27" s="620">
        <f t="shared" si="20"/>
        <v>0</v>
      </c>
      <c r="W27" s="620">
        <f t="shared" si="20"/>
        <v>0</v>
      </c>
      <c r="X27" s="109"/>
      <c r="Y27" s="469">
        <f>SUM(Z27:AJ27)</f>
        <v>0</v>
      </c>
      <c r="Z27" s="108"/>
      <c r="AA27" s="620">
        <f t="shared" ref="AA27:AI27" si="21">IF(AA$21=woongebouw,AA$24,0)</f>
        <v>0</v>
      </c>
      <c r="AB27" s="620">
        <f t="shared" si="21"/>
        <v>0</v>
      </c>
      <c r="AC27" s="620">
        <f t="shared" si="21"/>
        <v>0</v>
      </c>
      <c r="AD27" s="620">
        <f t="shared" si="21"/>
        <v>0</v>
      </c>
      <c r="AE27" s="620">
        <f t="shared" si="21"/>
        <v>0</v>
      </c>
      <c r="AF27" s="620">
        <f t="shared" si="21"/>
        <v>0</v>
      </c>
      <c r="AG27" s="620">
        <f t="shared" si="21"/>
        <v>0</v>
      </c>
      <c r="AH27" s="620">
        <f t="shared" si="21"/>
        <v>0</v>
      </c>
      <c r="AI27" s="620">
        <f t="shared" si="21"/>
        <v>0</v>
      </c>
      <c r="AJ27" s="109"/>
      <c r="AK27" s="229">
        <f>SUM(AL27:AV27)</f>
        <v>0</v>
      </c>
      <c r="AL27" s="108"/>
      <c r="AM27" s="620">
        <f>IF(AM$21=woongebouw,AM$24,0)</f>
        <v>0</v>
      </c>
      <c r="AN27" s="620">
        <f t="shared" ref="AN27:AU27" si="22">IF(AN$21=woongebouw,AN$24,0)</f>
        <v>0</v>
      </c>
      <c r="AO27" s="620">
        <f t="shared" si="22"/>
        <v>0</v>
      </c>
      <c r="AP27" s="620">
        <f t="shared" si="22"/>
        <v>0</v>
      </c>
      <c r="AQ27" s="620">
        <f t="shared" si="22"/>
        <v>0</v>
      </c>
      <c r="AR27" s="620">
        <f t="shared" si="22"/>
        <v>0</v>
      </c>
      <c r="AS27" s="620">
        <f t="shared" si="22"/>
        <v>0</v>
      </c>
      <c r="AT27" s="620">
        <f t="shared" si="22"/>
        <v>0</v>
      </c>
      <c r="AU27" s="620">
        <f t="shared" si="22"/>
        <v>0</v>
      </c>
      <c r="AV27" s="109"/>
      <c r="AW27" s="469">
        <f>SUM(AX27:BH27)</f>
        <v>0</v>
      </c>
      <c r="AX27" s="108"/>
      <c r="AY27" s="620">
        <f t="shared" ref="AY27:BG27" si="23">IF(AY$21=woongebouw,AY$24,0)</f>
        <v>0</v>
      </c>
      <c r="AZ27" s="620">
        <f t="shared" si="23"/>
        <v>0</v>
      </c>
      <c r="BA27" s="620">
        <f t="shared" si="23"/>
        <v>0</v>
      </c>
      <c r="BB27" s="620">
        <f t="shared" si="23"/>
        <v>0</v>
      </c>
      <c r="BC27" s="620">
        <f t="shared" si="23"/>
        <v>0</v>
      </c>
      <c r="BD27" s="620">
        <f t="shared" si="23"/>
        <v>0</v>
      </c>
      <c r="BE27" s="620">
        <f t="shared" si="23"/>
        <v>0</v>
      </c>
      <c r="BF27" s="620">
        <f t="shared" si="23"/>
        <v>0</v>
      </c>
      <c r="BG27" s="620">
        <f t="shared" si="23"/>
        <v>0</v>
      </c>
      <c r="BH27" s="214"/>
    </row>
    <row r="28" spans="1:60" x14ac:dyDescent="0.2">
      <c r="A28" s="648"/>
      <c r="B28" s="739" t="s">
        <v>120</v>
      </c>
      <c r="C28" s="656" t="s">
        <v>113</v>
      </c>
      <c r="D28" s="747"/>
      <c r="E28" s="316" t="s">
        <v>78</v>
      </c>
      <c r="F28" s="220"/>
      <c r="G28" s="220"/>
      <c r="H28" s="183" t="s">
        <v>79</v>
      </c>
      <c r="I28" s="107"/>
      <c r="J28" s="225">
        <f>M28+Y28+AK28+AW28</f>
        <v>0</v>
      </c>
      <c r="K28" s="102"/>
      <c r="L28" s="102"/>
      <c r="M28" s="468">
        <f>SUM(N28:X28)</f>
        <v>0</v>
      </c>
      <c r="N28" s="108"/>
      <c r="O28" s="620">
        <f>O24-O27-O26</f>
        <v>0</v>
      </c>
      <c r="P28" s="620">
        <f t="shared" ref="P28:W28" si="24">P24-P27-P26</f>
        <v>0</v>
      </c>
      <c r="Q28" s="620">
        <f t="shared" si="24"/>
        <v>0</v>
      </c>
      <c r="R28" s="620">
        <f t="shared" si="24"/>
        <v>0</v>
      </c>
      <c r="S28" s="620">
        <f t="shared" si="24"/>
        <v>0</v>
      </c>
      <c r="T28" s="620">
        <f t="shared" si="24"/>
        <v>0</v>
      </c>
      <c r="U28" s="620">
        <f t="shared" si="24"/>
        <v>0</v>
      </c>
      <c r="V28" s="620">
        <f t="shared" si="24"/>
        <v>0</v>
      </c>
      <c r="W28" s="620">
        <f t="shared" si="24"/>
        <v>0</v>
      </c>
      <c r="X28" s="109"/>
      <c r="Y28" s="249">
        <f>SUM(Z28:AJ28)</f>
        <v>0</v>
      </c>
      <c r="Z28" s="108"/>
      <c r="AA28" s="620">
        <f t="shared" ref="AA28:AI28" si="25">AA24-AA27-AA26</f>
        <v>0</v>
      </c>
      <c r="AB28" s="620">
        <f t="shared" si="25"/>
        <v>0</v>
      </c>
      <c r="AC28" s="620">
        <f t="shared" si="25"/>
        <v>0</v>
      </c>
      <c r="AD28" s="620">
        <f t="shared" si="25"/>
        <v>0</v>
      </c>
      <c r="AE28" s="620">
        <f t="shared" si="25"/>
        <v>0</v>
      </c>
      <c r="AF28" s="620">
        <f t="shared" si="25"/>
        <v>0</v>
      </c>
      <c r="AG28" s="620">
        <f t="shared" si="25"/>
        <v>0</v>
      </c>
      <c r="AH28" s="620">
        <f t="shared" si="25"/>
        <v>0</v>
      </c>
      <c r="AI28" s="620">
        <f t="shared" si="25"/>
        <v>0</v>
      </c>
      <c r="AJ28" s="109"/>
      <c r="AK28" s="469">
        <f>SUM(AL28:AV28)</f>
        <v>0</v>
      </c>
      <c r="AL28" s="108"/>
      <c r="AM28" s="620">
        <f t="shared" ref="AM28:AU28" si="26">AM24-AM27-AM26</f>
        <v>0</v>
      </c>
      <c r="AN28" s="620">
        <f t="shared" si="26"/>
        <v>0</v>
      </c>
      <c r="AO28" s="620">
        <f t="shared" si="26"/>
        <v>0</v>
      </c>
      <c r="AP28" s="620">
        <f t="shared" si="26"/>
        <v>0</v>
      </c>
      <c r="AQ28" s="620">
        <f t="shared" si="26"/>
        <v>0</v>
      </c>
      <c r="AR28" s="620">
        <f t="shared" si="26"/>
        <v>0</v>
      </c>
      <c r="AS28" s="620">
        <f t="shared" si="26"/>
        <v>0</v>
      </c>
      <c r="AT28" s="620">
        <f t="shared" si="26"/>
        <v>0</v>
      </c>
      <c r="AU28" s="620">
        <f t="shared" si="26"/>
        <v>0</v>
      </c>
      <c r="AV28" s="109"/>
      <c r="AW28" s="249">
        <f>SUM(AX28:BH28)</f>
        <v>0</v>
      </c>
      <c r="AX28" s="108"/>
      <c r="AY28" s="620">
        <f t="shared" ref="AY28:BG28" si="27">AY24-AY27-AY26</f>
        <v>0</v>
      </c>
      <c r="AZ28" s="620">
        <f t="shared" si="27"/>
        <v>0</v>
      </c>
      <c r="BA28" s="620">
        <f t="shared" si="27"/>
        <v>0</v>
      </c>
      <c r="BB28" s="620">
        <f t="shared" si="27"/>
        <v>0</v>
      </c>
      <c r="BC28" s="620">
        <f t="shared" si="27"/>
        <v>0</v>
      </c>
      <c r="BD28" s="620">
        <f t="shared" si="27"/>
        <v>0</v>
      </c>
      <c r="BE28" s="620">
        <f t="shared" si="27"/>
        <v>0</v>
      </c>
      <c r="BF28" s="620">
        <f t="shared" si="27"/>
        <v>0</v>
      </c>
      <c r="BG28" s="620">
        <f t="shared" si="27"/>
        <v>0</v>
      </c>
      <c r="BH28" s="214"/>
    </row>
    <row r="29" spans="1:60" x14ac:dyDescent="0.2">
      <c r="A29" s="648"/>
      <c r="B29" s="739" t="s">
        <v>120</v>
      </c>
      <c r="C29" s="656" t="s">
        <v>113</v>
      </c>
      <c r="D29" s="747"/>
      <c r="E29" s="220" t="s">
        <v>132</v>
      </c>
      <c r="F29" s="220"/>
      <c r="G29" s="220"/>
      <c r="H29" s="183" t="s">
        <v>64</v>
      </c>
      <c r="I29" s="107"/>
      <c r="J29" s="639"/>
      <c r="K29" s="816"/>
      <c r="L29" s="816"/>
      <c r="M29" s="639">
        <f>SUM(M26:M28)</f>
        <v>0</v>
      </c>
      <c r="N29" s="108"/>
      <c r="O29" s="620">
        <f>$M24</f>
        <v>0</v>
      </c>
      <c r="P29" s="620">
        <f t="shared" ref="P29:W29" si="28">$M24</f>
        <v>0</v>
      </c>
      <c r="Q29" s="620">
        <f t="shared" si="28"/>
        <v>0</v>
      </c>
      <c r="R29" s="620">
        <f t="shared" si="28"/>
        <v>0</v>
      </c>
      <c r="S29" s="620">
        <f t="shared" si="28"/>
        <v>0</v>
      </c>
      <c r="T29" s="620">
        <f t="shared" si="28"/>
        <v>0</v>
      </c>
      <c r="U29" s="620">
        <f t="shared" si="28"/>
        <v>0</v>
      </c>
      <c r="V29" s="620">
        <f t="shared" si="28"/>
        <v>0</v>
      </c>
      <c r="W29" s="620">
        <f t="shared" si="28"/>
        <v>0</v>
      </c>
      <c r="X29" s="109"/>
      <c r="Y29" s="639">
        <f>SUM(Y26:Y28)</f>
        <v>0</v>
      </c>
      <c r="Z29" s="108"/>
      <c r="AA29" s="620">
        <f>$Y24</f>
        <v>0</v>
      </c>
      <c r="AB29" s="620">
        <f t="shared" ref="AB29:AI29" si="29">$Y24</f>
        <v>0</v>
      </c>
      <c r="AC29" s="620">
        <f t="shared" si="29"/>
        <v>0</v>
      </c>
      <c r="AD29" s="620">
        <f t="shared" si="29"/>
        <v>0</v>
      </c>
      <c r="AE29" s="620">
        <f t="shared" si="29"/>
        <v>0</v>
      </c>
      <c r="AF29" s="620">
        <f t="shared" si="29"/>
        <v>0</v>
      </c>
      <c r="AG29" s="620">
        <f t="shared" si="29"/>
        <v>0</v>
      </c>
      <c r="AH29" s="620">
        <f t="shared" si="29"/>
        <v>0</v>
      </c>
      <c r="AI29" s="620">
        <f t="shared" si="29"/>
        <v>0</v>
      </c>
      <c r="AJ29" s="109"/>
      <c r="AK29" s="639">
        <f>SUM(AK26:AK28)</f>
        <v>0</v>
      </c>
      <c r="AL29" s="108"/>
      <c r="AM29" s="620">
        <f t="shared" ref="AM29:AU29" si="30">$AK24</f>
        <v>0</v>
      </c>
      <c r="AN29" s="620">
        <f t="shared" si="30"/>
        <v>0</v>
      </c>
      <c r="AO29" s="620">
        <f t="shared" si="30"/>
        <v>0</v>
      </c>
      <c r="AP29" s="620">
        <f t="shared" si="30"/>
        <v>0</v>
      </c>
      <c r="AQ29" s="620">
        <f t="shared" si="30"/>
        <v>0</v>
      </c>
      <c r="AR29" s="620">
        <f t="shared" si="30"/>
        <v>0</v>
      </c>
      <c r="AS29" s="620">
        <f t="shared" si="30"/>
        <v>0</v>
      </c>
      <c r="AT29" s="620">
        <f t="shared" si="30"/>
        <v>0</v>
      </c>
      <c r="AU29" s="620">
        <f t="shared" si="30"/>
        <v>0</v>
      </c>
      <c r="AV29" s="109"/>
      <c r="AW29" s="639"/>
      <c r="AX29" s="639">
        <f>SUM(AX26:AX28)</f>
        <v>0</v>
      </c>
      <c r="AY29" s="620">
        <f>$AW24</f>
        <v>0</v>
      </c>
      <c r="AZ29" s="620">
        <f t="shared" ref="AZ29:BG29" si="31">$AW24</f>
        <v>0</v>
      </c>
      <c r="BA29" s="620">
        <f t="shared" si="31"/>
        <v>0</v>
      </c>
      <c r="BB29" s="620">
        <f t="shared" si="31"/>
        <v>0</v>
      </c>
      <c r="BC29" s="620">
        <f t="shared" si="31"/>
        <v>0</v>
      </c>
      <c r="BD29" s="620">
        <f t="shared" si="31"/>
        <v>0</v>
      </c>
      <c r="BE29" s="620">
        <f t="shared" si="31"/>
        <v>0</v>
      </c>
      <c r="BF29" s="620">
        <f t="shared" si="31"/>
        <v>0</v>
      </c>
      <c r="BG29" s="620">
        <f t="shared" si="31"/>
        <v>0</v>
      </c>
      <c r="BH29" s="214"/>
    </row>
    <row r="30" spans="1:60" ht="18.75" x14ac:dyDescent="0.2">
      <c r="A30" s="648"/>
      <c r="B30" s="739" t="s">
        <v>120</v>
      </c>
      <c r="C30" s="739" t="s">
        <v>104</v>
      </c>
      <c r="D30" s="747"/>
      <c r="E30" s="236" t="s">
        <v>133</v>
      </c>
      <c r="F30" s="236"/>
      <c r="G30" s="236"/>
      <c r="H30" s="89"/>
      <c r="I30" s="236"/>
      <c r="J30" s="236"/>
      <c r="K30" s="236"/>
      <c r="L30" s="236"/>
      <c r="M30" s="236"/>
      <c r="N30" s="236"/>
      <c r="O30" s="236"/>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38"/>
    </row>
    <row r="31" spans="1:60" x14ac:dyDescent="0.2">
      <c r="A31" s="648"/>
      <c r="B31" s="739" t="s">
        <v>120</v>
      </c>
      <c r="C31" s="656" t="s">
        <v>113</v>
      </c>
      <c r="D31" s="747"/>
      <c r="E31" s="316" t="s">
        <v>80</v>
      </c>
      <c r="F31" s="220" t="s">
        <v>134</v>
      </c>
      <c r="G31" s="220"/>
      <c r="H31" s="221" t="s">
        <v>81</v>
      </c>
      <c r="I31" s="90"/>
      <c r="J31" s="227">
        <f>M31+Y31+AK31+AW31</f>
        <v>0</v>
      </c>
      <c r="K31" s="294"/>
      <c r="L31" s="294"/>
      <c r="M31" s="227">
        <f>SUMPRODUCT(N$24:X$24,N31:X31)</f>
        <v>0</v>
      </c>
      <c r="N31" s="100"/>
      <c r="O31" s="184">
        <f>IF(O$19="",0,'woningen|utiliteit'!L24)</f>
        <v>0</v>
      </c>
      <c r="P31" s="184">
        <f>IF(P$19="",0,'woningen|utiliteit'!M24)</f>
        <v>0</v>
      </c>
      <c r="Q31" s="184">
        <f>IF(Q$19="",0,'woningen|utiliteit'!N24)</f>
        <v>0</v>
      </c>
      <c r="R31" s="184">
        <f>IF(R$19="",0,'woningen|utiliteit'!O24)</f>
        <v>0</v>
      </c>
      <c r="S31" s="184">
        <f>IF(S$19="",0,'woningen|utiliteit'!P24)</f>
        <v>0</v>
      </c>
      <c r="T31" s="184">
        <f>IF(T$19="",0,'woningen|utiliteit'!Q24)</f>
        <v>0</v>
      </c>
      <c r="U31" s="184">
        <f>IF(U$19="",0,'woningen|utiliteit'!R24)</f>
        <v>0</v>
      </c>
      <c r="V31" s="184">
        <f>IF(V$19="",0,'woningen|utiliteit'!S24)</f>
        <v>0</v>
      </c>
      <c r="W31" s="184">
        <f>IF(W$19="",0,'woningen|utiliteit'!T24)</f>
        <v>0</v>
      </c>
      <c r="X31" s="110"/>
      <c r="Y31" s="227">
        <f>SUMPRODUCT(Z$24:AJ$24,Z31:AJ31)</f>
        <v>0</v>
      </c>
      <c r="Z31" s="100"/>
      <c r="AA31" s="184">
        <f>IF(AA$19="",0,'woningen|utiliteit'!L38)</f>
        <v>0</v>
      </c>
      <c r="AB31" s="184">
        <f>IF(AB$19="",0,'woningen|utiliteit'!M38)</f>
        <v>0</v>
      </c>
      <c r="AC31" s="184">
        <f>IF(AC$19="",0,'woningen|utiliteit'!N38)</f>
        <v>0</v>
      </c>
      <c r="AD31" s="184">
        <f>IF(AD$19="",0,'woningen|utiliteit'!O38)</f>
        <v>0</v>
      </c>
      <c r="AE31" s="184">
        <f>IF(AE$19="",0,'woningen|utiliteit'!P38)</f>
        <v>0</v>
      </c>
      <c r="AF31" s="184">
        <f>IF(AF$19="",0,'woningen|utiliteit'!Q38)</f>
        <v>0</v>
      </c>
      <c r="AG31" s="184">
        <f>IF(AG$19="",0,'woningen|utiliteit'!R38)</f>
        <v>0</v>
      </c>
      <c r="AH31" s="184">
        <f>IF(AH$19="",0,'woningen|utiliteit'!S38)</f>
        <v>0</v>
      </c>
      <c r="AI31" s="184">
        <f>IF(AI$19="",0,'woningen|utiliteit'!T38)</f>
        <v>0</v>
      </c>
      <c r="AJ31" s="110"/>
      <c r="AK31" s="227">
        <f>SUMPRODUCT(AL$24:AV$24,AL31:AV31)</f>
        <v>0</v>
      </c>
      <c r="AL31" s="100"/>
      <c r="AM31" s="184">
        <f>IF(AM$19="",0,'woningen|utiliteit'!L52)</f>
        <v>0</v>
      </c>
      <c r="AN31" s="184">
        <f>IF(AN$19="",0,'woningen|utiliteit'!M52)</f>
        <v>0</v>
      </c>
      <c r="AO31" s="184">
        <f>IF(AO$19="",0,'woningen|utiliteit'!N52)</f>
        <v>0</v>
      </c>
      <c r="AP31" s="184">
        <f>IF(AP$19="",0,'woningen|utiliteit'!O52)</f>
        <v>0</v>
      </c>
      <c r="AQ31" s="184">
        <f>IF(AQ$19="",0,'woningen|utiliteit'!P52)</f>
        <v>0</v>
      </c>
      <c r="AR31" s="184">
        <f>IF(AR$19="",0,'woningen|utiliteit'!Q52)</f>
        <v>0</v>
      </c>
      <c r="AS31" s="184">
        <f>IF(AS$19="",0,'woningen|utiliteit'!R52)</f>
        <v>0</v>
      </c>
      <c r="AT31" s="184">
        <f>IF(AT$19="",0,'woningen|utiliteit'!S52)</f>
        <v>0</v>
      </c>
      <c r="AU31" s="184">
        <f>IF(AU$19="",0,'woningen|utiliteit'!T52)</f>
        <v>0</v>
      </c>
      <c r="AV31" s="110"/>
      <c r="AW31" s="227">
        <f>SUMPRODUCT(AX$24:BH$24,AX31:BH31)</f>
        <v>0</v>
      </c>
      <c r="AX31" s="100"/>
      <c r="AY31" s="184">
        <f>IF(AY$19="",0,'woningen|utiliteit'!L66)</f>
        <v>0</v>
      </c>
      <c r="AZ31" s="184">
        <f>IF(AZ$19="",0,'woningen|utiliteit'!M66)</f>
        <v>0</v>
      </c>
      <c r="BA31" s="184">
        <f>IF(BA$19="",0,'woningen|utiliteit'!N66)</f>
        <v>0</v>
      </c>
      <c r="BB31" s="184">
        <f>IF(BB$19="",0,'woningen|utiliteit'!O66)</f>
        <v>0</v>
      </c>
      <c r="BC31" s="184">
        <f>IF(BC$19="",0,'woningen|utiliteit'!P66)</f>
        <v>0</v>
      </c>
      <c r="BD31" s="184">
        <f>IF(BD$19="",0,'woningen|utiliteit'!Q66)</f>
        <v>0</v>
      </c>
      <c r="BE31" s="184">
        <f>IF(BE$19="",0,'woningen|utiliteit'!R66)</f>
        <v>0</v>
      </c>
      <c r="BF31" s="184">
        <f>IF(BF$19="",0,'woningen|utiliteit'!S66)</f>
        <v>0</v>
      </c>
      <c r="BG31" s="184">
        <f>IF(BG$19="",0,'woningen|utiliteit'!T66)</f>
        <v>0</v>
      </c>
      <c r="BH31" s="214"/>
    </row>
    <row r="32" spans="1:60" x14ac:dyDescent="0.2">
      <c r="A32" s="653"/>
      <c r="B32" s="739" t="s">
        <v>120</v>
      </c>
      <c r="C32" s="656" t="s">
        <v>113</v>
      </c>
      <c r="D32" s="747"/>
      <c r="E32" s="687"/>
      <c r="F32" s="220" t="s">
        <v>135</v>
      </c>
      <c r="G32" s="220"/>
      <c r="H32" s="221" t="s">
        <v>136</v>
      </c>
      <c r="I32" s="111"/>
      <c r="J32" s="227"/>
      <c r="K32" s="817"/>
      <c r="L32" s="817"/>
      <c r="M32" s="717"/>
      <c r="N32" s="718"/>
      <c r="O32" s="637">
        <f>O24*O31</f>
        <v>0</v>
      </c>
      <c r="P32" s="637">
        <f t="shared" ref="P32:W32" si="32">P24*P31</f>
        <v>0</v>
      </c>
      <c r="Q32" s="637">
        <f t="shared" si="32"/>
        <v>0</v>
      </c>
      <c r="R32" s="637">
        <f t="shared" si="32"/>
        <v>0</v>
      </c>
      <c r="S32" s="637">
        <f t="shared" si="32"/>
        <v>0</v>
      </c>
      <c r="T32" s="637">
        <f>T24*T31</f>
        <v>0</v>
      </c>
      <c r="U32" s="637">
        <f t="shared" si="32"/>
        <v>0</v>
      </c>
      <c r="V32" s="637">
        <f t="shared" si="32"/>
        <v>0</v>
      </c>
      <c r="W32" s="637">
        <f t="shared" si="32"/>
        <v>0</v>
      </c>
      <c r="X32" s="113"/>
      <c r="Y32" s="717"/>
      <c r="Z32" s="718"/>
      <c r="AA32" s="637">
        <f t="shared" ref="AA32:AI32" si="33">AA24*AA31</f>
        <v>0</v>
      </c>
      <c r="AB32" s="637">
        <f t="shared" si="33"/>
        <v>0</v>
      </c>
      <c r="AC32" s="637">
        <f t="shared" si="33"/>
        <v>0</v>
      </c>
      <c r="AD32" s="637">
        <f t="shared" si="33"/>
        <v>0</v>
      </c>
      <c r="AE32" s="637">
        <f t="shared" si="33"/>
        <v>0</v>
      </c>
      <c r="AF32" s="637">
        <f t="shared" si="33"/>
        <v>0</v>
      </c>
      <c r="AG32" s="637">
        <f t="shared" si="33"/>
        <v>0</v>
      </c>
      <c r="AH32" s="637">
        <f t="shared" si="33"/>
        <v>0</v>
      </c>
      <c r="AI32" s="637">
        <f t="shared" si="33"/>
        <v>0</v>
      </c>
      <c r="AJ32" s="113"/>
      <c r="AK32" s="717"/>
      <c r="AL32" s="718"/>
      <c r="AM32" s="637">
        <f t="shared" ref="AM32:AU32" si="34">AM24*AM31</f>
        <v>0</v>
      </c>
      <c r="AN32" s="637">
        <f t="shared" si="34"/>
        <v>0</v>
      </c>
      <c r="AO32" s="637">
        <f t="shared" si="34"/>
        <v>0</v>
      </c>
      <c r="AP32" s="637">
        <f t="shared" si="34"/>
        <v>0</v>
      </c>
      <c r="AQ32" s="637">
        <f t="shared" si="34"/>
        <v>0</v>
      </c>
      <c r="AR32" s="637">
        <f t="shared" si="34"/>
        <v>0</v>
      </c>
      <c r="AS32" s="637">
        <f t="shared" si="34"/>
        <v>0</v>
      </c>
      <c r="AT32" s="637">
        <f t="shared" si="34"/>
        <v>0</v>
      </c>
      <c r="AU32" s="637">
        <f t="shared" si="34"/>
        <v>0</v>
      </c>
      <c r="AV32" s="113"/>
      <c r="AW32" s="717"/>
      <c r="AX32" s="718"/>
      <c r="AY32" s="637">
        <f t="shared" ref="AY32:BG32" si="35">AY24*AY31</f>
        <v>0</v>
      </c>
      <c r="AZ32" s="637">
        <f t="shared" si="35"/>
        <v>0</v>
      </c>
      <c r="BA32" s="637">
        <f t="shared" si="35"/>
        <v>0</v>
      </c>
      <c r="BB32" s="637">
        <f t="shared" si="35"/>
        <v>0</v>
      </c>
      <c r="BC32" s="637">
        <f t="shared" si="35"/>
        <v>0</v>
      </c>
      <c r="BD32" s="637">
        <f t="shared" si="35"/>
        <v>0</v>
      </c>
      <c r="BE32" s="637">
        <f t="shared" si="35"/>
        <v>0</v>
      </c>
      <c r="BF32" s="637">
        <f t="shared" si="35"/>
        <v>0</v>
      </c>
      <c r="BG32" s="637">
        <f t="shared" si="35"/>
        <v>0</v>
      </c>
      <c r="BH32" s="214"/>
    </row>
    <row r="33" spans="1:60" x14ac:dyDescent="0.2">
      <c r="A33" s="653"/>
      <c r="B33" s="739" t="s">
        <v>120</v>
      </c>
      <c r="C33" s="656" t="s">
        <v>113</v>
      </c>
      <c r="D33" s="747"/>
      <c r="E33" s="317"/>
      <c r="F33" s="220" t="s">
        <v>137</v>
      </c>
      <c r="G33" s="220"/>
      <c r="H33" s="221" t="s">
        <v>136</v>
      </c>
      <c r="I33" s="111"/>
      <c r="J33" s="227"/>
      <c r="K33" s="817"/>
      <c r="L33" s="817"/>
      <c r="M33" s="227"/>
      <c r="N33" s="112"/>
      <c r="O33" s="453">
        <f>SUMPRODUCT($N24:$X24,$N31:$X31)</f>
        <v>0</v>
      </c>
      <c r="P33" s="453">
        <f t="shared" ref="P33:W33" si="36">SUMPRODUCT($N24:$X24,$N31:$X31)</f>
        <v>0</v>
      </c>
      <c r="Q33" s="453">
        <f t="shared" si="36"/>
        <v>0</v>
      </c>
      <c r="R33" s="453">
        <f t="shared" si="36"/>
        <v>0</v>
      </c>
      <c r="S33" s="453">
        <f t="shared" si="36"/>
        <v>0</v>
      </c>
      <c r="T33" s="453">
        <f t="shared" si="36"/>
        <v>0</v>
      </c>
      <c r="U33" s="453">
        <f t="shared" si="36"/>
        <v>0</v>
      </c>
      <c r="V33" s="453">
        <f t="shared" si="36"/>
        <v>0</v>
      </c>
      <c r="W33" s="453">
        <f t="shared" si="36"/>
        <v>0</v>
      </c>
      <c r="X33" s="113"/>
      <c r="Y33" s="227"/>
      <c r="Z33" s="112"/>
      <c r="AA33" s="453">
        <f t="shared" ref="AA33:AI33" si="37">SUMPRODUCT($Z$24:$AJ$24,$Z$31:$AJ$31)</f>
        <v>0</v>
      </c>
      <c r="AB33" s="453">
        <f t="shared" si="37"/>
        <v>0</v>
      </c>
      <c r="AC33" s="453">
        <f t="shared" si="37"/>
        <v>0</v>
      </c>
      <c r="AD33" s="453">
        <f t="shared" si="37"/>
        <v>0</v>
      </c>
      <c r="AE33" s="453">
        <f t="shared" si="37"/>
        <v>0</v>
      </c>
      <c r="AF33" s="453">
        <f t="shared" si="37"/>
        <v>0</v>
      </c>
      <c r="AG33" s="453">
        <f t="shared" si="37"/>
        <v>0</v>
      </c>
      <c r="AH33" s="453">
        <f t="shared" si="37"/>
        <v>0</v>
      </c>
      <c r="AI33" s="453">
        <f t="shared" si="37"/>
        <v>0</v>
      </c>
      <c r="AJ33" s="113"/>
      <c r="AK33" s="227"/>
      <c r="AL33" s="112"/>
      <c r="AM33" s="453">
        <f>SUMPRODUCT($AL$24:$AV$24,$AL$31:$AV$31)</f>
        <v>0</v>
      </c>
      <c r="AN33" s="453">
        <f t="shared" ref="AN33:AU33" si="38">SUMPRODUCT($AL$24:$AV$24,$AL$31:$AV$31)</f>
        <v>0</v>
      </c>
      <c r="AO33" s="453">
        <f t="shared" si="38"/>
        <v>0</v>
      </c>
      <c r="AP33" s="453">
        <f t="shared" si="38"/>
        <v>0</v>
      </c>
      <c r="AQ33" s="453">
        <f t="shared" si="38"/>
        <v>0</v>
      </c>
      <c r="AR33" s="453">
        <f t="shared" si="38"/>
        <v>0</v>
      </c>
      <c r="AS33" s="453">
        <f t="shared" si="38"/>
        <v>0</v>
      </c>
      <c r="AT33" s="453">
        <f t="shared" si="38"/>
        <v>0</v>
      </c>
      <c r="AU33" s="453">
        <f t="shared" si="38"/>
        <v>0</v>
      </c>
      <c r="AV33" s="113"/>
      <c r="AW33" s="227"/>
      <c r="AX33" s="112"/>
      <c r="AY33" s="453">
        <f>SUMPRODUCT($AX$24:$BH$24,$AX$31:$BH$31)</f>
        <v>0</v>
      </c>
      <c r="AZ33" s="453">
        <f t="shared" ref="AZ33:BG33" si="39">SUMPRODUCT($AX$24:$BH$24,$AX$31:$BH$31)</f>
        <v>0</v>
      </c>
      <c r="BA33" s="453">
        <f t="shared" si="39"/>
        <v>0</v>
      </c>
      <c r="BB33" s="453">
        <f t="shared" si="39"/>
        <v>0</v>
      </c>
      <c r="BC33" s="453">
        <f t="shared" si="39"/>
        <v>0</v>
      </c>
      <c r="BD33" s="453">
        <f t="shared" si="39"/>
        <v>0</v>
      </c>
      <c r="BE33" s="453">
        <f t="shared" si="39"/>
        <v>0</v>
      </c>
      <c r="BF33" s="453">
        <f t="shared" si="39"/>
        <v>0</v>
      </c>
      <c r="BG33" s="453">
        <f t="shared" si="39"/>
        <v>0</v>
      </c>
      <c r="BH33" s="214"/>
    </row>
    <row r="34" spans="1:60" x14ac:dyDescent="0.2">
      <c r="A34" s="653"/>
      <c r="B34" s="739" t="s">
        <v>120</v>
      </c>
      <c r="C34" s="656" t="s">
        <v>113</v>
      </c>
      <c r="D34" s="747"/>
      <c r="E34" s="220" t="s">
        <v>138</v>
      </c>
      <c r="F34" s="220"/>
      <c r="G34" s="220"/>
      <c r="H34" s="221" t="s">
        <v>139</v>
      </c>
      <c r="I34" s="90"/>
      <c r="J34" s="227"/>
      <c r="K34" s="294"/>
      <c r="L34" s="294"/>
      <c r="M34" s="227"/>
      <c r="N34" s="100"/>
      <c r="O34" s="184" t="str">
        <f>IF(O$19="","",HLOOKUP(O$19,woningen_gebouwen_gegevens,ROWS(bibliotheek!$E$13:$E$26),FALSE))</f>
        <v/>
      </c>
      <c r="P34" s="184" t="str">
        <f>IF(P$19="","",HLOOKUP(P$19,woningen_gebouwen_gegevens,ROWS(bibliotheek!$E$13:$E$26),FALSE))</f>
        <v/>
      </c>
      <c r="Q34" s="184" t="str">
        <f>IF(Q$19="","",HLOOKUP(Q$19,woningen_gebouwen_gegevens,ROWS(bibliotheek!$E$13:$E$26),FALSE))</f>
        <v/>
      </c>
      <c r="R34" s="184" t="str">
        <f>IF(R$19="","",HLOOKUP(R$19,woningen_gebouwen_gegevens,ROWS(bibliotheek!$E$13:$E$26),FALSE))</f>
        <v/>
      </c>
      <c r="S34" s="184" t="str">
        <f>IF(S$19="","",HLOOKUP(S$19,woningen_gebouwen_gegevens,ROWS(bibliotheek!$E$13:$E$26),FALSE))</f>
        <v/>
      </c>
      <c r="T34" s="184" t="str">
        <f>IF(T$19="","",HLOOKUP(T$19,woningen_gebouwen_gegevens,ROWS(bibliotheek!$E$13:$E$26),FALSE))</f>
        <v/>
      </c>
      <c r="U34" s="184" t="str">
        <f>IF(U$19="","",HLOOKUP(U$19,woningen_gebouwen_gegevens,ROWS(bibliotheek!$E$13:$E$26),FALSE))</f>
        <v/>
      </c>
      <c r="V34" s="184" t="str">
        <f>IF(V$19="","",HLOOKUP(V$19,woningen_gebouwen_gegevens,ROWS(bibliotheek!$E$13:$E$26),FALSE))</f>
        <v/>
      </c>
      <c r="W34" s="184" t="str">
        <f>IF(W$19="","",HLOOKUP(W$19,woningen_gebouwen_gegevens,ROWS(bibliotheek!$E$13:$E$26),FALSE))</f>
        <v/>
      </c>
      <c r="X34" s="110"/>
      <c r="Y34" s="227"/>
      <c r="Z34" s="100"/>
      <c r="AA34" s="184" t="str">
        <f>IF(AA$19="","",HLOOKUP(AA$19,woningen_gebouwen_gegevens,ROWS(bibliotheek!$E$13:$E$26),FALSE))</f>
        <v/>
      </c>
      <c r="AB34" s="184" t="str">
        <f>IF(AB$19="","",HLOOKUP(AB$19,woningen_gebouwen_gegevens,ROWS(bibliotheek!$E$13:$E$26),FALSE))</f>
        <v/>
      </c>
      <c r="AC34" s="184" t="str">
        <f>IF(AC$19="","",HLOOKUP(AC$19,woningen_gebouwen_gegevens,ROWS(bibliotheek!$E$13:$E$26),FALSE))</f>
        <v/>
      </c>
      <c r="AD34" s="184" t="str">
        <f>IF(AD$19="","",HLOOKUP(AD$19,woningen_gebouwen_gegevens,ROWS(bibliotheek!$E$13:$E$26),FALSE))</f>
        <v/>
      </c>
      <c r="AE34" s="184" t="str">
        <f>IF(AE$19="","",HLOOKUP(AE$19,woningen_gebouwen_gegevens,ROWS(bibliotheek!$E$13:$E$26),FALSE))</f>
        <v/>
      </c>
      <c r="AF34" s="184" t="str">
        <f>IF(AF$19="","",HLOOKUP(AF$19,woningen_gebouwen_gegevens,ROWS(bibliotheek!$E$13:$E$26),FALSE))</f>
        <v/>
      </c>
      <c r="AG34" s="184" t="str">
        <f>IF(AG$19="","",HLOOKUP(AG$19,woningen_gebouwen_gegevens,ROWS(bibliotheek!$E$13:$E$26),FALSE))</f>
        <v/>
      </c>
      <c r="AH34" s="184" t="str">
        <f>IF(AH$19="","",HLOOKUP(AH$19,woningen_gebouwen_gegevens,ROWS(bibliotheek!$E$13:$E$26),FALSE))</f>
        <v/>
      </c>
      <c r="AI34" s="184" t="str">
        <f>IF(AI$19="","",HLOOKUP(AI$19,woningen_gebouwen_gegevens,ROWS(bibliotheek!$E$13:$E$26),FALSE))</f>
        <v/>
      </c>
      <c r="AJ34" s="110"/>
      <c r="AK34" s="227"/>
      <c r="AL34" s="100"/>
      <c r="AM34" s="184" t="str">
        <f>IF(AM$19="","",HLOOKUP(AM$19,woningen_gebouwen_gegevens,ROWS(bibliotheek!$E$13:$E$26),FALSE))</f>
        <v/>
      </c>
      <c r="AN34" s="184" t="str">
        <f>IF(AN$19="","",HLOOKUP(AN$19,woningen_gebouwen_gegevens,ROWS(bibliotheek!$E$13:$E$26),FALSE))</f>
        <v/>
      </c>
      <c r="AO34" s="184" t="str">
        <f>IF(AO$19="","",HLOOKUP(AO$19,woningen_gebouwen_gegevens,ROWS(bibliotheek!$E$13:$E$26),FALSE))</f>
        <v/>
      </c>
      <c r="AP34" s="184" t="str">
        <f>IF(AP$19="","",HLOOKUP(AP$19,woningen_gebouwen_gegevens,ROWS(bibliotheek!$E$13:$E$26),FALSE))</f>
        <v/>
      </c>
      <c r="AQ34" s="184" t="str">
        <f>IF(AQ$19="","",HLOOKUP(AQ$19,woningen_gebouwen_gegevens,ROWS(bibliotheek!$E$13:$E$26),FALSE))</f>
        <v/>
      </c>
      <c r="AR34" s="184" t="str">
        <f>IF(AR$19="","",HLOOKUP(AR$19,woningen_gebouwen_gegevens,ROWS(bibliotheek!$E$13:$E$26),FALSE))</f>
        <v/>
      </c>
      <c r="AS34" s="184" t="str">
        <f>IF(AS$19="","",HLOOKUP(AS$19,woningen_gebouwen_gegevens,ROWS(bibliotheek!$E$13:$E$26),FALSE))</f>
        <v/>
      </c>
      <c r="AT34" s="184" t="str">
        <f>IF(AT$19="","",HLOOKUP(AT$19,woningen_gebouwen_gegevens,ROWS(bibliotheek!$E$13:$E$26),FALSE))</f>
        <v/>
      </c>
      <c r="AU34" s="184" t="str">
        <f>IF(AU$19="","",HLOOKUP(AU$19,woningen_gebouwen_gegevens,ROWS(bibliotheek!$E$13:$E$26),FALSE))</f>
        <v/>
      </c>
      <c r="AV34" s="110"/>
      <c r="AW34" s="227"/>
      <c r="AX34" s="100"/>
      <c r="AY34" s="184" t="str">
        <f>IF(AY$19="","",HLOOKUP(AY$19,woningen_gebouwen_gegevens,ROWS(bibliotheek!$E$13:$E$26),FALSE))</f>
        <v/>
      </c>
      <c r="AZ34" s="184" t="str">
        <f>IF(AZ$19="","",HLOOKUP(AZ$19,woningen_gebouwen_gegevens,ROWS(bibliotheek!$E$13:$E$26),FALSE))</f>
        <v/>
      </c>
      <c r="BA34" s="184" t="str">
        <f>IF(BA$19="","",HLOOKUP(BA$19,woningen_gebouwen_gegevens,ROWS(bibliotheek!$E$13:$E$26),FALSE))</f>
        <v/>
      </c>
      <c r="BB34" s="184" t="str">
        <f>IF(BB$19="","",HLOOKUP(BB$19,woningen_gebouwen_gegevens,ROWS(bibliotheek!$E$13:$E$26),FALSE))</f>
        <v/>
      </c>
      <c r="BC34" s="184" t="str">
        <f>IF(BC$19="","",HLOOKUP(BC$19,woningen_gebouwen_gegevens,ROWS(bibliotheek!$E$13:$E$26),FALSE))</f>
        <v/>
      </c>
      <c r="BD34" s="184" t="str">
        <f>IF(BD$19="","",HLOOKUP(BD$19,woningen_gebouwen_gegevens,ROWS(bibliotheek!$E$13:$E$26),FALSE))</f>
        <v/>
      </c>
      <c r="BE34" s="184" t="str">
        <f>IF(BE$19="","",HLOOKUP(BE$19,woningen_gebouwen_gegevens,ROWS(bibliotheek!$E$13:$E$26),FALSE))</f>
        <v/>
      </c>
      <c r="BF34" s="184" t="str">
        <f>IF(BF$19="","",HLOOKUP(BF$19,woningen_gebouwen_gegevens,ROWS(bibliotheek!$E$13:$E$26),FALSE))</f>
        <v/>
      </c>
      <c r="BG34" s="184" t="str">
        <f>IF(BG$19="","",HLOOKUP(BG$19,woningen_gebouwen_gegevens,ROWS(bibliotheek!$E$13:$E$26),FALSE))</f>
        <v/>
      </c>
      <c r="BH34" s="214"/>
    </row>
    <row r="35" spans="1:60" x14ac:dyDescent="0.2">
      <c r="A35" s="653"/>
      <c r="B35" s="739" t="s">
        <v>120</v>
      </c>
      <c r="C35" s="656" t="s">
        <v>113</v>
      </c>
      <c r="D35" s="747"/>
      <c r="E35" s="220" t="s">
        <v>140</v>
      </c>
      <c r="F35" s="220"/>
      <c r="G35" s="220"/>
      <c r="H35" s="221" t="s">
        <v>139</v>
      </c>
      <c r="I35" s="90"/>
      <c r="J35" s="227"/>
      <c r="K35" s="294"/>
      <c r="L35" s="294"/>
      <c r="M35" s="227"/>
      <c r="N35" s="100"/>
      <c r="O35" s="184" t="str">
        <f>IF(O$19="","",HLOOKUP(O$19,woningen_gebouwen_gegevens,ROWS(bibliotheek!$E$13:$E$27),FALSE))</f>
        <v/>
      </c>
      <c r="P35" s="184" t="str">
        <f>IF(P$19="","",HLOOKUP(P$19,woningen_gebouwen_gegevens,ROWS(bibliotheek!$E$13:$E$27),FALSE))</f>
        <v/>
      </c>
      <c r="Q35" s="184" t="str">
        <f>IF(Q$19="","",HLOOKUP(Q$19,woningen_gebouwen_gegevens,ROWS(bibliotheek!$E$13:$E$27),FALSE))</f>
        <v/>
      </c>
      <c r="R35" s="184" t="str">
        <f>IF(R$19="","",HLOOKUP(R$19,woningen_gebouwen_gegevens,ROWS(bibliotheek!$E$13:$E$27),FALSE))</f>
        <v/>
      </c>
      <c r="S35" s="184" t="str">
        <f>IF(S$19="","",HLOOKUP(S$19,woningen_gebouwen_gegevens,ROWS(bibliotheek!$E$13:$E$27),FALSE))</f>
        <v/>
      </c>
      <c r="T35" s="184" t="str">
        <f>IF(T$19="","",HLOOKUP(T$19,woningen_gebouwen_gegevens,ROWS(bibliotheek!$E$13:$E$27),FALSE))</f>
        <v/>
      </c>
      <c r="U35" s="184" t="str">
        <f>IF(U$19="","",HLOOKUP(U$19,woningen_gebouwen_gegevens,ROWS(bibliotheek!$E$13:$E$27),FALSE))</f>
        <v/>
      </c>
      <c r="V35" s="184" t="str">
        <f>IF(V$19="","",HLOOKUP(V$19,woningen_gebouwen_gegevens,ROWS(bibliotheek!$E$13:$E$27),FALSE))</f>
        <v/>
      </c>
      <c r="W35" s="184" t="str">
        <f>IF(W$19="","",HLOOKUP(W$19,woningen_gebouwen_gegevens,ROWS(bibliotheek!$E$13:$E$27),FALSE))</f>
        <v/>
      </c>
      <c r="X35" s="110"/>
      <c r="Y35" s="227"/>
      <c r="Z35" s="100"/>
      <c r="AA35" s="184" t="str">
        <f>IF(AA$19="","",HLOOKUP(AA$19,woningen_gebouwen_gegevens,ROWS(bibliotheek!$E$13:$E$27),FALSE))</f>
        <v/>
      </c>
      <c r="AB35" s="184" t="str">
        <f>IF(AB$19="","",HLOOKUP(AB$19,woningen_gebouwen_gegevens,ROWS(bibliotheek!$E$13:$E$27),FALSE))</f>
        <v/>
      </c>
      <c r="AC35" s="184" t="str">
        <f>IF(AC$19="","",HLOOKUP(AC$19,woningen_gebouwen_gegevens,ROWS(bibliotheek!$E$13:$E$27),FALSE))</f>
        <v/>
      </c>
      <c r="AD35" s="184" t="str">
        <f>IF(AD$19="","",HLOOKUP(AD$19,woningen_gebouwen_gegevens,ROWS(bibliotheek!$E$13:$E$27),FALSE))</f>
        <v/>
      </c>
      <c r="AE35" s="184" t="str">
        <f>IF(AE$19="","",HLOOKUP(AE$19,woningen_gebouwen_gegevens,ROWS(bibliotheek!$E$13:$E$27),FALSE))</f>
        <v/>
      </c>
      <c r="AF35" s="184" t="str">
        <f>IF(AF$19="","",HLOOKUP(AF$19,woningen_gebouwen_gegevens,ROWS(bibliotheek!$E$13:$E$27),FALSE))</f>
        <v/>
      </c>
      <c r="AG35" s="184" t="str">
        <f>IF(AG$19="","",HLOOKUP(AG$19,woningen_gebouwen_gegevens,ROWS(bibliotheek!$E$13:$E$27),FALSE))</f>
        <v/>
      </c>
      <c r="AH35" s="184" t="str">
        <f>IF(AH$19="","",HLOOKUP(AH$19,woningen_gebouwen_gegevens,ROWS(bibliotheek!$E$13:$E$27),FALSE))</f>
        <v/>
      </c>
      <c r="AI35" s="184" t="str">
        <f>IF(AI$19="","",HLOOKUP(AI$19,woningen_gebouwen_gegevens,ROWS(bibliotheek!$E$13:$E$27),FALSE))</f>
        <v/>
      </c>
      <c r="AJ35" s="110"/>
      <c r="AK35" s="227"/>
      <c r="AL35" s="100"/>
      <c r="AM35" s="184" t="str">
        <f>IF(AM$19="","",HLOOKUP(AM$19,woningen_gebouwen_gegevens,ROWS(bibliotheek!$E$13:$E$27),FALSE))</f>
        <v/>
      </c>
      <c r="AN35" s="184" t="str">
        <f>IF(AN$19="","",HLOOKUP(AN$19,woningen_gebouwen_gegevens,ROWS(bibliotheek!$E$13:$E$27),FALSE))</f>
        <v/>
      </c>
      <c r="AO35" s="184" t="str">
        <f>IF(AO$19="","",HLOOKUP(AO$19,woningen_gebouwen_gegevens,ROWS(bibliotheek!$E$13:$E$27),FALSE))</f>
        <v/>
      </c>
      <c r="AP35" s="184" t="str">
        <f>IF(AP$19="","",HLOOKUP(AP$19,woningen_gebouwen_gegevens,ROWS(bibliotheek!$E$13:$E$27),FALSE))</f>
        <v/>
      </c>
      <c r="AQ35" s="184" t="str">
        <f>IF(AQ$19="","",HLOOKUP(AQ$19,woningen_gebouwen_gegevens,ROWS(bibliotheek!$E$13:$E$27),FALSE))</f>
        <v/>
      </c>
      <c r="AR35" s="184" t="str">
        <f>IF(AR$19="","",HLOOKUP(AR$19,woningen_gebouwen_gegevens,ROWS(bibliotheek!$E$13:$E$27),FALSE))</f>
        <v/>
      </c>
      <c r="AS35" s="184" t="str">
        <f>IF(AS$19="","",HLOOKUP(AS$19,woningen_gebouwen_gegevens,ROWS(bibliotheek!$E$13:$E$27),FALSE))</f>
        <v/>
      </c>
      <c r="AT35" s="184" t="str">
        <f>IF(AT$19="","",HLOOKUP(AT$19,woningen_gebouwen_gegevens,ROWS(bibliotheek!$E$13:$E$27),FALSE))</f>
        <v/>
      </c>
      <c r="AU35" s="184" t="str">
        <f>IF(AU$19="","",HLOOKUP(AU$19,woningen_gebouwen_gegevens,ROWS(bibliotheek!$E$13:$E$27),FALSE))</f>
        <v/>
      </c>
      <c r="AV35" s="110"/>
      <c r="AW35" s="227"/>
      <c r="AX35" s="100"/>
      <c r="AY35" s="184" t="str">
        <f>IF(AY$19="","",HLOOKUP(AY$19,woningen_gebouwen_gegevens,ROWS(bibliotheek!$E$13:$E$27),FALSE))</f>
        <v/>
      </c>
      <c r="AZ35" s="184" t="str">
        <f>IF(AZ$19="","",HLOOKUP(AZ$19,woningen_gebouwen_gegevens,ROWS(bibliotheek!$E$13:$E$27),FALSE))</f>
        <v/>
      </c>
      <c r="BA35" s="184" t="str">
        <f>IF(BA$19="","",HLOOKUP(BA$19,woningen_gebouwen_gegevens,ROWS(bibliotheek!$E$13:$E$27),FALSE))</f>
        <v/>
      </c>
      <c r="BB35" s="184" t="str">
        <f>IF(BB$19="","",HLOOKUP(BB$19,woningen_gebouwen_gegevens,ROWS(bibliotheek!$E$13:$E$27),FALSE))</f>
        <v/>
      </c>
      <c r="BC35" s="184" t="str">
        <f>IF(BC$19="","",HLOOKUP(BC$19,woningen_gebouwen_gegevens,ROWS(bibliotheek!$E$13:$E$27),FALSE))</f>
        <v/>
      </c>
      <c r="BD35" s="184" t="str">
        <f>IF(BD$19="","",HLOOKUP(BD$19,woningen_gebouwen_gegevens,ROWS(bibliotheek!$E$13:$E$27),FALSE))</f>
        <v/>
      </c>
      <c r="BE35" s="184" t="str">
        <f>IF(BE$19="","",HLOOKUP(BE$19,woningen_gebouwen_gegevens,ROWS(bibliotheek!$E$13:$E$27),FALSE))</f>
        <v/>
      </c>
      <c r="BF35" s="184" t="str">
        <f>IF(BF$19="","",HLOOKUP(BF$19,woningen_gebouwen_gegevens,ROWS(bibliotheek!$E$13:$E$27),FALSE))</f>
        <v/>
      </c>
      <c r="BG35" s="184" t="str">
        <f>IF(BG$19="","",HLOOKUP(BG$19,woningen_gebouwen_gegevens,ROWS(bibliotheek!$E$13:$E$27),FALSE))</f>
        <v/>
      </c>
      <c r="BH35" s="214"/>
    </row>
    <row r="36" spans="1:60" x14ac:dyDescent="0.2">
      <c r="A36" s="653"/>
      <c r="B36" s="739" t="s">
        <v>120</v>
      </c>
      <c r="C36" s="656" t="s">
        <v>113</v>
      </c>
      <c r="D36" s="747"/>
      <c r="E36" s="90"/>
      <c r="F36" s="90"/>
      <c r="G36" s="90"/>
      <c r="H36" s="96"/>
      <c r="I36" s="90"/>
      <c r="J36" s="93"/>
      <c r="K36" s="90"/>
      <c r="L36" s="90"/>
      <c r="M36" s="93"/>
      <c r="N36" s="93"/>
      <c r="O36" s="93"/>
      <c r="P36" s="93"/>
      <c r="Q36" s="93"/>
      <c r="R36" s="93"/>
      <c r="S36" s="93"/>
      <c r="T36" s="93"/>
      <c r="U36" s="93"/>
      <c r="V36" s="93"/>
      <c r="W36" s="93"/>
      <c r="X36" s="93"/>
      <c r="Y36" s="93"/>
      <c r="Z36" s="90"/>
      <c r="AA36" s="93"/>
      <c r="AB36" s="93"/>
      <c r="AC36" s="93"/>
      <c r="AD36" s="93"/>
      <c r="AE36" s="93"/>
      <c r="AF36" s="93"/>
      <c r="AG36" s="93"/>
      <c r="AH36" s="93"/>
      <c r="AI36" s="93"/>
      <c r="AJ36" s="93"/>
      <c r="AK36" s="93"/>
      <c r="AL36" s="90"/>
      <c r="AM36" s="93"/>
      <c r="AN36" s="93"/>
      <c r="AO36" s="93"/>
      <c r="AP36" s="93"/>
      <c r="AQ36" s="93"/>
      <c r="AR36" s="93"/>
      <c r="AS36" s="93"/>
      <c r="AT36" s="93"/>
      <c r="AU36" s="93"/>
      <c r="AV36" s="93"/>
      <c r="AW36" s="93"/>
      <c r="AX36" s="90"/>
      <c r="AY36" s="93"/>
      <c r="AZ36" s="93"/>
      <c r="BA36" s="93"/>
      <c r="BB36" s="93"/>
      <c r="BC36" s="93"/>
      <c r="BD36" s="93"/>
      <c r="BE36" s="93"/>
      <c r="BF36" s="93"/>
      <c r="BG36" s="93"/>
      <c r="BH36" s="1"/>
    </row>
    <row r="37" spans="1:60" x14ac:dyDescent="0.2">
      <c r="A37" s="653"/>
      <c r="B37" s="492" t="s">
        <v>141</v>
      </c>
      <c r="C37" s="656" t="s">
        <v>104</v>
      </c>
      <c r="D37" s="747"/>
      <c r="E37" s="90"/>
      <c r="F37" s="90"/>
      <c r="G37" s="90"/>
      <c r="H37" s="96"/>
      <c r="I37" s="90"/>
      <c r="J37" s="93"/>
      <c r="K37" s="90"/>
      <c r="L37" s="90"/>
      <c r="M37" s="93"/>
      <c r="N37" s="93"/>
      <c r="O37" s="93"/>
      <c r="P37" s="93"/>
      <c r="Q37" s="93"/>
      <c r="R37" s="93"/>
      <c r="S37" s="93"/>
      <c r="T37" s="93"/>
      <c r="U37" s="93"/>
      <c r="V37" s="93"/>
      <c r="W37" s="93"/>
      <c r="X37" s="93"/>
      <c r="Y37" s="93"/>
      <c r="Z37" s="90"/>
      <c r="AA37" s="93"/>
      <c r="AB37" s="93"/>
      <c r="AC37" s="93"/>
      <c r="AD37" s="93"/>
      <c r="AE37" s="93"/>
      <c r="AF37" s="93"/>
      <c r="AG37" s="93"/>
      <c r="AH37" s="93"/>
      <c r="AI37" s="93"/>
      <c r="AJ37" s="93"/>
      <c r="AK37" s="93"/>
      <c r="AL37" s="90"/>
      <c r="AM37" s="93"/>
      <c r="AN37" s="93"/>
      <c r="AO37" s="93"/>
      <c r="AP37" s="93"/>
      <c r="AQ37" s="93"/>
      <c r="AR37" s="93"/>
      <c r="AS37" s="93"/>
      <c r="AT37" s="93"/>
      <c r="AU37" s="93"/>
      <c r="AV37" s="93"/>
      <c r="AW37" s="93"/>
      <c r="AX37" s="90"/>
      <c r="AY37" s="93"/>
      <c r="AZ37" s="93"/>
      <c r="BA37" s="93"/>
      <c r="BB37" s="93"/>
      <c r="BC37" s="93"/>
      <c r="BD37" s="93"/>
      <c r="BE37" s="93"/>
      <c r="BF37" s="93"/>
      <c r="BG37" s="93"/>
      <c r="BH37" s="1"/>
    </row>
    <row r="38" spans="1:60" s="2" customFormat="1" ht="21" x14ac:dyDescent="0.2">
      <c r="A38" s="654"/>
      <c r="B38" s="492" t="s">
        <v>141</v>
      </c>
      <c r="C38" s="739" t="s">
        <v>104</v>
      </c>
      <c r="D38" s="749"/>
      <c r="E38" s="253" t="s">
        <v>142</v>
      </c>
      <c r="F38" s="253"/>
      <c r="G38" s="253"/>
      <c r="H38" s="253"/>
      <c r="I38" s="146"/>
      <c r="J38" s="318"/>
      <c r="K38" s="142"/>
      <c r="L38" s="142"/>
      <c r="M38" s="319" t="str">
        <f>M$10</f>
        <v>totaal</v>
      </c>
      <c r="N38" s="234"/>
      <c r="O38" s="320" t="str">
        <f t="shared" ref="O38:W38" si="40">O$17</f>
        <v/>
      </c>
      <c r="P38" s="320" t="str">
        <f t="shared" si="40"/>
        <v/>
      </c>
      <c r="Q38" s="320" t="str">
        <f t="shared" si="40"/>
        <v/>
      </c>
      <c r="R38" s="320" t="str">
        <f t="shared" si="40"/>
        <v/>
      </c>
      <c r="S38" s="320" t="str">
        <f t="shared" si="40"/>
        <v/>
      </c>
      <c r="T38" s="320" t="str">
        <f t="shared" si="40"/>
        <v/>
      </c>
      <c r="U38" s="320" t="str">
        <f t="shared" si="40"/>
        <v/>
      </c>
      <c r="V38" s="320" t="str">
        <f t="shared" si="40"/>
        <v/>
      </c>
      <c r="W38" s="320" t="str">
        <f t="shared" si="40"/>
        <v/>
      </c>
      <c r="X38" s="214"/>
      <c r="Y38" s="319" t="str">
        <f>Y$10</f>
        <v>totaal</v>
      </c>
      <c r="Z38" s="234"/>
      <c r="AA38" s="320" t="str">
        <f t="shared" ref="AA38:AI38" si="41">AA$17</f>
        <v/>
      </c>
      <c r="AB38" s="320" t="str">
        <f t="shared" si="41"/>
        <v/>
      </c>
      <c r="AC38" s="320" t="str">
        <f t="shared" si="41"/>
        <v/>
      </c>
      <c r="AD38" s="320" t="str">
        <f t="shared" si="41"/>
        <v/>
      </c>
      <c r="AE38" s="320" t="str">
        <f t="shared" si="41"/>
        <v/>
      </c>
      <c r="AF38" s="320" t="str">
        <f t="shared" si="41"/>
        <v/>
      </c>
      <c r="AG38" s="320" t="str">
        <f t="shared" si="41"/>
        <v/>
      </c>
      <c r="AH38" s="320" t="str">
        <f t="shared" si="41"/>
        <v/>
      </c>
      <c r="AI38" s="320" t="str">
        <f t="shared" si="41"/>
        <v/>
      </c>
      <c r="AJ38" s="214"/>
      <c r="AK38" s="319" t="str">
        <f>AK$10</f>
        <v>totaal</v>
      </c>
      <c r="AL38" s="234"/>
      <c r="AM38" s="320" t="str">
        <f>AM$17</f>
        <v/>
      </c>
      <c r="AN38" s="320" t="str">
        <f t="shared" ref="AN38:AU38" si="42">AN$17</f>
        <v/>
      </c>
      <c r="AO38" s="320" t="str">
        <f t="shared" si="42"/>
        <v/>
      </c>
      <c r="AP38" s="320" t="str">
        <f t="shared" si="42"/>
        <v/>
      </c>
      <c r="AQ38" s="320" t="str">
        <f t="shared" si="42"/>
        <v/>
      </c>
      <c r="AR38" s="320" t="str">
        <f t="shared" si="42"/>
        <v/>
      </c>
      <c r="AS38" s="320" t="str">
        <f t="shared" si="42"/>
        <v/>
      </c>
      <c r="AT38" s="320" t="str">
        <f t="shared" si="42"/>
        <v/>
      </c>
      <c r="AU38" s="320" t="str">
        <f t="shared" si="42"/>
        <v/>
      </c>
      <c r="AV38" s="214"/>
      <c r="AW38" s="319" t="str">
        <f>AW$10</f>
        <v>totaal</v>
      </c>
      <c r="AX38" s="234"/>
      <c r="AY38" s="320" t="str">
        <f>AY$17</f>
        <v/>
      </c>
      <c r="AZ38" s="320" t="str">
        <f t="shared" ref="AZ38:BG38" si="43">AZ$17</f>
        <v/>
      </c>
      <c r="BA38" s="320" t="str">
        <f t="shared" si="43"/>
        <v/>
      </c>
      <c r="BB38" s="320" t="str">
        <f t="shared" si="43"/>
        <v/>
      </c>
      <c r="BC38" s="320" t="str">
        <f t="shared" si="43"/>
        <v/>
      </c>
      <c r="BD38" s="320" t="str">
        <f t="shared" si="43"/>
        <v/>
      </c>
      <c r="BE38" s="320" t="str">
        <f t="shared" si="43"/>
        <v/>
      </c>
      <c r="BF38" s="320" t="str">
        <f t="shared" si="43"/>
        <v/>
      </c>
      <c r="BG38" s="320" t="str">
        <f t="shared" si="43"/>
        <v/>
      </c>
      <c r="BH38" s="1"/>
    </row>
    <row r="39" spans="1:60" ht="18.75" x14ac:dyDescent="0.2">
      <c r="A39" s="653"/>
      <c r="B39" s="492" t="s">
        <v>141</v>
      </c>
      <c r="C39" s="656" t="s">
        <v>127</v>
      </c>
      <c r="D39" s="747"/>
      <c r="E39" s="236" t="s">
        <v>143</v>
      </c>
      <c r="F39" s="236"/>
      <c r="G39" s="236"/>
      <c r="H39" s="89"/>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38"/>
    </row>
    <row r="40" spans="1:60" x14ac:dyDescent="0.2">
      <c r="A40" s="653"/>
      <c r="B40" s="492" t="s">
        <v>141</v>
      </c>
      <c r="C40" s="739" t="s">
        <v>127</v>
      </c>
      <c r="D40" s="750" t="s">
        <v>50</v>
      </c>
      <c r="E40" s="713" t="s">
        <v>144</v>
      </c>
      <c r="F40" s="713"/>
      <c r="G40" s="713"/>
      <c r="H40" s="183" t="s">
        <v>70</v>
      </c>
      <c r="I40" s="210"/>
      <c r="J40" s="711"/>
      <c r="K40" s="90"/>
      <c r="L40" s="90"/>
      <c r="M40" s="224"/>
      <c r="N40" s="236"/>
      <c r="O40" s="184" t="str">
        <f t="shared" ref="O40:W40" si="44">IF(O$19="","",IF(AND(O41&lt;&gt;"",
ISERROR(MATCH(O41,isolatiepakketten_gebouwschil_namen,0))=FALSE),O41,
INDEX(referentiepakketten_bij_gebouwen,MATCH(O$19,woningen_gebouwen_namen,0))))</f>
        <v/>
      </c>
      <c r="P40" s="184" t="str">
        <f t="shared" si="44"/>
        <v/>
      </c>
      <c r="Q40" s="184" t="str">
        <f t="shared" si="44"/>
        <v/>
      </c>
      <c r="R40" s="184" t="str">
        <f t="shared" si="44"/>
        <v/>
      </c>
      <c r="S40" s="184" t="str">
        <f t="shared" si="44"/>
        <v/>
      </c>
      <c r="T40" s="184" t="str">
        <f t="shared" si="44"/>
        <v/>
      </c>
      <c r="U40" s="184" t="str">
        <f t="shared" si="44"/>
        <v/>
      </c>
      <c r="V40" s="184" t="str">
        <f t="shared" si="44"/>
        <v/>
      </c>
      <c r="W40" s="184" t="str">
        <f t="shared" si="44"/>
        <v/>
      </c>
      <c r="X40" s="767"/>
      <c r="Y40" s="224"/>
      <c r="Z40" s="236"/>
      <c r="AA40" s="184" t="str">
        <f t="shared" ref="AA40:AI40" si="45">IF(AA$19="","",IF(AND(AA41&lt;&gt;"",
ISERROR(MATCH(AA41,isolatiepakketten_gebouwschil_namen,0))=FALSE),AA41,
INDEX(referentiepakketten_bij_gebouwen,MATCH(AA$19,woningen_gebouwen_namen,0))))</f>
        <v/>
      </c>
      <c r="AB40" s="184" t="str">
        <f t="shared" si="45"/>
        <v/>
      </c>
      <c r="AC40" s="184" t="str">
        <f t="shared" si="45"/>
        <v/>
      </c>
      <c r="AD40" s="184" t="str">
        <f t="shared" si="45"/>
        <v/>
      </c>
      <c r="AE40" s="184" t="str">
        <f t="shared" si="45"/>
        <v/>
      </c>
      <c r="AF40" s="184" t="str">
        <f t="shared" si="45"/>
        <v/>
      </c>
      <c r="AG40" s="184" t="str">
        <f t="shared" si="45"/>
        <v/>
      </c>
      <c r="AH40" s="184" t="str">
        <f t="shared" si="45"/>
        <v/>
      </c>
      <c r="AI40" s="184" t="str">
        <f t="shared" si="45"/>
        <v/>
      </c>
      <c r="AJ40" s="767"/>
      <c r="AK40" s="224"/>
      <c r="AL40" s="236"/>
      <c r="AM40" s="184" t="str">
        <f t="shared" ref="AM40:AU40" si="46">IF(AM$19="","",IF(AND(AM41&lt;&gt;"",
ISERROR(MATCH(AM41,isolatiepakketten_gebouwschil_namen,0))=FALSE),AM41,
INDEX(referentiepakketten_bij_gebouwen,MATCH(AM$19,woningen_gebouwen_namen,0))))</f>
        <v/>
      </c>
      <c r="AN40" s="184" t="str">
        <f t="shared" si="46"/>
        <v/>
      </c>
      <c r="AO40" s="184" t="str">
        <f t="shared" si="46"/>
        <v/>
      </c>
      <c r="AP40" s="184" t="str">
        <f t="shared" si="46"/>
        <v/>
      </c>
      <c r="AQ40" s="184" t="str">
        <f t="shared" si="46"/>
        <v/>
      </c>
      <c r="AR40" s="184" t="str">
        <f t="shared" si="46"/>
        <v/>
      </c>
      <c r="AS40" s="184" t="str">
        <f t="shared" si="46"/>
        <v/>
      </c>
      <c r="AT40" s="184" t="str">
        <f t="shared" si="46"/>
        <v/>
      </c>
      <c r="AU40" s="184" t="str">
        <f t="shared" si="46"/>
        <v/>
      </c>
      <c r="AV40" s="767"/>
      <c r="AW40" s="224"/>
      <c r="AX40" s="236"/>
      <c r="AY40" s="184" t="str">
        <f t="shared" ref="AY40:BG40" si="47">IF(AY$19="","",IF(AND(AY41&lt;&gt;"",
ISERROR(MATCH(AY41,isolatiepakketten_gebouwschil_namen,0))=FALSE),AY41,
INDEX(referentiepakketten_bij_gebouwen,MATCH(AY$19,woningen_gebouwen_namen,0))))</f>
        <v/>
      </c>
      <c r="AZ40" s="184" t="str">
        <f t="shared" si="47"/>
        <v/>
      </c>
      <c r="BA40" s="184" t="str">
        <f t="shared" si="47"/>
        <v/>
      </c>
      <c r="BB40" s="184" t="str">
        <f t="shared" si="47"/>
        <v/>
      </c>
      <c r="BC40" s="184" t="str">
        <f t="shared" si="47"/>
        <v/>
      </c>
      <c r="BD40" s="184" t="str">
        <f t="shared" si="47"/>
        <v/>
      </c>
      <c r="BE40" s="184" t="str">
        <f t="shared" si="47"/>
        <v/>
      </c>
      <c r="BF40" s="184" t="str">
        <f t="shared" si="47"/>
        <v/>
      </c>
      <c r="BG40" s="184" t="str">
        <f t="shared" si="47"/>
        <v/>
      </c>
      <c r="BH40" s="260"/>
    </row>
    <row r="41" spans="1:60" x14ac:dyDescent="0.2">
      <c r="A41" s="653"/>
      <c r="B41" s="492" t="s">
        <v>141</v>
      </c>
      <c r="C41" s="739" t="s">
        <v>127</v>
      </c>
      <c r="D41" s="747"/>
      <c r="E41" s="412" t="s">
        <v>1130</v>
      </c>
      <c r="F41" s="286"/>
      <c r="G41" s="286"/>
      <c r="H41" s="183" t="s">
        <v>70</v>
      </c>
      <c r="I41" s="210"/>
      <c r="J41" s="711"/>
      <c r="K41" s="90"/>
      <c r="L41" s="90"/>
      <c r="M41" s="224"/>
      <c r="N41" s="236"/>
      <c r="O41" s="1051"/>
      <c r="P41" s="1051"/>
      <c r="Q41" s="1051"/>
      <c r="R41" s="1051"/>
      <c r="S41" s="1051"/>
      <c r="T41" s="1051"/>
      <c r="U41" s="1051"/>
      <c r="V41" s="1051"/>
      <c r="W41" s="1051"/>
      <c r="X41" s="767"/>
      <c r="Y41" s="224"/>
      <c r="Z41" s="236"/>
      <c r="AA41" s="1051"/>
      <c r="AB41" s="1051"/>
      <c r="AC41" s="1051"/>
      <c r="AD41" s="1051"/>
      <c r="AE41" s="1051"/>
      <c r="AF41" s="1051"/>
      <c r="AG41" s="1051"/>
      <c r="AH41" s="1051"/>
      <c r="AI41" s="1051"/>
      <c r="AJ41" s="767"/>
      <c r="AK41" s="224"/>
      <c r="AL41" s="236"/>
      <c r="AM41" s="1051"/>
      <c r="AN41" s="1051"/>
      <c r="AO41" s="1051"/>
      <c r="AP41" s="1051"/>
      <c r="AQ41" s="1051"/>
      <c r="AR41" s="1051"/>
      <c r="AS41" s="1051"/>
      <c r="AT41" s="1051"/>
      <c r="AU41" s="1051"/>
      <c r="AV41" s="767"/>
      <c r="AW41" s="224"/>
      <c r="AX41" s="236"/>
      <c r="AY41" s="1051"/>
      <c r="AZ41" s="1051"/>
      <c r="BA41" s="1051"/>
      <c r="BB41" s="1051"/>
      <c r="BC41" s="1051"/>
      <c r="BD41" s="1051"/>
      <c r="BE41" s="1051"/>
      <c r="BF41" s="1051"/>
      <c r="BG41" s="1051"/>
      <c r="BH41" s="260"/>
    </row>
    <row r="42" spans="1:60" s="38" customFormat="1" ht="25.5" x14ac:dyDescent="0.2">
      <c r="A42" s="655"/>
      <c r="B42" s="492" t="s">
        <v>141</v>
      </c>
      <c r="C42" s="656" t="s">
        <v>127</v>
      </c>
      <c r="D42" s="751"/>
      <c r="E42" s="182" t="s">
        <v>145</v>
      </c>
      <c r="F42" s="182"/>
      <c r="G42" s="182"/>
      <c r="H42" s="183" t="s">
        <v>70</v>
      </c>
      <c r="I42" s="114"/>
      <c r="J42" s="711"/>
      <c r="K42" s="97"/>
      <c r="L42" s="97"/>
      <c r="M42" s="224"/>
      <c r="N42" s="99"/>
      <c r="O42" s="886" t="s">
        <v>146</v>
      </c>
      <c r="P42" s="886" t="s">
        <v>146</v>
      </c>
      <c r="Q42" s="886" t="s">
        <v>146</v>
      </c>
      <c r="R42" s="886" t="s">
        <v>146</v>
      </c>
      <c r="S42" s="886" t="s">
        <v>146</v>
      </c>
      <c r="T42" s="886" t="s">
        <v>146</v>
      </c>
      <c r="U42" s="886" t="s">
        <v>146</v>
      </c>
      <c r="V42" s="886" t="s">
        <v>146</v>
      </c>
      <c r="W42" s="886" t="s">
        <v>146</v>
      </c>
      <c r="X42" s="768"/>
      <c r="Y42" s="224"/>
      <c r="Z42" s="769"/>
      <c r="AA42" s="886" t="s">
        <v>146</v>
      </c>
      <c r="AB42" s="886" t="s">
        <v>146</v>
      </c>
      <c r="AC42" s="886" t="s">
        <v>146</v>
      </c>
      <c r="AD42" s="886" t="s">
        <v>146</v>
      </c>
      <c r="AE42" s="886" t="s">
        <v>146</v>
      </c>
      <c r="AF42" s="886" t="s">
        <v>146</v>
      </c>
      <c r="AG42" s="886" t="s">
        <v>146</v>
      </c>
      <c r="AH42" s="886" t="s">
        <v>146</v>
      </c>
      <c r="AI42" s="886" t="s">
        <v>146</v>
      </c>
      <c r="AJ42" s="768"/>
      <c r="AK42" s="224"/>
      <c r="AL42" s="770"/>
      <c r="AM42" s="886" t="s">
        <v>146</v>
      </c>
      <c r="AN42" s="886" t="s">
        <v>146</v>
      </c>
      <c r="AO42" s="886" t="s">
        <v>146</v>
      </c>
      <c r="AP42" s="886" t="s">
        <v>146</v>
      </c>
      <c r="AQ42" s="886" t="s">
        <v>146</v>
      </c>
      <c r="AR42" s="886" t="s">
        <v>146</v>
      </c>
      <c r="AS42" s="886" t="s">
        <v>146</v>
      </c>
      <c r="AT42" s="886" t="s">
        <v>146</v>
      </c>
      <c r="AU42" s="886" t="s">
        <v>146</v>
      </c>
      <c r="AV42" s="768"/>
      <c r="AW42" s="224"/>
      <c r="AX42" s="770"/>
      <c r="AY42" s="886" t="s">
        <v>146</v>
      </c>
      <c r="AZ42" s="886" t="s">
        <v>146</v>
      </c>
      <c r="BA42" s="886" t="s">
        <v>146</v>
      </c>
      <c r="BB42" s="886" t="s">
        <v>146</v>
      </c>
      <c r="BC42" s="886" t="s">
        <v>146</v>
      </c>
      <c r="BD42" s="886" t="s">
        <v>146</v>
      </c>
      <c r="BE42" s="886" t="s">
        <v>146</v>
      </c>
      <c r="BF42" s="886" t="s">
        <v>146</v>
      </c>
      <c r="BG42" s="886" t="s">
        <v>146</v>
      </c>
      <c r="BH42" s="262"/>
    </row>
    <row r="43" spans="1:60" ht="25.5" x14ac:dyDescent="0.2">
      <c r="A43" s="655"/>
      <c r="B43" s="492" t="s">
        <v>141</v>
      </c>
      <c r="C43" s="739" t="s">
        <v>127</v>
      </c>
      <c r="D43" s="751"/>
      <c r="E43" s="182" t="s">
        <v>147</v>
      </c>
      <c r="F43" s="182"/>
      <c r="G43" s="182"/>
      <c r="H43" s="183" t="s">
        <v>70</v>
      </c>
      <c r="I43" s="114"/>
      <c r="J43" s="224"/>
      <c r="K43" s="97"/>
      <c r="L43" s="97"/>
      <c r="M43" s="224"/>
      <c r="N43" s="99"/>
      <c r="O43" s="886" t="s">
        <v>148</v>
      </c>
      <c r="P43" s="886" t="s">
        <v>148</v>
      </c>
      <c r="Q43" s="886" t="s">
        <v>148</v>
      </c>
      <c r="R43" s="886" t="s">
        <v>148</v>
      </c>
      <c r="S43" s="886" t="s">
        <v>148</v>
      </c>
      <c r="T43" s="886" t="s">
        <v>148</v>
      </c>
      <c r="U43" s="886" t="s">
        <v>148</v>
      </c>
      <c r="V43" s="886" t="s">
        <v>148</v>
      </c>
      <c r="W43" s="886" t="s">
        <v>148</v>
      </c>
      <c r="X43" s="768"/>
      <c r="Y43" s="224"/>
      <c r="Z43" s="236"/>
      <c r="AA43" s="886" t="s">
        <v>148</v>
      </c>
      <c r="AB43" s="886" t="s">
        <v>148</v>
      </c>
      <c r="AC43" s="886" t="s">
        <v>148</v>
      </c>
      <c r="AD43" s="886" t="s">
        <v>148</v>
      </c>
      <c r="AE43" s="886" t="s">
        <v>148</v>
      </c>
      <c r="AF43" s="886" t="s">
        <v>148</v>
      </c>
      <c r="AG43" s="886" t="s">
        <v>148</v>
      </c>
      <c r="AH43" s="886" t="s">
        <v>148</v>
      </c>
      <c r="AI43" s="886" t="s">
        <v>148</v>
      </c>
      <c r="AJ43" s="768"/>
      <c r="AK43" s="224"/>
      <c r="AL43" s="770"/>
      <c r="AM43" s="886" t="s">
        <v>148</v>
      </c>
      <c r="AN43" s="886" t="s">
        <v>148</v>
      </c>
      <c r="AO43" s="886" t="s">
        <v>148</v>
      </c>
      <c r="AP43" s="886" t="s">
        <v>148</v>
      </c>
      <c r="AQ43" s="886" t="s">
        <v>148</v>
      </c>
      <c r="AR43" s="886" t="s">
        <v>148</v>
      </c>
      <c r="AS43" s="886" t="s">
        <v>148</v>
      </c>
      <c r="AT43" s="886" t="s">
        <v>148</v>
      </c>
      <c r="AU43" s="886" t="s">
        <v>148</v>
      </c>
      <c r="AV43" s="768"/>
      <c r="AW43" s="224"/>
      <c r="AX43" s="770"/>
      <c r="AY43" s="886" t="s">
        <v>148</v>
      </c>
      <c r="AZ43" s="886" t="s">
        <v>148</v>
      </c>
      <c r="BA43" s="886" t="s">
        <v>148</v>
      </c>
      <c r="BB43" s="886" t="s">
        <v>148</v>
      </c>
      <c r="BC43" s="886" t="s">
        <v>148</v>
      </c>
      <c r="BD43" s="886" t="s">
        <v>148</v>
      </c>
      <c r="BE43" s="886" t="s">
        <v>148</v>
      </c>
      <c r="BF43" s="886" t="s">
        <v>148</v>
      </c>
      <c r="BG43" s="886" t="s">
        <v>148</v>
      </c>
      <c r="BH43" s="262"/>
    </row>
    <row r="44" spans="1:60" x14ac:dyDescent="0.2">
      <c r="A44" s="655"/>
      <c r="B44" s="492" t="s">
        <v>141</v>
      </c>
      <c r="C44" s="739" t="s">
        <v>127</v>
      </c>
      <c r="D44" s="750" t="s">
        <v>50</v>
      </c>
      <c r="E44" s="182" t="s">
        <v>149</v>
      </c>
      <c r="F44" s="182"/>
      <c r="G44" s="182"/>
      <c r="H44" s="183" t="s">
        <v>150</v>
      </c>
      <c r="I44" s="210"/>
      <c r="J44" s="224"/>
      <c r="K44" s="90"/>
      <c r="L44" s="90"/>
      <c r="M44" s="224"/>
      <c r="N44" s="99"/>
      <c r="O44" s="887">
        <v>1</v>
      </c>
      <c r="P44" s="887">
        <v>1</v>
      </c>
      <c r="Q44" s="887">
        <v>1</v>
      </c>
      <c r="R44" s="887">
        <v>1</v>
      </c>
      <c r="S44" s="887">
        <v>1</v>
      </c>
      <c r="T44" s="887">
        <v>1</v>
      </c>
      <c r="U44" s="887">
        <v>1</v>
      </c>
      <c r="V44" s="887">
        <v>1</v>
      </c>
      <c r="W44" s="887">
        <v>1</v>
      </c>
      <c r="X44" s="767"/>
      <c r="Y44" s="224"/>
      <c r="Z44" s="236"/>
      <c r="AA44" s="887">
        <v>1</v>
      </c>
      <c r="AB44" s="887">
        <v>1</v>
      </c>
      <c r="AC44" s="887">
        <v>1</v>
      </c>
      <c r="AD44" s="887">
        <v>1</v>
      </c>
      <c r="AE44" s="887">
        <v>1</v>
      </c>
      <c r="AF44" s="887">
        <v>1</v>
      </c>
      <c r="AG44" s="887">
        <v>1</v>
      </c>
      <c r="AH44" s="887">
        <v>1</v>
      </c>
      <c r="AI44" s="887">
        <v>1</v>
      </c>
      <c r="AJ44" s="767"/>
      <c r="AK44" s="224"/>
      <c r="AL44" s="771"/>
      <c r="AM44" s="887">
        <v>1</v>
      </c>
      <c r="AN44" s="887">
        <v>1</v>
      </c>
      <c r="AO44" s="887">
        <v>1</v>
      </c>
      <c r="AP44" s="887">
        <v>1</v>
      </c>
      <c r="AQ44" s="887">
        <v>1</v>
      </c>
      <c r="AR44" s="887">
        <v>1</v>
      </c>
      <c r="AS44" s="887">
        <v>1</v>
      </c>
      <c r="AT44" s="887">
        <v>1</v>
      </c>
      <c r="AU44" s="887">
        <v>1</v>
      </c>
      <c r="AV44" s="767"/>
      <c r="AW44" s="224"/>
      <c r="AX44" s="771"/>
      <c r="AY44" s="887">
        <v>1</v>
      </c>
      <c r="AZ44" s="887">
        <v>1</v>
      </c>
      <c r="BA44" s="887">
        <v>1</v>
      </c>
      <c r="BB44" s="887">
        <v>1</v>
      </c>
      <c r="BC44" s="887">
        <v>1</v>
      </c>
      <c r="BD44" s="887">
        <v>1</v>
      </c>
      <c r="BE44" s="887">
        <v>1</v>
      </c>
      <c r="BF44" s="887">
        <v>1</v>
      </c>
      <c r="BG44" s="887">
        <v>1</v>
      </c>
      <c r="BH44" s="261"/>
    </row>
    <row r="45" spans="1:60" x14ac:dyDescent="0.2">
      <c r="A45" s="655"/>
      <c r="B45" s="492" t="s">
        <v>141</v>
      </c>
      <c r="C45" s="739" t="s">
        <v>127</v>
      </c>
      <c r="D45" s="750" t="s">
        <v>50</v>
      </c>
      <c r="E45" s="182" t="s">
        <v>151</v>
      </c>
      <c r="F45" s="182"/>
      <c r="G45" s="182"/>
      <c r="H45" s="183" t="s">
        <v>152</v>
      </c>
      <c r="I45" s="210"/>
      <c r="J45" s="282"/>
      <c r="K45" s="294"/>
      <c r="L45" s="294"/>
      <c r="M45" s="282"/>
      <c r="N45" s="99"/>
      <c r="O45" s="888"/>
      <c r="P45" s="888"/>
      <c r="Q45" s="888"/>
      <c r="R45" s="888"/>
      <c r="S45" s="888"/>
      <c r="T45" s="888"/>
      <c r="U45" s="888"/>
      <c r="V45" s="888"/>
      <c r="W45" s="888"/>
      <c r="X45" s="772"/>
      <c r="Y45" s="282"/>
      <c r="Z45" s="279"/>
      <c r="AA45" s="888"/>
      <c r="AB45" s="888"/>
      <c r="AC45" s="888"/>
      <c r="AD45" s="888"/>
      <c r="AE45" s="888"/>
      <c r="AF45" s="888"/>
      <c r="AG45" s="888"/>
      <c r="AH45" s="888"/>
      <c r="AI45" s="888"/>
      <c r="AJ45" s="772"/>
      <c r="AK45" s="282"/>
      <c r="AL45" s="773"/>
      <c r="AM45" s="888"/>
      <c r="AN45" s="888"/>
      <c r="AO45" s="888"/>
      <c r="AP45" s="888"/>
      <c r="AQ45" s="888"/>
      <c r="AR45" s="888"/>
      <c r="AS45" s="888"/>
      <c r="AT45" s="888"/>
      <c r="AU45" s="888"/>
      <c r="AV45" s="772"/>
      <c r="AW45" s="282"/>
      <c r="AX45" s="773"/>
      <c r="AY45" s="888"/>
      <c r="AZ45" s="888"/>
      <c r="BA45" s="888"/>
      <c r="BB45" s="888"/>
      <c r="BC45" s="888"/>
      <c r="BD45" s="888"/>
      <c r="BE45" s="888"/>
      <c r="BF45" s="888"/>
      <c r="BG45" s="888"/>
      <c r="BH45" s="261"/>
    </row>
    <row r="46" spans="1:60" x14ac:dyDescent="0.2">
      <c r="A46" s="655"/>
      <c r="B46" s="492" t="s">
        <v>141</v>
      </c>
      <c r="C46" s="739" t="s">
        <v>127</v>
      </c>
      <c r="D46" s="751"/>
      <c r="E46" s="182" t="s">
        <v>153</v>
      </c>
      <c r="F46" s="182"/>
      <c r="G46" s="182"/>
      <c r="H46" s="183" t="s">
        <v>70</v>
      </c>
      <c r="I46" s="114"/>
      <c r="J46" s="711"/>
      <c r="K46" s="97"/>
      <c r="L46" s="97"/>
      <c r="M46" s="224"/>
      <c r="N46" s="99"/>
      <c r="O46" s="886"/>
      <c r="P46" s="886"/>
      <c r="Q46" s="886"/>
      <c r="R46" s="886"/>
      <c r="S46" s="886"/>
      <c r="T46" s="886"/>
      <c r="U46" s="886"/>
      <c r="V46" s="886"/>
      <c r="W46" s="886"/>
      <c r="X46" s="768"/>
      <c r="Y46" s="224"/>
      <c r="Z46" s="236"/>
      <c r="AA46" s="886"/>
      <c r="AB46" s="886"/>
      <c r="AC46" s="886"/>
      <c r="AD46" s="886"/>
      <c r="AE46" s="886"/>
      <c r="AF46" s="886"/>
      <c r="AG46" s="886"/>
      <c r="AH46" s="886"/>
      <c r="AI46" s="886"/>
      <c r="AJ46" s="768"/>
      <c r="AK46" s="224"/>
      <c r="AL46" s="770"/>
      <c r="AM46" s="886"/>
      <c r="AN46" s="886"/>
      <c r="AO46" s="886"/>
      <c r="AP46" s="886"/>
      <c r="AQ46" s="886"/>
      <c r="AR46" s="886"/>
      <c r="AS46" s="886"/>
      <c r="AT46" s="886"/>
      <c r="AU46" s="886"/>
      <c r="AV46" s="768"/>
      <c r="AW46" s="224"/>
      <c r="AX46" s="770"/>
      <c r="AY46" s="886"/>
      <c r="AZ46" s="886"/>
      <c r="BA46" s="886"/>
      <c r="BB46" s="886"/>
      <c r="BC46" s="886"/>
      <c r="BD46" s="886"/>
      <c r="BE46" s="886"/>
      <c r="BF46" s="886"/>
      <c r="BG46" s="886"/>
      <c r="BH46" s="262"/>
    </row>
    <row r="47" spans="1:60" x14ac:dyDescent="0.2">
      <c r="A47" s="655"/>
      <c r="B47" s="492" t="s">
        <v>141</v>
      </c>
      <c r="C47" s="739" t="s">
        <v>127</v>
      </c>
      <c r="D47" s="751"/>
      <c r="E47" s="182" t="s">
        <v>155</v>
      </c>
      <c r="F47" s="182"/>
      <c r="G47" s="182"/>
      <c r="H47" s="183" t="s">
        <v>70</v>
      </c>
      <c r="I47" s="114"/>
      <c r="J47" s="711"/>
      <c r="K47" s="97"/>
      <c r="L47" s="97"/>
      <c r="M47" s="224"/>
      <c r="N47" s="99"/>
      <c r="O47" s="886" t="s">
        <v>156</v>
      </c>
      <c r="P47" s="886" t="s">
        <v>156</v>
      </c>
      <c r="Q47" s="886" t="s">
        <v>156</v>
      </c>
      <c r="R47" s="886" t="s">
        <v>156</v>
      </c>
      <c r="S47" s="886" t="s">
        <v>156</v>
      </c>
      <c r="T47" s="886" t="s">
        <v>156</v>
      </c>
      <c r="U47" s="886" t="s">
        <v>156</v>
      </c>
      <c r="V47" s="886" t="s">
        <v>156</v>
      </c>
      <c r="W47" s="886" t="s">
        <v>156</v>
      </c>
      <c r="X47" s="768"/>
      <c r="Y47" s="224"/>
      <c r="Z47" s="236"/>
      <c r="AA47" s="886" t="s">
        <v>156</v>
      </c>
      <c r="AB47" s="886" t="s">
        <v>156</v>
      </c>
      <c r="AC47" s="886" t="s">
        <v>156</v>
      </c>
      <c r="AD47" s="886" t="s">
        <v>156</v>
      </c>
      <c r="AE47" s="886" t="s">
        <v>156</v>
      </c>
      <c r="AF47" s="886" t="s">
        <v>156</v>
      </c>
      <c r="AG47" s="886" t="s">
        <v>156</v>
      </c>
      <c r="AH47" s="886" t="s">
        <v>156</v>
      </c>
      <c r="AI47" s="886" t="s">
        <v>156</v>
      </c>
      <c r="AJ47" s="768"/>
      <c r="AK47" s="224"/>
      <c r="AL47" s="770"/>
      <c r="AM47" s="886" t="s">
        <v>156</v>
      </c>
      <c r="AN47" s="886" t="s">
        <v>156</v>
      </c>
      <c r="AO47" s="886" t="s">
        <v>156</v>
      </c>
      <c r="AP47" s="886" t="s">
        <v>156</v>
      </c>
      <c r="AQ47" s="886" t="s">
        <v>156</v>
      </c>
      <c r="AR47" s="886" t="s">
        <v>156</v>
      </c>
      <c r="AS47" s="886" t="s">
        <v>156</v>
      </c>
      <c r="AT47" s="886" t="s">
        <v>156</v>
      </c>
      <c r="AU47" s="886" t="s">
        <v>156</v>
      </c>
      <c r="AV47" s="768"/>
      <c r="AW47" s="224"/>
      <c r="AX47" s="770"/>
      <c r="AY47" s="886" t="s">
        <v>156</v>
      </c>
      <c r="AZ47" s="886" t="s">
        <v>156</v>
      </c>
      <c r="BA47" s="886" t="s">
        <v>156</v>
      </c>
      <c r="BB47" s="886" t="s">
        <v>156</v>
      </c>
      <c r="BC47" s="886" t="s">
        <v>156</v>
      </c>
      <c r="BD47" s="886" t="s">
        <v>156</v>
      </c>
      <c r="BE47" s="886" t="s">
        <v>156</v>
      </c>
      <c r="BF47" s="886" t="s">
        <v>156</v>
      </c>
      <c r="BG47" s="886" t="s">
        <v>156</v>
      </c>
      <c r="BH47" s="262"/>
    </row>
    <row r="48" spans="1:60" x14ac:dyDescent="0.2">
      <c r="A48" s="655"/>
      <c r="B48" s="492" t="s">
        <v>141</v>
      </c>
      <c r="C48" s="739" t="s">
        <v>127</v>
      </c>
      <c r="D48" s="750" t="s">
        <v>50</v>
      </c>
      <c r="E48" s="182" t="s">
        <v>157</v>
      </c>
      <c r="F48" s="182"/>
      <c r="G48" s="182"/>
      <c r="H48" s="183" t="s">
        <v>150</v>
      </c>
      <c r="I48" s="210"/>
      <c r="J48" s="224"/>
      <c r="K48" s="90"/>
      <c r="L48" s="90"/>
      <c r="M48" s="224"/>
      <c r="N48" s="99"/>
      <c r="O48" s="887">
        <v>0</v>
      </c>
      <c r="P48" s="887">
        <v>0</v>
      </c>
      <c r="Q48" s="887">
        <v>0</v>
      </c>
      <c r="R48" s="887">
        <v>0</v>
      </c>
      <c r="S48" s="887">
        <v>0</v>
      </c>
      <c r="T48" s="887">
        <v>0</v>
      </c>
      <c r="U48" s="887">
        <v>0</v>
      </c>
      <c r="V48" s="887">
        <v>0</v>
      </c>
      <c r="W48" s="887">
        <v>0</v>
      </c>
      <c r="X48" s="767"/>
      <c r="Y48" s="224"/>
      <c r="Z48" s="236"/>
      <c r="AA48" s="887">
        <v>0</v>
      </c>
      <c r="AB48" s="887">
        <v>0</v>
      </c>
      <c r="AC48" s="887">
        <v>0</v>
      </c>
      <c r="AD48" s="887">
        <v>0</v>
      </c>
      <c r="AE48" s="887">
        <v>0</v>
      </c>
      <c r="AF48" s="887">
        <v>0</v>
      </c>
      <c r="AG48" s="887">
        <v>0</v>
      </c>
      <c r="AH48" s="887">
        <v>0</v>
      </c>
      <c r="AI48" s="887">
        <v>0</v>
      </c>
      <c r="AJ48" s="767"/>
      <c r="AK48" s="224"/>
      <c r="AL48" s="771"/>
      <c r="AM48" s="887">
        <v>0</v>
      </c>
      <c r="AN48" s="887">
        <v>0</v>
      </c>
      <c r="AO48" s="887">
        <v>0</v>
      </c>
      <c r="AP48" s="887">
        <v>0</v>
      </c>
      <c r="AQ48" s="887">
        <v>0</v>
      </c>
      <c r="AR48" s="887">
        <v>0</v>
      </c>
      <c r="AS48" s="887">
        <v>0</v>
      </c>
      <c r="AT48" s="887">
        <v>0</v>
      </c>
      <c r="AU48" s="887">
        <v>0</v>
      </c>
      <c r="AV48" s="767"/>
      <c r="AW48" s="224"/>
      <c r="AX48" s="771"/>
      <c r="AY48" s="887">
        <v>0</v>
      </c>
      <c r="AZ48" s="887">
        <v>0</v>
      </c>
      <c r="BA48" s="887">
        <v>0</v>
      </c>
      <c r="BB48" s="887">
        <v>0</v>
      </c>
      <c r="BC48" s="887">
        <v>0</v>
      </c>
      <c r="BD48" s="887">
        <v>0</v>
      </c>
      <c r="BE48" s="887">
        <v>0</v>
      </c>
      <c r="BF48" s="887">
        <v>0</v>
      </c>
      <c r="BG48" s="887">
        <v>0</v>
      </c>
      <c r="BH48" s="261"/>
    </row>
    <row r="49" spans="1:60" ht="18.75" x14ac:dyDescent="0.2">
      <c r="A49" s="653"/>
      <c r="B49" s="492" t="s">
        <v>158</v>
      </c>
      <c r="C49" s="739" t="s">
        <v>104</v>
      </c>
      <c r="D49" s="749"/>
      <c r="E49" s="708" t="s">
        <v>159</v>
      </c>
      <c r="F49" s="167"/>
      <c r="G49" s="167"/>
      <c r="H49" s="89"/>
      <c r="I49" s="169"/>
      <c r="J49" s="170"/>
      <c r="K49" s="142"/>
      <c r="L49" s="142"/>
      <c r="M49" s="186"/>
      <c r="N49" s="186"/>
      <c r="O49" s="186"/>
      <c r="P49" s="186"/>
      <c r="Q49" s="186"/>
      <c r="R49" s="186"/>
      <c r="S49" s="186"/>
      <c r="T49" s="186"/>
      <c r="U49" s="186"/>
      <c r="V49" s="186"/>
      <c r="W49" s="186"/>
      <c r="X49" s="173"/>
      <c r="Y49" s="172"/>
      <c r="Z49" s="172"/>
      <c r="AA49" s="172"/>
      <c r="AB49" s="172"/>
      <c r="AC49" s="172"/>
      <c r="AD49" s="172"/>
      <c r="AE49" s="172"/>
      <c r="AF49" s="172"/>
      <c r="AG49" s="172"/>
      <c r="AH49" s="172"/>
      <c r="AI49" s="172"/>
      <c r="AJ49" s="173"/>
      <c r="AK49" s="172"/>
      <c r="AL49" s="172"/>
      <c r="AM49" s="172"/>
      <c r="AN49" s="172"/>
      <c r="AO49" s="172"/>
      <c r="AP49" s="172"/>
      <c r="AQ49" s="172"/>
      <c r="AR49" s="172"/>
      <c r="AS49" s="172"/>
      <c r="AT49" s="172"/>
      <c r="AU49" s="172"/>
      <c r="AV49" s="173"/>
      <c r="AW49" s="172"/>
      <c r="AX49" s="172"/>
      <c r="AY49" s="172"/>
      <c r="AZ49" s="172"/>
      <c r="BA49" s="172"/>
      <c r="BB49" s="172"/>
      <c r="BC49" s="172"/>
      <c r="BD49" s="172"/>
      <c r="BE49" s="172"/>
      <c r="BF49" s="172"/>
      <c r="BG49" s="172"/>
      <c r="BH49" s="263"/>
    </row>
    <row r="50" spans="1:60" x14ac:dyDescent="0.2">
      <c r="A50" s="655"/>
      <c r="B50" s="492" t="s">
        <v>141</v>
      </c>
      <c r="C50" s="739" t="s">
        <v>127</v>
      </c>
      <c r="D50" s="751"/>
      <c r="E50" s="182" t="s">
        <v>160</v>
      </c>
      <c r="F50" s="182"/>
      <c r="G50" s="182"/>
      <c r="H50" s="183" t="s">
        <v>70</v>
      </c>
      <c r="I50" s="116"/>
      <c r="J50" s="774" t="str">
        <f>IF(COUNTIF(N50:X50,"nee")&gt;0,"nee: locatie 1",
IF(COUNTIF(Z50:AJ50,"nee")&gt;0,"nee: locatie 2",
IF(COUNTIF(AL50:AV50,"nee")&gt;0,"nee: locatie 3",
IF(COUNTIF(AX50:BH50,"nee")&gt;0,"nee: locatie 4",
"OK"))))</f>
        <v>OK</v>
      </c>
      <c r="K50" s="818"/>
      <c r="L50" s="818"/>
      <c r="M50" s="224"/>
      <c r="N50" s="775"/>
      <c r="O50" s="776" t="str">
        <f>IF(OR(O$19="",O$24=0),"",IF(OR(O$40="",O$42="",AND(O$42&lt;&gt;bibliotheek!$E$51,O$43=""),O$44="",AND(O$21&lt;&gt;woning,O$21&lt;&gt;woongebouw,O$45=""),AND(O$21&lt;&gt;woning,O$21&lt;&gt;woongebouw,O$46=""),AND(OR(O$21=woning,O$21=woongebouw),O$47=""),O$48=""),"nee","ja"))</f>
        <v/>
      </c>
      <c r="P50" s="776" t="str">
        <f>IF(OR(P$19="",P$24=0),"",IF(OR(P$40="",P$42="",AND(P$42&lt;&gt;bibliotheek!$E$51,P$43=""),P$44="",AND(P$21&lt;&gt;woning,P$21&lt;&gt;woongebouw,P$45=""),AND(P$21&lt;&gt;woning,P$21&lt;&gt;woongebouw,P$46=""),AND(OR(P$21=woning,P$21=woongebouw),P$47=""),P$48=""),"nee","ja"))</f>
        <v/>
      </c>
      <c r="Q50" s="776" t="str">
        <f>IF(OR(Q$19="",Q$24=0),"",IF(OR(Q$40="",Q$42="",AND(Q$42&lt;&gt;bibliotheek!$E$51,Q$43=""),Q$44="",AND(Q$21&lt;&gt;woning,Q$21&lt;&gt;woongebouw,Q$45=""),AND(Q$21&lt;&gt;woning,Q$21&lt;&gt;woongebouw,Q$46=""),AND(OR(Q$21=woning,Q$21=woongebouw),Q$47=""),Q$48=""),"nee","ja"))</f>
        <v/>
      </c>
      <c r="R50" s="776" t="str">
        <f>IF(OR(R$19="",R$24=0),"",IF(OR(R$40="",R$42="",AND(R$42&lt;&gt;bibliotheek!$E$51,R$43=""),R$44="",AND(R$21&lt;&gt;woning,R$21&lt;&gt;woongebouw,R$45=""),AND(R$21&lt;&gt;woning,R$21&lt;&gt;woongebouw,R$46=""),AND(OR(R$21=woning,R$21=woongebouw),R$47=""),R$48=""),"nee","ja"))</f>
        <v/>
      </c>
      <c r="S50" s="776" t="str">
        <f>IF(OR(S$19="",S$24=0),"",IF(OR(S$40="",S$42="",AND(S$42&lt;&gt;bibliotheek!$E$51,S$43=""),S$44="",AND(S$21&lt;&gt;woning,S$21&lt;&gt;woongebouw,S$45=""),AND(S$21&lt;&gt;woning,S$21&lt;&gt;woongebouw,S$46=""),AND(OR(S$21=woning,S$21=woongebouw),S$47=""),S$48=""),"nee","ja"))</f>
        <v/>
      </c>
      <c r="T50" s="776" t="str">
        <f>IF(OR(T$19="",T$24=0),"",IF(OR(T$40="",T$42="",AND(T$42&lt;&gt;bibliotheek!$E$51,T$43=""),T$44="",AND(T$21&lt;&gt;woning,T$21&lt;&gt;woongebouw,T$45=""),AND(T$21&lt;&gt;woning,T$21&lt;&gt;woongebouw,T$46=""),AND(OR(T$21=woning,T$21=woongebouw),T$47=""),T$48=""),"nee","ja"))</f>
        <v/>
      </c>
      <c r="U50" s="776" t="str">
        <f>IF(OR(U$19="",U$24=0),"",IF(OR(U$40="",U$42="",AND(U$42&lt;&gt;bibliotheek!$E$51,U$43=""),U$44="",AND(U$21&lt;&gt;woning,U$21&lt;&gt;woongebouw,U$45=""),AND(U$21&lt;&gt;woning,U$21&lt;&gt;woongebouw,U$46=""),AND(OR(U$21=woning,U$21=woongebouw),U$47=""),U$48=""),"nee","ja"))</f>
        <v/>
      </c>
      <c r="V50" s="776" t="str">
        <f>IF(OR(V$19="",V$24=0),"",IF(OR(V$40="",V$42="",AND(V$42&lt;&gt;bibliotheek!$E$51,V$43=""),V$44="",AND(V$21&lt;&gt;woning,V$21&lt;&gt;woongebouw,V$45=""),AND(V$21&lt;&gt;woning,V$21&lt;&gt;woongebouw,V$46=""),AND(OR(V$21=woning,V$21=woongebouw),V$47=""),V$48=""),"nee","ja"))</f>
        <v/>
      </c>
      <c r="W50" s="776" t="str">
        <f>IF(OR(W$19="",W$24=0),"",IF(OR(W$40="",W$42="",AND(W$42&lt;&gt;bibliotheek!$E$51,W$43=""),W$44="",AND(W$21&lt;&gt;woning,W$21&lt;&gt;woongebouw,W$45=""),AND(W$21&lt;&gt;woning,W$21&lt;&gt;woongebouw,W$46=""),AND(OR(W$21=woning,W$21=woongebouw),W$47=""),W$48=""),"nee","ja"))</f>
        <v/>
      </c>
      <c r="X50" s="777"/>
      <c r="Y50" s="224"/>
      <c r="Z50" s="236"/>
      <c r="AA50" s="776" t="str">
        <f>IF(OR(AA$19="",AA$24=0),"",IF(OR(AA$40="",AA$42="",AND(AA$42&lt;&gt;bibliotheek!$E$51,AA$43=""),AA$44="",AND(AA$21&lt;&gt;woning,AA$21&lt;&gt;woongebouw,AA$45=""),AND(AA$21&lt;&gt;woning,AA$21&lt;&gt;woongebouw,AA$46=""),AND(OR(AA$21=woning,AA$21=woongebouw),AA$47=""),AA$48=""),"nee","ja"))</f>
        <v/>
      </c>
      <c r="AB50" s="776" t="str">
        <f>IF(OR(AB$19="",AB$24=0),"",IF(OR(AB$40="",AB$42="",AND(AB$42&lt;&gt;bibliotheek!$E$51,AB$43=""),AB$44="",AND(AB$21&lt;&gt;woning,AB$21&lt;&gt;woongebouw,AB$45=""),AND(AB$21&lt;&gt;woning,AB$21&lt;&gt;woongebouw,AB$46=""),AND(OR(AB$21=woning,AB$21=woongebouw),AB$47=""),AB$48=""),"nee","ja"))</f>
        <v/>
      </c>
      <c r="AC50" s="776" t="str">
        <f>IF(OR(AC$19="",AC$24=0),"",IF(OR(AC$40="",AC$42="",AND(AC$42&lt;&gt;bibliotheek!$E$51,AC$43=""),AC$44="",AND(AC$21&lt;&gt;woning,AC$21&lt;&gt;woongebouw,AC$45=""),AND(AC$21&lt;&gt;woning,AC$21&lt;&gt;woongebouw,AC$46=""),AND(OR(AC$21=woning,AC$21=woongebouw),AC$47=""),AC$48=""),"nee","ja"))</f>
        <v/>
      </c>
      <c r="AD50" s="776" t="str">
        <f>IF(OR(AD$19="",AD$24=0),"",IF(OR(AD$40="",AD$42="",AND(AD$42&lt;&gt;bibliotheek!$E$51,AD$43=""),AD$44="",AND(AD$21&lt;&gt;woning,AD$21&lt;&gt;woongebouw,AD$45=""),AND(AD$21&lt;&gt;woning,AD$21&lt;&gt;woongebouw,AD$46=""),AND(OR(AD$21=woning,AD$21=woongebouw),AD$47=""),AD$48=""),"nee","ja"))</f>
        <v/>
      </c>
      <c r="AE50" s="776" t="str">
        <f>IF(OR(AE$19="",AE$24=0),"",IF(OR(AE$40="",AE$42="",AND(AE$42&lt;&gt;bibliotheek!$E$51,AE$43=""),AE$44="",AND(AE$21&lt;&gt;woning,AE$21&lt;&gt;woongebouw,AE$45=""),AND(AE$21&lt;&gt;woning,AE$21&lt;&gt;woongebouw,AE$46=""),AND(OR(AE$21=woning,AE$21=woongebouw),AE$47=""),AE$48=""),"nee","ja"))</f>
        <v/>
      </c>
      <c r="AF50" s="776" t="str">
        <f>IF(OR(AF$19="",AF$24=0),"",IF(OR(AF$40="",AF$42="",AND(AF$42&lt;&gt;bibliotheek!$E$51,AF$43=""),AF$44="",AND(AF$21&lt;&gt;woning,AF$21&lt;&gt;woongebouw,AF$45=""),AND(AF$21&lt;&gt;woning,AF$21&lt;&gt;woongebouw,AF$46=""),AND(OR(AF$21=woning,AF$21=woongebouw),AF$47=""),AF$48=""),"nee","ja"))</f>
        <v/>
      </c>
      <c r="AG50" s="776" t="str">
        <f>IF(OR(AG$19="",AG$24=0),"",IF(OR(AG$40="",AG$42="",AND(AG$42&lt;&gt;bibliotheek!$E$51,AG$43=""),AG$44="",AND(AG$21&lt;&gt;woning,AG$21&lt;&gt;woongebouw,AG$45=""),AND(AG$21&lt;&gt;woning,AG$21&lt;&gt;woongebouw,AG$46=""),AND(OR(AG$21=woning,AG$21=woongebouw),AG$47=""),AG$48=""),"nee","ja"))</f>
        <v/>
      </c>
      <c r="AH50" s="776" t="str">
        <f>IF(OR(AH$19="",AH$24=0),"",IF(OR(AH$40="",AH$42="",AND(AH$42&lt;&gt;bibliotheek!$E$51,AH$43=""),AH$44="",AND(AH$21&lt;&gt;woning,AH$21&lt;&gt;woongebouw,AH$45=""),AND(AH$21&lt;&gt;woning,AH$21&lt;&gt;woongebouw,AH$46=""),AND(OR(AH$21=woning,AH$21=woongebouw),AH$47=""),AH$48=""),"nee","ja"))</f>
        <v/>
      </c>
      <c r="AI50" s="776" t="str">
        <f>IF(OR(AI$19="",AI$24=0),"",IF(OR(AI$40="",AI$42="",AND(AI$42&lt;&gt;bibliotheek!$E$51,AI$43=""),AI$44="",AND(AI$21&lt;&gt;woning,AI$21&lt;&gt;woongebouw,AI$45=""),AND(AI$21&lt;&gt;woning,AI$21&lt;&gt;woongebouw,AI$46=""),AND(OR(AI$21=woning,AI$21=woongebouw),AI$47=""),AI$48=""),"nee","ja"))</f>
        <v/>
      </c>
      <c r="AJ50" s="777"/>
      <c r="AK50" s="224"/>
      <c r="AL50" s="778"/>
      <c r="AM50" s="776" t="str">
        <f>IF(OR(AM$19="",AM$24=0),"",IF(OR(AM$40="",AM$42="",AND(AM$42&lt;&gt;bibliotheek!$E$51,AM$43=""),AM$44="",AND(AM$21&lt;&gt;woning,AM$21&lt;&gt;woongebouw,AM$45=""),AND(AM$21&lt;&gt;woning,AM$21&lt;&gt;woongebouw,AM$46=""),AND(OR(AM$21=woning,AM$21=woongebouw),AM$47=""),AM$48=""),"nee","ja"))</f>
        <v/>
      </c>
      <c r="AN50" s="776" t="str">
        <f>IF(OR(AN$19="",AN$24=0),"",IF(OR(AN$40="",AN$42="",AND(AN$42&lt;&gt;bibliotheek!$E$51,AN$43=""),AN$44="",AND(AN$21&lt;&gt;woning,AN$21&lt;&gt;woongebouw,AN$45=""),AND(AN$21&lt;&gt;woning,AN$21&lt;&gt;woongebouw,AN$46=""),AND(OR(AN$21=woning,AN$21=woongebouw),AN$47=""),AN$48=""),"nee","ja"))</f>
        <v/>
      </c>
      <c r="AO50" s="776" t="str">
        <f>IF(OR(AO$19="",AO$24=0),"",IF(OR(AO$40="",AO$42="",AND(AO$42&lt;&gt;bibliotheek!$E$51,AO$43=""),AO$44="",AND(AO$21&lt;&gt;woning,AO$21&lt;&gt;woongebouw,AO$45=""),AND(AO$21&lt;&gt;woning,AO$21&lt;&gt;woongebouw,AO$46=""),AND(OR(AO$21=woning,AO$21=woongebouw),AO$47=""),AO$48=""),"nee","ja"))</f>
        <v/>
      </c>
      <c r="AP50" s="776" t="str">
        <f>IF(OR(AP$19="",AP$24=0),"",IF(OR(AP$40="",AP$42="",AND(AP$42&lt;&gt;bibliotheek!$E$51,AP$43=""),AP$44="",AND(AP$21&lt;&gt;woning,AP$21&lt;&gt;woongebouw,AP$45=""),AND(AP$21&lt;&gt;woning,AP$21&lt;&gt;woongebouw,AP$46=""),AND(OR(AP$21=woning,AP$21=woongebouw),AP$47=""),AP$48=""),"nee","ja"))</f>
        <v/>
      </c>
      <c r="AQ50" s="776" t="str">
        <f>IF(OR(AQ$19="",AQ$24=0),"",IF(OR(AQ$40="",AQ$42="",AND(AQ$42&lt;&gt;bibliotheek!$E$51,AQ$43=""),AQ$44="",AND(AQ$21&lt;&gt;woning,AQ$21&lt;&gt;woongebouw,AQ$45=""),AND(AQ$21&lt;&gt;woning,AQ$21&lt;&gt;woongebouw,AQ$46=""),AND(OR(AQ$21=woning,AQ$21=woongebouw),AQ$47=""),AQ$48=""),"nee","ja"))</f>
        <v/>
      </c>
      <c r="AR50" s="776" t="str">
        <f>IF(OR(AR$19="",AR$24=0),"",IF(OR(AR$40="",AR$42="",AND(AR$42&lt;&gt;bibliotheek!$E$51,AR$43=""),AR$44="",AND(AR$21&lt;&gt;woning,AR$21&lt;&gt;woongebouw,AR$45=""),AND(AR$21&lt;&gt;woning,AR$21&lt;&gt;woongebouw,AR$46=""),AND(OR(AR$21=woning,AR$21=woongebouw),AR$47=""),AR$48=""),"nee","ja"))</f>
        <v/>
      </c>
      <c r="AS50" s="776" t="str">
        <f>IF(OR(AS$19="",AS$24=0),"",IF(OR(AS$40="",AS$42="",AND(AS$42&lt;&gt;bibliotheek!$E$51,AS$43=""),AS$44="",AND(AS$21&lt;&gt;woning,AS$21&lt;&gt;woongebouw,AS$45=""),AND(AS$21&lt;&gt;woning,AS$21&lt;&gt;woongebouw,AS$46=""),AND(OR(AS$21=woning,AS$21=woongebouw),AS$47=""),AS$48=""),"nee","ja"))</f>
        <v/>
      </c>
      <c r="AT50" s="776" t="str">
        <f>IF(OR(AT$19="",AT$24=0),"",IF(OR(AT$40="",AT$42="",AND(AT$42&lt;&gt;bibliotheek!$E$51,AT$43=""),AT$44="",AND(AT$21&lt;&gt;woning,AT$21&lt;&gt;woongebouw,AT$45=""),AND(AT$21&lt;&gt;woning,AT$21&lt;&gt;woongebouw,AT$46=""),AND(OR(AT$21=woning,AT$21=woongebouw),AT$47=""),AT$48=""),"nee","ja"))</f>
        <v/>
      </c>
      <c r="AU50" s="776" t="str">
        <f>IF(OR(AU$19="",AU$24=0),"",IF(OR(AU$40="",AU$42="",AND(AU$42&lt;&gt;bibliotheek!$E$51,AU$43=""),AU$44="",AND(AU$21&lt;&gt;woning,AU$21&lt;&gt;woongebouw,AU$45=""),AND(AU$21&lt;&gt;woning,AU$21&lt;&gt;woongebouw,AU$46=""),AND(OR(AU$21=woning,AU$21=woongebouw),AU$47=""),AU$48=""),"nee","ja"))</f>
        <v/>
      </c>
      <c r="AV50" s="777"/>
      <c r="AW50" s="224"/>
      <c r="AX50" s="778"/>
      <c r="AY50" s="776" t="str">
        <f>IF(OR(AY$19="",AY$24=0),"",IF(OR(AY$40="",AY$42="",AND(AY$42&lt;&gt;bibliotheek!$E$51,AY$43=""),AY$44="",AND(AY$21&lt;&gt;woning,AY$21&lt;&gt;woongebouw,AY$45=""),AND(AY$21&lt;&gt;woning,AY$21&lt;&gt;woongebouw,AY$46=""),AND(OR(AY$21=woning,AY$21=woongebouw),AY$47=""),AY$48=""),"nee","ja"))</f>
        <v/>
      </c>
      <c r="AZ50" s="776" t="str">
        <f>IF(OR(AZ$19="",AZ$24=0),"",IF(OR(AZ$40="",AZ$42="",AND(AZ$42&lt;&gt;bibliotheek!$E$51,AZ$43=""),AZ$44="",AND(AZ$21&lt;&gt;woning,AZ$21&lt;&gt;woongebouw,AZ$45=""),AND(AZ$21&lt;&gt;woning,AZ$21&lt;&gt;woongebouw,AZ$46=""),AND(OR(AZ$21=woning,AZ$21=woongebouw),AZ$47=""),AZ$48=""),"nee","ja"))</f>
        <v/>
      </c>
      <c r="BA50" s="776" t="str">
        <f>IF(OR(BA$19="",BA$24=0),"",IF(OR(BA$40="",BA$42="",AND(BA$42&lt;&gt;bibliotheek!$E$51,BA$43=""),BA$44="",AND(BA$21&lt;&gt;woning,BA$21&lt;&gt;woongebouw,BA$45=""),AND(BA$21&lt;&gt;woning,BA$21&lt;&gt;woongebouw,BA$46=""),AND(OR(BA$21=woning,BA$21=woongebouw),BA$47=""),BA$48=""),"nee","ja"))</f>
        <v/>
      </c>
      <c r="BB50" s="776" t="str">
        <f>IF(OR(BB$19="",BB$24=0),"",IF(OR(BB$40="",BB$42="",AND(BB$42&lt;&gt;bibliotheek!$E$51,BB$43=""),BB$44="",AND(BB$21&lt;&gt;woning,BB$21&lt;&gt;woongebouw,BB$45=""),AND(BB$21&lt;&gt;woning,BB$21&lt;&gt;woongebouw,BB$46=""),AND(OR(BB$21=woning,BB$21=woongebouw),BB$47=""),BB$48=""),"nee","ja"))</f>
        <v/>
      </c>
      <c r="BC50" s="776" t="str">
        <f>IF(OR(BC$19="",BC$24=0),"",IF(OR(BC$40="",BC$42="",AND(BC$42&lt;&gt;bibliotheek!$E$51,BC$43=""),BC$44="",AND(BC$21&lt;&gt;woning,BC$21&lt;&gt;woongebouw,BC$45=""),AND(BC$21&lt;&gt;woning,BC$21&lt;&gt;woongebouw,BC$46=""),AND(OR(BC$21=woning,BC$21=woongebouw),BC$47=""),BC$48=""),"nee","ja"))</f>
        <v/>
      </c>
      <c r="BD50" s="776" t="str">
        <f>IF(OR(BD$19="",BD$24=0),"",IF(OR(BD$40="",BD$42="",AND(BD$42&lt;&gt;bibliotheek!$E$51,BD$43=""),BD$44="",AND(BD$21&lt;&gt;woning,BD$21&lt;&gt;woongebouw,BD$45=""),AND(BD$21&lt;&gt;woning,BD$21&lt;&gt;woongebouw,BD$46=""),AND(OR(BD$21=woning,BD$21=woongebouw),BD$47=""),BD$48=""),"nee","ja"))</f>
        <v/>
      </c>
      <c r="BE50" s="776" t="str">
        <f>IF(OR(BE$19="",BE$24=0),"",IF(OR(BE$40="",BE$42="",AND(BE$42&lt;&gt;bibliotheek!$E$51,BE$43=""),BE$44="",AND(BE$21&lt;&gt;woning,BE$21&lt;&gt;woongebouw,BE$45=""),AND(BE$21&lt;&gt;woning,BE$21&lt;&gt;woongebouw,BE$46=""),AND(OR(BE$21=woning,BE$21=woongebouw),BE$47=""),BE$48=""),"nee","ja"))</f>
        <v/>
      </c>
      <c r="BF50" s="776" t="str">
        <f>IF(OR(BF$19="",BF$24=0),"",IF(OR(BF$40="",BF$42="",AND(BF$42&lt;&gt;bibliotheek!$E$51,BF$43=""),BF$44="",AND(BF$21&lt;&gt;woning,BF$21&lt;&gt;woongebouw,BF$45=""),AND(BF$21&lt;&gt;woning,BF$21&lt;&gt;woongebouw,BF$46=""),AND(OR(BF$21=woning,BF$21=woongebouw),BF$47=""),BF$48=""),"nee","ja"))</f>
        <v/>
      </c>
      <c r="BG50" s="776" t="str">
        <f>IF(OR(BG$19="",BG$24=0),"",IF(OR(BG$40="",BG$42="",AND(BG$42&lt;&gt;bibliotheek!$E$51,BG$43=""),BG$44="",AND(BG$21&lt;&gt;woning,BG$21&lt;&gt;woongebouw,BG$45=""),AND(BG$21&lt;&gt;woning,BG$21&lt;&gt;woongebouw,BG$46=""),AND(OR(BG$21=woning,BG$21=woongebouw),BG$47=""),BG$48=""),"nee","ja"))</f>
        <v/>
      </c>
      <c r="BH50" s="261"/>
    </row>
    <row r="51" spans="1:60" ht="18.75" x14ac:dyDescent="0.2">
      <c r="A51" s="653"/>
      <c r="B51" s="492" t="s">
        <v>158</v>
      </c>
      <c r="C51" s="739" t="s">
        <v>104</v>
      </c>
      <c r="D51" s="749"/>
      <c r="E51" s="708" t="s">
        <v>161</v>
      </c>
      <c r="F51" s="167"/>
      <c r="G51" s="167"/>
      <c r="H51" s="89"/>
      <c r="I51" s="169"/>
      <c r="J51" s="170"/>
      <c r="K51" s="142"/>
      <c r="L51" s="142"/>
      <c r="M51" s="186"/>
      <c r="N51" s="186"/>
      <c r="O51" s="186"/>
      <c r="P51" s="186"/>
      <c r="Q51" s="186"/>
      <c r="R51" s="186"/>
      <c r="S51" s="186"/>
      <c r="T51" s="186"/>
      <c r="U51" s="186"/>
      <c r="V51" s="186"/>
      <c r="W51" s="186"/>
      <c r="X51" s="186"/>
      <c r="Y51" s="172"/>
      <c r="Z51" s="172"/>
      <c r="AA51" s="172"/>
      <c r="AB51" s="172"/>
      <c r="AC51" s="172"/>
      <c r="AD51" s="172"/>
      <c r="AE51" s="172"/>
      <c r="AF51" s="172"/>
      <c r="AG51" s="172"/>
      <c r="AH51" s="172"/>
      <c r="AI51" s="172"/>
      <c r="AJ51" s="173"/>
      <c r="AK51" s="172"/>
      <c r="AL51" s="172"/>
      <c r="AM51" s="172"/>
      <c r="AN51" s="172"/>
      <c r="AO51" s="172"/>
      <c r="AP51" s="172"/>
      <c r="AQ51" s="172"/>
      <c r="AR51" s="172"/>
      <c r="AS51" s="172"/>
      <c r="AT51" s="172"/>
      <c r="AU51" s="172"/>
      <c r="AV51" s="173"/>
      <c r="AW51" s="172"/>
      <c r="AX51" s="172"/>
      <c r="AY51" s="172"/>
      <c r="AZ51" s="172"/>
      <c r="BA51" s="172"/>
      <c r="BB51" s="172"/>
      <c r="BC51" s="172"/>
      <c r="BD51" s="172"/>
      <c r="BE51" s="172"/>
      <c r="BF51" s="172"/>
      <c r="BG51" s="172"/>
      <c r="BH51" s="263"/>
    </row>
    <row r="52" spans="1:60" x14ac:dyDescent="0.2">
      <c r="A52" s="655"/>
      <c r="B52" s="492" t="s">
        <v>141</v>
      </c>
      <c r="C52" s="739" t="s">
        <v>127</v>
      </c>
      <c r="D52" s="751"/>
      <c r="E52" s="182" t="s">
        <v>162</v>
      </c>
      <c r="F52" s="182"/>
      <c r="G52" s="182"/>
      <c r="H52" s="183" t="s">
        <v>163</v>
      </c>
      <c r="I52" s="116"/>
      <c r="J52" s="224"/>
      <c r="K52" s="819"/>
      <c r="L52" s="819"/>
      <c r="M52" s="224"/>
      <c r="N52" s="99"/>
      <c r="O52" s="1052" t="str">
        <f ca="1">IF(OR(O$19="",O$40=""),"",
SUMPRODUCT(
OFFSET(bibliotheek!$H$19,0,MATCH(O$19,woningen_gebouwen_namen,0)-1,ROWS(bibliotheek!$I$19:$I$24),1),
OFFSET(bibliotheek!$H$40,0,MATCH(O$40,isolatiepakketten_gebouwschil_namen,0)-1,ROWS(bibliotheek!$I$19:$I$24),1)) /
HLOOKUP(O$19,woningen_gebouwen_gegevens,ROWS(bibliotheek!$E$13:$E$25),FALSE))</f>
        <v/>
      </c>
      <c r="P52" s="1052" t="str">
        <f ca="1">IF(OR(P$19="",P$40=""),"",
SUMPRODUCT(
OFFSET(bibliotheek!$H$19,0,MATCH(P$19,woningen_gebouwen_namen,0)-1,ROWS(bibliotheek!$I$19:$I$24),1),
OFFSET(bibliotheek!$H$40,0,MATCH(P$40,isolatiepakketten_gebouwschil_namen,0)-1,ROWS(bibliotheek!$I$19:$I$24),1)) /
HLOOKUP(P$19,woningen_gebouwen_gegevens,ROWS(bibliotheek!$E$13:$E$25),FALSE))</f>
        <v/>
      </c>
      <c r="Q52" s="1052" t="str">
        <f ca="1">IF(OR(Q$19="",Q$40=""),"",
SUMPRODUCT(
OFFSET(bibliotheek!$H$19,0,MATCH(Q$19,woningen_gebouwen_namen,0)-1,ROWS(bibliotheek!$I$19:$I$24),1),
OFFSET(bibliotheek!$H$40,0,MATCH(Q$40,isolatiepakketten_gebouwschil_namen,0)-1,ROWS(bibliotheek!$I$19:$I$24),1)) /
HLOOKUP(Q$19,woningen_gebouwen_gegevens,ROWS(bibliotheek!$E$13:$E$25),FALSE))</f>
        <v/>
      </c>
      <c r="R52" s="1052" t="str">
        <f ca="1">IF(OR(R$19="",R$40=""),"",
SUMPRODUCT(
OFFSET(bibliotheek!$H$19,0,MATCH(R$19,woningen_gebouwen_namen,0)-1,ROWS(bibliotheek!$I$19:$I$24),1),
OFFSET(bibliotheek!$H$40,0,MATCH(R$40,isolatiepakketten_gebouwschil_namen,0)-1,ROWS(bibliotheek!$I$19:$I$24),1)) /
HLOOKUP(R$19,woningen_gebouwen_gegevens,ROWS(bibliotheek!$E$13:$E$25),FALSE))</f>
        <v/>
      </c>
      <c r="S52" s="1052" t="str">
        <f ca="1">IF(OR(S$19="",S$40=""),"",
SUMPRODUCT(
OFFSET(bibliotheek!$H$19,0,MATCH(S$19,woningen_gebouwen_namen,0)-1,ROWS(bibliotheek!$I$19:$I$24),1),
OFFSET(bibliotheek!$H$40,0,MATCH(S$40,isolatiepakketten_gebouwschil_namen,0)-1,ROWS(bibliotheek!$I$19:$I$24),1)) /
HLOOKUP(S$19,woningen_gebouwen_gegevens,ROWS(bibliotheek!$E$13:$E$25),FALSE))</f>
        <v/>
      </c>
      <c r="T52" s="1052" t="str">
        <f ca="1">IF(OR(T$19="",T$40=""),"",
SUMPRODUCT(
OFFSET(bibliotheek!$H$19,0,MATCH(T$19,woningen_gebouwen_namen,0)-1,ROWS(bibliotheek!$I$19:$I$24),1),
OFFSET(bibliotheek!$H$40,0,MATCH(T$40,isolatiepakketten_gebouwschil_namen,0)-1,ROWS(bibliotheek!$I$19:$I$24),1)) /
HLOOKUP(T$19,woningen_gebouwen_gegevens,ROWS(bibliotheek!$E$13:$E$25),FALSE))</f>
        <v/>
      </c>
      <c r="U52" s="1052" t="str">
        <f ca="1">IF(OR(U$19="",U$40=""),"",
SUMPRODUCT(
OFFSET(bibliotheek!$H$19,0,MATCH(U$19,woningen_gebouwen_namen,0)-1,ROWS(bibliotheek!$I$19:$I$24),1),
OFFSET(bibliotheek!$H$40,0,MATCH(U$40,isolatiepakketten_gebouwschil_namen,0)-1,ROWS(bibliotheek!$I$19:$I$24),1)) /
HLOOKUP(U$19,woningen_gebouwen_gegevens,ROWS(bibliotheek!$E$13:$E$25),FALSE))</f>
        <v/>
      </c>
      <c r="V52" s="1052" t="str">
        <f ca="1">IF(OR(V$19="",V$40=""),"",
SUMPRODUCT(
OFFSET(bibliotheek!$H$19,0,MATCH(V$19,woningen_gebouwen_namen,0)-1,ROWS(bibliotheek!$I$19:$I$24),1),
OFFSET(bibliotheek!$H$40,0,MATCH(V$40,isolatiepakketten_gebouwschil_namen,0)-1,ROWS(bibliotheek!$I$19:$I$24),1)) /
HLOOKUP(V$19,woningen_gebouwen_gegevens,ROWS(bibliotheek!$E$13:$E$25),FALSE))</f>
        <v/>
      </c>
      <c r="W52" s="1052" t="str">
        <f ca="1">IF(OR(W$19="",W$40=""),"",
SUMPRODUCT(
OFFSET(bibliotheek!$H$19,0,MATCH(W$19,woningen_gebouwen_namen,0)-1,ROWS(bibliotheek!$I$19:$I$24),1),
OFFSET(bibliotheek!$H$40,0,MATCH(W$40,isolatiepakketten_gebouwschil_namen,0)-1,ROWS(bibliotheek!$I$19:$I$24),1)) /
HLOOKUP(W$19,woningen_gebouwen_gegevens,ROWS(bibliotheek!$E$13:$E$25),FALSE))</f>
        <v/>
      </c>
      <c r="X52" s="211"/>
      <c r="Y52" s="224"/>
      <c r="Z52" s="236"/>
      <c r="AA52" s="237" t="str">
        <f ca="1">IF(OR(AA$19="",AA$40=""),"",
SUMPRODUCT(
OFFSET(bibliotheek!$H$19,0,MATCH(AA$19,woningen_gebouwen_namen,0)-1,ROWS(bibliotheek!$I$19:$I$24),1),
OFFSET(bibliotheek!$H$40,0,MATCH(AA$40,isolatiepakketten_gebouwschil_namen,0)-1,ROWS(bibliotheek!$I$19:$I$24),1)) /
HLOOKUP(AA$19,woningen_gebouwen_gegevens,ROWS(bibliotheek!$E$13:$E$25),FALSE))</f>
        <v/>
      </c>
      <c r="AB52" s="237" t="str">
        <f ca="1">IF(OR(AB$19="",AB$40=""),"",
SUMPRODUCT(
OFFSET(bibliotheek!$H$19,0,MATCH(AB$19,woningen_gebouwen_namen,0)-1,ROWS(bibliotheek!$I$19:$I$24),1),
OFFSET(bibliotheek!$H$40,0,MATCH(AB$40,isolatiepakketten_gebouwschil_namen,0)-1,ROWS(bibliotheek!$I$19:$I$24),1)) /
HLOOKUP(AB$19,woningen_gebouwen_gegevens,ROWS(bibliotheek!$E$13:$E$25),FALSE))</f>
        <v/>
      </c>
      <c r="AC52" s="237" t="str">
        <f ca="1">IF(OR(AC$19="",AC$40=""),"",
SUMPRODUCT(
OFFSET(bibliotheek!$H$19,0,MATCH(AC$19,woningen_gebouwen_namen,0)-1,ROWS(bibliotheek!$I$19:$I$24),1),
OFFSET(bibliotheek!$H$40,0,MATCH(AC$40,isolatiepakketten_gebouwschil_namen,0)-1,ROWS(bibliotheek!$I$19:$I$24),1)) /
HLOOKUP(AC$19,woningen_gebouwen_gegevens,ROWS(bibliotheek!$E$13:$E$25),FALSE))</f>
        <v/>
      </c>
      <c r="AD52" s="237" t="str">
        <f ca="1">IF(OR(AD$19="",AD$40=""),"",
SUMPRODUCT(
OFFSET(bibliotheek!$H$19,0,MATCH(AD$19,woningen_gebouwen_namen,0)-1,ROWS(bibliotheek!$I$19:$I$24),1),
OFFSET(bibliotheek!$H$40,0,MATCH(AD$40,isolatiepakketten_gebouwschil_namen,0)-1,ROWS(bibliotheek!$I$19:$I$24),1)) /
HLOOKUP(AD$19,woningen_gebouwen_gegevens,ROWS(bibliotheek!$E$13:$E$25),FALSE))</f>
        <v/>
      </c>
      <c r="AE52" s="237" t="str">
        <f ca="1">IF(OR(AE$19="",AE$40=""),"",
SUMPRODUCT(
OFFSET(bibliotheek!$H$19,0,MATCH(AE$19,woningen_gebouwen_namen,0)-1,ROWS(bibliotheek!$I$19:$I$24),1),
OFFSET(bibliotheek!$H$40,0,MATCH(AE$40,isolatiepakketten_gebouwschil_namen,0)-1,ROWS(bibliotheek!$I$19:$I$24),1)) /
HLOOKUP(AE$19,woningen_gebouwen_gegevens,ROWS(bibliotheek!$E$13:$E$25),FALSE))</f>
        <v/>
      </c>
      <c r="AF52" s="237" t="str">
        <f ca="1">IF(OR(AF$19="",AF$40=""),"",
SUMPRODUCT(
OFFSET(bibliotheek!$H$19,0,MATCH(AF$19,woningen_gebouwen_namen,0)-1,ROWS(bibliotheek!$I$19:$I$24),1),
OFFSET(bibliotheek!$H$40,0,MATCH(AF$40,isolatiepakketten_gebouwschil_namen,0)-1,ROWS(bibliotheek!$I$19:$I$24),1)) /
HLOOKUP(AF$19,woningen_gebouwen_gegevens,ROWS(bibliotheek!$E$13:$E$25),FALSE))</f>
        <v/>
      </c>
      <c r="AG52" s="237" t="str">
        <f ca="1">IF(OR(AG$19="",AG$40=""),"",
SUMPRODUCT(
OFFSET(bibliotheek!$H$19,0,MATCH(AG$19,woningen_gebouwen_namen,0)-1,ROWS(bibliotheek!$I$19:$I$24),1),
OFFSET(bibliotheek!$H$40,0,MATCH(AG$40,isolatiepakketten_gebouwschil_namen,0)-1,ROWS(bibliotheek!$I$19:$I$24),1)) /
HLOOKUP(AG$19,woningen_gebouwen_gegevens,ROWS(bibliotheek!$E$13:$E$25),FALSE))</f>
        <v/>
      </c>
      <c r="AH52" s="237" t="str">
        <f ca="1">IF(OR(AH$19="",AH$40=""),"",
SUMPRODUCT(
OFFSET(bibliotheek!$H$19,0,MATCH(AH$19,woningen_gebouwen_namen,0)-1,ROWS(bibliotheek!$I$19:$I$24),1),
OFFSET(bibliotheek!$H$40,0,MATCH(AH$40,isolatiepakketten_gebouwschil_namen,0)-1,ROWS(bibliotheek!$I$19:$I$24),1)) /
HLOOKUP(AH$19,woningen_gebouwen_gegevens,ROWS(bibliotheek!$E$13:$E$25),FALSE))</f>
        <v/>
      </c>
      <c r="AI52" s="237" t="str">
        <f ca="1">IF(OR(AI$19="",AI$40=""),"",
SUMPRODUCT(
OFFSET(bibliotheek!$H$19,0,MATCH(AI$19,woningen_gebouwen_namen,0)-1,ROWS(bibliotheek!$I$19:$I$24),1),
OFFSET(bibliotheek!$H$40,0,MATCH(AI$40,isolatiepakketten_gebouwschil_namen,0)-1,ROWS(bibliotheek!$I$19:$I$24),1)) /
HLOOKUP(AI$19,woningen_gebouwen_gegevens,ROWS(bibliotheek!$E$13:$E$25),FALSE))</f>
        <v/>
      </c>
      <c r="AJ52" s="211"/>
      <c r="AK52" s="224"/>
      <c r="AL52" s="212"/>
      <c r="AM52" s="237" t="str">
        <f ca="1">IF(OR(AM$19="",AM$40=""),"",
SUMPRODUCT(
OFFSET(bibliotheek!$H$19,0,MATCH(AM$19,woningen_gebouwen_namen,0)-1,ROWS(bibliotheek!$I$19:$I$24),1),
OFFSET(bibliotheek!$H$40,0,MATCH(AM$40,isolatiepakketten_gebouwschil_namen,0)-1,ROWS(bibliotheek!$I$19:$I$24),1)) /
HLOOKUP(AM$19,woningen_gebouwen_gegevens,ROWS(bibliotheek!$E$13:$E$25),FALSE))</f>
        <v/>
      </c>
      <c r="AN52" s="237" t="str">
        <f ca="1">IF(OR(AN$19="",AN$40=""),"",
SUMPRODUCT(
OFFSET(bibliotheek!$H$19,0,MATCH(AN$19,woningen_gebouwen_namen,0)-1,ROWS(bibliotheek!$I$19:$I$24),1),
OFFSET(bibliotheek!$H$40,0,MATCH(AN$40,isolatiepakketten_gebouwschil_namen,0)-1,ROWS(bibliotheek!$I$19:$I$24),1)) /
HLOOKUP(AN$19,woningen_gebouwen_gegevens,ROWS(bibliotheek!$E$13:$E$25),FALSE))</f>
        <v/>
      </c>
      <c r="AO52" s="237" t="str">
        <f ca="1">IF(OR(AO$19="",AO$40=""),"",
SUMPRODUCT(
OFFSET(bibliotheek!$H$19,0,MATCH(AO$19,woningen_gebouwen_namen,0)-1,ROWS(bibliotheek!$I$19:$I$24),1),
OFFSET(bibliotheek!$H$40,0,MATCH(AO$40,isolatiepakketten_gebouwschil_namen,0)-1,ROWS(bibliotheek!$I$19:$I$24),1)) /
HLOOKUP(AO$19,woningen_gebouwen_gegevens,ROWS(bibliotheek!$E$13:$E$25),FALSE))</f>
        <v/>
      </c>
      <c r="AP52" s="237" t="str">
        <f ca="1">IF(OR(AP$19="",AP$40=""),"",
SUMPRODUCT(
OFFSET(bibliotheek!$H$19,0,MATCH(AP$19,woningen_gebouwen_namen,0)-1,ROWS(bibliotheek!$I$19:$I$24),1),
OFFSET(bibliotheek!$H$40,0,MATCH(AP$40,isolatiepakketten_gebouwschil_namen,0)-1,ROWS(bibliotheek!$I$19:$I$24),1)) /
HLOOKUP(AP$19,woningen_gebouwen_gegevens,ROWS(bibliotheek!$E$13:$E$25),FALSE))</f>
        <v/>
      </c>
      <c r="AQ52" s="237" t="str">
        <f ca="1">IF(OR(AQ$19="",AQ$40=""),"",
SUMPRODUCT(
OFFSET(bibliotheek!$H$19,0,MATCH(AQ$19,woningen_gebouwen_namen,0)-1,ROWS(bibliotheek!$I$19:$I$24),1),
OFFSET(bibliotheek!$H$40,0,MATCH(AQ$40,isolatiepakketten_gebouwschil_namen,0)-1,ROWS(bibliotheek!$I$19:$I$24),1)) /
HLOOKUP(AQ$19,woningen_gebouwen_gegevens,ROWS(bibliotheek!$E$13:$E$25),FALSE))</f>
        <v/>
      </c>
      <c r="AR52" s="237" t="str">
        <f ca="1">IF(OR(AR$19="",AR$40=""),"",
SUMPRODUCT(
OFFSET(bibliotheek!$H$19,0,MATCH(AR$19,woningen_gebouwen_namen,0)-1,ROWS(bibliotheek!$I$19:$I$24),1),
OFFSET(bibliotheek!$H$40,0,MATCH(AR$40,isolatiepakketten_gebouwschil_namen,0)-1,ROWS(bibliotheek!$I$19:$I$24),1)) /
HLOOKUP(AR$19,woningen_gebouwen_gegevens,ROWS(bibliotheek!$E$13:$E$25),FALSE))</f>
        <v/>
      </c>
      <c r="AS52" s="237" t="str">
        <f ca="1">IF(OR(AS$19="",AS$40=""),"",
SUMPRODUCT(
OFFSET(bibliotheek!$H$19,0,MATCH(AS$19,woningen_gebouwen_namen,0)-1,ROWS(bibliotheek!$I$19:$I$24),1),
OFFSET(bibliotheek!$H$40,0,MATCH(AS$40,isolatiepakketten_gebouwschil_namen,0)-1,ROWS(bibliotheek!$I$19:$I$24),1)) /
HLOOKUP(AS$19,woningen_gebouwen_gegevens,ROWS(bibliotheek!$E$13:$E$25),FALSE))</f>
        <v/>
      </c>
      <c r="AT52" s="237" t="str">
        <f ca="1">IF(OR(AT$19="",AT$40=""),"",
SUMPRODUCT(
OFFSET(bibliotheek!$H$19,0,MATCH(AT$19,woningen_gebouwen_namen,0)-1,ROWS(bibliotheek!$I$19:$I$24),1),
OFFSET(bibliotheek!$H$40,0,MATCH(AT$40,isolatiepakketten_gebouwschil_namen,0)-1,ROWS(bibliotheek!$I$19:$I$24),1)) /
HLOOKUP(AT$19,woningen_gebouwen_gegevens,ROWS(bibliotheek!$E$13:$E$25),FALSE))</f>
        <v/>
      </c>
      <c r="AU52" s="237" t="str">
        <f ca="1">IF(OR(AU$19="",AU$40=""),"",
SUMPRODUCT(
OFFSET(bibliotheek!$H$19,0,MATCH(AU$19,woningen_gebouwen_namen,0)-1,ROWS(bibliotheek!$I$19:$I$24),1),
OFFSET(bibliotheek!$H$40,0,MATCH(AU$40,isolatiepakketten_gebouwschil_namen,0)-1,ROWS(bibliotheek!$I$19:$I$24),1)) /
HLOOKUP(AU$19,woningen_gebouwen_gegevens,ROWS(bibliotheek!$E$13:$E$25),FALSE))</f>
        <v/>
      </c>
      <c r="AV52" s="211"/>
      <c r="AW52" s="224"/>
      <c r="AX52" s="212"/>
      <c r="AY52" s="237" t="str">
        <f ca="1">IF(OR(AY$19="",AY$40=""),"",
SUMPRODUCT(
OFFSET(bibliotheek!$H$19,0,MATCH(AY$19,woningen_gebouwen_namen,0)-1,ROWS(bibliotheek!$I$19:$I$24),1),
OFFSET(bibliotheek!$H$40,0,MATCH(AY$40,isolatiepakketten_gebouwschil_namen,0)-1,ROWS(bibliotheek!$I$19:$I$24),1)) /
HLOOKUP(AY$19,woningen_gebouwen_gegevens,ROWS(bibliotheek!$E$13:$E$25),FALSE))</f>
        <v/>
      </c>
      <c r="AZ52" s="237" t="str">
        <f ca="1">IF(OR(AZ$19="",AZ$40=""),"",
SUMPRODUCT(
OFFSET(bibliotheek!$H$19,0,MATCH(AZ$19,woningen_gebouwen_namen,0)-1,ROWS(bibliotheek!$I$19:$I$24),1),
OFFSET(bibliotheek!$H$40,0,MATCH(AZ$40,isolatiepakketten_gebouwschil_namen,0)-1,ROWS(bibliotheek!$I$19:$I$24),1)) /
HLOOKUP(AZ$19,woningen_gebouwen_gegevens,ROWS(bibliotheek!$E$13:$E$25),FALSE))</f>
        <v/>
      </c>
      <c r="BA52" s="237" t="str">
        <f ca="1">IF(OR(BA$19="",BA$40=""),"",
SUMPRODUCT(
OFFSET(bibliotheek!$H$19,0,MATCH(BA$19,woningen_gebouwen_namen,0)-1,ROWS(bibliotheek!$I$19:$I$24),1),
OFFSET(bibliotheek!$H$40,0,MATCH(BA$40,isolatiepakketten_gebouwschil_namen,0)-1,ROWS(bibliotheek!$I$19:$I$24),1)) /
HLOOKUP(BA$19,woningen_gebouwen_gegevens,ROWS(bibliotheek!$E$13:$E$25),FALSE))</f>
        <v/>
      </c>
      <c r="BB52" s="237" t="str">
        <f ca="1">IF(OR(BB$19="",BB$40=""),"",
SUMPRODUCT(
OFFSET(bibliotheek!$H$19,0,MATCH(BB$19,woningen_gebouwen_namen,0)-1,ROWS(bibliotheek!$I$19:$I$24),1),
OFFSET(bibliotheek!$H$40,0,MATCH(BB$40,isolatiepakketten_gebouwschil_namen,0)-1,ROWS(bibliotheek!$I$19:$I$24),1)) /
HLOOKUP(BB$19,woningen_gebouwen_gegevens,ROWS(bibliotheek!$E$13:$E$25),FALSE))</f>
        <v/>
      </c>
      <c r="BC52" s="237" t="str">
        <f ca="1">IF(OR(BC$19="",BC$40=""),"",
SUMPRODUCT(
OFFSET(bibliotheek!$H$19,0,MATCH(BC$19,woningen_gebouwen_namen,0)-1,ROWS(bibliotheek!$I$19:$I$24),1),
OFFSET(bibliotheek!$H$40,0,MATCH(BC$40,isolatiepakketten_gebouwschil_namen,0)-1,ROWS(bibliotheek!$I$19:$I$24),1)) /
HLOOKUP(BC$19,woningen_gebouwen_gegevens,ROWS(bibliotheek!$E$13:$E$25),FALSE))</f>
        <v/>
      </c>
      <c r="BD52" s="237" t="str">
        <f ca="1">IF(OR(BD$19="",BD$40=""),"",
SUMPRODUCT(
OFFSET(bibliotheek!$H$19,0,MATCH(BD$19,woningen_gebouwen_namen,0)-1,ROWS(bibliotheek!$I$19:$I$24),1),
OFFSET(bibliotheek!$H$40,0,MATCH(BD$40,isolatiepakketten_gebouwschil_namen,0)-1,ROWS(bibliotheek!$I$19:$I$24),1)) /
HLOOKUP(BD$19,woningen_gebouwen_gegevens,ROWS(bibliotheek!$E$13:$E$25),FALSE))</f>
        <v/>
      </c>
      <c r="BE52" s="237" t="str">
        <f ca="1">IF(OR(BE$19="",BE$40=""),"",
SUMPRODUCT(
OFFSET(bibliotheek!$H$19,0,MATCH(BE$19,woningen_gebouwen_namen,0)-1,ROWS(bibliotheek!$I$19:$I$24),1),
OFFSET(bibliotheek!$H$40,0,MATCH(BE$40,isolatiepakketten_gebouwschil_namen,0)-1,ROWS(bibliotheek!$I$19:$I$24),1)) /
HLOOKUP(BE$19,woningen_gebouwen_gegevens,ROWS(bibliotheek!$E$13:$E$25),FALSE))</f>
        <v/>
      </c>
      <c r="BF52" s="237" t="str">
        <f ca="1">IF(OR(BF$19="",BF$40=""),"",
SUMPRODUCT(
OFFSET(bibliotheek!$H$19,0,MATCH(BF$19,woningen_gebouwen_namen,0)-1,ROWS(bibliotheek!$I$19:$I$24),1),
OFFSET(bibliotheek!$H$40,0,MATCH(BF$40,isolatiepakketten_gebouwschil_namen,0)-1,ROWS(bibliotheek!$I$19:$I$24),1)) /
HLOOKUP(BF$19,woningen_gebouwen_gegevens,ROWS(bibliotheek!$E$13:$E$25),FALSE))</f>
        <v/>
      </c>
      <c r="BG52" s="237" t="str">
        <f ca="1">IF(OR(BG$19="",BG$40=""),"",
SUMPRODUCT(
OFFSET(bibliotheek!$H$19,0,MATCH(BG$19,woningen_gebouwen_namen,0)-1,ROWS(bibliotheek!$I$19:$I$24),1),
OFFSET(bibliotheek!$H$40,0,MATCH(BG$40,isolatiepakketten_gebouwschil_namen,0)-1,ROWS(bibliotheek!$I$19:$I$24),1)) /
HLOOKUP(BG$19,woningen_gebouwen_gegevens,ROWS(bibliotheek!$E$13:$E$25),FALSE))</f>
        <v/>
      </c>
      <c r="BH52" s="261"/>
    </row>
    <row r="53" spans="1:60" s="2" customFormat="1" x14ac:dyDescent="0.2">
      <c r="A53" s="927"/>
      <c r="B53" s="741" t="s">
        <v>141</v>
      </c>
      <c r="C53" s="739" t="s">
        <v>127</v>
      </c>
      <c r="D53" s="751" t="s">
        <v>50</v>
      </c>
      <c r="E53" s="316" t="s">
        <v>164</v>
      </c>
      <c r="F53" s="316"/>
      <c r="G53" s="316"/>
      <c r="H53" s="354" t="s">
        <v>70</v>
      </c>
      <c r="I53" s="116"/>
      <c r="J53" s="928"/>
      <c r="K53" s="819"/>
      <c r="L53" s="819"/>
      <c r="M53" s="1056">
        <f>IF(SUMPRODUCT(N32:X32,N60:X60)=0,0,SUMPRODUCT(N53:X53,N32:X32,N60:X60)/SUMPRODUCT(N32:X32,N60:X60))</f>
        <v>0</v>
      </c>
      <c r="N53" s="103"/>
      <c r="O53" s="1053">
        <f t="shared" ref="O53:W53" si="48">IF(OR(O$19="",O$24=0,O$40=""),0,IF($G$6=FALSE,1,IF(O54&lt;&gt;"",O54,O55)))</f>
        <v>0</v>
      </c>
      <c r="P53" s="1053">
        <f t="shared" si="48"/>
        <v>0</v>
      </c>
      <c r="Q53" s="1053">
        <f t="shared" si="48"/>
        <v>0</v>
      </c>
      <c r="R53" s="1053">
        <f t="shared" si="48"/>
        <v>0</v>
      </c>
      <c r="S53" s="1053">
        <f t="shared" si="48"/>
        <v>0</v>
      </c>
      <c r="T53" s="1053">
        <f t="shared" si="48"/>
        <v>0</v>
      </c>
      <c r="U53" s="1053">
        <f t="shared" si="48"/>
        <v>0</v>
      </c>
      <c r="V53" s="1053">
        <f t="shared" si="48"/>
        <v>0</v>
      </c>
      <c r="W53" s="1053">
        <f t="shared" si="48"/>
        <v>0</v>
      </c>
      <c r="X53" s="211"/>
      <c r="Y53" s="1056">
        <f>IF(SUMPRODUCT(Z32:AJ32,Z60:AJ60)=0,0,SUMPRODUCT(Z53:AJ53,Z32:AJ32,Z60:AJ60)/SUMPRODUCT(Z32:AJ32,Z60:AJ60))</f>
        <v>0</v>
      </c>
      <c r="Z53" s="103"/>
      <c r="AA53" s="1052">
        <f t="shared" ref="AA53:AI53" si="49">IF(OR(AA$19="",AA$24=0,AA$40=""),0,IF($G$6=FALSE,1,IF(AA54&lt;&gt;"",AA54,AA55)))</f>
        <v>0</v>
      </c>
      <c r="AB53" s="1052">
        <f t="shared" si="49"/>
        <v>0</v>
      </c>
      <c r="AC53" s="1052">
        <f t="shared" si="49"/>
        <v>0</v>
      </c>
      <c r="AD53" s="1052">
        <f t="shared" si="49"/>
        <v>0</v>
      </c>
      <c r="AE53" s="1052">
        <f t="shared" si="49"/>
        <v>0</v>
      </c>
      <c r="AF53" s="1052">
        <f t="shared" si="49"/>
        <v>0</v>
      </c>
      <c r="AG53" s="1052">
        <f t="shared" si="49"/>
        <v>0</v>
      </c>
      <c r="AH53" s="1052">
        <f t="shared" si="49"/>
        <v>0</v>
      </c>
      <c r="AI53" s="1052">
        <f t="shared" si="49"/>
        <v>0</v>
      </c>
      <c r="AJ53" s="211"/>
      <c r="AK53" s="1056">
        <f>IF(SUMPRODUCT(AL32:AV32,AL60:AV60)=0,0,SUMPRODUCT(AL53:AV53,AL32:AV32,AL60:AV60)/SUMPRODUCT(AL32:AV32,AL60:AV60))</f>
        <v>0</v>
      </c>
      <c r="AL53" s="103"/>
      <c r="AM53" s="1052">
        <f t="shared" ref="AM53:AU53" si="50">IF(OR(AM$19="",AM$24=0,AM$40=""),0,IF($G$6=FALSE,1,IF(AM54&lt;&gt;"",AM54,AM55)))</f>
        <v>0</v>
      </c>
      <c r="AN53" s="1052">
        <f t="shared" si="50"/>
        <v>0</v>
      </c>
      <c r="AO53" s="1052">
        <f t="shared" si="50"/>
        <v>0</v>
      </c>
      <c r="AP53" s="1052">
        <f t="shared" si="50"/>
        <v>0</v>
      </c>
      <c r="AQ53" s="1052">
        <f t="shared" si="50"/>
        <v>0</v>
      </c>
      <c r="AR53" s="1052">
        <f t="shared" si="50"/>
        <v>0</v>
      </c>
      <c r="AS53" s="1052">
        <f t="shared" si="50"/>
        <v>0</v>
      </c>
      <c r="AT53" s="1052">
        <f t="shared" si="50"/>
        <v>0</v>
      </c>
      <c r="AU53" s="1052">
        <f t="shared" si="50"/>
        <v>0</v>
      </c>
      <c r="AV53" s="211"/>
      <c r="AW53" s="1056">
        <f>IF(SUMPRODUCT(AX32:BH32,AX60:BH60)=0,0,SUMPRODUCT(AX53:BH53,AX32:BH32,AX60:BH60)/SUMPRODUCT(AX32:BH32,AX60:BH60))</f>
        <v>0</v>
      </c>
      <c r="AX53" s="103"/>
      <c r="AY53" s="1052">
        <f t="shared" ref="AY53:BG53" si="51">IF(OR(AY$19="",AY$24=0,AY$40=""),0,IF($G$6=FALSE,1,IF(AY54&lt;&gt;"",AY54,AY55)))</f>
        <v>0</v>
      </c>
      <c r="AZ53" s="1052">
        <f t="shared" si="51"/>
        <v>0</v>
      </c>
      <c r="BA53" s="1052">
        <f t="shared" si="51"/>
        <v>0</v>
      </c>
      <c r="BB53" s="1052">
        <f t="shared" si="51"/>
        <v>0</v>
      </c>
      <c r="BC53" s="1052">
        <f t="shared" si="51"/>
        <v>0</v>
      </c>
      <c r="BD53" s="1052">
        <f t="shared" si="51"/>
        <v>0</v>
      </c>
      <c r="BE53" s="1052">
        <f t="shared" si="51"/>
        <v>0</v>
      </c>
      <c r="BF53" s="1052">
        <f t="shared" si="51"/>
        <v>0</v>
      </c>
      <c r="BG53" s="1052">
        <f t="shared" si="51"/>
        <v>0</v>
      </c>
      <c r="BH53" s="261"/>
    </row>
    <row r="54" spans="1:60" s="2" customFormat="1" x14ac:dyDescent="0.2">
      <c r="A54" s="927"/>
      <c r="B54" s="741" t="s">
        <v>141</v>
      </c>
      <c r="C54" s="739" t="s">
        <v>127</v>
      </c>
      <c r="D54" s="748"/>
      <c r="E54" s="455" t="s">
        <v>165</v>
      </c>
      <c r="F54" s="687"/>
      <c r="G54" s="687"/>
      <c r="H54" s="929"/>
      <c r="I54" s="116"/>
      <c r="J54" s="930"/>
      <c r="K54" s="819"/>
      <c r="L54" s="819"/>
      <c r="M54" s="931"/>
      <c r="N54" s="294"/>
      <c r="O54" s="1054"/>
      <c r="P54" s="1054"/>
      <c r="Q54" s="1054"/>
      <c r="R54" s="1054"/>
      <c r="S54" s="1054"/>
      <c r="T54" s="1054"/>
      <c r="U54" s="1054"/>
      <c r="V54" s="1054"/>
      <c r="W54" s="1054"/>
      <c r="X54" s="211"/>
      <c r="Y54" s="931"/>
      <c r="Z54" s="294"/>
      <c r="AA54" s="1054"/>
      <c r="AB54" s="1054"/>
      <c r="AC54" s="1054"/>
      <c r="AD54" s="1054"/>
      <c r="AE54" s="1054"/>
      <c r="AF54" s="1054"/>
      <c r="AG54" s="1054"/>
      <c r="AH54" s="1054"/>
      <c r="AI54" s="1054"/>
      <c r="AJ54" s="211"/>
      <c r="AK54" s="931"/>
      <c r="AL54" s="294"/>
      <c r="AM54" s="1054"/>
      <c r="AN54" s="1054"/>
      <c r="AO54" s="1054"/>
      <c r="AP54" s="1054"/>
      <c r="AQ54" s="1054"/>
      <c r="AR54" s="1054"/>
      <c r="AS54" s="1054"/>
      <c r="AT54" s="1054"/>
      <c r="AU54" s="1054"/>
      <c r="AV54" s="211"/>
      <c r="AW54" s="931"/>
      <c r="AX54" s="294"/>
      <c r="AY54" s="1054"/>
      <c r="AZ54" s="1054"/>
      <c r="BA54" s="1054"/>
      <c r="BB54" s="1054"/>
      <c r="BC54" s="1054"/>
      <c r="BD54" s="1054"/>
      <c r="BE54" s="1054"/>
      <c r="BF54" s="1054"/>
      <c r="BG54" s="1054"/>
      <c r="BH54" s="261"/>
    </row>
    <row r="55" spans="1:60" s="2" customFormat="1" x14ac:dyDescent="0.2">
      <c r="A55" s="927"/>
      <c r="B55" s="741" t="s">
        <v>141</v>
      </c>
      <c r="C55" s="739" t="s">
        <v>127</v>
      </c>
      <c r="D55" s="748"/>
      <c r="E55" s="932" t="s">
        <v>166</v>
      </c>
      <c r="F55" s="933"/>
      <c r="G55" s="933"/>
      <c r="H55" s="934"/>
      <c r="I55" s="935"/>
      <c r="J55" s="936"/>
      <c r="K55" s="937"/>
      <c r="L55" s="937"/>
      <c r="M55" s="938"/>
      <c r="N55" s="718"/>
      <c r="O55" s="1055" t="str" cm="1">
        <f t="array" ref="O55">IF(O24=0,"",ROUND(INDEX(Correctiefactoren,ROWS(bibliotheek!$E$278:$E$279),MATCH(O$21,bibliotheek!$E$278:$U$278,0))*O$52^INDEX(Correctiefactoren,ROWS(bibliotheek!$E$278:$E$280),MATCH(O$21,bibliotheek!$E$278:$U$278,0)),2))</f>
        <v/>
      </c>
      <c r="P55" s="1055" t="str" cm="1">
        <f t="array" ref="P55">IF(P24=0,"",ROUND(INDEX(Correctiefactoren,ROWS(bibliotheek!$E$278:$E$279),MATCH(P$21,bibliotheek!$E$278:$U$278,0))*P$52^INDEX(Correctiefactoren,ROWS(bibliotheek!$E$278:$E$280),MATCH(P$21,bibliotheek!$E$278:$U$278,0)),2))</f>
        <v/>
      </c>
      <c r="Q55" s="1055" t="str" cm="1">
        <f t="array" ref="Q55">IF(Q24=0,"",ROUND(INDEX(Correctiefactoren,ROWS(bibliotheek!$E$278:$E$279),MATCH(Q$21,bibliotheek!$E$278:$U$278,0))*Q$52^INDEX(Correctiefactoren,ROWS(bibliotheek!$E$278:$E$280),MATCH(Q$21,bibliotheek!$E$278:$U$278,0)),2))</f>
        <v/>
      </c>
      <c r="R55" s="1055" t="str" cm="1">
        <f t="array" ref="R55">IF(R24=0,"",ROUND(INDEX(Correctiefactoren,ROWS(bibliotheek!$E$278:$E$279),MATCH(R$21,bibliotheek!$E$278:$U$278,0))*R$52^INDEX(Correctiefactoren,ROWS(bibliotheek!$E$278:$E$280),MATCH(R$21,bibliotheek!$E$278:$U$278,0)),2))</f>
        <v/>
      </c>
      <c r="S55" s="1055" t="str" cm="1">
        <f t="array" ref="S55">IF(S24=0,"",ROUND(INDEX(Correctiefactoren,ROWS(bibliotheek!$E$278:$E$279),MATCH(S$21,bibliotheek!$E$278:$U$278,0))*S$52^INDEX(Correctiefactoren,ROWS(bibliotheek!$E$278:$E$280),MATCH(S$21,bibliotheek!$E$278:$U$278,0)),2))</f>
        <v/>
      </c>
      <c r="T55" s="1055" t="str" cm="1">
        <f t="array" ref="T55">IF(T24=0,"",ROUND(INDEX(Correctiefactoren,ROWS(bibliotheek!$E$278:$E$279),MATCH(T$21,bibliotheek!$E$278:$U$278,0))*T$52^INDEX(Correctiefactoren,ROWS(bibliotheek!$E$278:$E$280),MATCH(T$21,bibliotheek!$E$278:$U$278,0)),2))</f>
        <v/>
      </c>
      <c r="U55" s="1055" t="str" cm="1">
        <f t="array" ref="U55">IF(U24=0,"",ROUND(INDEX(Correctiefactoren,ROWS(bibliotheek!$E$278:$E$279),MATCH(U$21,bibliotheek!$E$278:$U$278,0))*U$52^INDEX(Correctiefactoren,ROWS(bibliotheek!$E$278:$E$280),MATCH(U$21,bibliotheek!$E$278:$U$278,0)),2))</f>
        <v/>
      </c>
      <c r="V55" s="1055" t="str" cm="1">
        <f t="array" ref="V55">IF(V24=0,"",ROUND(INDEX(Correctiefactoren,ROWS(bibliotheek!$E$278:$E$279),MATCH(V$21,bibliotheek!$E$278:$U$278,0))*V$52^INDEX(Correctiefactoren,ROWS(bibliotheek!$E$278:$E$280),MATCH(V$21,bibliotheek!$E$278:$U$278,0)),2))</f>
        <v/>
      </c>
      <c r="W55" s="1055" t="str" cm="1">
        <f t="array" ref="W55">IF(W24=0,"",ROUND(INDEX(Correctiefactoren,ROWS(bibliotheek!$E$278:$E$279),MATCH(W$21,bibliotheek!$E$278:$U$278,0))*W$52^INDEX(Correctiefactoren,ROWS(bibliotheek!$E$278:$E$280),MATCH(W$21,bibliotheek!$E$278:$U$278,0)),2))</f>
        <v/>
      </c>
      <c r="X55" s="939"/>
      <c r="Y55" s="938"/>
      <c r="Z55" s="718"/>
      <c r="AA55" s="1057" t="str" cm="1">
        <f t="array" ref="AA55">IF(AA24=0,"",ROUND(INDEX(Correctiefactoren,ROWS(bibliotheek!$E$278:$E$279),MATCH(AA$21,bibliotheek!$E$278:$U$278,0))*AA$52^INDEX(Correctiefactoren,ROWS(bibliotheek!$E$278:$E$280),MATCH(AA$21,bibliotheek!$E$278:$U$278,0)),2))</f>
        <v/>
      </c>
      <c r="AB55" s="1057" t="str" cm="1">
        <f t="array" ref="AB55">IF(AB24=0,"",ROUND(INDEX(Correctiefactoren,ROWS(bibliotheek!$E$278:$E$279),MATCH(AB$21,bibliotheek!$E$278:$U$278,0))*AB$52^INDEX(Correctiefactoren,ROWS(bibliotheek!$E$278:$E$280),MATCH(AB$21,bibliotheek!$E$278:$U$278,0)),2))</f>
        <v/>
      </c>
      <c r="AC55" s="1057" t="str" cm="1">
        <f t="array" ref="AC55">IF(AC24=0,"",ROUND(INDEX(Correctiefactoren,ROWS(bibliotheek!$E$278:$E$279),MATCH(AC$21,bibliotheek!$E$278:$U$278,0))*AC$52^INDEX(Correctiefactoren,ROWS(bibliotheek!$E$278:$E$280),MATCH(AC$21,bibliotheek!$E$278:$U$278,0)),2))</f>
        <v/>
      </c>
      <c r="AD55" s="1057" t="str" cm="1">
        <f t="array" ref="AD55">IF(AD24=0,"",ROUND(INDEX(Correctiefactoren,ROWS(bibliotheek!$E$278:$E$279),MATCH(AD$21,bibliotheek!$E$278:$U$278,0))*AD$52^INDEX(Correctiefactoren,ROWS(bibliotheek!$E$278:$E$280),MATCH(AD$21,bibliotheek!$E$278:$U$278,0)),2))</f>
        <v/>
      </c>
      <c r="AE55" s="1057" t="str" cm="1">
        <f t="array" ref="AE55">IF(AE24=0,"",ROUND(INDEX(Correctiefactoren,ROWS(bibliotheek!$E$278:$E$279),MATCH(AE$21,bibliotheek!$E$278:$U$278,0))*AE$52^INDEX(Correctiefactoren,ROWS(bibliotheek!$E$278:$E$280),MATCH(AE$21,bibliotheek!$E$278:$U$278,0)),2))</f>
        <v/>
      </c>
      <c r="AF55" s="1057" t="str" cm="1">
        <f t="array" ref="AF55">IF(AF24=0,"",ROUND(INDEX(Correctiefactoren,ROWS(bibliotheek!$E$278:$E$279),MATCH(AF$21,bibliotheek!$E$278:$U$278,0))*AF$52^INDEX(Correctiefactoren,ROWS(bibliotheek!$E$278:$E$280),MATCH(AF$21,bibliotheek!$E$278:$U$278,0)),2))</f>
        <v/>
      </c>
      <c r="AG55" s="1057" t="str" cm="1">
        <f t="array" ref="AG55">IF(AG24=0,"",ROUND(INDEX(Correctiefactoren,ROWS(bibliotheek!$E$278:$E$279),MATCH(AG$21,bibliotheek!$E$278:$U$278,0))*AG$52^INDEX(Correctiefactoren,ROWS(bibliotheek!$E$278:$E$280),MATCH(AG$21,bibliotheek!$E$278:$U$278,0)),2))</f>
        <v/>
      </c>
      <c r="AH55" s="1057" t="str" cm="1">
        <f t="array" ref="AH55">IF(AH24=0,"",ROUND(INDEX(Correctiefactoren,ROWS(bibliotheek!$E$278:$E$279),MATCH(AH$21,bibliotheek!$E$278:$U$278,0))*AH$52^INDEX(Correctiefactoren,ROWS(bibliotheek!$E$278:$E$280),MATCH(AH$21,bibliotheek!$E$278:$U$278,0)),2))</f>
        <v/>
      </c>
      <c r="AI55" s="1057" t="str" cm="1">
        <f t="array" ref="AI55">IF(AI24=0,"",ROUND(INDEX(Correctiefactoren,ROWS(bibliotheek!$E$278:$E$279),MATCH(AI$21,bibliotheek!$E$278:$U$278,0))*AI$52^INDEX(Correctiefactoren,ROWS(bibliotheek!$E$278:$E$280),MATCH(AI$21,bibliotheek!$E$278:$U$278,0)),2))</f>
        <v/>
      </c>
      <c r="AJ55" s="939"/>
      <c r="AK55" s="938"/>
      <c r="AL55" s="718"/>
      <c r="AM55" s="1057" t="str" cm="1">
        <f t="array" ref="AM55">IF(AM24=0,"",ROUND(INDEX(Correctiefactoren,ROWS(bibliotheek!$E$278:$E$279),MATCH(AM$21,bibliotheek!$E$278:$U$278,0))*AM$52^INDEX(Correctiefactoren,ROWS(bibliotheek!$E$278:$E$280),MATCH(AM$21,bibliotheek!$E$278:$U$278,0)),2))</f>
        <v/>
      </c>
      <c r="AN55" s="1057" t="str" cm="1">
        <f t="array" ref="AN55">IF(AN24=0,"",ROUND(INDEX(Correctiefactoren,ROWS(bibliotheek!$E$278:$E$279),MATCH(AN$21,bibliotheek!$E$278:$U$278,0))*AN$52^INDEX(Correctiefactoren,ROWS(bibliotheek!$E$278:$E$280),MATCH(AN$21,bibliotheek!$E$278:$U$278,0)),2))</f>
        <v/>
      </c>
      <c r="AO55" s="1057" t="str" cm="1">
        <f t="array" ref="AO55">IF(AO24=0,"",ROUND(INDEX(Correctiefactoren,ROWS(bibliotheek!$E$278:$E$279),MATCH(AO$21,bibliotheek!$E$278:$U$278,0))*AO$52^INDEX(Correctiefactoren,ROWS(bibliotheek!$E$278:$E$280),MATCH(AO$21,bibliotheek!$E$278:$U$278,0)),2))</f>
        <v/>
      </c>
      <c r="AP55" s="1057" t="str" cm="1">
        <f t="array" ref="AP55">IF(AP24=0,"",ROUND(INDEX(Correctiefactoren,ROWS(bibliotheek!$E$278:$E$279),MATCH(AP$21,bibliotheek!$E$278:$U$278,0))*AP$52^INDEX(Correctiefactoren,ROWS(bibliotheek!$E$278:$E$280),MATCH(AP$21,bibliotheek!$E$278:$U$278,0)),2))</f>
        <v/>
      </c>
      <c r="AQ55" s="1057" t="str" cm="1">
        <f t="array" ref="AQ55">IF(AQ24=0,"",ROUND(INDEX(Correctiefactoren,ROWS(bibliotheek!$E$278:$E$279),MATCH(AQ$21,bibliotheek!$E$278:$U$278,0))*AQ$52^INDEX(Correctiefactoren,ROWS(bibliotheek!$E$278:$E$280),MATCH(AQ$21,bibliotheek!$E$278:$U$278,0)),2))</f>
        <v/>
      </c>
      <c r="AR55" s="1057" t="str" cm="1">
        <f t="array" ref="AR55">IF(AR24=0,"",ROUND(INDEX(Correctiefactoren,ROWS(bibliotheek!$E$278:$E$279),MATCH(AR$21,bibliotheek!$E$278:$U$278,0))*AR$52^INDEX(Correctiefactoren,ROWS(bibliotheek!$E$278:$E$280),MATCH(AR$21,bibliotheek!$E$278:$U$278,0)),2))</f>
        <v/>
      </c>
      <c r="AS55" s="1057" t="str" cm="1">
        <f t="array" ref="AS55">IF(AS24=0,"",ROUND(INDEX(Correctiefactoren,ROWS(bibliotheek!$E$278:$E$279),MATCH(AS$21,bibliotheek!$E$278:$U$278,0))*AS$52^INDEX(Correctiefactoren,ROWS(bibliotheek!$E$278:$E$280),MATCH(AS$21,bibliotheek!$E$278:$U$278,0)),2))</f>
        <v/>
      </c>
      <c r="AT55" s="1057" t="str" cm="1">
        <f t="array" ref="AT55">IF(AT24=0,"",ROUND(INDEX(Correctiefactoren,ROWS(bibliotheek!$E$278:$E$279),MATCH(AT$21,bibliotheek!$E$278:$U$278,0))*AT$52^INDEX(Correctiefactoren,ROWS(bibliotheek!$E$278:$E$280),MATCH(AT$21,bibliotheek!$E$278:$U$278,0)),2))</f>
        <v/>
      </c>
      <c r="AU55" s="1057" t="str" cm="1">
        <f t="array" ref="AU55">IF(AU24=0,"",ROUND(INDEX(Correctiefactoren,ROWS(bibliotheek!$E$278:$E$279),MATCH(AU$21,bibliotheek!$E$278:$U$278,0))*AU$52^INDEX(Correctiefactoren,ROWS(bibliotheek!$E$278:$E$280),MATCH(AU$21,bibliotheek!$E$278:$U$278,0)),2))</f>
        <v/>
      </c>
      <c r="AV55" s="939"/>
      <c r="AW55" s="938"/>
      <c r="AX55" s="718"/>
      <c r="AY55" s="1057" t="str" cm="1">
        <f t="array" ref="AY55">IF(AY24=0,"",ROUND(INDEX(Correctiefactoren,ROWS(bibliotheek!$E$278:$E$279),MATCH(AY$21,bibliotheek!$E$278:$U$278,0))*AY$52^INDEX(Correctiefactoren,ROWS(bibliotheek!$E$278:$E$280),MATCH(AY$21,bibliotheek!$E$278:$U$278,0)),2))</f>
        <v/>
      </c>
      <c r="AZ55" s="1057" t="str" cm="1">
        <f t="array" ref="AZ55">IF(AZ24=0,"",ROUND(INDEX(Correctiefactoren,ROWS(bibliotheek!$E$278:$E$279),MATCH(AZ$21,bibliotheek!$E$278:$U$278,0))*AZ$52^INDEX(Correctiefactoren,ROWS(bibliotheek!$E$278:$E$280),MATCH(AZ$21,bibliotheek!$E$278:$U$278,0)),2))</f>
        <v/>
      </c>
      <c r="BA55" s="1057" t="str" cm="1">
        <f t="array" ref="BA55">IF(BA24=0,"",ROUND(INDEX(Correctiefactoren,ROWS(bibliotheek!$E$278:$E$279),MATCH(BA$21,bibliotheek!$E$278:$U$278,0))*BA$52^INDEX(Correctiefactoren,ROWS(bibliotheek!$E$278:$E$280),MATCH(BA$21,bibliotheek!$E$278:$U$278,0)),2))</f>
        <v/>
      </c>
      <c r="BB55" s="1057" t="str" cm="1">
        <f t="array" ref="BB55">IF(BB24=0,"",ROUND(INDEX(Correctiefactoren,ROWS(bibliotheek!$E$278:$E$279),MATCH(BB$21,bibliotheek!$E$278:$U$278,0))*BB$52^INDEX(Correctiefactoren,ROWS(bibliotheek!$E$278:$E$280),MATCH(BB$21,bibliotheek!$E$278:$U$278,0)),2))</f>
        <v/>
      </c>
      <c r="BC55" s="1057" t="str" cm="1">
        <f t="array" ref="BC55">IF(BC24=0,"",ROUND(INDEX(Correctiefactoren,ROWS(bibliotheek!$E$278:$E$279),MATCH(BC$21,bibliotheek!$E$278:$U$278,0))*BC$52^INDEX(Correctiefactoren,ROWS(bibliotheek!$E$278:$E$280),MATCH(BC$21,bibliotheek!$E$278:$U$278,0)),2))</f>
        <v/>
      </c>
      <c r="BD55" s="1057" t="str" cm="1">
        <f t="array" ref="BD55">IF(BD24=0,"",ROUND(INDEX(Correctiefactoren,ROWS(bibliotheek!$E$278:$E$279),MATCH(BD$21,bibliotheek!$E$278:$U$278,0))*BD$52^INDEX(Correctiefactoren,ROWS(bibliotheek!$E$278:$E$280),MATCH(BD$21,bibliotheek!$E$278:$U$278,0)),2))</f>
        <v/>
      </c>
      <c r="BE55" s="1057" t="str" cm="1">
        <f t="array" ref="BE55">IF(BE24=0,"",ROUND(INDEX(Correctiefactoren,ROWS(bibliotheek!$E$278:$E$279),MATCH(BE$21,bibliotheek!$E$278:$U$278,0))*BE$52^INDEX(Correctiefactoren,ROWS(bibliotheek!$E$278:$E$280),MATCH(BE$21,bibliotheek!$E$278:$U$278,0)),2))</f>
        <v/>
      </c>
      <c r="BF55" s="1057" t="str" cm="1">
        <f t="array" ref="BF55">IF(BF24=0,"",ROUND(INDEX(Correctiefactoren,ROWS(bibliotheek!$E$278:$E$279),MATCH(BF$21,bibliotheek!$E$278:$U$278,0))*BF$52^INDEX(Correctiefactoren,ROWS(bibliotheek!$E$278:$E$280),MATCH(BF$21,bibliotheek!$E$278:$U$278,0)),2))</f>
        <v/>
      </c>
      <c r="BG55" s="1057" t="str" cm="1">
        <f t="array" ref="BG55">IF(BG24=0,"",ROUND(INDEX(Correctiefactoren,ROWS(bibliotheek!$E$278:$E$279),MATCH(BG$21,bibliotheek!$E$278:$U$278,0))*BG$52^INDEX(Correctiefactoren,ROWS(bibliotheek!$E$278:$E$280),MATCH(BG$21,bibliotheek!$E$278:$U$278,0)),2))</f>
        <v/>
      </c>
      <c r="BH55" s="261"/>
    </row>
    <row r="56" spans="1:60" x14ac:dyDescent="0.2">
      <c r="A56" s="653"/>
      <c r="B56" s="492" t="s">
        <v>158</v>
      </c>
      <c r="C56" s="656" t="s">
        <v>104</v>
      </c>
      <c r="D56" s="747"/>
      <c r="E56" s="90"/>
      <c r="F56" s="90"/>
      <c r="G56" s="90"/>
      <c r="H56" s="96"/>
      <c r="I56" s="116"/>
      <c r="J56" s="93"/>
      <c r="K56" s="819"/>
      <c r="L56" s="819"/>
      <c r="M56" s="93"/>
      <c r="N56" s="93"/>
      <c r="O56" s="93"/>
      <c r="P56" s="93"/>
      <c r="Q56" s="93"/>
      <c r="R56" s="93"/>
      <c r="S56" s="93"/>
      <c r="T56" s="93"/>
      <c r="U56" s="93"/>
      <c r="V56" s="93"/>
      <c r="W56" s="93"/>
      <c r="X56" s="93"/>
      <c r="Y56" s="93"/>
      <c r="Z56" s="90"/>
      <c r="AA56" s="93"/>
      <c r="AB56" s="93"/>
      <c r="AC56" s="93"/>
      <c r="AD56" s="93"/>
      <c r="AE56" s="93"/>
      <c r="AF56" s="93"/>
      <c r="AG56" s="93"/>
      <c r="AH56" s="93"/>
      <c r="AI56" s="93"/>
      <c r="AJ56" s="93"/>
      <c r="AK56" s="93"/>
      <c r="AL56" s="90"/>
      <c r="AM56" s="93"/>
      <c r="AN56" s="93"/>
      <c r="AO56" s="93"/>
      <c r="AP56" s="93"/>
      <c r="AQ56" s="93"/>
      <c r="AR56" s="93"/>
      <c r="AS56" s="93"/>
      <c r="AT56" s="93"/>
      <c r="AU56" s="93"/>
      <c r="AV56" s="93"/>
      <c r="AW56" s="93"/>
      <c r="AX56" s="90"/>
      <c r="AY56" s="93"/>
      <c r="AZ56" s="93"/>
      <c r="BA56" s="93"/>
      <c r="BB56" s="93"/>
      <c r="BC56" s="93"/>
      <c r="BD56" s="93"/>
      <c r="BE56" s="93"/>
      <c r="BF56" s="93"/>
      <c r="BG56" s="93"/>
      <c r="BH56" s="1"/>
    </row>
    <row r="57" spans="1:60" x14ac:dyDescent="0.2">
      <c r="A57" s="653"/>
      <c r="B57" s="492" t="s">
        <v>158</v>
      </c>
      <c r="C57" s="739" t="s">
        <v>104</v>
      </c>
      <c r="D57" s="747"/>
      <c r="E57" s="90"/>
      <c r="F57" s="90"/>
      <c r="G57" s="90"/>
      <c r="H57" s="96"/>
      <c r="I57" s="90"/>
      <c r="J57" s="93"/>
      <c r="K57" s="90"/>
      <c r="L57" s="90"/>
      <c r="M57" s="93"/>
      <c r="N57" s="93"/>
      <c r="O57" s="93"/>
      <c r="P57" s="93"/>
      <c r="Q57" s="93"/>
      <c r="R57" s="93"/>
      <c r="S57" s="93"/>
      <c r="T57" s="93"/>
      <c r="U57" s="93"/>
      <c r="V57" s="93"/>
      <c r="W57" s="93"/>
      <c r="X57" s="93"/>
      <c r="Y57" s="93"/>
      <c r="Z57" s="90"/>
      <c r="AA57" s="93"/>
      <c r="AB57" s="93"/>
      <c r="AC57" s="93"/>
      <c r="AD57" s="93"/>
      <c r="AE57" s="93"/>
      <c r="AF57" s="93"/>
      <c r="AG57" s="93"/>
      <c r="AH57" s="93"/>
      <c r="AI57" s="93"/>
      <c r="AJ57" s="93"/>
      <c r="AK57" s="93"/>
      <c r="AL57" s="90"/>
      <c r="AM57" s="93"/>
      <c r="AN57" s="93"/>
      <c r="AO57" s="93"/>
      <c r="AP57" s="93"/>
      <c r="AQ57" s="93"/>
      <c r="AR57" s="93"/>
      <c r="AS57" s="93"/>
      <c r="AT57" s="93"/>
      <c r="AU57" s="93"/>
      <c r="AV57" s="93"/>
      <c r="AW57" s="93"/>
      <c r="AX57" s="90"/>
      <c r="AY57" s="93"/>
      <c r="AZ57" s="93"/>
      <c r="BA57" s="93"/>
      <c r="BB57" s="93"/>
      <c r="BC57" s="93"/>
      <c r="BD57" s="93"/>
      <c r="BE57" s="93"/>
      <c r="BF57" s="93"/>
      <c r="BG57" s="93"/>
      <c r="BH57" s="1"/>
    </row>
    <row r="58" spans="1:60" s="2" customFormat="1" ht="21" x14ac:dyDescent="0.2">
      <c r="A58" s="654"/>
      <c r="B58" s="492" t="s">
        <v>158</v>
      </c>
      <c r="C58" s="739" t="s">
        <v>104</v>
      </c>
      <c r="D58" s="749"/>
      <c r="E58" s="253" t="s">
        <v>167</v>
      </c>
      <c r="F58" s="253"/>
      <c r="G58" s="253"/>
      <c r="H58" s="253"/>
      <c r="I58" s="146"/>
      <c r="J58" s="318" t="str">
        <f>J$10&amp;" MWh"</f>
        <v>totaal MWh</v>
      </c>
      <c r="K58" s="142"/>
      <c r="L58" s="142"/>
      <c r="M58" s="319" t="str">
        <f>M$10&amp;" MWh"</f>
        <v>totaal MWh</v>
      </c>
      <c r="N58" s="234"/>
      <c r="O58" s="320" t="str">
        <f t="shared" ref="O58:W58" si="52">O$17</f>
        <v/>
      </c>
      <c r="P58" s="320" t="str">
        <f t="shared" si="52"/>
        <v/>
      </c>
      <c r="Q58" s="320" t="str">
        <f t="shared" si="52"/>
        <v/>
      </c>
      <c r="R58" s="320" t="str">
        <f t="shared" si="52"/>
        <v/>
      </c>
      <c r="S58" s="320" t="str">
        <f t="shared" si="52"/>
        <v/>
      </c>
      <c r="T58" s="320" t="str">
        <f t="shared" si="52"/>
        <v/>
      </c>
      <c r="U58" s="320" t="str">
        <f t="shared" si="52"/>
        <v/>
      </c>
      <c r="V58" s="320" t="str">
        <f t="shared" si="52"/>
        <v/>
      </c>
      <c r="W58" s="320" t="str">
        <f t="shared" si="52"/>
        <v/>
      </c>
      <c r="X58" s="214"/>
      <c r="Y58" s="319" t="str">
        <f>Y$10&amp;" MWh"</f>
        <v>totaal MWh</v>
      </c>
      <c r="Z58" s="234"/>
      <c r="AA58" s="320" t="str">
        <f t="shared" ref="AA58:AI58" si="53">AA$17</f>
        <v/>
      </c>
      <c r="AB58" s="320" t="str">
        <f t="shared" si="53"/>
        <v/>
      </c>
      <c r="AC58" s="320" t="str">
        <f t="shared" si="53"/>
        <v/>
      </c>
      <c r="AD58" s="320" t="str">
        <f t="shared" si="53"/>
        <v/>
      </c>
      <c r="AE58" s="320" t="str">
        <f t="shared" si="53"/>
        <v/>
      </c>
      <c r="AF58" s="320" t="str">
        <f t="shared" si="53"/>
        <v/>
      </c>
      <c r="AG58" s="320" t="str">
        <f t="shared" si="53"/>
        <v/>
      </c>
      <c r="AH58" s="320" t="str">
        <f t="shared" si="53"/>
        <v/>
      </c>
      <c r="AI58" s="320" t="str">
        <f t="shared" si="53"/>
        <v/>
      </c>
      <c r="AJ58" s="214"/>
      <c r="AK58" s="319" t="str">
        <f>AK$10&amp;" MWh"</f>
        <v>totaal MWh</v>
      </c>
      <c r="AL58" s="234"/>
      <c r="AM58" s="320" t="str">
        <f>AM$17</f>
        <v/>
      </c>
      <c r="AN58" s="320" t="str">
        <f t="shared" ref="AN58:AU58" si="54">AN$17</f>
        <v/>
      </c>
      <c r="AO58" s="320" t="str">
        <f t="shared" si="54"/>
        <v/>
      </c>
      <c r="AP58" s="320" t="str">
        <f t="shared" si="54"/>
        <v/>
      </c>
      <c r="AQ58" s="320" t="str">
        <f t="shared" si="54"/>
        <v/>
      </c>
      <c r="AR58" s="320" t="str">
        <f t="shared" si="54"/>
        <v/>
      </c>
      <c r="AS58" s="320" t="str">
        <f t="shared" si="54"/>
        <v/>
      </c>
      <c r="AT58" s="320" t="str">
        <f t="shared" si="54"/>
        <v/>
      </c>
      <c r="AU58" s="320" t="str">
        <f t="shared" si="54"/>
        <v/>
      </c>
      <c r="AV58" s="214"/>
      <c r="AW58" s="319" t="str">
        <f>AW$10&amp;" MWh"</f>
        <v>totaal MWh</v>
      </c>
      <c r="AX58" s="234"/>
      <c r="AY58" s="320" t="str">
        <f>AY$17</f>
        <v/>
      </c>
      <c r="AZ58" s="320" t="str">
        <f t="shared" ref="AZ58:BG58" si="55">AZ$17</f>
        <v/>
      </c>
      <c r="BA58" s="320" t="str">
        <f t="shared" si="55"/>
        <v/>
      </c>
      <c r="BB58" s="320" t="str">
        <f t="shared" si="55"/>
        <v/>
      </c>
      <c r="BC58" s="320" t="str">
        <f t="shared" si="55"/>
        <v/>
      </c>
      <c r="BD58" s="320" t="str">
        <f t="shared" si="55"/>
        <v/>
      </c>
      <c r="BE58" s="320" t="str">
        <f t="shared" si="55"/>
        <v/>
      </c>
      <c r="BF58" s="320" t="str">
        <f t="shared" si="55"/>
        <v/>
      </c>
      <c r="BG58" s="320" t="str">
        <f t="shared" si="55"/>
        <v/>
      </c>
      <c r="BH58" s="1"/>
    </row>
    <row r="59" spans="1:60" ht="18.75" x14ac:dyDescent="0.2">
      <c r="A59" s="653"/>
      <c r="B59" s="492" t="s">
        <v>158</v>
      </c>
      <c r="C59" s="739" t="s">
        <v>104</v>
      </c>
      <c r="D59" s="749"/>
      <c r="E59" s="708" t="s">
        <v>168</v>
      </c>
      <c r="F59" s="167"/>
      <c r="G59" s="167"/>
      <c r="H59" s="89"/>
      <c r="I59" s="169"/>
      <c r="J59" s="170"/>
      <c r="K59" s="142"/>
      <c r="L59" s="142"/>
      <c r="M59" s="186"/>
      <c r="N59" s="186"/>
      <c r="O59" s="186"/>
      <c r="P59" s="186"/>
      <c r="Q59" s="186"/>
      <c r="R59" s="186"/>
      <c r="S59" s="186"/>
      <c r="T59" s="186"/>
      <c r="U59" s="186"/>
      <c r="V59" s="186"/>
      <c r="W59" s="186"/>
      <c r="X59" s="173"/>
      <c r="Y59" s="172"/>
      <c r="Z59" s="172"/>
      <c r="AA59" s="172"/>
      <c r="AB59" s="172"/>
      <c r="AC59" s="172"/>
      <c r="AD59" s="172"/>
      <c r="AE59" s="172"/>
      <c r="AF59" s="172"/>
      <c r="AG59" s="172"/>
      <c r="AH59" s="172"/>
      <c r="AI59" s="172"/>
      <c r="AJ59" s="173"/>
      <c r="AK59" s="172"/>
      <c r="AL59" s="172"/>
      <c r="AM59" s="172"/>
      <c r="AN59" s="172"/>
      <c r="AO59" s="172"/>
      <c r="AP59" s="172"/>
      <c r="AQ59" s="172"/>
      <c r="AR59" s="172"/>
      <c r="AS59" s="172"/>
      <c r="AT59" s="172"/>
      <c r="AU59" s="172"/>
      <c r="AV59" s="173"/>
      <c r="AW59" s="172"/>
      <c r="AX59" s="172"/>
      <c r="AY59" s="172"/>
      <c r="AZ59" s="172"/>
      <c r="BA59" s="172"/>
      <c r="BB59" s="172"/>
      <c r="BC59" s="172"/>
      <c r="BD59" s="172"/>
      <c r="BE59" s="172"/>
      <c r="BF59" s="172"/>
      <c r="BG59" s="172"/>
      <c r="BH59" s="263"/>
    </row>
    <row r="60" spans="1:60" x14ac:dyDescent="0.2">
      <c r="A60" s="653"/>
      <c r="B60" s="492" t="s">
        <v>158</v>
      </c>
      <c r="C60" s="656" t="s">
        <v>113</v>
      </c>
      <c r="D60" s="750" t="s">
        <v>50</v>
      </c>
      <c r="E60" s="482" t="str">
        <f>$O$10</f>
        <v>verwarming</v>
      </c>
      <c r="F60" s="359"/>
      <c r="G60" s="359"/>
      <c r="H60" s="358" t="s">
        <v>169</v>
      </c>
      <c r="I60" s="321"/>
      <c r="J60" s="323">
        <f t="shared" ref="J60:J66" si="56">M60+Y60+AK60+AW60</f>
        <v>0</v>
      </c>
      <c r="K60" s="142"/>
      <c r="L60" s="142"/>
      <c r="M60" s="323">
        <f t="shared" ref="M60:M66" si="57">SUMPRODUCT(N$24:X$24,N$31:X$31,N60:X60)/1000</f>
        <v>0</v>
      </c>
      <c r="N60" s="321"/>
      <c r="O60" s="322">
        <f t="shared" ref="O60:W60" si="58">IF(OR(O$19="",O$40="",O$42=""),0,O$53*MAX(warmtebehoefte_verwarming_ondergrens,
VLOOKUP(O$42,warmtebehoefte_verwarming_snijpunt,MATCH(O$21,warmtebehoefte_verwarming_gebruiksfuncties,0),FALSE)+
VLOOKUP(O$42,warmtebehoefte_verwarming_C,MATCH(O$21,warmtebehoefte_verwarming_gebruiksfuncties,0),FALSE)*
O$52*O$34^VLOOKUP(O$42,warmtebehoefte_verwarming_n,MATCH(O$21,warmtebehoefte_verwarming_gebruiksfuncties,0),FALSE)))</f>
        <v>0</v>
      </c>
      <c r="P60" s="322">
        <f t="shared" si="58"/>
        <v>0</v>
      </c>
      <c r="Q60" s="322">
        <f t="shared" si="58"/>
        <v>0</v>
      </c>
      <c r="R60" s="322">
        <f t="shared" si="58"/>
        <v>0</v>
      </c>
      <c r="S60" s="322">
        <f t="shared" si="58"/>
        <v>0</v>
      </c>
      <c r="T60" s="322">
        <f t="shared" si="58"/>
        <v>0</v>
      </c>
      <c r="U60" s="322">
        <f t="shared" si="58"/>
        <v>0</v>
      </c>
      <c r="V60" s="322">
        <f t="shared" si="58"/>
        <v>0</v>
      </c>
      <c r="W60" s="322">
        <f t="shared" si="58"/>
        <v>0</v>
      </c>
      <c r="X60" s="142"/>
      <c r="Y60" s="323">
        <f t="shared" ref="Y60:Y66" si="59">SUMPRODUCT(Z$24:AJ$24,Z$31:AJ$31,Z60:AJ60)/1000</f>
        <v>0</v>
      </c>
      <c r="Z60" s="321"/>
      <c r="AA60" s="322">
        <f t="shared" ref="AA60:AI60" si="60">IF(OR(AA$19="",AA$40="",AA$42=""),0,AA$53*MAX(warmtebehoefte_verwarming_ondergrens,
VLOOKUP(AA$42,warmtebehoefte_verwarming_snijpunt,MATCH(AA$21,warmtebehoefte_verwarming_gebruiksfuncties,0),FALSE)+
VLOOKUP(AA$42,warmtebehoefte_verwarming_C,MATCH(AA$21,warmtebehoefte_verwarming_gebruiksfuncties,0),FALSE)*
AA$52*AA$34^VLOOKUP(AA$42,warmtebehoefte_verwarming_n,MATCH(AA$21,warmtebehoefte_verwarming_gebruiksfuncties,0),FALSE)))</f>
        <v>0</v>
      </c>
      <c r="AB60" s="322">
        <f t="shared" si="60"/>
        <v>0</v>
      </c>
      <c r="AC60" s="322">
        <f t="shared" si="60"/>
        <v>0</v>
      </c>
      <c r="AD60" s="322">
        <f t="shared" si="60"/>
        <v>0</v>
      </c>
      <c r="AE60" s="322">
        <f t="shared" si="60"/>
        <v>0</v>
      </c>
      <c r="AF60" s="322">
        <f t="shared" si="60"/>
        <v>0</v>
      </c>
      <c r="AG60" s="322">
        <f t="shared" si="60"/>
        <v>0</v>
      </c>
      <c r="AH60" s="322">
        <f t="shared" si="60"/>
        <v>0</v>
      </c>
      <c r="AI60" s="322">
        <f t="shared" si="60"/>
        <v>0</v>
      </c>
      <c r="AJ60" s="142"/>
      <c r="AK60" s="323">
        <f t="shared" ref="AK60:AK66" si="61">SUMPRODUCT(AL$24:AV$24,AL$31:AV$31,AL60:AV60)/1000</f>
        <v>0</v>
      </c>
      <c r="AL60" s="321"/>
      <c r="AM60" s="322">
        <f t="shared" ref="AM60:AU60" si="62">IF(OR(AM$19="",AM$40="",AM$42=""),0,AM$53*MAX(warmtebehoefte_verwarming_ondergrens,
VLOOKUP(AM$42,warmtebehoefte_verwarming_snijpunt,MATCH(AM$21,warmtebehoefte_verwarming_gebruiksfuncties,0),FALSE)+
VLOOKUP(AM$42,warmtebehoefte_verwarming_C,MATCH(AM$21,warmtebehoefte_verwarming_gebruiksfuncties,0),FALSE)*
AM$52*AM$34^VLOOKUP(AM$42,warmtebehoefte_verwarming_n,MATCH(AM$21,warmtebehoefte_verwarming_gebruiksfuncties,0),FALSE)))</f>
        <v>0</v>
      </c>
      <c r="AN60" s="322">
        <f t="shared" si="62"/>
        <v>0</v>
      </c>
      <c r="AO60" s="322">
        <f t="shared" si="62"/>
        <v>0</v>
      </c>
      <c r="AP60" s="322">
        <f t="shared" si="62"/>
        <v>0</v>
      </c>
      <c r="AQ60" s="322">
        <f t="shared" si="62"/>
        <v>0</v>
      </c>
      <c r="AR60" s="322">
        <f t="shared" si="62"/>
        <v>0</v>
      </c>
      <c r="AS60" s="322">
        <f t="shared" si="62"/>
        <v>0</v>
      </c>
      <c r="AT60" s="322">
        <f t="shared" si="62"/>
        <v>0</v>
      </c>
      <c r="AU60" s="322">
        <f t="shared" si="62"/>
        <v>0</v>
      </c>
      <c r="AV60" s="142"/>
      <c r="AW60" s="323">
        <f t="shared" ref="AW60:AW66" si="63">SUMPRODUCT(AX$24:BH$24,AX$31:BH$31,AX60:BH60)/1000</f>
        <v>0</v>
      </c>
      <c r="AX60" s="321"/>
      <c r="AY60" s="322">
        <f t="shared" ref="AY60:BG60" si="64">IF(OR(AY$19="",AY$40="",AY$42=""),0,AY$53*MAX(warmtebehoefte_verwarming_ondergrens,
VLOOKUP(AY$42,warmtebehoefte_verwarming_snijpunt,MATCH(AY$21,warmtebehoefte_verwarming_gebruiksfuncties,0),FALSE)+
VLOOKUP(AY$42,warmtebehoefte_verwarming_C,MATCH(AY$21,warmtebehoefte_verwarming_gebruiksfuncties,0),FALSE)*
AY$52*AY$34^VLOOKUP(AY$42,warmtebehoefte_verwarming_n,MATCH(AY$21,warmtebehoefte_verwarming_gebruiksfuncties,0),FALSE)))</f>
        <v>0</v>
      </c>
      <c r="AZ60" s="322">
        <f t="shared" si="64"/>
        <v>0</v>
      </c>
      <c r="BA60" s="322">
        <f t="shared" si="64"/>
        <v>0</v>
      </c>
      <c r="BB60" s="322">
        <f t="shared" si="64"/>
        <v>0</v>
      </c>
      <c r="BC60" s="322">
        <f t="shared" si="64"/>
        <v>0</v>
      </c>
      <c r="BD60" s="322">
        <f t="shared" si="64"/>
        <v>0</v>
      </c>
      <c r="BE60" s="322">
        <f t="shared" si="64"/>
        <v>0</v>
      </c>
      <c r="BF60" s="322">
        <f t="shared" si="64"/>
        <v>0</v>
      </c>
      <c r="BG60" s="322">
        <f t="shared" si="64"/>
        <v>0</v>
      </c>
      <c r="BH60" s="255"/>
    </row>
    <row r="61" spans="1:60" x14ac:dyDescent="0.2">
      <c r="A61" s="653"/>
      <c r="B61" s="492" t="s">
        <v>158</v>
      </c>
      <c r="C61" s="656" t="s">
        <v>113</v>
      </c>
      <c r="D61" s="750" t="s">
        <v>50</v>
      </c>
      <c r="E61" s="358" t="str">
        <f>$P$10</f>
        <v>koeling</v>
      </c>
      <c r="F61" s="359"/>
      <c r="G61" s="359"/>
      <c r="H61" s="358" t="s">
        <v>169</v>
      </c>
      <c r="I61" s="321"/>
      <c r="J61" s="323">
        <f t="shared" si="56"/>
        <v>0</v>
      </c>
      <c r="K61" s="142"/>
      <c r="L61" s="142"/>
      <c r="M61" s="323">
        <f t="shared" si="57"/>
        <v>0</v>
      </c>
      <c r="N61" s="321"/>
      <c r="O61" s="322">
        <f t="shared" ref="O61:W61" si="65">IF(OR(O$19="",O$40="",O$42=""),0,MAX(koudebehoefte_koeling_ondergrens,
VLOOKUP(O$42,koudebehoefte_snijpunt,MATCH(O$21,warmtebehoefte_verwarming_gebruiksfuncties,0),FALSE)
+VLOOKUP(O$42,koudebehoefte_C1,MATCH(O$21,warmtebehoefte_verwarming_gebruiksfuncties,0),FALSE)
*O$31^VLOOKUP(O$42,koudebehoefte_n1,MATCH(O$21,warmtebehoefte_verwarming_gebruiksfuncties,0),FALSE)
+VLOOKUP(O$42,koudebehoefte_C2,MATCH(O$21,warmtebehoefte_verwarming_gebruiksfuncties,0),FALSE)
*O$34^VLOOKUP(O$42,koudebehoefte_n2,MATCH(O$21,warmtebehoefte_verwarming_gebruiksfuncties,0),FALSE)
+VLOOKUP(O$42,koudebehoefte_C3,MATCH(O$21,warmtebehoefte_verwarming_gebruiksfuncties,0),FALSE)
*O$52^VLOOKUP(O$42,koudebehoefte_n3,MATCH(O$21,warmtebehoefte_verwarming_gebruiksfuncties,0),FALSE)
+VLOOKUP(O$42,koudebehoefte_C4,MATCH(O$21,warmtebehoefte_verwarming_gebruiksfuncties,0),FALSE)
*O$35^VLOOKUP(O$42,koudebehoefte_n4,MATCH(O$21,warmtebehoefte_verwarming_gebruiksfuncties,0),FALSE)))</f>
        <v>0</v>
      </c>
      <c r="P61" s="322">
        <f t="shared" si="65"/>
        <v>0</v>
      </c>
      <c r="Q61" s="322">
        <f t="shared" si="65"/>
        <v>0</v>
      </c>
      <c r="R61" s="322">
        <f t="shared" si="65"/>
        <v>0</v>
      </c>
      <c r="S61" s="322">
        <f t="shared" si="65"/>
        <v>0</v>
      </c>
      <c r="T61" s="322">
        <f t="shared" si="65"/>
        <v>0</v>
      </c>
      <c r="U61" s="322">
        <f t="shared" si="65"/>
        <v>0</v>
      </c>
      <c r="V61" s="322">
        <f t="shared" si="65"/>
        <v>0</v>
      </c>
      <c r="W61" s="322">
        <f t="shared" si="65"/>
        <v>0</v>
      </c>
      <c r="X61" s="142"/>
      <c r="Y61" s="323">
        <f t="shared" si="59"/>
        <v>0</v>
      </c>
      <c r="Z61" s="321"/>
      <c r="AA61" s="322">
        <f t="shared" ref="AA61:AI61" si="66">IF(OR(AA$19="",AA$40="",AA$42=""),0,MAX(koudebehoefte_koeling_ondergrens,
VLOOKUP(AA$42,koudebehoefte_snijpunt,MATCH(AA$21,warmtebehoefte_verwarming_gebruiksfuncties,0),FALSE)
+VLOOKUP(AA$42,koudebehoefte_C1,MATCH(AA$21,warmtebehoefte_verwarming_gebruiksfuncties,0),FALSE)
*AA$31^VLOOKUP(AA$42,koudebehoefte_n1,MATCH(AA$21,warmtebehoefte_verwarming_gebruiksfuncties,0),FALSE)
+VLOOKUP(AA$42,koudebehoefte_C2,MATCH(AA$21,warmtebehoefte_verwarming_gebruiksfuncties,0),FALSE)
*AA$34^VLOOKUP(AA$42,koudebehoefte_n2,MATCH(AA$21,warmtebehoefte_verwarming_gebruiksfuncties,0),FALSE)
+VLOOKUP(AA$42,koudebehoefte_C3,MATCH(AA$21,warmtebehoefte_verwarming_gebruiksfuncties,0),FALSE)
*AA$52^VLOOKUP(AA$42,koudebehoefte_n3,MATCH(AA$21,warmtebehoefte_verwarming_gebruiksfuncties,0),FALSE)
+VLOOKUP(AA$42,koudebehoefte_C4,MATCH(AA$21,warmtebehoefte_verwarming_gebruiksfuncties,0),FALSE)
*AA$35^VLOOKUP(AA$42,koudebehoefte_n4,MATCH(AA$21,warmtebehoefte_verwarming_gebruiksfuncties,0),FALSE)))</f>
        <v>0</v>
      </c>
      <c r="AB61" s="322">
        <f t="shared" si="66"/>
        <v>0</v>
      </c>
      <c r="AC61" s="322">
        <f t="shared" si="66"/>
        <v>0</v>
      </c>
      <c r="AD61" s="322">
        <f t="shared" si="66"/>
        <v>0</v>
      </c>
      <c r="AE61" s="322">
        <f t="shared" si="66"/>
        <v>0</v>
      </c>
      <c r="AF61" s="322">
        <f t="shared" si="66"/>
        <v>0</v>
      </c>
      <c r="AG61" s="322">
        <f t="shared" si="66"/>
        <v>0</v>
      </c>
      <c r="AH61" s="322">
        <f t="shared" si="66"/>
        <v>0</v>
      </c>
      <c r="AI61" s="322">
        <f t="shared" si="66"/>
        <v>0</v>
      </c>
      <c r="AJ61" s="142"/>
      <c r="AK61" s="323">
        <f t="shared" si="61"/>
        <v>0</v>
      </c>
      <c r="AL61" s="321"/>
      <c r="AM61" s="322">
        <f t="shared" ref="AM61:AU61" si="67">IF(OR(AM$19="",AM$40="",AM$42=""),0,MAX(koudebehoefte_koeling_ondergrens,
VLOOKUP(AM$42,koudebehoefte_snijpunt,MATCH(AM$21,warmtebehoefte_verwarming_gebruiksfuncties,0),FALSE)
+VLOOKUP(AM$42,koudebehoefte_C1,MATCH(AM$21,warmtebehoefte_verwarming_gebruiksfuncties,0),FALSE)
*AM$31^VLOOKUP(AM$42,koudebehoefte_n1,MATCH(AM$21,warmtebehoefte_verwarming_gebruiksfuncties,0),FALSE)
+VLOOKUP(AM$42,koudebehoefte_C2,MATCH(AM$21,warmtebehoefte_verwarming_gebruiksfuncties,0),FALSE)
*AM$34^VLOOKUP(AM$42,koudebehoefte_n2,MATCH(AM$21,warmtebehoefte_verwarming_gebruiksfuncties,0),FALSE)
+VLOOKUP(AM$42,koudebehoefte_C3,MATCH(AM$21,warmtebehoefte_verwarming_gebruiksfuncties,0),FALSE)
*AM$52^VLOOKUP(AM$42,koudebehoefte_n3,MATCH(AM$21,warmtebehoefte_verwarming_gebruiksfuncties,0),FALSE)
+VLOOKUP(AM$42,koudebehoefte_C4,MATCH(AM$21,warmtebehoefte_verwarming_gebruiksfuncties,0),FALSE)
*AM$35^VLOOKUP(AM$42,koudebehoefte_n4,MATCH(AM$21,warmtebehoefte_verwarming_gebruiksfuncties,0),FALSE)))</f>
        <v>0</v>
      </c>
      <c r="AN61" s="322">
        <f t="shared" si="67"/>
        <v>0</v>
      </c>
      <c r="AO61" s="322">
        <f t="shared" si="67"/>
        <v>0</v>
      </c>
      <c r="AP61" s="322">
        <f t="shared" si="67"/>
        <v>0</v>
      </c>
      <c r="AQ61" s="322">
        <f t="shared" si="67"/>
        <v>0</v>
      </c>
      <c r="AR61" s="322">
        <f t="shared" si="67"/>
        <v>0</v>
      </c>
      <c r="AS61" s="322">
        <f t="shared" si="67"/>
        <v>0</v>
      </c>
      <c r="AT61" s="322">
        <f t="shared" si="67"/>
        <v>0</v>
      </c>
      <c r="AU61" s="322">
        <f t="shared" si="67"/>
        <v>0</v>
      </c>
      <c r="AV61" s="142"/>
      <c r="AW61" s="323">
        <f t="shared" si="63"/>
        <v>0</v>
      </c>
      <c r="AX61" s="321"/>
      <c r="AY61" s="322">
        <f t="shared" ref="AY61:BG61" si="68">IF(OR(AY$19="",AY$40="",AY$42=""),0,MAX(koudebehoefte_koeling_ondergrens,
VLOOKUP(AY$42,koudebehoefte_snijpunt,MATCH(AY$21,warmtebehoefte_verwarming_gebruiksfuncties,0),FALSE)
+VLOOKUP(AY$42,koudebehoefte_C1,MATCH(AY$21,warmtebehoefte_verwarming_gebruiksfuncties,0),FALSE)
*AY$31^VLOOKUP(AY$42,koudebehoefte_n1,MATCH(AY$21,warmtebehoefte_verwarming_gebruiksfuncties,0),FALSE)
+VLOOKUP(AY$42,koudebehoefte_C2,MATCH(AY$21,warmtebehoefte_verwarming_gebruiksfuncties,0),FALSE)
*AY$34^VLOOKUP(AY$42,koudebehoefte_n2,MATCH(AY$21,warmtebehoefte_verwarming_gebruiksfuncties,0),FALSE)
+VLOOKUP(AY$42,koudebehoefte_C3,MATCH(AY$21,warmtebehoefte_verwarming_gebruiksfuncties,0),FALSE)
*AY$52^VLOOKUP(AY$42,koudebehoefte_n3,MATCH(AY$21,warmtebehoefte_verwarming_gebruiksfuncties,0),FALSE)
+VLOOKUP(AY$42,koudebehoefte_C4,MATCH(AY$21,warmtebehoefte_verwarming_gebruiksfuncties,0),FALSE)
*AY$35^VLOOKUP(AY$42,koudebehoefte_n4,MATCH(AY$21,warmtebehoefte_verwarming_gebruiksfuncties,0),FALSE)))</f>
        <v>0</v>
      </c>
      <c r="AZ61" s="322">
        <f t="shared" si="68"/>
        <v>0</v>
      </c>
      <c r="BA61" s="322">
        <f t="shared" si="68"/>
        <v>0</v>
      </c>
      <c r="BB61" s="322">
        <f t="shared" si="68"/>
        <v>0</v>
      </c>
      <c r="BC61" s="322">
        <f t="shared" si="68"/>
        <v>0</v>
      </c>
      <c r="BD61" s="322">
        <f t="shared" si="68"/>
        <v>0</v>
      </c>
      <c r="BE61" s="322">
        <f t="shared" si="68"/>
        <v>0</v>
      </c>
      <c r="BF61" s="322">
        <f t="shared" si="68"/>
        <v>0</v>
      </c>
      <c r="BG61" s="322">
        <f t="shared" si="68"/>
        <v>0</v>
      </c>
      <c r="BH61" s="255"/>
    </row>
    <row r="62" spans="1:60" x14ac:dyDescent="0.2">
      <c r="A62" s="653"/>
      <c r="B62" s="492" t="s">
        <v>158</v>
      </c>
      <c r="C62" s="656" t="s">
        <v>113</v>
      </c>
      <c r="D62" s="750" t="s">
        <v>50</v>
      </c>
      <c r="E62" s="358" t="str">
        <f>$Q$10</f>
        <v>tapwater</v>
      </c>
      <c r="F62" s="359"/>
      <c r="G62" s="359"/>
      <c r="H62" s="358" t="s">
        <v>169</v>
      </c>
      <c r="I62" s="321"/>
      <c r="J62" s="323">
        <f t="shared" si="56"/>
        <v>0</v>
      </c>
      <c r="K62" s="142"/>
      <c r="L62" s="142"/>
      <c r="M62" s="323">
        <f t="shared" si="57"/>
        <v>0</v>
      </c>
      <c r="N62" s="321"/>
      <c r="O62" s="322">
        <f t="shared" ref="O62:W62" si="69">IF(OR(O$19="",O$31=0),0,
IF(OR(O$21=woning,O$21=woongebouw),IF(O$31&gt;100,1.28+0.01*O$31,MAX(1,2.28-1.28/70*(100-O$31)))*856/O$31,
INDEX(warmtapwater_specifieke_warmtebehoefte_waarden,MATCH(O$21,warmtapwater_specifieke_warmtebehoefte_gebruiksfuncties,0)))*O$44)</f>
        <v>0</v>
      </c>
      <c r="P62" s="322">
        <f t="shared" si="69"/>
        <v>0</v>
      </c>
      <c r="Q62" s="322">
        <f t="shared" si="69"/>
        <v>0</v>
      </c>
      <c r="R62" s="322">
        <f t="shared" si="69"/>
        <v>0</v>
      </c>
      <c r="S62" s="322">
        <f t="shared" si="69"/>
        <v>0</v>
      </c>
      <c r="T62" s="322">
        <f t="shared" si="69"/>
        <v>0</v>
      </c>
      <c r="U62" s="322">
        <f t="shared" si="69"/>
        <v>0</v>
      </c>
      <c r="V62" s="322">
        <f t="shared" si="69"/>
        <v>0</v>
      </c>
      <c r="W62" s="322">
        <f t="shared" si="69"/>
        <v>0</v>
      </c>
      <c r="X62" s="142"/>
      <c r="Y62" s="323">
        <f t="shared" si="59"/>
        <v>0</v>
      </c>
      <c r="Z62" s="321"/>
      <c r="AA62" s="322">
        <f t="shared" ref="AA62:AI62" si="70">IF(OR(AA$19="",AA$31=0),0,
IF(OR(AA$21=woning,AA$21=woongebouw),IF(AA$31&gt;100,1.28+0.01*AA$31,MAX(1,2.28-1.28/70*(100-AA$31)))*856/AA$31,
INDEX(warmtapwater_specifieke_warmtebehoefte_waarden,MATCH(AA$21,warmtapwater_specifieke_warmtebehoefte_gebruiksfuncties,0)))*AA$44)</f>
        <v>0</v>
      </c>
      <c r="AB62" s="322">
        <f t="shared" si="70"/>
        <v>0</v>
      </c>
      <c r="AC62" s="322">
        <f t="shared" si="70"/>
        <v>0</v>
      </c>
      <c r="AD62" s="322">
        <f t="shared" si="70"/>
        <v>0</v>
      </c>
      <c r="AE62" s="322">
        <f t="shared" si="70"/>
        <v>0</v>
      </c>
      <c r="AF62" s="322">
        <f t="shared" si="70"/>
        <v>0</v>
      </c>
      <c r="AG62" s="322">
        <f t="shared" si="70"/>
        <v>0</v>
      </c>
      <c r="AH62" s="322">
        <f t="shared" si="70"/>
        <v>0</v>
      </c>
      <c r="AI62" s="322">
        <f t="shared" si="70"/>
        <v>0</v>
      </c>
      <c r="AJ62" s="142"/>
      <c r="AK62" s="323">
        <f t="shared" si="61"/>
        <v>0</v>
      </c>
      <c r="AL62" s="321"/>
      <c r="AM62" s="322">
        <f t="shared" ref="AM62:AU62" si="71">IF(OR(AM$19="",AM$31=0),0,
IF(OR(AM$21=woning,AM$21=woongebouw),IF(AM$31&gt;100,1.28+0.01*AM$31,MAX(1,2.28-1.28/70*(100-AM$31)))*856/AM$31,
INDEX(warmtapwater_specifieke_warmtebehoefte_waarden,MATCH(AM$21,warmtapwater_specifieke_warmtebehoefte_gebruiksfuncties,0)))*AM$44)</f>
        <v>0</v>
      </c>
      <c r="AN62" s="322">
        <f t="shared" si="71"/>
        <v>0</v>
      </c>
      <c r="AO62" s="322">
        <f t="shared" si="71"/>
        <v>0</v>
      </c>
      <c r="AP62" s="322">
        <f t="shared" si="71"/>
        <v>0</v>
      </c>
      <c r="AQ62" s="322">
        <f t="shared" si="71"/>
        <v>0</v>
      </c>
      <c r="AR62" s="322">
        <f t="shared" si="71"/>
        <v>0</v>
      </c>
      <c r="AS62" s="322">
        <f t="shared" si="71"/>
        <v>0</v>
      </c>
      <c r="AT62" s="322">
        <f t="shared" si="71"/>
        <v>0</v>
      </c>
      <c r="AU62" s="322">
        <f t="shared" si="71"/>
        <v>0</v>
      </c>
      <c r="AV62" s="142"/>
      <c r="AW62" s="323">
        <f t="shared" si="63"/>
        <v>0</v>
      </c>
      <c r="AX62" s="321"/>
      <c r="AY62" s="322">
        <f t="shared" ref="AY62:BG62" si="72">IF(OR(AY$19="",AY$31=0),0,
IF(OR(AY$21=woning,AY$21=woongebouw),IF(AY$31&gt;100,1.28+0.01*AY$31,MAX(1,2.28-1.28/70*(100-AY$31)))*856/AY$31,
INDEX(warmtapwater_specifieke_warmtebehoefte_waarden,MATCH(AY$21,warmtapwater_specifieke_warmtebehoefte_gebruiksfuncties,0)))*AY$44)</f>
        <v>0</v>
      </c>
      <c r="AZ62" s="322">
        <f t="shared" si="72"/>
        <v>0</v>
      </c>
      <c r="BA62" s="322">
        <f t="shared" si="72"/>
        <v>0</v>
      </c>
      <c r="BB62" s="322">
        <f t="shared" si="72"/>
        <v>0</v>
      </c>
      <c r="BC62" s="322">
        <f t="shared" si="72"/>
        <v>0</v>
      </c>
      <c r="BD62" s="322">
        <f t="shared" si="72"/>
        <v>0</v>
      </c>
      <c r="BE62" s="322">
        <f t="shared" si="72"/>
        <v>0</v>
      </c>
      <c r="BF62" s="322">
        <f t="shared" si="72"/>
        <v>0</v>
      </c>
      <c r="BG62" s="322">
        <f t="shared" si="72"/>
        <v>0</v>
      </c>
      <c r="BH62" s="255"/>
    </row>
    <row r="63" spans="1:60" x14ac:dyDescent="0.2">
      <c r="A63" s="653"/>
      <c r="B63" s="492" t="s">
        <v>158</v>
      </c>
      <c r="C63" s="656" t="s">
        <v>113</v>
      </c>
      <c r="D63" s="750" t="s">
        <v>50</v>
      </c>
      <c r="E63" s="358" t="str">
        <f>$R$10</f>
        <v>verlichting</v>
      </c>
      <c r="F63" s="359"/>
      <c r="G63" s="359"/>
      <c r="H63" s="358" t="s">
        <v>169</v>
      </c>
      <c r="I63" s="321"/>
      <c r="J63" s="323">
        <f t="shared" si="56"/>
        <v>0</v>
      </c>
      <c r="K63" s="142"/>
      <c r="L63" s="142"/>
      <c r="M63" s="323">
        <f t="shared" si="57"/>
        <v>0</v>
      </c>
      <c r="N63" s="321"/>
      <c r="O63" s="322">
        <f t="shared" ref="O63:W63" si="73">IF(OR(O$19="",AND(O$21&lt;&gt;woning,O$21&lt;&gt;woongebouw,O$46="")),0,
(INDEX(verlichting_parameters_a,MATCH(O$21,verlichting_parameters_gebruiksfuncties,0))+
INDEX(verlichting_parameters_b,MATCH(O$21,verlichting_parameters_gebruiksfuncties,0))*IF(O$45="",INDEX(verlichting_vermogen_forfaitair,MATCH(O$21,verlichting_parameters_gebruiksfuncties,0)),O$45))*
IF(OR(O$21=woning,O$21=woongebouw),1,INDEX(verlichtingsregeling_waarden,MATCH(O$46,verlichtingsregeling_kopregel,0))))</f>
        <v>0</v>
      </c>
      <c r="P63" s="322">
        <f t="shared" si="73"/>
        <v>0</v>
      </c>
      <c r="Q63" s="322">
        <f t="shared" si="73"/>
        <v>0</v>
      </c>
      <c r="R63" s="322">
        <f t="shared" si="73"/>
        <v>0</v>
      </c>
      <c r="S63" s="322">
        <f t="shared" si="73"/>
        <v>0</v>
      </c>
      <c r="T63" s="322">
        <f t="shared" si="73"/>
        <v>0</v>
      </c>
      <c r="U63" s="322">
        <f t="shared" si="73"/>
        <v>0</v>
      </c>
      <c r="V63" s="322">
        <f t="shared" si="73"/>
        <v>0</v>
      </c>
      <c r="W63" s="322">
        <f t="shared" si="73"/>
        <v>0</v>
      </c>
      <c r="X63" s="142"/>
      <c r="Y63" s="323">
        <f t="shared" si="59"/>
        <v>0</v>
      </c>
      <c r="Z63" s="321"/>
      <c r="AA63" s="322">
        <f t="shared" ref="AA63:AI63" si="74">IF(OR(AA$19="",AND(AA$21&lt;&gt;woning,AA$21&lt;&gt;woongebouw,AA$46="")),0,
(INDEX(verlichting_parameters_a,MATCH(AA$21,verlichting_parameters_gebruiksfuncties,0))+
INDEX(verlichting_parameters_b,MATCH(AA$21,verlichting_parameters_gebruiksfuncties,0))*IF(AA$45="",INDEX(verlichting_vermogen_forfaitair,MATCH(AA$21,verlichting_parameters_gebruiksfuncties,0)),AA$45))*
IF(OR(AA$21=woning,AA$21=woongebouw),1,INDEX(verlichtingsregeling_waarden,MATCH(AA$46,verlichtingsregeling_kopregel,0))))</f>
        <v>0</v>
      </c>
      <c r="AB63" s="322">
        <f t="shared" si="74"/>
        <v>0</v>
      </c>
      <c r="AC63" s="322">
        <f t="shared" si="74"/>
        <v>0</v>
      </c>
      <c r="AD63" s="322">
        <f t="shared" si="74"/>
        <v>0</v>
      </c>
      <c r="AE63" s="322">
        <f t="shared" si="74"/>
        <v>0</v>
      </c>
      <c r="AF63" s="322">
        <f t="shared" si="74"/>
        <v>0</v>
      </c>
      <c r="AG63" s="322">
        <f t="shared" si="74"/>
        <v>0</v>
      </c>
      <c r="AH63" s="322">
        <f t="shared" si="74"/>
        <v>0</v>
      </c>
      <c r="AI63" s="322">
        <f t="shared" si="74"/>
        <v>0</v>
      </c>
      <c r="AJ63" s="142"/>
      <c r="AK63" s="323">
        <f t="shared" si="61"/>
        <v>0</v>
      </c>
      <c r="AL63" s="321"/>
      <c r="AM63" s="322">
        <f t="shared" ref="AM63:AU63" si="75">IF(OR(AM$19="",AND(AM$21&lt;&gt;woning,AM$21&lt;&gt;woongebouw,AM$46="")),0,
(INDEX(verlichting_parameters_a,MATCH(AM$21,verlichting_parameters_gebruiksfuncties,0))+
INDEX(verlichting_parameters_b,MATCH(AM$21,verlichting_parameters_gebruiksfuncties,0))*IF(AM$45="",INDEX(verlichting_vermogen_forfaitair,MATCH(AM$21,verlichting_parameters_gebruiksfuncties,0)),AM$45))*
IF(OR(AM$21=woning,AM$21=woongebouw),1,INDEX(verlichtingsregeling_waarden,MATCH(AM$46,verlichtingsregeling_kopregel,0))))</f>
        <v>0</v>
      </c>
      <c r="AN63" s="322">
        <f t="shared" si="75"/>
        <v>0</v>
      </c>
      <c r="AO63" s="322">
        <f t="shared" si="75"/>
        <v>0</v>
      </c>
      <c r="AP63" s="322">
        <f t="shared" si="75"/>
        <v>0</v>
      </c>
      <c r="AQ63" s="322">
        <f t="shared" si="75"/>
        <v>0</v>
      </c>
      <c r="AR63" s="322">
        <f t="shared" si="75"/>
        <v>0</v>
      </c>
      <c r="AS63" s="322">
        <f t="shared" si="75"/>
        <v>0</v>
      </c>
      <c r="AT63" s="322">
        <f t="shared" si="75"/>
        <v>0</v>
      </c>
      <c r="AU63" s="322">
        <f t="shared" si="75"/>
        <v>0</v>
      </c>
      <c r="AV63" s="142"/>
      <c r="AW63" s="323">
        <f t="shared" si="63"/>
        <v>0</v>
      </c>
      <c r="AX63" s="321"/>
      <c r="AY63" s="322">
        <f t="shared" ref="AY63:BG63" si="76">IF(OR(AY$19="",AND(AY$21&lt;&gt;woning,AY$21&lt;&gt;woongebouw,AY$46="")),0,
(INDEX(verlichting_parameters_a,MATCH(AY$21,verlichting_parameters_gebruiksfuncties,0))+
INDEX(verlichting_parameters_b,MATCH(AY$21,verlichting_parameters_gebruiksfuncties,0))*IF(AY$45="",INDEX(verlichting_vermogen_forfaitair,MATCH(AY$21,verlichting_parameters_gebruiksfuncties,0)),AY$45))*
IF(OR(AY$21=woning,AY$21=woongebouw),1,INDEX(verlichtingsregeling_waarden,MATCH(AY$46,verlichtingsregeling_kopregel,0))))</f>
        <v>0</v>
      </c>
      <c r="AZ63" s="322">
        <f t="shared" si="76"/>
        <v>0</v>
      </c>
      <c r="BA63" s="322">
        <f t="shared" si="76"/>
        <v>0</v>
      </c>
      <c r="BB63" s="322">
        <f t="shared" si="76"/>
        <v>0</v>
      </c>
      <c r="BC63" s="322">
        <f t="shared" si="76"/>
        <v>0</v>
      </c>
      <c r="BD63" s="322">
        <f t="shared" si="76"/>
        <v>0</v>
      </c>
      <c r="BE63" s="322">
        <f t="shared" si="76"/>
        <v>0</v>
      </c>
      <c r="BF63" s="322">
        <f t="shared" si="76"/>
        <v>0</v>
      </c>
      <c r="BG63" s="322">
        <f t="shared" si="76"/>
        <v>0</v>
      </c>
      <c r="BH63" s="255"/>
    </row>
    <row r="64" spans="1:60" x14ac:dyDescent="0.2">
      <c r="A64" s="653"/>
      <c r="B64" s="492" t="s">
        <v>158</v>
      </c>
      <c r="C64" s="656" t="s">
        <v>113</v>
      </c>
      <c r="D64" s="750" t="s">
        <v>50</v>
      </c>
      <c r="E64" s="358" t="str">
        <f>$S$10</f>
        <v>ventilatoren</v>
      </c>
      <c r="F64" s="359"/>
      <c r="G64" s="359"/>
      <c r="H64" s="358" t="s">
        <v>169</v>
      </c>
      <c r="I64" s="321"/>
      <c r="J64" s="323">
        <f t="shared" si="56"/>
        <v>0</v>
      </c>
      <c r="K64" s="142"/>
      <c r="L64" s="142"/>
      <c r="M64" s="323">
        <f t="shared" si="57"/>
        <v>0</v>
      </c>
      <c r="N64" s="321"/>
      <c r="O64" s="322">
        <f t="shared" ref="O64:W64" si="77">IFERROR(IF(OR(O$19="",O$42=""),0,
IF(INDEX(ventilatiesystemen_code_eenvoudig,MATCH(O$42,ventilatiesystemen_namen,0))="A",0,
IF(INDEX(ventilatiesystemen_code_eenvoudig,MATCH(O$42,ventilatiesystemen_namen,0))="C",VLOOKUP(O$43,ventilatorenergie_ventilatiesysteem_B_C,MATCH(O$21,ventilatorenergie_ventilatiesysteem_B_C_kopregel,0),FALSE),
VLOOKUP(O$43,ventilatorenergie_ventilatiesysteem_D,MATCH(O$21,ventilatorenergie_ventilatiesysteem_D_kopregel,0),FALSE)  ))),0)</f>
        <v>0</v>
      </c>
      <c r="P64" s="322">
        <f t="shared" si="77"/>
        <v>0</v>
      </c>
      <c r="Q64" s="322">
        <f t="shared" si="77"/>
        <v>0</v>
      </c>
      <c r="R64" s="322">
        <f t="shared" si="77"/>
        <v>0</v>
      </c>
      <c r="S64" s="322">
        <f t="shared" si="77"/>
        <v>0</v>
      </c>
      <c r="T64" s="322">
        <f t="shared" si="77"/>
        <v>0</v>
      </c>
      <c r="U64" s="322">
        <f t="shared" si="77"/>
        <v>0</v>
      </c>
      <c r="V64" s="322">
        <f t="shared" si="77"/>
        <v>0</v>
      </c>
      <c r="W64" s="322">
        <f t="shared" si="77"/>
        <v>0</v>
      </c>
      <c r="X64" s="142"/>
      <c r="Y64" s="323">
        <f t="shared" si="59"/>
        <v>0</v>
      </c>
      <c r="Z64" s="321"/>
      <c r="AA64" s="322">
        <f t="shared" ref="AA64:AI64" si="78">IFERROR(IF(OR(AA$19="",AA$42=""),0,
IF(INDEX(ventilatiesystemen_code_eenvoudig,MATCH(AA$42,ventilatiesystemen_namen,0))="A",0,
IF(INDEX(ventilatiesystemen_code_eenvoudig,MATCH(AA$42,ventilatiesystemen_namen,0))="C",VLOOKUP(AA$43,ventilatorenergie_ventilatiesysteem_B_C,MATCH(AA$21,ventilatorenergie_ventilatiesysteem_B_C_kopregel,0),FALSE),
VLOOKUP(AA$43,ventilatorenergie_ventilatiesysteem_D,MATCH(AA$21,ventilatorenergie_ventilatiesysteem_D_kopregel,0),FALSE)  ))),0)</f>
        <v>0</v>
      </c>
      <c r="AB64" s="322">
        <f t="shared" si="78"/>
        <v>0</v>
      </c>
      <c r="AC64" s="322">
        <f t="shared" si="78"/>
        <v>0</v>
      </c>
      <c r="AD64" s="322">
        <f t="shared" si="78"/>
        <v>0</v>
      </c>
      <c r="AE64" s="322">
        <f t="shared" si="78"/>
        <v>0</v>
      </c>
      <c r="AF64" s="322">
        <f t="shared" si="78"/>
        <v>0</v>
      </c>
      <c r="AG64" s="322">
        <f t="shared" si="78"/>
        <v>0</v>
      </c>
      <c r="AH64" s="322">
        <f t="shared" si="78"/>
        <v>0</v>
      </c>
      <c r="AI64" s="322">
        <f t="shared" si="78"/>
        <v>0</v>
      </c>
      <c r="AJ64" s="142"/>
      <c r="AK64" s="323">
        <f t="shared" si="61"/>
        <v>0</v>
      </c>
      <c r="AL64" s="321"/>
      <c r="AM64" s="322">
        <f t="shared" ref="AM64:AU64" si="79">IFERROR(IF(OR(AM$19="",AM$42=""),0,
IF(INDEX(ventilatiesystemen_code_eenvoudig,MATCH(AM$42,ventilatiesystemen_namen,0))="A",0,
IF(INDEX(ventilatiesystemen_code_eenvoudig,MATCH(AM$42,ventilatiesystemen_namen,0))="C",VLOOKUP(AM$43,ventilatorenergie_ventilatiesysteem_B_C,MATCH(AM$21,ventilatorenergie_ventilatiesysteem_B_C_kopregel,0),FALSE),
VLOOKUP(AM$43,ventilatorenergie_ventilatiesysteem_D,MATCH(AM$21,ventilatorenergie_ventilatiesysteem_D_kopregel,0),FALSE)  ))),0)</f>
        <v>0</v>
      </c>
      <c r="AN64" s="322">
        <f t="shared" si="79"/>
        <v>0</v>
      </c>
      <c r="AO64" s="322">
        <f t="shared" si="79"/>
        <v>0</v>
      </c>
      <c r="AP64" s="322">
        <f t="shared" si="79"/>
        <v>0</v>
      </c>
      <c r="AQ64" s="322">
        <f t="shared" si="79"/>
        <v>0</v>
      </c>
      <c r="AR64" s="322">
        <f t="shared" si="79"/>
        <v>0</v>
      </c>
      <c r="AS64" s="322">
        <f t="shared" si="79"/>
        <v>0</v>
      </c>
      <c r="AT64" s="322">
        <f t="shared" si="79"/>
        <v>0</v>
      </c>
      <c r="AU64" s="322">
        <f t="shared" si="79"/>
        <v>0</v>
      </c>
      <c r="AV64" s="142"/>
      <c r="AW64" s="323">
        <f t="shared" si="63"/>
        <v>0</v>
      </c>
      <c r="AX64" s="321"/>
      <c r="AY64" s="322">
        <f t="shared" ref="AY64:BG64" si="80">IFERROR(IF(OR(AY$19="",AY$42=""),0,
IF(INDEX(ventilatiesystemen_code_eenvoudig,MATCH(AY$42,ventilatiesystemen_namen,0))="A",0,
IF(INDEX(ventilatiesystemen_code_eenvoudig,MATCH(AY$42,ventilatiesystemen_namen,0))="C",VLOOKUP(AY$43,ventilatorenergie_ventilatiesysteem_B_C,MATCH(AY$21,ventilatorenergie_ventilatiesysteem_B_C_kopregel,0),FALSE),
VLOOKUP(AY$43,ventilatorenergie_ventilatiesysteem_D,MATCH(AY$21,ventilatorenergie_ventilatiesysteem_D_kopregel,0),FALSE)  ))),0)</f>
        <v>0</v>
      </c>
      <c r="AZ64" s="322">
        <f t="shared" si="80"/>
        <v>0</v>
      </c>
      <c r="BA64" s="322">
        <f t="shared" si="80"/>
        <v>0</v>
      </c>
      <c r="BB64" s="322">
        <f t="shared" si="80"/>
        <v>0</v>
      </c>
      <c r="BC64" s="322">
        <f t="shared" si="80"/>
        <v>0</v>
      </c>
      <c r="BD64" s="322">
        <f t="shared" si="80"/>
        <v>0</v>
      </c>
      <c r="BE64" s="322">
        <f t="shared" si="80"/>
        <v>0</v>
      </c>
      <c r="BF64" s="322">
        <f t="shared" si="80"/>
        <v>0</v>
      </c>
      <c r="BG64" s="322">
        <f t="shared" si="80"/>
        <v>0</v>
      </c>
      <c r="BH64" s="255"/>
    </row>
    <row r="65" spans="1:60" x14ac:dyDescent="0.2">
      <c r="A65" s="653"/>
      <c r="B65" s="492" t="s">
        <v>158</v>
      </c>
      <c r="C65" s="656" t="s">
        <v>113</v>
      </c>
      <c r="D65" s="750" t="s">
        <v>50</v>
      </c>
      <c r="E65" s="482" t="str">
        <f>$T$10</f>
        <v>kookgas</v>
      </c>
      <c r="F65" s="359"/>
      <c r="G65" s="359"/>
      <c r="H65" s="358" t="s">
        <v>169</v>
      </c>
      <c r="I65" s="321"/>
      <c r="J65" s="323">
        <f t="shared" si="56"/>
        <v>0</v>
      </c>
      <c r="K65" s="142"/>
      <c r="L65" s="142"/>
      <c r="M65" s="323">
        <f t="shared" si="57"/>
        <v>0</v>
      </c>
      <c r="N65" s="321"/>
      <c r="O65" s="322">
        <f t="shared" ref="O65:W65" si="81">IF(OR(O$19="",O$31=0,O$47=elektriciteit,AND(O$21&lt;&gt;woning,O$21&lt;&gt;woongebouw)),0,koken_gas/O$31)</f>
        <v>0</v>
      </c>
      <c r="P65" s="322">
        <f t="shared" si="81"/>
        <v>0</v>
      </c>
      <c r="Q65" s="322">
        <f t="shared" si="81"/>
        <v>0</v>
      </c>
      <c r="R65" s="322">
        <f t="shared" si="81"/>
        <v>0</v>
      </c>
      <c r="S65" s="322">
        <f t="shared" si="81"/>
        <v>0</v>
      </c>
      <c r="T65" s="322">
        <f t="shared" si="81"/>
        <v>0</v>
      </c>
      <c r="U65" s="322">
        <f t="shared" si="81"/>
        <v>0</v>
      </c>
      <c r="V65" s="322">
        <f t="shared" si="81"/>
        <v>0</v>
      </c>
      <c r="W65" s="322">
        <f t="shared" si="81"/>
        <v>0</v>
      </c>
      <c r="X65" s="142"/>
      <c r="Y65" s="323">
        <f t="shared" si="59"/>
        <v>0</v>
      </c>
      <c r="Z65" s="321"/>
      <c r="AA65" s="322">
        <f t="shared" ref="AA65:AI65" si="82">IF(OR(AA$19="",AA$31=0,AA$47=elektriciteit,AND(AA$21&lt;&gt;woning,AA$21&lt;&gt;woongebouw)),0,koken_gas/AA$31)</f>
        <v>0</v>
      </c>
      <c r="AB65" s="322">
        <f t="shared" si="82"/>
        <v>0</v>
      </c>
      <c r="AC65" s="322">
        <f t="shared" si="82"/>
        <v>0</v>
      </c>
      <c r="AD65" s="322">
        <f t="shared" si="82"/>
        <v>0</v>
      </c>
      <c r="AE65" s="322">
        <f t="shared" si="82"/>
        <v>0</v>
      </c>
      <c r="AF65" s="322">
        <f t="shared" si="82"/>
        <v>0</v>
      </c>
      <c r="AG65" s="322">
        <f t="shared" si="82"/>
        <v>0</v>
      </c>
      <c r="AH65" s="322">
        <f t="shared" si="82"/>
        <v>0</v>
      </c>
      <c r="AI65" s="322">
        <f t="shared" si="82"/>
        <v>0</v>
      </c>
      <c r="AJ65" s="142"/>
      <c r="AK65" s="323">
        <f t="shared" si="61"/>
        <v>0</v>
      </c>
      <c r="AL65" s="321"/>
      <c r="AM65" s="322">
        <f t="shared" ref="AM65:AU65" si="83">IF(OR(AM$19="",AM$31=0,AM$47=elektriciteit,AND(AM$21&lt;&gt;woning,AM$21&lt;&gt;woongebouw)),0,koken_gas/AM$31)</f>
        <v>0</v>
      </c>
      <c r="AN65" s="322">
        <f t="shared" si="83"/>
        <v>0</v>
      </c>
      <c r="AO65" s="322">
        <f t="shared" si="83"/>
        <v>0</v>
      </c>
      <c r="AP65" s="322">
        <f t="shared" si="83"/>
        <v>0</v>
      </c>
      <c r="AQ65" s="322">
        <f t="shared" si="83"/>
        <v>0</v>
      </c>
      <c r="AR65" s="322">
        <f t="shared" si="83"/>
        <v>0</v>
      </c>
      <c r="AS65" s="322">
        <f t="shared" si="83"/>
        <v>0</v>
      </c>
      <c r="AT65" s="322">
        <f t="shared" si="83"/>
        <v>0</v>
      </c>
      <c r="AU65" s="322">
        <f t="shared" si="83"/>
        <v>0</v>
      </c>
      <c r="AV65" s="142"/>
      <c r="AW65" s="323">
        <f t="shared" si="63"/>
        <v>0</v>
      </c>
      <c r="AX65" s="321"/>
      <c r="AY65" s="322">
        <f t="shared" ref="AY65:BG65" si="84">IF(OR(AY$19="",AY$31=0,AY$47=elektriciteit,AND(AY$21&lt;&gt;woning,AY$21&lt;&gt;woongebouw)),0,koken_gas/AY$31)</f>
        <v>0</v>
      </c>
      <c r="AZ65" s="322">
        <f t="shared" si="84"/>
        <v>0</v>
      </c>
      <c r="BA65" s="322">
        <f t="shared" si="84"/>
        <v>0</v>
      </c>
      <c r="BB65" s="322">
        <f t="shared" si="84"/>
        <v>0</v>
      </c>
      <c r="BC65" s="322">
        <f t="shared" si="84"/>
        <v>0</v>
      </c>
      <c r="BD65" s="322">
        <f t="shared" si="84"/>
        <v>0</v>
      </c>
      <c r="BE65" s="322">
        <f t="shared" si="84"/>
        <v>0</v>
      </c>
      <c r="BF65" s="322">
        <f t="shared" si="84"/>
        <v>0</v>
      </c>
      <c r="BG65" s="322">
        <f t="shared" si="84"/>
        <v>0</v>
      </c>
      <c r="BH65" s="255"/>
    </row>
    <row r="66" spans="1:60" x14ac:dyDescent="0.2">
      <c r="A66" s="653"/>
      <c r="B66" s="492" t="s">
        <v>158</v>
      </c>
      <c r="C66" s="656" t="s">
        <v>113</v>
      </c>
      <c r="D66" s="750" t="s">
        <v>50</v>
      </c>
      <c r="E66" s="358" t="str">
        <f>$U$10</f>
        <v>overig elektra</v>
      </c>
      <c r="F66" s="359"/>
      <c r="G66" s="359"/>
      <c r="H66" s="358" t="s">
        <v>169</v>
      </c>
      <c r="I66" s="321"/>
      <c r="J66" s="323">
        <f t="shared" si="56"/>
        <v>0</v>
      </c>
      <c r="K66" s="142"/>
      <c r="L66" s="142"/>
      <c r="M66" s="323">
        <f t="shared" si="57"/>
        <v>0</v>
      </c>
      <c r="N66" s="321"/>
      <c r="O66" s="322">
        <f t="shared" ref="O66:W66" si="85">IF(O$19="",0,
IF(OR(O$21=woning,O$21=woongebouw),(1-O$48)*niet_gebouwgebonden_elektriciteitgebruik_woningen_per_m2+IF(O$47=elektriciteit,koken_elektriciteit/O$31,0),
(1-O$48)*INDEX(specifiek_niet_gebouwgebonden_elektriciteitsgebruik_waarden,MATCH(O$21,specifiek_niet_gebouwgebonden_elektriciteitsgebruik_gebruiksfuncties,0))))</f>
        <v>0</v>
      </c>
      <c r="P66" s="322">
        <f t="shared" si="85"/>
        <v>0</v>
      </c>
      <c r="Q66" s="322">
        <f t="shared" si="85"/>
        <v>0</v>
      </c>
      <c r="R66" s="322">
        <f t="shared" si="85"/>
        <v>0</v>
      </c>
      <c r="S66" s="322">
        <f t="shared" si="85"/>
        <v>0</v>
      </c>
      <c r="T66" s="322">
        <f t="shared" si="85"/>
        <v>0</v>
      </c>
      <c r="U66" s="322">
        <f t="shared" si="85"/>
        <v>0</v>
      </c>
      <c r="V66" s="322">
        <f t="shared" si="85"/>
        <v>0</v>
      </c>
      <c r="W66" s="322">
        <f t="shared" si="85"/>
        <v>0</v>
      </c>
      <c r="X66" s="142"/>
      <c r="Y66" s="323">
        <f t="shared" si="59"/>
        <v>0</v>
      </c>
      <c r="Z66" s="321"/>
      <c r="AA66" s="322">
        <f t="shared" ref="AA66:AI66" si="86">IF(AA$19="",0,
IF(OR(AA$21=woning,AA$21=woongebouw),(1-AA$48)*niet_gebouwgebonden_elektriciteitgebruik_woningen_per_m2+IF(AA$47=elektriciteit,koken_elektriciteit/AA$31,0),
(1-AA$48)*INDEX(specifiek_niet_gebouwgebonden_elektriciteitsgebruik_waarden,MATCH(AA$21,specifiek_niet_gebouwgebonden_elektriciteitsgebruik_gebruiksfuncties,0))))</f>
        <v>0</v>
      </c>
      <c r="AB66" s="322">
        <f t="shared" si="86"/>
        <v>0</v>
      </c>
      <c r="AC66" s="322">
        <f t="shared" si="86"/>
        <v>0</v>
      </c>
      <c r="AD66" s="322">
        <f t="shared" si="86"/>
        <v>0</v>
      </c>
      <c r="AE66" s="322">
        <f t="shared" si="86"/>
        <v>0</v>
      </c>
      <c r="AF66" s="322">
        <f t="shared" si="86"/>
        <v>0</v>
      </c>
      <c r="AG66" s="322">
        <f t="shared" si="86"/>
        <v>0</v>
      </c>
      <c r="AH66" s="322">
        <f t="shared" si="86"/>
        <v>0</v>
      </c>
      <c r="AI66" s="322">
        <f t="shared" si="86"/>
        <v>0</v>
      </c>
      <c r="AJ66" s="142"/>
      <c r="AK66" s="323">
        <f t="shared" si="61"/>
        <v>0</v>
      </c>
      <c r="AL66" s="321"/>
      <c r="AM66" s="322">
        <f t="shared" ref="AM66:AU66" si="87">IF(AM$19="",0,
IF(OR(AM$21=woning,AM$21=woongebouw),(1-AM$48)*niet_gebouwgebonden_elektriciteitgebruik_woningen_per_m2+IF(AM$47=elektriciteit,koken_elektriciteit/AM$31,0),
(1-AM$48)*INDEX(specifiek_niet_gebouwgebonden_elektriciteitsgebruik_waarden,MATCH(AM$21,specifiek_niet_gebouwgebonden_elektriciteitsgebruik_gebruiksfuncties,0))))</f>
        <v>0</v>
      </c>
      <c r="AN66" s="322">
        <f t="shared" si="87"/>
        <v>0</v>
      </c>
      <c r="AO66" s="322">
        <f t="shared" si="87"/>
        <v>0</v>
      </c>
      <c r="AP66" s="322">
        <f t="shared" si="87"/>
        <v>0</v>
      </c>
      <c r="AQ66" s="322">
        <f t="shared" si="87"/>
        <v>0</v>
      </c>
      <c r="AR66" s="322">
        <f t="shared" si="87"/>
        <v>0</v>
      </c>
      <c r="AS66" s="322">
        <f t="shared" si="87"/>
        <v>0</v>
      </c>
      <c r="AT66" s="322">
        <f t="shared" si="87"/>
        <v>0</v>
      </c>
      <c r="AU66" s="322">
        <f t="shared" si="87"/>
        <v>0</v>
      </c>
      <c r="AV66" s="142"/>
      <c r="AW66" s="323">
        <f t="shared" si="63"/>
        <v>0</v>
      </c>
      <c r="AX66" s="321"/>
      <c r="AY66" s="322">
        <f t="shared" ref="AY66:BG66" si="88">IF(AY$19="",0,
IF(OR(AY$21=woning,AY$21=woongebouw),(1-AY$48)*niet_gebouwgebonden_elektriciteitgebruik_woningen_per_m2+IF(AY$47=elektriciteit,koken_elektriciteit/AY$31,0),
(1-AY$48)*INDEX(specifiek_niet_gebouwgebonden_elektriciteitsgebruik_waarden,MATCH(AY$21,specifiek_niet_gebouwgebonden_elektriciteitsgebruik_gebruiksfuncties,0))))</f>
        <v>0</v>
      </c>
      <c r="AZ66" s="322">
        <f t="shared" si="88"/>
        <v>0</v>
      </c>
      <c r="BA66" s="322">
        <f t="shared" si="88"/>
        <v>0</v>
      </c>
      <c r="BB66" s="322">
        <f t="shared" si="88"/>
        <v>0</v>
      </c>
      <c r="BC66" s="322">
        <f t="shared" si="88"/>
        <v>0</v>
      </c>
      <c r="BD66" s="322">
        <f t="shared" si="88"/>
        <v>0</v>
      </c>
      <c r="BE66" s="322">
        <f t="shared" si="88"/>
        <v>0</v>
      </c>
      <c r="BF66" s="322">
        <f t="shared" si="88"/>
        <v>0</v>
      </c>
      <c r="BG66" s="322">
        <f t="shared" si="88"/>
        <v>0</v>
      </c>
      <c r="BH66" s="255"/>
    </row>
    <row r="67" spans="1:60" ht="18.75" x14ac:dyDescent="0.2">
      <c r="A67" s="653"/>
      <c r="B67" s="492" t="s">
        <v>158</v>
      </c>
      <c r="C67" s="739" t="s">
        <v>104</v>
      </c>
      <c r="D67" s="750"/>
      <c r="E67" s="166" t="s">
        <v>170</v>
      </c>
      <c r="F67" s="167"/>
      <c r="G67" s="167"/>
      <c r="H67" s="168"/>
      <c r="I67" s="169"/>
      <c r="J67" s="170"/>
      <c r="K67" s="142"/>
      <c r="L67" s="142"/>
      <c r="M67" s="172"/>
      <c r="N67" s="172"/>
      <c r="O67" s="172"/>
      <c r="P67" s="172"/>
      <c r="Q67" s="172"/>
      <c r="R67" s="172"/>
      <c r="S67" s="172"/>
      <c r="T67" s="172"/>
      <c r="U67" s="172"/>
      <c r="V67" s="172"/>
      <c r="W67" s="172"/>
      <c r="X67" s="173"/>
      <c r="Y67" s="172"/>
      <c r="Z67" s="172"/>
      <c r="AA67" s="172"/>
      <c r="AB67" s="172"/>
      <c r="AC67" s="172"/>
      <c r="AD67" s="172"/>
      <c r="AE67" s="172"/>
      <c r="AF67" s="172"/>
      <c r="AG67" s="172"/>
      <c r="AH67" s="172"/>
      <c r="AI67" s="172"/>
      <c r="AJ67" s="173"/>
      <c r="AK67" s="172"/>
      <c r="AL67" s="172"/>
      <c r="AM67" s="172"/>
      <c r="AN67" s="172"/>
      <c r="AO67" s="172"/>
      <c r="AP67" s="172"/>
      <c r="AQ67" s="172"/>
      <c r="AR67" s="172"/>
      <c r="AS67" s="172"/>
      <c r="AT67" s="172"/>
      <c r="AU67" s="172"/>
      <c r="AV67" s="173"/>
      <c r="AW67" s="172"/>
      <c r="AX67" s="172"/>
      <c r="AY67" s="172"/>
      <c r="AZ67" s="172"/>
      <c r="BA67" s="172"/>
      <c r="BB67" s="172"/>
      <c r="BC67" s="172"/>
      <c r="BD67" s="172"/>
      <c r="BE67" s="172"/>
      <c r="BF67" s="172"/>
      <c r="BG67" s="172"/>
      <c r="BH67" s="263"/>
    </row>
    <row r="68" spans="1:60" x14ac:dyDescent="0.2">
      <c r="A68" s="653"/>
      <c r="B68" s="492" t="s">
        <v>158</v>
      </c>
      <c r="C68" s="656" t="s">
        <v>127</v>
      </c>
      <c r="D68" s="750" t="s">
        <v>50</v>
      </c>
      <c r="E68" s="358" t="str">
        <f>$V$10</f>
        <v>mobiliteit</v>
      </c>
      <c r="F68" s="359"/>
      <c r="G68" s="359"/>
      <c r="H68" s="358" t="s">
        <v>171</v>
      </c>
      <c r="I68" s="321"/>
      <c r="J68" s="323">
        <f>M68+Y68+AK68+AW68</f>
        <v>0</v>
      </c>
      <c r="K68" s="142"/>
      <c r="L68" s="142"/>
      <c r="M68" s="323">
        <f>SUMPRODUCT(N$24:X$24,N68:X68)/1000</f>
        <v>0</v>
      </c>
      <c r="N68" s="321"/>
      <c r="O68" s="449"/>
      <c r="P68" s="449"/>
      <c r="Q68" s="449"/>
      <c r="R68" s="449"/>
      <c r="S68" s="449"/>
      <c r="T68" s="449"/>
      <c r="U68" s="449"/>
      <c r="V68" s="449"/>
      <c r="W68" s="449"/>
      <c r="X68" s="142"/>
      <c r="Y68" s="323">
        <f>SUMPRODUCT(Z$24:AJ$24,Z68:AJ68)/1000</f>
        <v>0</v>
      </c>
      <c r="Z68" s="321"/>
      <c r="AA68" s="449"/>
      <c r="AB68" s="449"/>
      <c r="AC68" s="449"/>
      <c r="AD68" s="449"/>
      <c r="AE68" s="449"/>
      <c r="AF68" s="449"/>
      <c r="AG68" s="449"/>
      <c r="AH68" s="449"/>
      <c r="AI68" s="449"/>
      <c r="AJ68" s="142"/>
      <c r="AK68" s="323">
        <f>SUMPRODUCT(AL$24:AV$24,AL68:AV68)/1000</f>
        <v>0</v>
      </c>
      <c r="AL68" s="321"/>
      <c r="AM68" s="449"/>
      <c r="AN68" s="449"/>
      <c r="AO68" s="449"/>
      <c r="AP68" s="449"/>
      <c r="AQ68" s="449"/>
      <c r="AR68" s="449"/>
      <c r="AS68" s="449"/>
      <c r="AT68" s="449"/>
      <c r="AU68" s="449"/>
      <c r="AV68" s="142"/>
      <c r="AW68" s="323">
        <f>SUMPRODUCT(AX$24:BH$24,AX68:BH68)/1000</f>
        <v>0</v>
      </c>
      <c r="AX68" s="321"/>
      <c r="AY68" s="449"/>
      <c r="AZ68" s="449"/>
      <c r="BA68" s="449"/>
      <c r="BB68" s="449"/>
      <c r="BC68" s="449"/>
      <c r="BD68" s="449"/>
      <c r="BE68" s="449"/>
      <c r="BF68" s="449"/>
      <c r="BG68" s="449"/>
      <c r="BH68" s="255"/>
    </row>
    <row r="69" spans="1:60" ht="18.75" x14ac:dyDescent="0.2">
      <c r="A69" s="648"/>
      <c r="B69" s="492" t="s">
        <v>158</v>
      </c>
      <c r="C69" s="739" t="s">
        <v>104</v>
      </c>
      <c r="D69" s="750"/>
      <c r="E69" s="915" t="s">
        <v>172</v>
      </c>
      <c r="F69" s="916"/>
      <c r="G69" s="916"/>
      <c r="H69" s="168"/>
      <c r="I69" s="169"/>
      <c r="J69" s="170"/>
      <c r="K69" s="171"/>
      <c r="L69" s="171"/>
      <c r="M69" s="172"/>
      <c r="N69" s="172"/>
      <c r="O69" s="172"/>
      <c r="P69" s="172"/>
      <c r="Q69" s="172"/>
      <c r="R69" s="172"/>
      <c r="S69" s="172"/>
      <c r="T69" s="172"/>
      <c r="U69" s="172"/>
      <c r="V69" s="172"/>
      <c r="W69" s="172"/>
      <c r="X69" s="173"/>
      <c r="Y69" s="172"/>
      <c r="Z69" s="172"/>
      <c r="AA69" s="172"/>
      <c r="AB69" s="172"/>
      <c r="AC69" s="172"/>
      <c r="AD69" s="172"/>
      <c r="AE69" s="172"/>
      <c r="AF69" s="172"/>
      <c r="AG69" s="172"/>
      <c r="AH69" s="172"/>
      <c r="AI69" s="172"/>
      <c r="AJ69" s="173"/>
      <c r="AK69" s="172"/>
      <c r="AL69" s="172"/>
      <c r="AM69" s="172"/>
      <c r="AN69" s="172"/>
      <c r="AO69" s="172"/>
      <c r="AP69" s="172"/>
      <c r="AQ69" s="172"/>
      <c r="AR69" s="172"/>
      <c r="AS69" s="172"/>
      <c r="AT69" s="172"/>
      <c r="AU69" s="172"/>
      <c r="AV69" s="173"/>
      <c r="AW69" s="172"/>
      <c r="AX69" s="172"/>
      <c r="AY69" s="172"/>
      <c r="AZ69" s="172"/>
      <c r="BA69" s="172"/>
      <c r="BB69" s="172"/>
      <c r="BC69" s="172"/>
      <c r="BD69" s="172"/>
      <c r="BE69" s="172"/>
      <c r="BF69" s="172"/>
      <c r="BG69" s="172"/>
      <c r="BH69" s="263"/>
    </row>
    <row r="70" spans="1:60" x14ac:dyDescent="0.2">
      <c r="A70" s="648"/>
      <c r="B70" s="492" t="s">
        <v>158</v>
      </c>
      <c r="C70" s="656" t="s">
        <v>127</v>
      </c>
      <c r="D70" s="750" t="s">
        <v>50</v>
      </c>
      <c r="E70" s="358" t="s">
        <v>173</v>
      </c>
      <c r="F70" s="359"/>
      <c r="G70" s="359"/>
      <c r="H70" s="358" t="s">
        <v>171</v>
      </c>
      <c r="I70" s="321"/>
      <c r="J70" s="323">
        <f>M70+Y70+AK70+AW70</f>
        <v>0</v>
      </c>
      <c r="K70" s="142"/>
      <c r="L70" s="142"/>
      <c r="M70" s="323">
        <f>SUMPRODUCT(N$24:X$24,N70:X70)/1000</f>
        <v>0</v>
      </c>
      <c r="N70" s="321"/>
      <c r="O70" s="449"/>
      <c r="P70" s="449"/>
      <c r="Q70" s="449"/>
      <c r="R70" s="449"/>
      <c r="S70" s="449"/>
      <c r="T70" s="449"/>
      <c r="U70" s="449"/>
      <c r="V70" s="449"/>
      <c r="W70" s="449"/>
      <c r="X70" s="142"/>
      <c r="Y70" s="323">
        <f>SUMPRODUCT(Z$24:AJ$24,Z70:AJ70)/1000</f>
        <v>0</v>
      </c>
      <c r="Z70" s="321"/>
      <c r="AA70" s="449"/>
      <c r="AB70" s="449"/>
      <c r="AC70" s="449"/>
      <c r="AD70" s="449"/>
      <c r="AE70" s="449"/>
      <c r="AF70" s="449"/>
      <c r="AG70" s="449"/>
      <c r="AH70" s="449"/>
      <c r="AI70" s="449"/>
      <c r="AJ70" s="142"/>
      <c r="AK70" s="323">
        <f>SUMPRODUCT(AL$24:AV$24,AL70:AV70)/1000</f>
        <v>0</v>
      </c>
      <c r="AL70" s="321"/>
      <c r="AM70" s="449"/>
      <c r="AN70" s="449"/>
      <c r="AO70" s="449"/>
      <c r="AP70" s="449"/>
      <c r="AQ70" s="449"/>
      <c r="AR70" s="449"/>
      <c r="AS70" s="449"/>
      <c r="AT70" s="449"/>
      <c r="AU70" s="449"/>
      <c r="AV70" s="142"/>
      <c r="AW70" s="323">
        <f>SUMPRODUCT(AX$24:BH$24,AX70:BH70)/1000</f>
        <v>0</v>
      </c>
      <c r="AX70" s="321"/>
      <c r="AY70" s="449"/>
      <c r="AZ70" s="449"/>
      <c r="BA70" s="449"/>
      <c r="BB70" s="449"/>
      <c r="BC70" s="449"/>
      <c r="BD70" s="449"/>
      <c r="BE70" s="449"/>
      <c r="BF70" s="449"/>
      <c r="BG70" s="449"/>
      <c r="BH70" s="255"/>
    </row>
    <row r="71" spans="1:60" x14ac:dyDescent="0.2">
      <c r="A71" s="648"/>
      <c r="B71" s="492" t="s">
        <v>158</v>
      </c>
      <c r="C71" s="656" t="s">
        <v>127</v>
      </c>
      <c r="D71" s="747"/>
      <c r="E71" s="90"/>
      <c r="F71" s="90"/>
      <c r="G71" s="90"/>
      <c r="H71" s="96"/>
      <c r="I71" s="90"/>
      <c r="J71" s="93"/>
      <c r="K71" s="90"/>
      <c r="L71" s="90"/>
      <c r="M71" s="93"/>
      <c r="N71" s="90"/>
      <c r="O71" s="117"/>
      <c r="P71" s="93"/>
      <c r="Q71" s="117"/>
      <c r="R71" s="117"/>
      <c r="S71" s="117"/>
      <c r="T71" s="117"/>
      <c r="U71" s="117"/>
      <c r="V71" s="117"/>
      <c r="W71" s="117"/>
      <c r="X71" s="93"/>
      <c r="Y71" s="93"/>
      <c r="Z71" s="90"/>
      <c r="AA71" s="117"/>
      <c r="AB71" s="93"/>
      <c r="AC71" s="117"/>
      <c r="AD71" s="117"/>
      <c r="AE71" s="117"/>
      <c r="AF71" s="117"/>
      <c r="AG71" s="117"/>
      <c r="AH71" s="117"/>
      <c r="AI71" s="117"/>
      <c r="AJ71" s="93"/>
      <c r="AK71" s="93"/>
      <c r="AL71" s="90"/>
      <c r="AM71" s="117"/>
      <c r="AN71" s="93"/>
      <c r="AO71" s="117"/>
      <c r="AP71" s="117"/>
      <c r="AQ71" s="117"/>
      <c r="AR71" s="117"/>
      <c r="AS71" s="117"/>
      <c r="AT71" s="117"/>
      <c r="AU71" s="117"/>
      <c r="AV71" s="93"/>
      <c r="AW71" s="93"/>
      <c r="AX71" s="90"/>
      <c r="AY71" s="93"/>
      <c r="AZ71" s="93"/>
      <c r="BA71" s="93"/>
      <c r="BB71" s="93"/>
      <c r="BC71" s="93"/>
      <c r="BD71" s="93"/>
      <c r="BE71" s="93"/>
      <c r="BF71" s="93"/>
      <c r="BG71" s="93"/>
      <c r="BH71" s="1"/>
    </row>
    <row r="72" spans="1:60" x14ac:dyDescent="0.2">
      <c r="A72" s="648"/>
      <c r="B72" s="492" t="s">
        <v>158</v>
      </c>
      <c r="C72" s="656" t="s">
        <v>104</v>
      </c>
      <c r="D72" s="747"/>
      <c r="E72" s="90"/>
      <c r="F72" s="90"/>
      <c r="G72" s="90"/>
      <c r="H72" s="96"/>
      <c r="I72" s="90"/>
      <c r="J72" s="93"/>
      <c r="K72" s="90"/>
      <c r="L72" s="90"/>
      <c r="M72" s="93"/>
      <c r="N72" s="90"/>
      <c r="O72" s="117"/>
      <c r="P72" s="93"/>
      <c r="Q72" s="117"/>
      <c r="R72" s="117"/>
      <c r="S72" s="117"/>
      <c r="T72" s="117"/>
      <c r="U72" s="117"/>
      <c r="V72" s="117"/>
      <c r="W72" s="117"/>
      <c r="X72" s="93"/>
      <c r="Y72" s="93"/>
      <c r="Z72" s="90"/>
      <c r="AA72" s="117"/>
      <c r="AB72" s="93"/>
      <c r="AC72" s="117"/>
      <c r="AD72" s="117"/>
      <c r="AE72" s="117"/>
      <c r="AF72" s="117"/>
      <c r="AG72" s="117"/>
      <c r="AH72" s="117"/>
      <c r="AI72" s="117"/>
      <c r="AJ72" s="93"/>
      <c r="AK72" s="93"/>
      <c r="AL72" s="90"/>
      <c r="AM72" s="117"/>
      <c r="AN72" s="93"/>
      <c r="AO72" s="117"/>
      <c r="AP72" s="117"/>
      <c r="AQ72" s="117"/>
      <c r="AR72" s="117"/>
      <c r="AS72" s="117"/>
      <c r="AT72" s="117"/>
      <c r="AU72" s="117"/>
      <c r="AV72" s="93"/>
      <c r="AW72" s="93"/>
      <c r="AX72" s="90"/>
      <c r="AY72" s="93"/>
      <c r="AZ72" s="93"/>
      <c r="BA72" s="93"/>
      <c r="BB72" s="93"/>
      <c r="BC72" s="93"/>
      <c r="BD72" s="93"/>
      <c r="BE72" s="93"/>
      <c r="BF72" s="93"/>
      <c r="BG72" s="93"/>
      <c r="BH72" s="1"/>
    </row>
    <row r="73" spans="1:60" ht="21" x14ac:dyDescent="0.2">
      <c r="A73" s="648"/>
      <c r="B73" s="492" t="s">
        <v>158</v>
      </c>
      <c r="C73" s="739" t="s">
        <v>104</v>
      </c>
      <c r="D73" s="752"/>
      <c r="E73" s="240" t="s">
        <v>174</v>
      </c>
      <c r="F73" s="240"/>
      <c r="G73" s="240"/>
      <c r="H73" s="240"/>
      <c r="I73" s="88"/>
      <c r="J73" s="241" t="str">
        <f>J$10&amp;" MWh"</f>
        <v>totaal MWh</v>
      </c>
      <c r="K73" s="142"/>
      <c r="L73" s="142"/>
      <c r="M73" s="216" t="str">
        <f>M$10&amp;" MWh"</f>
        <v>totaal MWh</v>
      </c>
      <c r="N73" s="222"/>
      <c r="O73" s="217" t="str">
        <f t="shared" ref="O73:W73" si="89">O$10</f>
        <v>verwarming</v>
      </c>
      <c r="P73" s="217" t="str">
        <f t="shared" si="89"/>
        <v>koeling</v>
      </c>
      <c r="Q73" s="217" t="str">
        <f t="shared" si="89"/>
        <v>tapwater</v>
      </c>
      <c r="R73" s="217" t="str">
        <f t="shared" si="89"/>
        <v>verlichting</v>
      </c>
      <c r="S73" s="217" t="str">
        <f t="shared" si="89"/>
        <v>ventilatoren</v>
      </c>
      <c r="T73" s="217" t="str">
        <f t="shared" si="89"/>
        <v>kookgas</v>
      </c>
      <c r="U73" s="217" t="str">
        <f t="shared" si="89"/>
        <v>overig elektra</v>
      </c>
      <c r="V73" s="217" t="str">
        <f t="shared" si="89"/>
        <v>mobiliteit</v>
      </c>
      <c r="W73" s="217" t="str">
        <f t="shared" si="89"/>
        <v>zonnepanelen</v>
      </c>
      <c r="X73" s="214"/>
      <c r="Y73" s="216" t="str">
        <f>Y$10&amp;" MWh"</f>
        <v>totaal MWh</v>
      </c>
      <c r="Z73" s="222"/>
      <c r="AA73" s="217" t="str">
        <f t="shared" ref="AA73:AI73" si="90">AA$10</f>
        <v>verwarming</v>
      </c>
      <c r="AB73" s="217" t="str">
        <f t="shared" si="90"/>
        <v>koeling</v>
      </c>
      <c r="AC73" s="217" t="str">
        <f t="shared" si="90"/>
        <v>tapwater</v>
      </c>
      <c r="AD73" s="217" t="str">
        <f t="shared" si="90"/>
        <v>verlichting</v>
      </c>
      <c r="AE73" s="217" t="str">
        <f t="shared" si="90"/>
        <v>ventilatoren</v>
      </c>
      <c r="AF73" s="217" t="str">
        <f t="shared" si="90"/>
        <v>kookgas</v>
      </c>
      <c r="AG73" s="217" t="str">
        <f t="shared" si="90"/>
        <v>overig elektra</v>
      </c>
      <c r="AH73" s="217" t="str">
        <f t="shared" si="90"/>
        <v>mobiliteit</v>
      </c>
      <c r="AI73" s="217" t="str">
        <f t="shared" si="90"/>
        <v>zonnepanelen</v>
      </c>
      <c r="AJ73" s="214"/>
      <c r="AK73" s="216" t="str">
        <f>AK$10&amp;" MWh"</f>
        <v>totaal MWh</v>
      </c>
      <c r="AL73" s="222"/>
      <c r="AM73" s="217" t="str">
        <f>AM$10</f>
        <v>verwarming</v>
      </c>
      <c r="AN73" s="217" t="str">
        <f t="shared" ref="AN73:AU73" si="91">AN$10</f>
        <v>koeling</v>
      </c>
      <c r="AO73" s="217" t="str">
        <f t="shared" si="91"/>
        <v>tapwater</v>
      </c>
      <c r="AP73" s="217" t="str">
        <f t="shared" si="91"/>
        <v>verlichting</v>
      </c>
      <c r="AQ73" s="217" t="str">
        <f t="shared" si="91"/>
        <v>ventilatoren</v>
      </c>
      <c r="AR73" s="217" t="str">
        <f t="shared" si="91"/>
        <v>kookgas</v>
      </c>
      <c r="AS73" s="217" t="str">
        <f t="shared" si="91"/>
        <v>overig elektra</v>
      </c>
      <c r="AT73" s="217" t="str">
        <f t="shared" si="91"/>
        <v>mobiliteit</v>
      </c>
      <c r="AU73" s="217" t="str">
        <f t="shared" si="91"/>
        <v>zonnepanelen</v>
      </c>
      <c r="AV73" s="214"/>
      <c r="AW73" s="216" t="str">
        <f>AW$10&amp;" MWh"</f>
        <v>totaal MWh</v>
      </c>
      <c r="AX73" s="222"/>
      <c r="AY73" s="217" t="str">
        <f>AY$10</f>
        <v>verwarming</v>
      </c>
      <c r="AZ73" s="217" t="str">
        <f t="shared" ref="AZ73:BG73" si="92">AZ$10</f>
        <v>koeling</v>
      </c>
      <c r="BA73" s="217" t="str">
        <f t="shared" si="92"/>
        <v>tapwater</v>
      </c>
      <c r="BB73" s="217" t="str">
        <f t="shared" si="92"/>
        <v>verlichting</v>
      </c>
      <c r="BC73" s="217" t="str">
        <f t="shared" si="92"/>
        <v>ventilatoren</v>
      </c>
      <c r="BD73" s="217" t="str">
        <f t="shared" si="92"/>
        <v>kookgas</v>
      </c>
      <c r="BE73" s="217" t="str">
        <f t="shared" si="92"/>
        <v>overig elektra</v>
      </c>
      <c r="BF73" s="217" t="str">
        <f t="shared" si="92"/>
        <v>mobiliteit</v>
      </c>
      <c r="BG73" s="217" t="str">
        <f t="shared" si="92"/>
        <v>zonnepanelen</v>
      </c>
      <c r="BH73" s="1"/>
    </row>
    <row r="74" spans="1:60" ht="18.75" x14ac:dyDescent="0.2">
      <c r="A74" s="648"/>
      <c r="B74" s="492" t="s">
        <v>158</v>
      </c>
      <c r="C74" s="739" t="s">
        <v>104</v>
      </c>
      <c r="D74" s="750"/>
      <c r="E74" s="174" t="s">
        <v>175</v>
      </c>
      <c r="F74" s="175"/>
      <c r="G74" s="175"/>
      <c r="H74" s="176"/>
      <c r="I74" s="177"/>
      <c r="J74" s="141"/>
      <c r="K74" s="178"/>
      <c r="L74" s="178"/>
      <c r="M74" s="141"/>
      <c r="N74" s="141"/>
      <c r="O74" s="141"/>
      <c r="P74" s="141"/>
      <c r="Q74" s="141"/>
      <c r="R74" s="141"/>
      <c r="S74" s="141"/>
      <c r="T74" s="141"/>
      <c r="U74" s="141"/>
      <c r="V74" s="141"/>
      <c r="W74" s="141"/>
      <c r="X74" s="179"/>
      <c r="Y74" s="141"/>
      <c r="Z74" s="141"/>
      <c r="AA74" s="141"/>
      <c r="AB74" s="141"/>
      <c r="AC74" s="141"/>
      <c r="AD74" s="141"/>
      <c r="AE74" s="141"/>
      <c r="AF74" s="141"/>
      <c r="AG74" s="141"/>
      <c r="AH74" s="141"/>
      <c r="AI74" s="141"/>
      <c r="AJ74" s="179"/>
      <c r="AK74" s="141"/>
      <c r="AL74" s="141"/>
      <c r="AM74" s="141"/>
      <c r="AN74" s="141"/>
      <c r="AO74" s="141"/>
      <c r="AP74" s="141"/>
      <c r="AQ74" s="141"/>
      <c r="AR74" s="141"/>
      <c r="AS74" s="141"/>
      <c r="AT74" s="141"/>
      <c r="AU74" s="141"/>
      <c r="AV74" s="179"/>
      <c r="AW74" s="141"/>
      <c r="AX74" s="141"/>
      <c r="AY74" s="141"/>
      <c r="AZ74" s="141"/>
      <c r="BA74" s="141"/>
      <c r="BB74" s="141"/>
      <c r="BC74" s="141"/>
      <c r="BD74" s="141"/>
      <c r="BE74" s="141"/>
      <c r="BF74" s="141"/>
      <c r="BG74" s="141"/>
      <c r="BH74" s="263"/>
    </row>
    <row r="75" spans="1:60" x14ac:dyDescent="0.2">
      <c r="A75" s="648"/>
      <c r="B75" s="492" t="s">
        <v>158</v>
      </c>
      <c r="C75" s="656" t="s">
        <v>113</v>
      </c>
      <c r="D75" s="750" t="s">
        <v>50</v>
      </c>
      <c r="E75" s="358" t="s">
        <v>176</v>
      </c>
      <c r="F75" s="359"/>
      <c r="G75" s="359"/>
      <c r="H75" s="358" t="s">
        <v>177</v>
      </c>
      <c r="I75" s="321"/>
      <c r="J75" s="323">
        <f>M75+Y75+AK75+AW75</f>
        <v>0</v>
      </c>
      <c r="K75" s="142"/>
      <c r="L75" s="142"/>
      <c r="M75" s="323">
        <f>SUM(N75:X75)</f>
        <v>0</v>
      </c>
      <c r="N75" s="321"/>
      <c r="O75" s="322">
        <f>SUMPRODUCT(N24:X24,N31:X31,N60:X60)/1000</f>
        <v>0</v>
      </c>
      <c r="P75" s="322">
        <f>SUMPRODUCT(N24:X24,N31:X31,N61:X61)/1000</f>
        <v>0</v>
      </c>
      <c r="Q75" s="322">
        <f>SUMPRODUCT(N24:X24,N31:X31,N62:X62)/1000</f>
        <v>0</v>
      </c>
      <c r="R75" s="322">
        <f>SUMPRODUCT(N24:X24,N31:X31,N63:X63)/1000</f>
        <v>0</v>
      </c>
      <c r="S75" s="322">
        <f>SUMPRODUCT(N24:X24,N31:X31,N64:X64)/1000</f>
        <v>0</v>
      </c>
      <c r="T75" s="322">
        <f>SUMPRODUCT(N24:X24,N31:X31,N65:X65)/1000</f>
        <v>0</v>
      </c>
      <c r="U75" s="322">
        <f>SUMPRODUCT(N24:X24,N31:X31,N66:X66)/1000</f>
        <v>0</v>
      </c>
      <c r="V75" s="322">
        <f>SUMPRODUCT(N24:X24,N68:X68)/1000</f>
        <v>0</v>
      </c>
      <c r="W75" s="322">
        <f>-SUMPRODUCT(N24:X24,N70:X70)/1000</f>
        <v>0</v>
      </c>
      <c r="X75" s="142"/>
      <c r="Y75" s="323">
        <f>SUM(Z75:AJ75)</f>
        <v>0</v>
      </c>
      <c r="Z75" s="321"/>
      <c r="AA75" s="322">
        <f>SUMPRODUCT(Z24:AJ24,Z31:AJ31,Z60:AJ60)/1000</f>
        <v>0</v>
      </c>
      <c r="AB75" s="322">
        <f>SUMPRODUCT(Z24:AJ24,Z31:AJ31,Z61:AJ61)/1000</f>
        <v>0</v>
      </c>
      <c r="AC75" s="322">
        <f>SUMPRODUCT(Z24:AJ24,Z31:AJ31,Z62:AJ62)/1000</f>
        <v>0</v>
      </c>
      <c r="AD75" s="322">
        <f>SUMPRODUCT(Z24:AJ24,Z31:AJ31,Z63:AJ63)/1000</f>
        <v>0</v>
      </c>
      <c r="AE75" s="322">
        <f>SUMPRODUCT(Z24:AJ24,Z31:AJ31,Z64:AJ64)/1000</f>
        <v>0</v>
      </c>
      <c r="AF75" s="322">
        <f>SUMPRODUCT(Z24:AJ24,Z31:AJ31,Z65:AJ65)/1000</f>
        <v>0</v>
      </c>
      <c r="AG75" s="322">
        <f>SUMPRODUCT(Z24:AJ24,Z31:AJ31,Z66:AJ66)/1000</f>
        <v>0</v>
      </c>
      <c r="AH75" s="322">
        <f>SUMPRODUCT(Z24:AJ24,Z68:AJ68)/1000</f>
        <v>0</v>
      </c>
      <c r="AI75" s="322">
        <f>-SUMPRODUCT(Z24:AJ24,Z70:AJ70)/1000</f>
        <v>0</v>
      </c>
      <c r="AJ75" s="142"/>
      <c r="AK75" s="323">
        <f>SUM(AL75:AV75)</f>
        <v>0</v>
      </c>
      <c r="AL75" s="321"/>
      <c r="AM75" s="322">
        <f>SUMPRODUCT(AL24:AV24,AL31:AV31,AL60:AV60)/1000</f>
        <v>0</v>
      </c>
      <c r="AN75" s="322">
        <f>SUMPRODUCT(AL24:AV24,AL31:AV31,AL61:AV61)/1000</f>
        <v>0</v>
      </c>
      <c r="AO75" s="322">
        <f>SUMPRODUCT(AL24:AV24,AL31:AV31,AL62:AV62)/1000</f>
        <v>0</v>
      </c>
      <c r="AP75" s="322">
        <f>SUMPRODUCT(AL24:AV24,AL31:AV31,AL63:AV63)/1000</f>
        <v>0</v>
      </c>
      <c r="AQ75" s="322">
        <f>SUMPRODUCT(AL24:AV24,AL31:AV31,AL64:AV64)/1000</f>
        <v>0</v>
      </c>
      <c r="AR75" s="322">
        <f>SUMPRODUCT(AL24:AV24,AL31:AV31,AL65:AV65)/1000</f>
        <v>0</v>
      </c>
      <c r="AS75" s="322">
        <f>SUMPRODUCT(AL24:AV24,AL31:AV31,AL66:AV66)/1000</f>
        <v>0</v>
      </c>
      <c r="AT75" s="322">
        <f>SUMPRODUCT(AL24:AV24,AL68:AV68)/1000</f>
        <v>0</v>
      </c>
      <c r="AU75" s="322">
        <f>-SUMPRODUCT(AL24:AV24,AL70:AV70)/1000</f>
        <v>0</v>
      </c>
      <c r="AV75" s="142"/>
      <c r="AW75" s="323">
        <f>SUM(AX75:BH75)</f>
        <v>0</v>
      </c>
      <c r="AX75" s="321"/>
      <c r="AY75" s="322">
        <f>SUMPRODUCT(AX24:BH24,AX31:BH31,AX60:BH60)/1000</f>
        <v>0</v>
      </c>
      <c r="AZ75" s="322">
        <f>SUMPRODUCT(AX24:BH24,AX31:BH31,AX61:BH61)/1000</f>
        <v>0</v>
      </c>
      <c r="BA75" s="322">
        <f>SUMPRODUCT(AX24:BH24,AX31:BH31,AX62:BH62)/1000</f>
        <v>0</v>
      </c>
      <c r="BB75" s="322">
        <f>SUMPRODUCT(AX24:BH24,AX31:BH31,AX63:BH63)/1000</f>
        <v>0</v>
      </c>
      <c r="BC75" s="322">
        <f>SUMPRODUCT(AX24:BH24,AX31:BH31,AX64:BH64)/1000</f>
        <v>0</v>
      </c>
      <c r="BD75" s="322">
        <f>SUMPRODUCT(AX24:BH24,AX31:BH31,AX65:BH65)/1000</f>
        <v>0</v>
      </c>
      <c r="BE75" s="322">
        <f>SUMPRODUCT(AX24:BH24,AX31:BH31,AX66:BH66)/1000</f>
        <v>0</v>
      </c>
      <c r="BF75" s="322">
        <f>SUMPRODUCT(AX24:BH24,AX68:BH68)/1000</f>
        <v>0</v>
      </c>
      <c r="BG75" s="322">
        <f>-SUMPRODUCT(AX24:BH24,AX70:BH70)/1000</f>
        <v>0</v>
      </c>
      <c r="BH75" s="255"/>
    </row>
    <row r="76" spans="1:60" x14ac:dyDescent="0.2">
      <c r="A76" s="648"/>
      <c r="B76" s="492" t="s">
        <v>158</v>
      </c>
      <c r="C76" s="739" t="s">
        <v>104</v>
      </c>
      <c r="D76" s="747"/>
      <c r="E76" s="90"/>
      <c r="F76" s="90"/>
      <c r="G76" s="90"/>
      <c r="H76" s="96"/>
      <c r="I76" s="90"/>
      <c r="J76" s="93"/>
      <c r="K76" s="90"/>
      <c r="L76" s="90"/>
      <c r="M76" s="93"/>
      <c r="N76" s="90"/>
      <c r="O76" s="93"/>
      <c r="P76" s="93"/>
      <c r="Q76" s="93"/>
      <c r="R76" s="93"/>
      <c r="S76" s="93"/>
      <c r="T76" s="93"/>
      <c r="U76" s="93"/>
      <c r="V76" s="93"/>
      <c r="W76" s="93"/>
      <c r="X76" s="93"/>
      <c r="Y76" s="93"/>
      <c r="Z76" s="90"/>
      <c r="AA76" s="122"/>
      <c r="AB76" s="93"/>
      <c r="AC76" s="122"/>
      <c r="AD76" s="93"/>
      <c r="AE76" s="93"/>
      <c r="AF76" s="93"/>
      <c r="AG76" s="93"/>
      <c r="AH76" s="93"/>
      <c r="AI76" s="93"/>
      <c r="AJ76" s="93"/>
      <c r="AK76" s="93"/>
      <c r="AL76" s="90"/>
      <c r="AM76" s="93"/>
      <c r="AN76" s="93"/>
      <c r="AO76" s="93"/>
      <c r="AP76" s="93"/>
      <c r="AQ76" s="93"/>
      <c r="AR76" s="93"/>
      <c r="AS76" s="93"/>
      <c r="AT76" s="93"/>
      <c r="AU76" s="93"/>
      <c r="AV76" s="93"/>
      <c r="AW76" s="93"/>
      <c r="AX76" s="90"/>
      <c r="AY76" s="93"/>
      <c r="AZ76" s="93"/>
      <c r="BA76" s="93"/>
      <c r="BB76" s="93"/>
      <c r="BC76" s="93"/>
      <c r="BD76" s="93"/>
      <c r="BE76" s="93"/>
      <c r="BF76" s="93"/>
      <c r="BG76" s="93"/>
      <c r="BH76" s="1"/>
    </row>
    <row r="77" spans="1:60" x14ac:dyDescent="0.2">
      <c r="A77" s="648"/>
      <c r="B77" s="492" t="s">
        <v>178</v>
      </c>
      <c r="C77" s="656" t="s">
        <v>104</v>
      </c>
      <c r="D77" s="747"/>
      <c r="E77" s="90"/>
      <c r="F77" s="90"/>
      <c r="G77" s="90"/>
      <c r="H77" s="96"/>
      <c r="I77" s="90"/>
      <c r="J77" s="93"/>
      <c r="K77" s="90"/>
      <c r="L77" s="90"/>
      <c r="M77" s="93"/>
      <c r="N77" s="90"/>
      <c r="O77" s="93"/>
      <c r="P77" s="93"/>
      <c r="Q77" s="93"/>
      <c r="R77" s="93"/>
      <c r="S77" s="93"/>
      <c r="T77" s="93"/>
      <c r="U77" s="93"/>
      <c r="V77" s="93"/>
      <c r="W77" s="93"/>
      <c r="X77" s="93"/>
      <c r="Y77" s="93"/>
      <c r="Z77" s="90"/>
      <c r="AA77" s="122"/>
      <c r="AB77" s="122"/>
      <c r="AC77" s="93"/>
      <c r="AD77" s="93"/>
      <c r="AE77" s="93"/>
      <c r="AF77" s="93"/>
      <c r="AG77" s="93"/>
      <c r="AH77" s="93"/>
      <c r="AI77" s="93"/>
      <c r="AJ77" s="93"/>
      <c r="AK77" s="93"/>
      <c r="AL77" s="90"/>
      <c r="AM77" s="93"/>
      <c r="AN77" s="93"/>
      <c r="AO77" s="93"/>
      <c r="AP77" s="93"/>
      <c r="AQ77" s="93"/>
      <c r="AR77" s="93"/>
      <c r="AS77" s="93"/>
      <c r="AT77" s="93"/>
      <c r="AU77" s="93"/>
      <c r="AV77" s="93"/>
      <c r="AW77" s="93"/>
      <c r="AX77" s="90"/>
      <c r="AY77" s="93"/>
      <c r="AZ77" s="93"/>
      <c r="BA77" s="93"/>
      <c r="BB77" s="93"/>
      <c r="BC77" s="93"/>
      <c r="BD77" s="93"/>
      <c r="BE77" s="93"/>
      <c r="BF77" s="93"/>
      <c r="BG77" s="93"/>
      <c r="BH77" s="1"/>
    </row>
    <row r="78" spans="1:60" ht="21" x14ac:dyDescent="0.2">
      <c r="A78" s="648"/>
      <c r="B78" s="492" t="s">
        <v>178</v>
      </c>
      <c r="C78" s="739" t="s">
        <v>104</v>
      </c>
      <c r="D78" s="750" t="s">
        <v>50</v>
      </c>
      <c r="E78" s="240" t="s">
        <v>179</v>
      </c>
      <c r="F78" s="240"/>
      <c r="G78" s="240"/>
      <c r="H78" s="240"/>
      <c r="I78" s="88"/>
      <c r="J78" s="241"/>
      <c r="K78" s="142"/>
      <c r="L78" s="142"/>
      <c r="M78" s="216"/>
      <c r="N78" s="222"/>
      <c r="O78" s="217"/>
      <c r="P78" s="217"/>
      <c r="Q78" s="217"/>
      <c r="R78" s="217"/>
      <c r="S78" s="217"/>
      <c r="T78" s="217"/>
      <c r="U78" s="217"/>
      <c r="V78" s="217"/>
      <c r="W78" s="217"/>
      <c r="X78" s="214"/>
      <c r="Y78" s="216"/>
      <c r="Z78" s="222"/>
      <c r="AA78" s="217"/>
      <c r="AB78" s="217"/>
      <c r="AC78" s="217"/>
      <c r="AD78" s="217"/>
      <c r="AE78" s="217"/>
      <c r="AF78" s="217"/>
      <c r="AG78" s="217"/>
      <c r="AH78" s="217"/>
      <c r="AI78" s="217"/>
      <c r="AJ78" s="214"/>
      <c r="AK78" s="216"/>
      <c r="AL78" s="222"/>
      <c r="AM78" s="217"/>
      <c r="AN78" s="217"/>
      <c r="AO78" s="217"/>
      <c r="AP78" s="217"/>
      <c r="AQ78" s="217"/>
      <c r="AR78" s="217"/>
      <c r="AS78" s="217"/>
      <c r="AT78" s="217"/>
      <c r="AU78" s="217"/>
      <c r="AV78" s="214"/>
      <c r="AW78" s="216"/>
      <c r="AX78" s="222"/>
      <c r="AY78" s="217"/>
      <c r="AZ78" s="217"/>
      <c r="BA78" s="217"/>
      <c r="BB78" s="217"/>
      <c r="BC78" s="217"/>
      <c r="BD78" s="217"/>
      <c r="BE78" s="217"/>
      <c r="BF78" s="217"/>
      <c r="BG78" s="217"/>
      <c r="BH78" s="1"/>
    </row>
    <row r="79" spans="1:60" ht="18.75" x14ac:dyDescent="0.2">
      <c r="A79" s="648"/>
      <c r="B79" s="492" t="s">
        <v>178</v>
      </c>
      <c r="C79" s="739" t="s">
        <v>104</v>
      </c>
      <c r="D79" s="750" t="s">
        <v>50</v>
      </c>
      <c r="E79" s="174" t="s">
        <v>180</v>
      </c>
      <c r="F79" s="175"/>
      <c r="G79" s="175"/>
      <c r="H79" s="176"/>
      <c r="I79" s="177"/>
      <c r="J79" s="141"/>
      <c r="K79" s="178"/>
      <c r="L79" s="178"/>
      <c r="M79" s="141"/>
      <c r="N79" s="141"/>
      <c r="O79" s="141"/>
      <c r="P79" s="141"/>
      <c r="Q79" s="141"/>
      <c r="R79" s="141">
        <v>1</v>
      </c>
      <c r="S79" s="141">
        <v>1</v>
      </c>
      <c r="T79" s="141"/>
      <c r="U79" s="141"/>
      <c r="V79" s="141"/>
      <c r="W79" s="141"/>
      <c r="X79" s="179"/>
      <c r="Y79" s="141"/>
      <c r="Z79" s="141"/>
      <c r="AA79" s="141"/>
      <c r="AB79" s="141"/>
      <c r="AC79" s="141"/>
      <c r="AD79" s="141"/>
      <c r="AE79" s="141"/>
      <c r="AF79" s="141"/>
      <c r="AG79" s="141"/>
      <c r="AH79" s="141"/>
      <c r="AI79" s="141"/>
      <c r="AJ79" s="179"/>
      <c r="AK79" s="141"/>
      <c r="AL79" s="141"/>
      <c r="AM79" s="141"/>
      <c r="AN79" s="141"/>
      <c r="AO79" s="141"/>
      <c r="AP79" s="141"/>
      <c r="AQ79" s="141"/>
      <c r="AR79" s="141"/>
      <c r="AS79" s="141"/>
      <c r="AT79" s="141"/>
      <c r="AU79" s="141"/>
      <c r="AV79" s="179"/>
      <c r="AW79" s="141"/>
      <c r="AX79" s="141"/>
      <c r="AY79" s="141"/>
      <c r="AZ79" s="141"/>
      <c r="BA79" s="141"/>
      <c r="BB79" s="141"/>
      <c r="BC79" s="141"/>
      <c r="BD79" s="141"/>
      <c r="BE79" s="141"/>
      <c r="BF79" s="141"/>
      <c r="BG79" s="141"/>
      <c r="BH79" s="263"/>
    </row>
    <row r="80" spans="1:60" ht="38.25" x14ac:dyDescent="0.2">
      <c r="A80" s="648"/>
      <c r="B80" s="492" t="s">
        <v>178</v>
      </c>
      <c r="C80" s="656" t="s">
        <v>127</v>
      </c>
      <c r="D80" s="747"/>
      <c r="E80" s="183" t="s">
        <v>181</v>
      </c>
      <c r="F80" s="357"/>
      <c r="G80" s="357"/>
      <c r="H80" s="183" t="s">
        <v>70</v>
      </c>
      <c r="I80" s="188"/>
      <c r="J80" s="330" t="str">
        <f>IF(AND(M$31&gt;0,COUNTBLANK(O80:Q80)&gt;0),"kies installatie locatie 1",
IF(AND(Y$31&gt;0,COUNTBLANK(AA80:AC80)&gt;0),"kies installatie locatie 2",
IF(AND(AK$31&gt;0,COUNTBLANK(AM80:AO80)&gt;0),"kies installatie locatie 3",
IF(AND(AW$31&gt;0,COUNTBLANK(AY80:BA80)&gt;0),"kies installatie locatie 4",
"OK"))))</f>
        <v>OK</v>
      </c>
      <c r="K80" s="820"/>
      <c r="L80" s="820"/>
      <c r="M80" s="330"/>
      <c r="N80" s="136"/>
      <c r="O80" s="1038" t="s">
        <v>561</v>
      </c>
      <c r="P80" s="1038" t="s">
        <v>183</v>
      </c>
      <c r="Q80" s="1038" t="s">
        <v>561</v>
      </c>
      <c r="R80" s="190"/>
      <c r="S80" s="190"/>
      <c r="T80" s="190"/>
      <c r="U80" s="190"/>
      <c r="V80" s="190"/>
      <c r="W80" s="190"/>
      <c r="X80" s="179"/>
      <c r="Y80" s="189"/>
      <c r="Z80" s="136"/>
      <c r="AA80" s="1038" t="s">
        <v>561</v>
      </c>
      <c r="AB80" s="1038" t="s">
        <v>183</v>
      </c>
      <c r="AC80" s="1038" t="s">
        <v>561</v>
      </c>
      <c r="AD80" s="190"/>
      <c r="AE80" s="190"/>
      <c r="AF80" s="190"/>
      <c r="AG80" s="190"/>
      <c r="AH80" s="190"/>
      <c r="AI80" s="190"/>
      <c r="AJ80" s="179"/>
      <c r="AK80" s="189"/>
      <c r="AL80" s="136"/>
      <c r="AM80" s="1038" t="s">
        <v>561</v>
      </c>
      <c r="AN80" s="1038" t="s">
        <v>183</v>
      </c>
      <c r="AO80" s="1038" t="s">
        <v>561</v>
      </c>
      <c r="AP80" s="190"/>
      <c r="AQ80" s="190"/>
      <c r="AR80" s="190"/>
      <c r="AS80" s="190"/>
      <c r="AT80" s="190"/>
      <c r="AU80" s="190"/>
      <c r="AV80" s="179"/>
      <c r="AW80" s="189"/>
      <c r="AX80" s="141"/>
      <c r="AY80" s="1038" t="s">
        <v>561</v>
      </c>
      <c r="AZ80" s="1038" t="s">
        <v>183</v>
      </c>
      <c r="BA80" s="1038" t="s">
        <v>561</v>
      </c>
      <c r="BB80" s="190"/>
      <c r="BC80" s="190"/>
      <c r="BD80" s="190"/>
      <c r="BE80" s="190"/>
      <c r="BF80" s="190"/>
      <c r="BG80" s="190"/>
      <c r="BH80" s="263"/>
    </row>
    <row r="81" spans="1:60" x14ac:dyDescent="0.2">
      <c r="A81" s="648"/>
      <c r="B81" s="492" t="s">
        <v>178</v>
      </c>
      <c r="C81" s="656" t="s">
        <v>127</v>
      </c>
      <c r="D81" s="747"/>
      <c r="E81" s="221" t="str">
        <f>bibliotheek!$E$81</f>
        <v>geografisch niveau installatie [keuzelijst]</v>
      </c>
      <c r="F81" s="220"/>
      <c r="G81" s="220"/>
      <c r="H81" s="221" t="s">
        <v>70</v>
      </c>
      <c r="I81" s="146"/>
      <c r="J81" s="230"/>
      <c r="K81" s="121"/>
      <c r="L81" s="121"/>
      <c r="M81" s="230"/>
      <c r="N81" s="129"/>
      <c r="O81" s="348" t="str">
        <f>HLOOKUP(IF(O$80="",referentie_verwarming,O$80),toestellen_RV,ROWS(bibliotheek!$E$79:$E$81),FALSE)</f>
        <v>gebouw</v>
      </c>
      <c r="P81" s="348" t="str">
        <f>HLOOKUP(IF(P$80="",referentie_koeling,P$80),toestellen_KOEL,ROWS(bibliotheek!$E$170:$E$172),FALSE)</f>
        <v>gebouw</v>
      </c>
      <c r="Q81" s="348" t="str">
        <f>HLOOKUP(IF(Q$80="",referentie_warmtapwater,Q$80),toestellen_TAP,ROWS(bibliotheek!$E$136:$E$138),FALSE)</f>
        <v>gebouw</v>
      </c>
      <c r="R81" s="193"/>
      <c r="S81" s="193"/>
      <c r="T81" s="193"/>
      <c r="U81" s="193"/>
      <c r="V81" s="193"/>
      <c r="W81" s="193"/>
      <c r="X81" s="179"/>
      <c r="Y81" s="145"/>
      <c r="Z81" s="129"/>
      <c r="AA81" s="348" t="str">
        <f>HLOOKUP(IF(AA$80="",referentie_verwarming,AA$80),toestellen_RV,ROWS(bibliotheek!$E$79:$E$81),FALSE)</f>
        <v>gebouw</v>
      </c>
      <c r="AB81" s="348" t="str">
        <f>HLOOKUP(IF(AB$80="",referentie_koeling,AB$80),toestellen_KOEL,ROWS(bibliotheek!$E$170:$E$172),FALSE)</f>
        <v>gebouw</v>
      </c>
      <c r="AC81" s="348" t="str">
        <f>HLOOKUP(IF(AC$80="",referentie_warmtapwater,AC$80),toestellen_TAP,ROWS(bibliotheek!$E$136:$E$138),FALSE)</f>
        <v>gebouw</v>
      </c>
      <c r="AD81" s="193"/>
      <c r="AE81" s="193"/>
      <c r="AF81" s="193"/>
      <c r="AG81" s="193"/>
      <c r="AH81" s="193"/>
      <c r="AI81" s="193"/>
      <c r="AJ81" s="179"/>
      <c r="AK81" s="145"/>
      <c r="AL81" s="136"/>
      <c r="AM81" s="348" t="str">
        <f>HLOOKUP(IF(AM$80="",referentie_verwarming,AM$80),toestellen_RV,ROWS(bibliotheek!$E$79:$E$81),FALSE)</f>
        <v>gebouw</v>
      </c>
      <c r="AN81" s="348" t="str">
        <f>HLOOKUP(IF(AN$80="",referentie_koeling,AN$80),toestellen_KOEL,ROWS(bibliotheek!$E$170:$E$172),FALSE)</f>
        <v>gebouw</v>
      </c>
      <c r="AO81" s="348" t="str">
        <f>HLOOKUP(IF(AO$80="",referentie_warmtapwater,AO$80),toestellen_TAP,ROWS(bibliotheek!$E$136:$E$138),FALSE)</f>
        <v>gebouw</v>
      </c>
      <c r="AP81" s="193"/>
      <c r="AQ81" s="193"/>
      <c r="AR81" s="193"/>
      <c r="AS81" s="193"/>
      <c r="AT81" s="193"/>
      <c r="AU81" s="193"/>
      <c r="AV81" s="179"/>
      <c r="AW81" s="145"/>
      <c r="AX81" s="141"/>
      <c r="AY81" s="348" t="str">
        <f>HLOOKUP(IF(AY$80="",referentie_verwarming,AY$80),toestellen_RV,ROWS(bibliotheek!$E$79:$E$81),FALSE)</f>
        <v>gebouw</v>
      </c>
      <c r="AZ81" s="348" t="str">
        <f>HLOOKUP(IF(AZ$80="",referentie_koeling,AZ$80),toestellen_KOEL,ROWS(bibliotheek!$E$170:$E$172),FALSE)</f>
        <v>gebouw</v>
      </c>
      <c r="BA81" s="348" t="str">
        <f>HLOOKUP(IF(BA$80="",referentie_warmtapwater,BA$80),toestellen_TAP,ROWS(bibliotheek!$E$136:$E$138),FALSE)</f>
        <v>gebouw</v>
      </c>
      <c r="BB81" s="193"/>
      <c r="BC81" s="193"/>
      <c r="BD81" s="193"/>
      <c r="BE81" s="193"/>
      <c r="BF81" s="193"/>
      <c r="BG81" s="193"/>
      <c r="BH81" s="214"/>
    </row>
    <row r="82" spans="1:60" ht="18.75" x14ac:dyDescent="0.2">
      <c r="A82" s="648"/>
      <c r="B82" s="492" t="s">
        <v>178</v>
      </c>
      <c r="C82" s="739" t="s">
        <v>104</v>
      </c>
      <c r="D82" s="750" t="s">
        <v>50</v>
      </c>
      <c r="E82" s="194" t="s">
        <v>186</v>
      </c>
      <c r="F82" s="202"/>
      <c r="G82" s="202"/>
      <c r="H82" s="203"/>
      <c r="I82" s="204"/>
      <c r="J82" s="205"/>
      <c r="K82" s="138"/>
      <c r="L82" s="138"/>
      <c r="M82" s="205"/>
      <c r="N82" s="205"/>
      <c r="O82" s="205"/>
      <c r="P82" s="205"/>
      <c r="Q82" s="205"/>
      <c r="R82" s="205"/>
      <c r="S82" s="205"/>
      <c r="T82" s="205"/>
      <c r="U82" s="205"/>
      <c r="V82" s="205"/>
      <c r="W82" s="205"/>
      <c r="X82" s="179"/>
      <c r="Y82" s="205"/>
      <c r="Z82" s="205"/>
      <c r="AA82" s="214"/>
      <c r="AB82" s="214"/>
      <c r="AC82" s="214"/>
      <c r="AD82" s="205"/>
      <c r="AE82" s="205"/>
      <c r="AF82" s="205"/>
      <c r="AG82" s="205"/>
      <c r="AH82" s="205"/>
      <c r="AI82" s="205"/>
      <c r="AJ82" s="179"/>
      <c r="AK82" s="205"/>
      <c r="AL82" s="205"/>
      <c r="AM82" s="205"/>
      <c r="AN82" s="205"/>
      <c r="AO82" s="205"/>
      <c r="AP82" s="205"/>
      <c r="AQ82" s="205"/>
      <c r="AR82" s="205"/>
      <c r="AS82" s="205"/>
      <c r="AT82" s="205"/>
      <c r="AU82" s="205"/>
      <c r="AV82" s="179"/>
      <c r="AW82" s="205"/>
      <c r="AX82" s="141"/>
      <c r="AY82" s="205"/>
      <c r="AZ82" s="205"/>
      <c r="BA82" s="205"/>
      <c r="BB82" s="205"/>
      <c r="BC82" s="205"/>
      <c r="BD82" s="205"/>
      <c r="BE82" s="205"/>
      <c r="BF82" s="205"/>
      <c r="BG82" s="205"/>
      <c r="BH82" s="214"/>
    </row>
    <row r="83" spans="1:60" x14ac:dyDescent="0.2">
      <c r="A83" s="648"/>
      <c r="B83" s="492" t="s">
        <v>178</v>
      </c>
      <c r="C83" s="739" t="s">
        <v>127</v>
      </c>
      <c r="D83" s="747"/>
      <c r="E83" s="354" t="s">
        <v>187</v>
      </c>
      <c r="F83" s="316"/>
      <c r="G83" s="316"/>
      <c r="H83" s="354" t="s">
        <v>70</v>
      </c>
      <c r="I83" s="151"/>
      <c r="J83" s="229"/>
      <c r="K83" s="121"/>
      <c r="L83" s="121"/>
      <c r="M83" s="229"/>
      <c r="N83" s="131"/>
      <c r="O83" s="452">
        <f>IF(O84&lt;&gt;"",O84,HLOOKUP(IF(O$80="",referentie_verwarming,O$80),toestellen_RV,ROWS(bibliotheek!$E$79:$E$86),FALSE))</f>
        <v>1</v>
      </c>
      <c r="P83" s="155">
        <v>1</v>
      </c>
      <c r="Q83" s="452">
        <f>IF(Q84&lt;&gt;"",Q84,HLOOKUP(IF(Q$80="",referentie_warmtapwater,Q$80),toestellen_TAP,ROWS(bibliotheek!$E$136:$E$143),FALSE))</f>
        <v>0.85</v>
      </c>
      <c r="R83" s="156"/>
      <c r="S83" s="156"/>
      <c r="T83" s="156"/>
      <c r="U83" s="156"/>
      <c r="V83" s="156"/>
      <c r="W83" s="156"/>
      <c r="X83" s="87"/>
      <c r="Y83" s="150"/>
      <c r="Z83" s="151"/>
      <c r="AA83" s="452">
        <f>IF(AA84&lt;&gt;"",AA84,HLOOKUP(IF(AA$80="",referentie_verwarming,AA$80),toestellen_RV,ROWS(bibliotheek!$E$79:$E$86),FALSE))</f>
        <v>1</v>
      </c>
      <c r="AB83" s="155">
        <f>1</f>
        <v>1</v>
      </c>
      <c r="AC83" s="452">
        <f>IF(AC84&lt;&gt;"",AC84,HLOOKUP(IF(AC$80="",referentie_warmtapwater,AC$80),toestellen_TAP,ROWS(bibliotheek!$E$136:$E$143),FALSE))</f>
        <v>0.85</v>
      </c>
      <c r="AD83" s="156"/>
      <c r="AE83" s="156"/>
      <c r="AF83" s="156"/>
      <c r="AG83" s="156"/>
      <c r="AH83" s="156"/>
      <c r="AI83" s="156"/>
      <c r="AJ83" s="87"/>
      <c r="AK83" s="150"/>
      <c r="AL83" s="151"/>
      <c r="AM83" s="452">
        <f>IF(AM84&lt;&gt;"",AM84,HLOOKUP(IF(AM$80="",referentie_verwarming,AM$80),toestellen_RV,ROWS(bibliotheek!$E$79:$E$86),FALSE))</f>
        <v>1</v>
      </c>
      <c r="AN83" s="155">
        <f>1</f>
        <v>1</v>
      </c>
      <c r="AO83" s="452">
        <f>IF(AO84&lt;&gt;"",AO84,HLOOKUP(IF(AO$80="",referentie_warmtapwater,AO$80),toestellen_TAP,ROWS(bibliotheek!$E$136:$E$143),FALSE))</f>
        <v>0.85</v>
      </c>
      <c r="AP83" s="156"/>
      <c r="AQ83" s="156"/>
      <c r="AR83" s="156"/>
      <c r="AS83" s="156"/>
      <c r="AT83" s="156"/>
      <c r="AU83" s="156"/>
      <c r="AV83" s="87"/>
      <c r="AW83" s="150"/>
      <c r="AX83" s="151"/>
      <c r="AY83" s="452">
        <f>IF(AY84&lt;&gt;"",AY84,HLOOKUP(IF(AY$80="",referentie_verwarming,AY$80),toestellen_RV,ROWS(bibliotheek!$E$79:$E$86),FALSE))</f>
        <v>1</v>
      </c>
      <c r="AZ83" s="155">
        <f>1</f>
        <v>1</v>
      </c>
      <c r="BA83" s="452">
        <f>IF(BA84&lt;&gt;"",BA84,HLOOKUP(IF(BA$80="",referentie_warmtapwater,BA$80),toestellen_TAP,ROWS(bibliotheek!$E$136:$E$143),FALSE))</f>
        <v>0.85</v>
      </c>
      <c r="BB83" s="195"/>
      <c r="BC83" s="195"/>
      <c r="BD83" s="195"/>
      <c r="BE83" s="195"/>
      <c r="BF83" s="195"/>
      <c r="BG83" s="195"/>
      <c r="BH83" s="255"/>
    </row>
    <row r="84" spans="1:60" x14ac:dyDescent="0.2">
      <c r="A84" s="648"/>
      <c r="B84" s="492" t="s">
        <v>178</v>
      </c>
      <c r="C84" s="739" t="s">
        <v>127</v>
      </c>
      <c r="D84" s="747"/>
      <c r="E84" s="412" t="s">
        <v>188</v>
      </c>
      <c r="F84" s="317"/>
      <c r="G84" s="317"/>
      <c r="H84" s="355" t="s">
        <v>70</v>
      </c>
      <c r="I84" s="153"/>
      <c r="J84" s="362"/>
      <c r="K84" s="121"/>
      <c r="L84" s="121"/>
      <c r="M84" s="239"/>
      <c r="N84" s="196"/>
      <c r="O84" s="337"/>
      <c r="P84" s="343"/>
      <c r="Q84" s="337"/>
      <c r="R84" s="197"/>
      <c r="S84" s="197"/>
      <c r="T84" s="197"/>
      <c r="U84" s="197"/>
      <c r="V84" s="197"/>
      <c r="W84" s="197"/>
      <c r="X84" s="125"/>
      <c r="Y84" s="349"/>
      <c r="Z84" s="196"/>
      <c r="AA84" s="337"/>
      <c r="AB84" s="343"/>
      <c r="AC84" s="337"/>
      <c r="AD84" s="197"/>
      <c r="AE84" s="197"/>
      <c r="AF84" s="197"/>
      <c r="AG84" s="197"/>
      <c r="AH84" s="197"/>
      <c r="AI84" s="197"/>
      <c r="AJ84" s="125"/>
      <c r="AK84" s="349"/>
      <c r="AL84" s="196"/>
      <c r="AM84" s="337"/>
      <c r="AN84" s="343"/>
      <c r="AO84" s="337"/>
      <c r="AP84" s="197"/>
      <c r="AQ84" s="197"/>
      <c r="AR84" s="197"/>
      <c r="AS84" s="197"/>
      <c r="AT84" s="197"/>
      <c r="AU84" s="197"/>
      <c r="AV84" s="125"/>
      <c r="AW84" s="349"/>
      <c r="AX84" s="196"/>
      <c r="AY84" s="337"/>
      <c r="AZ84" s="343"/>
      <c r="BA84" s="337"/>
      <c r="BB84" s="197"/>
      <c r="BC84" s="197"/>
      <c r="BD84" s="197"/>
      <c r="BE84" s="197"/>
      <c r="BF84" s="197"/>
      <c r="BG84" s="197"/>
      <c r="BH84" s="255"/>
    </row>
    <row r="85" spans="1:60" x14ac:dyDescent="0.2">
      <c r="A85" s="648"/>
      <c r="B85" s="492" t="s">
        <v>178</v>
      </c>
      <c r="C85" s="739" t="s">
        <v>127</v>
      </c>
      <c r="D85" s="750"/>
      <c r="E85" s="221" t="s">
        <v>189</v>
      </c>
      <c r="F85" s="220"/>
      <c r="G85" s="220"/>
      <c r="H85" s="221" t="s">
        <v>177</v>
      </c>
      <c r="I85" s="146"/>
      <c r="J85" s="230"/>
      <c r="K85" s="121"/>
      <c r="L85" s="121"/>
      <c r="M85" s="230"/>
      <c r="N85" s="129"/>
      <c r="O85" s="251">
        <f>IF(O$75=0,0,O$75/O$83-O$75)</f>
        <v>0</v>
      </c>
      <c r="P85" s="251">
        <f>IF(P$75=0,0,P$75/P$83-P$75)</f>
        <v>0</v>
      </c>
      <c r="Q85" s="251">
        <f>IF(Q$75=0,0,Q$75/Q$83-Q$75)</f>
        <v>0</v>
      </c>
      <c r="R85" s="147"/>
      <c r="S85" s="147"/>
      <c r="T85" s="147"/>
      <c r="U85" s="147"/>
      <c r="V85" s="147"/>
      <c r="W85" s="147"/>
      <c r="X85" s="125"/>
      <c r="Y85" s="149"/>
      <c r="Z85" s="129"/>
      <c r="AA85" s="251">
        <f>IF(AA$75=0,0,AA$75/AA$83-AA$75)</f>
        <v>0</v>
      </c>
      <c r="AB85" s="251">
        <f>IF(AB$75=0,0,AB$75/AB$83-AB$75)</f>
        <v>0</v>
      </c>
      <c r="AC85" s="251">
        <f>IF(AC$75=0,0,AC$75/AC$83-AC$75)</f>
        <v>0</v>
      </c>
      <c r="AD85" s="147"/>
      <c r="AE85" s="147"/>
      <c r="AF85" s="147"/>
      <c r="AG85" s="147"/>
      <c r="AH85" s="147"/>
      <c r="AI85" s="147"/>
      <c r="AJ85" s="125"/>
      <c r="AK85" s="149"/>
      <c r="AL85" s="129"/>
      <c r="AM85" s="251">
        <f>IF(AM$75=0,0,AM$75/AM$83-AM$75)</f>
        <v>0</v>
      </c>
      <c r="AN85" s="251">
        <f>IF(AN$75=0,0,AN$75/AN$83-AN$75)</f>
        <v>0</v>
      </c>
      <c r="AO85" s="251">
        <f>IF(AO$75=0,0,AO$75/AO$83-AO$75)</f>
        <v>0</v>
      </c>
      <c r="AP85" s="147"/>
      <c r="AQ85" s="147"/>
      <c r="AR85" s="147"/>
      <c r="AS85" s="147"/>
      <c r="AT85" s="147"/>
      <c r="AU85" s="147"/>
      <c r="AV85" s="125"/>
      <c r="AW85" s="149"/>
      <c r="AX85" s="129"/>
      <c r="AY85" s="251">
        <f>IF(AY$75=0,0,AY$75/AY$83-AY$75)</f>
        <v>0</v>
      </c>
      <c r="AZ85" s="251">
        <f>IF(AZ$75=0,0,AZ$75/AZ$83-AZ$75)</f>
        <v>0</v>
      </c>
      <c r="BA85" s="251">
        <f>IF(BA$75=0,0,BA$75/BA$83-BA$75)</f>
        <v>0</v>
      </c>
      <c r="BB85" s="147"/>
      <c r="BC85" s="147"/>
      <c r="BD85" s="147"/>
      <c r="BE85" s="147"/>
      <c r="BF85" s="147"/>
      <c r="BG85" s="147"/>
      <c r="BH85" s="255"/>
    </row>
    <row r="86" spans="1:60" ht="18.75" x14ac:dyDescent="0.2">
      <c r="A86" s="648"/>
      <c r="B86" s="492" t="s">
        <v>178</v>
      </c>
      <c r="C86" s="739" t="s">
        <v>104</v>
      </c>
      <c r="D86" s="750" t="s">
        <v>50</v>
      </c>
      <c r="E86" s="194" t="s">
        <v>190</v>
      </c>
      <c r="F86" s="202"/>
      <c r="G86" s="202"/>
      <c r="H86" s="203"/>
      <c r="I86" s="204"/>
      <c r="J86" s="205"/>
      <c r="K86" s="138"/>
      <c r="L86" s="138"/>
      <c r="M86" s="205"/>
      <c r="N86" s="205"/>
      <c r="O86" s="205"/>
      <c r="P86" s="205"/>
      <c r="Q86" s="205"/>
      <c r="R86" s="205"/>
      <c r="S86" s="205"/>
      <c r="T86" s="205"/>
      <c r="U86" s="205"/>
      <c r="V86" s="205"/>
      <c r="W86" s="205"/>
      <c r="X86" s="163"/>
      <c r="Y86" s="205"/>
      <c r="Z86" s="205"/>
      <c r="AA86" s="205"/>
      <c r="AB86" s="205"/>
      <c r="AC86" s="205"/>
      <c r="AD86" s="205"/>
      <c r="AE86" s="205"/>
      <c r="AF86" s="205"/>
      <c r="AG86" s="205"/>
      <c r="AH86" s="205"/>
      <c r="AI86" s="205"/>
      <c r="AJ86" s="163"/>
      <c r="AK86" s="205"/>
      <c r="AL86" s="205"/>
      <c r="AM86" s="205"/>
      <c r="AN86" s="205"/>
      <c r="AO86" s="205"/>
      <c r="AP86" s="205"/>
      <c r="AQ86" s="205"/>
      <c r="AR86" s="205"/>
      <c r="AS86" s="205"/>
      <c r="AT86" s="205"/>
      <c r="AU86" s="205"/>
      <c r="AV86" s="163"/>
      <c r="AW86" s="205"/>
      <c r="AX86" s="205"/>
      <c r="AY86" s="205"/>
      <c r="AZ86" s="205"/>
      <c r="BA86" s="205"/>
      <c r="BB86" s="205"/>
      <c r="BC86" s="205"/>
      <c r="BD86" s="205"/>
      <c r="BE86" s="205"/>
      <c r="BF86" s="205"/>
      <c r="BG86" s="205"/>
      <c r="BH86" s="214"/>
    </row>
    <row r="87" spans="1:60" x14ac:dyDescent="0.2">
      <c r="A87" s="648"/>
      <c r="B87" s="492" t="s">
        <v>178</v>
      </c>
      <c r="C87" s="739" t="s">
        <v>127</v>
      </c>
      <c r="D87" s="747"/>
      <c r="E87" s="221" t="s">
        <v>190</v>
      </c>
      <c r="F87" s="220"/>
      <c r="G87" s="220"/>
      <c r="H87" s="221" t="s">
        <v>70</v>
      </c>
      <c r="I87" s="146"/>
      <c r="J87" s="230"/>
      <c r="K87" s="121"/>
      <c r="L87" s="121"/>
      <c r="M87" s="230"/>
      <c r="N87" s="129"/>
      <c r="O87" s="1039" t="s">
        <v>191</v>
      </c>
      <c r="P87" s="192"/>
      <c r="Q87" s="1039" t="s">
        <v>191</v>
      </c>
      <c r="R87" s="193"/>
      <c r="S87" s="193"/>
      <c r="T87" s="193"/>
      <c r="U87" s="193"/>
      <c r="V87" s="193"/>
      <c r="W87" s="193"/>
      <c r="X87" s="87"/>
      <c r="Y87" s="145"/>
      <c r="Z87" s="129"/>
      <c r="AA87" s="1039" t="s">
        <v>191</v>
      </c>
      <c r="AB87" s="192"/>
      <c r="AC87" s="1039" t="s">
        <v>191</v>
      </c>
      <c r="AD87" s="193"/>
      <c r="AE87" s="193"/>
      <c r="AF87" s="193"/>
      <c r="AG87" s="193"/>
      <c r="AH87" s="193"/>
      <c r="AI87" s="193"/>
      <c r="AJ87" s="87"/>
      <c r="AK87" s="145"/>
      <c r="AL87" s="129"/>
      <c r="AM87" s="1039" t="s">
        <v>191</v>
      </c>
      <c r="AN87" s="192"/>
      <c r="AO87" s="1039" t="s">
        <v>191</v>
      </c>
      <c r="AP87" s="193"/>
      <c r="AQ87" s="193"/>
      <c r="AR87" s="193"/>
      <c r="AS87" s="193"/>
      <c r="AT87" s="193"/>
      <c r="AU87" s="193"/>
      <c r="AV87" s="87"/>
      <c r="AW87" s="145"/>
      <c r="AX87" s="129"/>
      <c r="AY87" s="1039" t="s">
        <v>191</v>
      </c>
      <c r="AZ87" s="192"/>
      <c r="BA87" s="1039" t="s">
        <v>191</v>
      </c>
      <c r="BB87" s="193"/>
      <c r="BC87" s="193"/>
      <c r="BD87" s="193"/>
      <c r="BE87" s="193"/>
      <c r="BF87" s="193"/>
      <c r="BG87" s="193"/>
      <c r="BH87" s="214"/>
    </row>
    <row r="88" spans="1:60" x14ac:dyDescent="0.2">
      <c r="A88" s="648"/>
      <c r="B88" s="492" t="s">
        <v>178</v>
      </c>
      <c r="C88" s="739" t="s">
        <v>127</v>
      </c>
      <c r="D88" s="750" t="s">
        <v>50</v>
      </c>
      <c r="E88" s="221" t="s">
        <v>192</v>
      </c>
      <c r="F88" s="220"/>
      <c r="G88" s="220"/>
      <c r="H88" s="221" t="s">
        <v>177</v>
      </c>
      <c r="I88" s="146"/>
      <c r="J88" s="230"/>
      <c r="K88" s="121"/>
      <c r="L88" s="121"/>
      <c r="M88" s="230"/>
      <c r="N88" s="129"/>
      <c r="O88" s="207">
        <f>IF(O87="nee",0,(O75+O85)*bijdrage_thermische_zonne_energie_RV)</f>
        <v>0</v>
      </c>
      <c r="P88" s="207"/>
      <c r="Q88" s="207">
        <f>IF(Q87="nee",0,(Q75+Q85)*bijdrage_thermische_zonne_energie_TAP)</f>
        <v>0</v>
      </c>
      <c r="R88" s="147"/>
      <c r="S88" s="147"/>
      <c r="T88" s="147"/>
      <c r="U88" s="147"/>
      <c r="V88" s="147"/>
      <c r="W88" s="147"/>
      <c r="X88" s="684"/>
      <c r="Y88" s="147"/>
      <c r="Z88" s="100"/>
      <c r="AA88" s="207">
        <f>IF(AA87="nee",0,(AA75+AA85)*bijdrage_thermische_zonne_energie_RV)</f>
        <v>0</v>
      </c>
      <c r="AB88" s="207"/>
      <c r="AC88" s="207">
        <f>IF(AC87="nee",0,(AC75+AC85)*bijdrage_thermische_zonne_energie_TAP)</f>
        <v>0</v>
      </c>
      <c r="AD88" s="147"/>
      <c r="AE88" s="147"/>
      <c r="AF88" s="147"/>
      <c r="AG88" s="147"/>
      <c r="AH88" s="147"/>
      <c r="AI88" s="147"/>
      <c r="AJ88" s="684"/>
      <c r="AK88" s="147"/>
      <c r="AL88" s="685"/>
      <c r="AM88" s="207">
        <f>IF(AM87="nee",0,(AM75+AM85)*bijdrage_thermische_zonne_energie_RV)</f>
        <v>0</v>
      </c>
      <c r="AN88" s="207"/>
      <c r="AO88" s="207">
        <f>IF(AO87="nee",0,(AO75+AO85)*bijdrage_thermische_zonne_energie_TAP)</f>
        <v>0</v>
      </c>
      <c r="AP88" s="147"/>
      <c r="AQ88" s="147"/>
      <c r="AR88" s="147"/>
      <c r="AS88" s="147"/>
      <c r="AT88" s="147"/>
      <c r="AU88" s="147"/>
      <c r="AV88" s="684"/>
      <c r="AW88" s="147"/>
      <c r="AX88" s="686"/>
      <c r="AY88" s="207">
        <f>IF(AY87="nee",0,(AY75+AY85)*bijdrage_thermische_zonne_energie_RV)</f>
        <v>0</v>
      </c>
      <c r="AZ88" s="207"/>
      <c r="BA88" s="207">
        <f>IF(BA87="nee",0,(BA75+BA85)*bijdrage_thermische_zonne_energie_TAP)</f>
        <v>0</v>
      </c>
      <c r="BB88" s="193"/>
      <c r="BC88" s="193"/>
      <c r="BD88" s="193"/>
      <c r="BE88" s="193"/>
      <c r="BF88" s="193"/>
      <c r="BG88" s="193"/>
      <c r="BH88" s="214"/>
    </row>
    <row r="89" spans="1:60" ht="18.75" x14ac:dyDescent="0.2">
      <c r="A89" s="648"/>
      <c r="B89" s="492" t="s">
        <v>178</v>
      </c>
      <c r="C89" s="739" t="s">
        <v>104</v>
      </c>
      <c r="D89" s="750" t="s">
        <v>50</v>
      </c>
      <c r="E89" s="194" t="s">
        <v>193</v>
      </c>
      <c r="F89" s="202"/>
      <c r="G89" s="202"/>
      <c r="H89" s="203"/>
      <c r="I89" s="204"/>
      <c r="J89" s="205"/>
      <c r="K89" s="138"/>
      <c r="L89" s="138"/>
      <c r="M89" s="205"/>
      <c r="N89" s="205"/>
      <c r="O89" s="710"/>
      <c r="P89" s="710"/>
      <c r="Q89" s="710"/>
      <c r="R89" s="205"/>
      <c r="S89" s="205"/>
      <c r="T89" s="205"/>
      <c r="U89" s="205"/>
      <c r="V89" s="205"/>
      <c r="W89" s="205"/>
      <c r="X89" s="206"/>
      <c r="Y89" s="205"/>
      <c r="Z89" s="205"/>
      <c r="AA89" s="339"/>
      <c r="AB89" s="339"/>
      <c r="AC89" s="339"/>
      <c r="AD89" s="205"/>
      <c r="AE89" s="205"/>
      <c r="AF89" s="205"/>
      <c r="AG89" s="205"/>
      <c r="AH89" s="205"/>
      <c r="AI89" s="205"/>
      <c r="AJ89" s="206"/>
      <c r="AK89" s="205"/>
      <c r="AL89" s="205"/>
      <c r="AM89" s="339"/>
      <c r="AN89" s="339"/>
      <c r="AO89" s="339"/>
      <c r="AP89" s="205"/>
      <c r="AQ89" s="205"/>
      <c r="AR89" s="205"/>
      <c r="AS89" s="205"/>
      <c r="AT89" s="205"/>
      <c r="AU89" s="205"/>
      <c r="AV89" s="206"/>
      <c r="AW89" s="205"/>
      <c r="AX89" s="205"/>
      <c r="AY89" s="339"/>
      <c r="AZ89" s="339"/>
      <c r="BA89" s="339"/>
      <c r="BB89" s="205"/>
      <c r="BC89" s="205"/>
      <c r="BD89" s="205"/>
      <c r="BE89" s="205"/>
      <c r="BF89" s="205"/>
      <c r="BG89" s="205"/>
      <c r="BH89" s="214"/>
    </row>
    <row r="90" spans="1:60" x14ac:dyDescent="0.2">
      <c r="A90" s="648"/>
      <c r="B90" s="492" t="s">
        <v>178</v>
      </c>
      <c r="C90" s="739" t="s">
        <v>127</v>
      </c>
      <c r="D90" s="747"/>
      <c r="E90" s="354" t="s">
        <v>194</v>
      </c>
      <c r="F90" s="316"/>
      <c r="G90" s="316"/>
      <c r="H90" s="354" t="s">
        <v>195</v>
      </c>
      <c r="I90" s="151"/>
      <c r="J90" s="229"/>
      <c r="K90" s="121"/>
      <c r="L90" s="121"/>
      <c r="M90" s="229"/>
      <c r="N90" s="131"/>
      <c r="O90" s="621">
        <f>IF(M24=0,0,IF(O91&lt;&gt;"",O91,
(HLOOKUP(O80,toestellen_RV,ROWS(bibliotheek!$E$79:$E$88),FALSE)*M26+
HLOOKUP(O80,toestellen_RV,ROWS(bibliotheek!$E$79:$E$89),FALSE)*M27+
HLOOKUP(O80,toestellen_RV,ROWS(bibliotheek!$E$79:$E$90),FALSE)*M28)/M24))</f>
        <v>0</v>
      </c>
      <c r="P90" s="484"/>
      <c r="Q90" s="621">
        <f>IF(M24=0,0,IF(Q91&lt;&gt;"",Q91,
(HLOOKUP(Q80,toestellen_TAP,ROWS(bibliotheek!$E$136:$E$145),FALSE)*M26+
HLOOKUP(Q80,toestellen_TAP,ROWS(bibliotheek!$E$136:$E$146),FALSE)*M27+
HLOOKUP(Q80,toestellen_TAP,ROWS(bibliotheek!$E$136:$E$147),FALSE)*M28)/M24))</f>
        <v>0</v>
      </c>
      <c r="R90" s="195"/>
      <c r="S90" s="195"/>
      <c r="T90" s="195"/>
      <c r="U90" s="195"/>
      <c r="V90" s="195"/>
      <c r="W90" s="195"/>
      <c r="X90" s="127"/>
      <c r="Y90" s="195"/>
      <c r="Z90" s="485"/>
      <c r="AA90" s="621">
        <f>IF(Y24=0,0,IF(AA91&lt;&gt;"",AA91,
(HLOOKUP(AA80,toestellen_RV,ROWS(bibliotheek!$E$79:$E$88),FALSE)*Y26+
HLOOKUP(AA80,toestellen_RV,ROWS(bibliotheek!$E$79:$E$89),FALSE)*Y27+
HLOOKUP(AA80,toestellen_RV,ROWS(bibliotheek!$E$79:$E$90),FALSE)*Y28)/Y24))</f>
        <v>0</v>
      </c>
      <c r="AB90" s="484"/>
      <c r="AC90" s="621">
        <f>IF(Y24=0,0,IF(AC91&lt;&gt;"",AC91,
(HLOOKUP(AC80,toestellen_TAP,ROWS(bibliotheek!$E$136:$E$145),FALSE)*Y26+
HLOOKUP(AC80,toestellen_TAP,ROWS(bibliotheek!$E$136:$E$146),FALSE)*Y27+
HLOOKUP(AC80,toestellen_TAP,ROWS(bibliotheek!$E$136:$E$147),FALSE)*Y28)/Y24))</f>
        <v>0</v>
      </c>
      <c r="AD90" s="195"/>
      <c r="AE90" s="195"/>
      <c r="AF90" s="195"/>
      <c r="AG90" s="195"/>
      <c r="AH90" s="195"/>
      <c r="AI90" s="195"/>
      <c r="AJ90" s="127"/>
      <c r="AK90" s="195"/>
      <c r="AL90" s="485"/>
      <c r="AM90" s="621">
        <f>IF(AK24=0,0,IF(AM91&lt;&gt;"",AM91,
(HLOOKUP(AM80,toestellen_RV,ROWS(bibliotheek!$E$79:$E$88),FALSE)*AK26+
HLOOKUP(AM80,toestellen_RV,ROWS(bibliotheek!$E$79:$E$89),FALSE)*AK27+
HLOOKUP(AM80,toestellen_RV,ROWS(bibliotheek!$E$79:$E$90),FALSE)*AK28)/AK24))</f>
        <v>0</v>
      </c>
      <c r="AN90" s="484"/>
      <c r="AO90" s="621">
        <f>IF(AK24=0,0,IF(AO91&lt;&gt;"",AO91,
(HLOOKUP(AO80,toestellen_TAP,ROWS(bibliotheek!$E$136:$E$145),FALSE)*AK26+
HLOOKUP(AO80,toestellen_TAP,ROWS(bibliotheek!$E$136:$E$146),FALSE)*AK27+
HLOOKUP(AO80,toestellen_TAP,ROWS(bibliotheek!$E$136:$E$147),FALSE)*AK28)/AK24))</f>
        <v>0</v>
      </c>
      <c r="AP90" s="195"/>
      <c r="AQ90" s="195"/>
      <c r="AR90" s="195"/>
      <c r="AS90" s="195"/>
      <c r="AT90" s="195"/>
      <c r="AU90" s="195"/>
      <c r="AV90" s="127"/>
      <c r="AW90" s="195"/>
      <c r="AX90" s="485"/>
      <c r="AY90" s="621">
        <f>IF(AW24=0,0,IF(AY91&lt;&gt;"",AY91,
(HLOOKUP(AY80,toestellen_RV,ROWS(bibliotheek!$E$79:$E$88),FALSE)*AW26+
HLOOKUP(AY80,toestellen_RV,ROWS(bibliotheek!$E$79:$E$89),FALSE)*AW27+
HLOOKUP(AY80,toestellen_RV,ROWS(bibliotheek!$E$79:$E$90),FALSE)*AW28)/AW24))</f>
        <v>0</v>
      </c>
      <c r="AZ90" s="484"/>
      <c r="BA90" s="621">
        <f>IF(AW24=0,0,IF(BA91&lt;&gt;"",BA91,
(HLOOKUP(BA80,toestellen_TAP,ROWS(bibliotheek!$E$136:$E$145),FALSE)*AW26+
HLOOKUP(BA80,toestellen_TAP,ROWS(bibliotheek!$E$136:$E$146),FALSE)*AW27+
HLOOKUP(BA80,toestellen_TAP,ROWS(bibliotheek!$E$136:$E$147),FALSE)*AW28)/AW24))</f>
        <v>0</v>
      </c>
      <c r="BB90" s="195"/>
      <c r="BC90" s="195"/>
      <c r="BD90" s="195"/>
      <c r="BE90" s="195"/>
      <c r="BF90" s="195"/>
      <c r="BG90" s="195"/>
      <c r="BH90" s="255"/>
    </row>
    <row r="91" spans="1:60" x14ac:dyDescent="0.2">
      <c r="A91" s="648"/>
      <c r="B91" s="492" t="s">
        <v>178</v>
      </c>
      <c r="C91" s="739" t="s">
        <v>127</v>
      </c>
      <c r="D91" s="747"/>
      <c r="E91" s="412" t="s">
        <v>196</v>
      </c>
      <c r="F91" s="317"/>
      <c r="G91" s="317"/>
      <c r="H91" s="355" t="s">
        <v>195</v>
      </c>
      <c r="I91" s="153"/>
      <c r="J91" s="362"/>
      <c r="K91" s="121"/>
      <c r="L91" s="121"/>
      <c r="M91" s="239"/>
      <c r="N91" s="196"/>
      <c r="O91" s="338"/>
      <c r="P91" s="344"/>
      <c r="Q91" s="338"/>
      <c r="R91" s="198"/>
      <c r="S91" s="198"/>
      <c r="T91" s="198"/>
      <c r="U91" s="198"/>
      <c r="V91" s="198"/>
      <c r="W91" s="198"/>
      <c r="X91" s="125"/>
      <c r="Y91" s="454"/>
      <c r="Z91" s="371"/>
      <c r="AA91" s="338"/>
      <c r="AB91" s="344"/>
      <c r="AC91" s="338"/>
      <c r="AD91" s="198"/>
      <c r="AE91" s="198"/>
      <c r="AF91" s="198"/>
      <c r="AG91" s="198"/>
      <c r="AH91" s="198"/>
      <c r="AI91" s="198"/>
      <c r="AJ91" s="125"/>
      <c r="AK91" s="454"/>
      <c r="AL91" s="371"/>
      <c r="AM91" s="338"/>
      <c r="AN91" s="344"/>
      <c r="AO91" s="338"/>
      <c r="AP91" s="198"/>
      <c r="AQ91" s="198"/>
      <c r="AR91" s="198"/>
      <c r="AS91" s="198"/>
      <c r="AT91" s="198"/>
      <c r="AU91" s="198"/>
      <c r="AV91" s="125"/>
      <c r="AW91" s="454"/>
      <c r="AX91" s="371"/>
      <c r="AY91" s="338"/>
      <c r="AZ91" s="344"/>
      <c r="BA91" s="338"/>
      <c r="BB91" s="199"/>
      <c r="BC91" s="199"/>
      <c r="BD91" s="199"/>
      <c r="BE91" s="199"/>
      <c r="BF91" s="199"/>
      <c r="BG91" s="199"/>
      <c r="BH91" s="255"/>
    </row>
    <row r="92" spans="1:60" x14ac:dyDescent="0.2">
      <c r="A92" s="648"/>
      <c r="B92" s="492" t="s">
        <v>178</v>
      </c>
      <c r="C92" s="739" t="s">
        <v>127</v>
      </c>
      <c r="D92" s="747"/>
      <c r="E92" s="221" t="s">
        <v>197</v>
      </c>
      <c r="F92" s="220"/>
      <c r="G92" s="220"/>
      <c r="H92" s="221" t="s">
        <v>177</v>
      </c>
      <c r="I92" s="146"/>
      <c r="J92" s="230"/>
      <c r="K92" s="121"/>
      <c r="L92" s="121"/>
      <c r="M92" s="230"/>
      <c r="N92" s="100"/>
      <c r="O92" s="251">
        <f>O$90*M$24</f>
        <v>0</v>
      </c>
      <c r="P92" s="147"/>
      <c r="Q92" s="251">
        <f>Q$90*M$24</f>
        <v>0</v>
      </c>
      <c r="R92" s="147"/>
      <c r="S92" s="147"/>
      <c r="T92" s="147"/>
      <c r="U92" s="147"/>
      <c r="V92" s="147"/>
      <c r="W92" s="147"/>
      <c r="X92" s="125"/>
      <c r="Y92" s="149"/>
      <c r="Z92" s="129"/>
      <c r="AA92" s="251">
        <f>AA$90*Y$24</f>
        <v>0</v>
      </c>
      <c r="AB92" s="147"/>
      <c r="AC92" s="251">
        <f>AC$90*Y$24</f>
        <v>0</v>
      </c>
      <c r="AD92" s="147"/>
      <c r="AE92" s="147"/>
      <c r="AF92" s="147"/>
      <c r="AG92" s="147"/>
      <c r="AH92" s="147"/>
      <c r="AI92" s="147"/>
      <c r="AJ92" s="125"/>
      <c r="AK92" s="149"/>
      <c r="AL92" s="129"/>
      <c r="AM92" s="251">
        <f>AM$90*AK$24</f>
        <v>0</v>
      </c>
      <c r="AN92" s="147"/>
      <c r="AO92" s="251">
        <f>AO$90*AK$24</f>
        <v>0</v>
      </c>
      <c r="AP92" s="147"/>
      <c r="AQ92" s="147"/>
      <c r="AR92" s="147"/>
      <c r="AS92" s="147"/>
      <c r="AT92" s="147"/>
      <c r="AU92" s="147"/>
      <c r="AV92" s="125"/>
      <c r="AW92" s="149"/>
      <c r="AX92" s="129"/>
      <c r="AY92" s="251">
        <f>AY$90*AW$24</f>
        <v>0</v>
      </c>
      <c r="AZ92" s="147"/>
      <c r="BA92" s="251">
        <f>BA$90*AW$24</f>
        <v>0</v>
      </c>
      <c r="BB92" s="147"/>
      <c r="BC92" s="147"/>
      <c r="BD92" s="147"/>
      <c r="BE92" s="147"/>
      <c r="BF92" s="147"/>
      <c r="BG92" s="147"/>
      <c r="BH92" s="255"/>
    </row>
    <row r="93" spans="1:60" ht="18.75" x14ac:dyDescent="0.2">
      <c r="A93" s="648"/>
      <c r="B93" s="492" t="s">
        <v>178</v>
      </c>
      <c r="C93" s="739" t="s">
        <v>104</v>
      </c>
      <c r="D93" s="750" t="s">
        <v>50</v>
      </c>
      <c r="E93" s="194" t="s">
        <v>198</v>
      </c>
      <c r="F93" s="202"/>
      <c r="G93" s="202"/>
      <c r="H93" s="203"/>
      <c r="I93" s="204"/>
      <c r="J93" s="205"/>
      <c r="K93" s="138"/>
      <c r="L93" s="138"/>
      <c r="M93" s="205"/>
      <c r="N93" s="205"/>
      <c r="O93" s="205"/>
      <c r="P93" s="205"/>
      <c r="Q93" s="205"/>
      <c r="R93" s="205"/>
      <c r="S93" s="205"/>
      <c r="T93" s="205"/>
      <c r="U93" s="205"/>
      <c r="V93" s="205"/>
      <c r="W93" s="205"/>
      <c r="X93" s="206"/>
      <c r="Y93" s="205"/>
      <c r="Z93" s="205"/>
      <c r="AA93" s="205"/>
      <c r="AB93" s="205"/>
      <c r="AC93" s="205"/>
      <c r="AD93" s="205"/>
      <c r="AE93" s="205"/>
      <c r="AF93" s="205"/>
      <c r="AG93" s="205"/>
      <c r="AH93" s="205"/>
      <c r="AI93" s="205"/>
      <c r="AJ93" s="206"/>
      <c r="AK93" s="205"/>
      <c r="AL93" s="205"/>
      <c r="AM93" s="205"/>
      <c r="AN93" s="205"/>
      <c r="AO93" s="205"/>
      <c r="AP93" s="205"/>
      <c r="AQ93" s="205"/>
      <c r="AR93" s="205"/>
      <c r="AS93" s="205"/>
      <c r="AT93" s="205"/>
      <c r="AU93" s="205"/>
      <c r="AV93" s="206"/>
      <c r="AW93" s="205"/>
      <c r="AX93" s="205"/>
      <c r="AY93" s="205"/>
      <c r="AZ93" s="205"/>
      <c r="BA93" s="205"/>
      <c r="BB93" s="205"/>
      <c r="BC93" s="205"/>
      <c r="BD93" s="205"/>
      <c r="BE93" s="205"/>
      <c r="BF93" s="205"/>
      <c r="BG93" s="205"/>
      <c r="BH93" s="214"/>
    </row>
    <row r="94" spans="1:60" hidden="1" x14ac:dyDescent="0.2">
      <c r="A94" s="648"/>
      <c r="B94" s="492" t="s">
        <v>178</v>
      </c>
      <c r="C94" s="739" t="s">
        <v>199</v>
      </c>
      <c r="D94" s="747"/>
      <c r="E94" s="221" t="s">
        <v>200</v>
      </c>
      <c r="F94" s="220"/>
      <c r="G94" s="220"/>
      <c r="H94" s="221" t="s">
        <v>177</v>
      </c>
      <c r="I94" s="146"/>
      <c r="J94" s="230"/>
      <c r="K94" s="121"/>
      <c r="L94" s="121"/>
      <c r="M94" s="230"/>
      <c r="N94" s="129"/>
      <c r="O94" s="251">
        <f>IF(O$80="geen",0,O75+O85-O88+O92)</f>
        <v>0</v>
      </c>
      <c r="P94" s="251">
        <f>IF(P$80="geen",0,P75+P85-P88+P92)</f>
        <v>0</v>
      </c>
      <c r="Q94" s="251">
        <f>IF(Q$80="geen",0,Q75+Q85-Q88+Q92)</f>
        <v>0</v>
      </c>
      <c r="R94" s="147"/>
      <c r="S94" s="147"/>
      <c r="T94" s="147"/>
      <c r="U94" s="147"/>
      <c r="V94" s="147"/>
      <c r="W94" s="147"/>
      <c r="X94" s="125"/>
      <c r="Y94" s="149"/>
      <c r="Z94" s="129"/>
      <c r="AA94" s="251">
        <f>IF(AA$80="geen",0,AA75+AA85-AA88+AA92)</f>
        <v>0</v>
      </c>
      <c r="AB94" s="251">
        <f>IF(AB$80="geen",0,AB75+AB85-AB88+AB92)</f>
        <v>0</v>
      </c>
      <c r="AC94" s="251">
        <f>IF(AC$80="geen",0,AC75+AC85-AC88+AC92)</f>
        <v>0</v>
      </c>
      <c r="AD94" s="147"/>
      <c r="AE94" s="147"/>
      <c r="AF94" s="147"/>
      <c r="AG94" s="147"/>
      <c r="AH94" s="147"/>
      <c r="AI94" s="147"/>
      <c r="AJ94" s="125"/>
      <c r="AK94" s="149"/>
      <c r="AL94" s="129"/>
      <c r="AM94" s="251">
        <f>IF(AM$80="geen",0,AM75+AM85-AM88+AM92)</f>
        <v>0</v>
      </c>
      <c r="AN94" s="251">
        <f>IF(AN$80="geen",0,AN75+AN85-AN88+AN92)</f>
        <v>0</v>
      </c>
      <c r="AO94" s="251">
        <f>IF(AO$80="geen",0,AO75+AO85-AO88+AO92)</f>
        <v>0</v>
      </c>
      <c r="AP94" s="147"/>
      <c r="AQ94" s="147"/>
      <c r="AR94" s="147"/>
      <c r="AS94" s="147"/>
      <c r="AT94" s="147"/>
      <c r="AU94" s="147"/>
      <c r="AV94" s="125"/>
      <c r="AW94" s="149"/>
      <c r="AX94" s="129"/>
      <c r="AY94" s="251">
        <f>IF(AY$80="geen",0,AY75+AY85-AY88+AY92)</f>
        <v>0</v>
      </c>
      <c r="AZ94" s="251">
        <f>IF(AZ$80="geen",0,AZ75+AZ85-AZ88+AZ92)</f>
        <v>0</v>
      </c>
      <c r="BA94" s="251">
        <f>IF(BA$80="geen",0,BA75+BA85-BA88+BA92)</f>
        <v>0</v>
      </c>
      <c r="BB94" s="147"/>
      <c r="BC94" s="147"/>
      <c r="BD94" s="147"/>
      <c r="BE94" s="147"/>
      <c r="BF94" s="147"/>
      <c r="BG94" s="147"/>
      <c r="BH94" s="255"/>
    </row>
    <row r="95" spans="1:60" hidden="1" x14ac:dyDescent="0.2">
      <c r="A95" s="648"/>
      <c r="B95" s="492" t="s">
        <v>178</v>
      </c>
      <c r="C95" s="739" t="s">
        <v>199</v>
      </c>
      <c r="D95" s="750" t="s">
        <v>50</v>
      </c>
      <c r="E95" s="221" t="s">
        <v>201</v>
      </c>
      <c r="F95" s="220"/>
      <c r="G95" s="220"/>
      <c r="H95" s="221" t="s">
        <v>202</v>
      </c>
      <c r="I95" s="146"/>
      <c r="J95" s="230"/>
      <c r="K95" s="121"/>
      <c r="L95" s="121"/>
      <c r="M95" s="230"/>
      <c r="N95" s="129"/>
      <c r="O95" s="622">
        <f>IF(OR(O80="geen",O94=0),0,IF(O81=gebouw,O$29,1))</f>
        <v>0</v>
      </c>
      <c r="P95" s="622">
        <f>IF(OR(P80="geen",P94=0),0,IF(P81=gebouw,P$29,1))</f>
        <v>0</v>
      </c>
      <c r="Q95" s="622" t="s">
        <v>70</v>
      </c>
      <c r="R95" s="145"/>
      <c r="S95" s="145"/>
      <c r="T95" s="145"/>
      <c r="U95" s="145"/>
      <c r="V95" s="145"/>
      <c r="W95" s="145"/>
      <c r="X95" s="486"/>
      <c r="Y95" s="149"/>
      <c r="Z95" s="135"/>
      <c r="AA95" s="622">
        <f>IF(OR(AA80="geen",AA94=0),0,IF(AA81=gebouw,AA$29,1))</f>
        <v>0</v>
      </c>
      <c r="AB95" s="622">
        <f>IF(OR(AB80="geen",AB94=0),0,IF(AB81=gebouw,AB$29,1))</f>
        <v>0</v>
      </c>
      <c r="AC95" s="622" t="s">
        <v>70</v>
      </c>
      <c r="AD95" s="145"/>
      <c r="AE95" s="145"/>
      <c r="AF95" s="145"/>
      <c r="AG95" s="145"/>
      <c r="AH95" s="145"/>
      <c r="AI95" s="145"/>
      <c r="AJ95" s="486"/>
      <c r="AK95" s="149"/>
      <c r="AL95" s="135"/>
      <c r="AM95" s="622">
        <f>IF(OR(AM80="geen",AM94=0),0,IF(AM81=gebouw,AM$29,1))</f>
        <v>0</v>
      </c>
      <c r="AN95" s="622">
        <f>IF(OR(AN80="geen",AN94=0),0,IF(AN81=gebouw,AN$29,1))</f>
        <v>0</v>
      </c>
      <c r="AO95" s="622" t="s">
        <v>70</v>
      </c>
      <c r="AP95" s="145"/>
      <c r="AQ95" s="145"/>
      <c r="AR95" s="145"/>
      <c r="AS95" s="145"/>
      <c r="AT95" s="145"/>
      <c r="AU95" s="145"/>
      <c r="AV95" s="486"/>
      <c r="AW95" s="149"/>
      <c r="AX95" s="135"/>
      <c r="AY95" s="622">
        <f>IF(OR(AY80="geen",AY94=0),0,IF(AY81=gebouw,AY$29,1))</f>
        <v>0</v>
      </c>
      <c r="AZ95" s="622">
        <f>IF(OR(AZ80="geen",AZ94=0),0,IF(AZ81=gebouw,AZ$29,1))</f>
        <v>0</v>
      </c>
      <c r="BA95" s="622" t="s">
        <v>70</v>
      </c>
      <c r="BB95" s="147"/>
      <c r="BC95" s="147"/>
      <c r="BD95" s="147"/>
      <c r="BE95" s="147"/>
      <c r="BF95" s="147"/>
      <c r="BG95" s="147"/>
      <c r="BH95" s="255"/>
    </row>
    <row r="96" spans="1:60" hidden="1" x14ac:dyDescent="0.2">
      <c r="A96" s="648"/>
      <c r="B96" s="492" t="s">
        <v>178</v>
      </c>
      <c r="C96" s="739" t="s">
        <v>199</v>
      </c>
      <c r="D96" s="750" t="s">
        <v>50</v>
      </c>
      <c r="E96" s="221" t="s">
        <v>203</v>
      </c>
      <c r="F96" s="220"/>
      <c r="G96" s="220"/>
      <c r="H96" s="221" t="s">
        <v>204</v>
      </c>
      <c r="I96" s="146"/>
      <c r="J96" s="230"/>
      <c r="K96" s="121"/>
      <c r="L96" s="121"/>
      <c r="M96" s="230"/>
      <c r="N96" s="129"/>
      <c r="O96" s="622">
        <f>MROUND(((bibliotheek!$I$121*(O94*1000))/(0.001*bibliotheek!$I$122)*((bibliotheek!$I$123-bibliotheek!$I$125)/(bibliotheek!$I$123-bibliotheek!$I$124))+(O31^0.5*4*3+O31)*bibliotheek!$I$126)/1000,50)</f>
        <v>0</v>
      </c>
      <c r="P96" s="622">
        <f>IF(P80="geen",0,MROUND((P94*1000)*bibliotheek!$I$196,1))</f>
        <v>0</v>
      </c>
      <c r="Q96" s="622" t="s">
        <v>70</v>
      </c>
      <c r="R96" s="145"/>
      <c r="S96" s="145"/>
      <c r="T96" s="145"/>
      <c r="U96" s="145"/>
      <c r="V96" s="145"/>
      <c r="W96" s="145"/>
      <c r="X96" s="486"/>
      <c r="Y96" s="149"/>
      <c r="Z96" s="135"/>
      <c r="AA96" s="622">
        <f>MROUND(((bibliotheek!$I$121*(AA94*1000))/(0.001*bibliotheek!$I$122)*((bibliotheek!$I$123-bibliotheek!$I$125)/(bibliotheek!$I$123-bibliotheek!$I$124))+(AA31^0.5*4*3+AA31)*bibliotheek!$I$126)/1000,50)</f>
        <v>0</v>
      </c>
      <c r="AB96" s="622">
        <f>IF(AB80="geen",0,MROUND((AB94*1000)*bibliotheek!$I$196,1))</f>
        <v>0</v>
      </c>
      <c r="AC96" s="622" t="s">
        <v>70</v>
      </c>
      <c r="AD96" s="145"/>
      <c r="AE96" s="145"/>
      <c r="AF96" s="145"/>
      <c r="AG96" s="145"/>
      <c r="AH96" s="145"/>
      <c r="AI96" s="145"/>
      <c r="AJ96" s="486"/>
      <c r="AK96" s="149"/>
      <c r="AL96" s="135"/>
      <c r="AM96" s="622">
        <f>MROUND(((bibliotheek!$I$121*(AM94*1000))/(0.001*bibliotheek!$I$122)*((bibliotheek!$I$123-bibliotheek!$I$125)/(bibliotheek!$I$123-bibliotheek!$I$124))+(AM31^0.5*4*3+AM31)*bibliotheek!$I$126)/1000,50)</f>
        <v>0</v>
      </c>
      <c r="AN96" s="622">
        <f>IF(AN80="geen",0,MROUND((AN94*1000)*bibliotheek!$I$196,1))</f>
        <v>0</v>
      </c>
      <c r="AO96" s="622" t="s">
        <v>70</v>
      </c>
      <c r="AP96" s="145"/>
      <c r="AQ96" s="145"/>
      <c r="AR96" s="145"/>
      <c r="AS96" s="145"/>
      <c r="AT96" s="145"/>
      <c r="AU96" s="145"/>
      <c r="AV96" s="486"/>
      <c r="AW96" s="149"/>
      <c r="AX96" s="135"/>
      <c r="AY96" s="622">
        <f>MROUND(((bibliotheek!$I$121*(AY94*1000))/(0.001*bibliotheek!$I$122)*((bibliotheek!$I$123-bibliotheek!$I$125)/(bibliotheek!$I$123-bibliotheek!$I$124))+(AY31^0.5*4*3+AY31)*bibliotheek!$I$126)/1000,50)</f>
        <v>0</v>
      </c>
      <c r="AZ96" s="622">
        <f>IF(AZ80="geen",0,MROUND((AZ94*1000)*bibliotheek!$I$196,1))</f>
        <v>0</v>
      </c>
      <c r="BA96" s="622" t="s">
        <v>70</v>
      </c>
      <c r="BB96" s="147"/>
      <c r="BC96" s="147"/>
      <c r="BD96" s="147"/>
      <c r="BE96" s="147"/>
      <c r="BF96" s="147"/>
      <c r="BG96" s="147"/>
      <c r="BH96" s="255"/>
    </row>
    <row r="97" spans="1:60" hidden="1" x14ac:dyDescent="0.2">
      <c r="A97" s="648"/>
      <c r="B97" s="492" t="s">
        <v>178</v>
      </c>
      <c r="C97" s="656" t="s">
        <v>199</v>
      </c>
      <c r="D97" s="747"/>
      <c r="E97" s="90"/>
      <c r="F97" s="90"/>
      <c r="G97" s="90"/>
      <c r="H97" s="96"/>
      <c r="I97" s="90"/>
      <c r="J97" s="93"/>
      <c r="K97" s="90"/>
      <c r="L97" s="90"/>
      <c r="M97" s="93"/>
      <c r="N97" s="90"/>
      <c r="O97" s="93"/>
      <c r="P97" s="93"/>
      <c r="Q97" s="93"/>
      <c r="R97" s="93"/>
      <c r="S97" s="93"/>
      <c r="T97" s="93"/>
      <c r="U97" s="93"/>
      <c r="V97" s="93"/>
      <c r="W97" s="93"/>
      <c r="X97" s="93"/>
      <c r="Y97" s="93"/>
      <c r="Z97" s="90"/>
      <c r="AA97" s="122"/>
      <c r="AB97" s="117"/>
      <c r="AC97" s="122"/>
      <c r="AD97" s="93"/>
      <c r="AE97" s="93"/>
      <c r="AF97" s="93"/>
      <c r="AG97" s="93"/>
      <c r="AH97" s="93"/>
      <c r="AI97" s="93"/>
      <c r="AJ97" s="93"/>
      <c r="AK97" s="93"/>
      <c r="AL97" s="90"/>
      <c r="AM97" s="93"/>
      <c r="AN97" s="117"/>
      <c r="AO97" s="93"/>
      <c r="AP97" s="93"/>
      <c r="AQ97" s="93"/>
      <c r="AR97" s="93"/>
      <c r="AS97" s="93"/>
      <c r="AT97" s="93"/>
      <c r="AU97" s="93"/>
      <c r="AV97" s="93"/>
      <c r="AW97" s="93"/>
      <c r="AX97" s="90"/>
      <c r="AY97" s="93"/>
      <c r="AZ97" s="117"/>
      <c r="BA97" s="93"/>
      <c r="BB97" s="93"/>
      <c r="BC97" s="93"/>
      <c r="BD97" s="93"/>
      <c r="BE97" s="93"/>
      <c r="BF97" s="93"/>
      <c r="BG97" s="93"/>
      <c r="BH97" s="1"/>
    </row>
    <row r="98" spans="1:60" x14ac:dyDescent="0.2">
      <c r="A98" s="648"/>
      <c r="B98" s="492" t="s">
        <v>205</v>
      </c>
      <c r="C98" s="656" t="s">
        <v>104</v>
      </c>
      <c r="D98" s="747"/>
      <c r="E98" s="90"/>
      <c r="F98" s="90"/>
      <c r="G98" s="90"/>
      <c r="H98" s="96"/>
      <c r="I98" s="90"/>
      <c r="J98" s="93"/>
      <c r="K98" s="90"/>
      <c r="L98" s="90"/>
      <c r="M98" s="93"/>
      <c r="N98" s="90"/>
      <c r="O98" s="489"/>
      <c r="P98" s="93"/>
      <c r="Q98" s="93"/>
      <c r="R98" s="93"/>
      <c r="S98" s="93"/>
      <c r="T98" s="93"/>
      <c r="U98" s="93"/>
      <c r="V98" s="93"/>
      <c r="W98" s="93"/>
      <c r="X98" s="93"/>
      <c r="Y98" s="93"/>
      <c r="Z98" s="90"/>
      <c r="AA98" s="93"/>
      <c r="AB98" s="93"/>
      <c r="AC98" s="93"/>
      <c r="AD98" s="93"/>
      <c r="AE98" s="93"/>
      <c r="AF98" s="93"/>
      <c r="AG98" s="93"/>
      <c r="AH98" s="93"/>
      <c r="AI98" s="93"/>
      <c r="AJ98" s="93"/>
      <c r="AK98" s="93"/>
      <c r="AL98" s="90"/>
      <c r="AM98" s="93"/>
      <c r="AN98" s="93"/>
      <c r="AO98" s="93"/>
      <c r="AP98" s="93"/>
      <c r="AQ98" s="93"/>
      <c r="AR98" s="93"/>
      <c r="AS98" s="93"/>
      <c r="AT98" s="93"/>
      <c r="AU98" s="93"/>
      <c r="AV98" s="93"/>
      <c r="AW98" s="93"/>
      <c r="AX98" s="90"/>
      <c r="AY98" s="93"/>
      <c r="AZ98" s="93"/>
      <c r="BA98" s="93"/>
      <c r="BB98" s="93"/>
      <c r="BC98" s="93"/>
      <c r="BD98" s="93"/>
      <c r="BE98" s="93"/>
      <c r="BF98" s="93"/>
      <c r="BG98" s="93"/>
      <c r="BH98" s="1"/>
    </row>
    <row r="99" spans="1:60" ht="21" x14ac:dyDescent="0.2">
      <c r="A99" s="648"/>
      <c r="B99" s="492" t="s">
        <v>205</v>
      </c>
      <c r="C99" s="739" t="s">
        <v>104</v>
      </c>
      <c r="D99" s="750" t="s">
        <v>50</v>
      </c>
      <c r="E99" s="240" t="s">
        <v>206</v>
      </c>
      <c r="F99" s="240"/>
      <c r="G99" s="240"/>
      <c r="H99" s="240"/>
      <c r="I99" s="88"/>
      <c r="J99" s="241" t="str">
        <f>J$10</f>
        <v>totaal</v>
      </c>
      <c r="K99" s="142"/>
      <c r="L99" s="142"/>
      <c r="M99" s="216" t="str">
        <f>M$10</f>
        <v>totaal</v>
      </c>
      <c r="N99" s="222"/>
      <c r="O99" s="217" t="str">
        <f>O$10</f>
        <v>verwarming</v>
      </c>
      <c r="P99" s="217" t="str">
        <f>P$10</f>
        <v>koeling</v>
      </c>
      <c r="Q99" s="217" t="str">
        <f>Q$10</f>
        <v>tapwater</v>
      </c>
      <c r="R99" s="217"/>
      <c r="S99" s="217"/>
      <c r="T99" s="217"/>
      <c r="U99" s="217"/>
      <c r="V99" s="217"/>
      <c r="W99" s="217"/>
      <c r="X99" s="214"/>
      <c r="Y99" s="216" t="str">
        <f>Y$10</f>
        <v>totaal</v>
      </c>
      <c r="Z99" s="222"/>
      <c r="AA99" s="217" t="str">
        <f>AA$10</f>
        <v>verwarming</v>
      </c>
      <c r="AB99" s="217" t="str">
        <f>AB$10</f>
        <v>koeling</v>
      </c>
      <c r="AC99" s="217" t="str">
        <f>AC$10</f>
        <v>tapwater</v>
      </c>
      <c r="AD99" s="217"/>
      <c r="AE99" s="217"/>
      <c r="AF99" s="217"/>
      <c r="AG99" s="217"/>
      <c r="AH99" s="217"/>
      <c r="AI99" s="217"/>
      <c r="AJ99" s="214"/>
      <c r="AK99" s="216" t="str">
        <f>AK$10</f>
        <v>totaal</v>
      </c>
      <c r="AL99" s="222"/>
      <c r="AM99" s="217" t="str">
        <f>AM$10</f>
        <v>verwarming</v>
      </c>
      <c r="AN99" s="217" t="str">
        <f>AN$10</f>
        <v>koeling</v>
      </c>
      <c r="AO99" s="217" t="str">
        <f>AO$10</f>
        <v>tapwater</v>
      </c>
      <c r="AP99" s="217"/>
      <c r="AQ99" s="217"/>
      <c r="AR99" s="217"/>
      <c r="AS99" s="217"/>
      <c r="AT99" s="217"/>
      <c r="AU99" s="217"/>
      <c r="AV99" s="214"/>
      <c r="AW99" s="216" t="str">
        <f>AW$10</f>
        <v>totaal</v>
      </c>
      <c r="AX99" s="222"/>
      <c r="AY99" s="217" t="str">
        <f>AY$10</f>
        <v>verwarming</v>
      </c>
      <c r="AZ99" s="217" t="str">
        <f>AZ$10</f>
        <v>koeling</v>
      </c>
      <c r="BA99" s="217" t="str">
        <f>BA$10</f>
        <v>tapwater</v>
      </c>
      <c r="BB99" s="217"/>
      <c r="BC99" s="217"/>
      <c r="BD99" s="217"/>
      <c r="BE99" s="217"/>
      <c r="BF99" s="217"/>
      <c r="BG99" s="217"/>
      <c r="BH99" s="1"/>
    </row>
    <row r="100" spans="1:60" ht="18.75" x14ac:dyDescent="0.2">
      <c r="A100" s="648"/>
      <c r="B100" s="492" t="s">
        <v>205</v>
      </c>
      <c r="C100" s="739" t="s">
        <v>104</v>
      </c>
      <c r="D100" s="750"/>
      <c r="E100" s="315" t="s">
        <v>207</v>
      </c>
      <c r="F100" s="175"/>
      <c r="G100" s="175"/>
      <c r="H100" s="176"/>
      <c r="I100" s="177"/>
      <c r="J100" s="141"/>
      <c r="K100" s="178"/>
      <c r="L100" s="178"/>
      <c r="M100" s="141"/>
      <c r="N100" s="141"/>
      <c r="O100" s="141"/>
      <c r="P100" s="141"/>
      <c r="Q100" s="141"/>
      <c r="R100" s="141">
        <v>1</v>
      </c>
      <c r="S100" s="141">
        <v>1</v>
      </c>
      <c r="T100" s="141"/>
      <c r="U100" s="141"/>
      <c r="V100" s="141"/>
      <c r="W100" s="141"/>
      <c r="X100" s="179"/>
      <c r="Y100" s="141"/>
      <c r="Z100" s="141"/>
      <c r="AA100" s="141"/>
      <c r="AB100" s="141"/>
      <c r="AC100" s="141"/>
      <c r="AD100" s="141"/>
      <c r="AE100" s="141"/>
      <c r="AF100" s="141"/>
      <c r="AG100" s="141"/>
      <c r="AH100" s="141"/>
      <c r="AI100" s="141"/>
      <c r="AJ100" s="179"/>
      <c r="AK100" s="141"/>
      <c r="AL100" s="141"/>
      <c r="AM100" s="141"/>
      <c r="AN100" s="141"/>
      <c r="AO100" s="141"/>
      <c r="AP100" s="141"/>
      <c r="AQ100" s="141"/>
      <c r="AR100" s="141"/>
      <c r="AS100" s="141"/>
      <c r="AT100" s="141"/>
      <c r="AU100" s="141"/>
      <c r="AV100" s="179"/>
      <c r="AW100" s="141"/>
      <c r="AX100" s="141"/>
      <c r="AY100" s="141"/>
      <c r="AZ100" s="141"/>
      <c r="BA100" s="141"/>
      <c r="BB100" s="141"/>
      <c r="BC100" s="141"/>
      <c r="BD100" s="141"/>
      <c r="BE100" s="141"/>
      <c r="BF100" s="141"/>
      <c r="BG100" s="141"/>
      <c r="BH100" s="263"/>
    </row>
    <row r="101" spans="1:60" ht="38.25" x14ac:dyDescent="0.2">
      <c r="A101" s="648"/>
      <c r="B101" s="492" t="s">
        <v>205</v>
      </c>
      <c r="C101" s="656" t="s">
        <v>127</v>
      </c>
      <c r="D101" s="747"/>
      <c r="E101" s="183" t="s">
        <v>181</v>
      </c>
      <c r="F101" s="357"/>
      <c r="G101" s="357"/>
      <c r="H101" s="183" t="s">
        <v>70</v>
      </c>
      <c r="I101" s="188"/>
      <c r="J101" s="330"/>
      <c r="K101" s="820"/>
      <c r="L101" s="820"/>
      <c r="M101" s="330"/>
      <c r="N101" s="136"/>
      <c r="O101" s="390" t="str">
        <f>O80</f>
        <v>ind WP, ind bodem, elek bijstook</v>
      </c>
      <c r="P101" s="390" t="str">
        <f>P80</f>
        <v>geen</v>
      </c>
      <c r="Q101" s="390" t="str">
        <f>Q80</f>
        <v>ind WP, ind bodem, elek bijstook</v>
      </c>
      <c r="R101" s="190"/>
      <c r="S101" s="190"/>
      <c r="T101" s="190"/>
      <c r="U101" s="190"/>
      <c r="V101" s="190"/>
      <c r="W101" s="190"/>
      <c r="X101" s="191"/>
      <c r="Y101" s="330"/>
      <c r="Z101" s="136"/>
      <c r="AA101" s="390" t="str">
        <f>AA80</f>
        <v>ind WP, ind bodem, elek bijstook</v>
      </c>
      <c r="AB101" s="390" t="str">
        <f>AB80</f>
        <v>geen</v>
      </c>
      <c r="AC101" s="390" t="str">
        <f>AC80</f>
        <v>ind WP, ind bodem, elek bijstook</v>
      </c>
      <c r="AD101" s="190"/>
      <c r="AE101" s="190"/>
      <c r="AF101" s="190"/>
      <c r="AG101" s="190"/>
      <c r="AH101" s="190"/>
      <c r="AI101" s="190"/>
      <c r="AJ101" s="191"/>
      <c r="AK101" s="330"/>
      <c r="AL101" s="136"/>
      <c r="AM101" s="390" t="str">
        <f>AM80</f>
        <v>ind WP, ind bodem, elek bijstook</v>
      </c>
      <c r="AN101" s="390" t="str">
        <f>AN80</f>
        <v>geen</v>
      </c>
      <c r="AO101" s="390" t="str">
        <f>AO80</f>
        <v>ind WP, ind bodem, elek bijstook</v>
      </c>
      <c r="AP101" s="190"/>
      <c r="AQ101" s="190"/>
      <c r="AR101" s="190"/>
      <c r="AS101" s="190"/>
      <c r="AT101" s="190"/>
      <c r="AU101" s="190"/>
      <c r="AV101" s="191"/>
      <c r="AW101" s="330"/>
      <c r="AX101" s="136"/>
      <c r="AY101" s="390" t="str">
        <f>AY80</f>
        <v>ind WP, ind bodem, elek bijstook</v>
      </c>
      <c r="AZ101" s="390" t="str">
        <f>AZ80</f>
        <v>geen</v>
      </c>
      <c r="BA101" s="390" t="str">
        <f>BA80</f>
        <v>ind WP, ind bodem, elek bijstook</v>
      </c>
      <c r="BB101" s="190"/>
      <c r="BC101" s="190"/>
      <c r="BD101" s="190"/>
      <c r="BE101" s="190"/>
      <c r="BF101" s="190"/>
      <c r="BG101" s="190"/>
      <c r="BH101" s="263"/>
    </row>
    <row r="102" spans="1:60" s="38" customFormat="1" hidden="1" x14ac:dyDescent="0.2">
      <c r="A102" s="648"/>
      <c r="B102" s="492" t="s">
        <v>205</v>
      </c>
      <c r="C102" s="656" t="s">
        <v>199</v>
      </c>
      <c r="D102" s="747"/>
      <c r="E102" s="183" t="s">
        <v>208</v>
      </c>
      <c r="F102" s="182"/>
      <c r="G102" s="182"/>
      <c r="H102" s="183" t="s">
        <v>70</v>
      </c>
      <c r="I102" s="340"/>
      <c r="J102" s="350"/>
      <c r="K102" s="821"/>
      <c r="L102" s="821"/>
      <c r="M102" s="350"/>
      <c r="N102" s="235"/>
      <c r="O102" s="390" t="str">
        <f>HLOOKUP(IF(O$80="",referentie_verwarming,O$80),toestellen_RV,ROWS(bibliotheek!$E$79:$E$92),FALSE)</f>
        <v>elektriciteit</v>
      </c>
      <c r="P102" s="390" t="str">
        <f>HLOOKUP(IF(P$80="",referentie_koeling,P$80),toestellen_KOEL,ROWS(bibliotheek!$E$170:$E$177),FALSE)</f>
        <v>nvt</v>
      </c>
      <c r="Q102" s="390" t="str">
        <f>HLOOKUP(IF(Q$80="",referentie_warmtapwater,Q$80),toestellen_TAP,ROWS(bibliotheek!$E$136:$E$149),FALSE)</f>
        <v>elektriciteit</v>
      </c>
      <c r="R102" s="341"/>
      <c r="S102" s="341"/>
      <c r="T102" s="341"/>
      <c r="U102" s="341"/>
      <c r="V102" s="341"/>
      <c r="W102" s="341"/>
      <c r="X102" s="342"/>
      <c r="Y102" s="350"/>
      <c r="Z102" s="235"/>
      <c r="AA102" s="390" t="str">
        <f>HLOOKUP(IF(AA$80="",referentie_verwarming,AA$80),toestellen_RV,ROWS(bibliotheek!$E$79:$E$92),FALSE)</f>
        <v>elektriciteit</v>
      </c>
      <c r="AB102" s="390" t="str">
        <f>HLOOKUP(IF(AB$80="",referentie_koeling,AB$80),toestellen_KOEL,ROWS(bibliotheek!$E$170:$E$177),FALSE)</f>
        <v>nvt</v>
      </c>
      <c r="AC102" s="390" t="str">
        <f>HLOOKUP(IF(AC$80="",referentie_warmtapwater,AC$80),toestellen_TAP,ROWS(bibliotheek!$E$136:$E$149),FALSE)</f>
        <v>elektriciteit</v>
      </c>
      <c r="AD102" s="341"/>
      <c r="AE102" s="341"/>
      <c r="AF102" s="341"/>
      <c r="AG102" s="341"/>
      <c r="AH102" s="341"/>
      <c r="AI102" s="341"/>
      <c r="AJ102" s="342"/>
      <c r="AK102" s="350"/>
      <c r="AL102" s="235"/>
      <c r="AM102" s="390" t="str">
        <f>HLOOKUP(IF(AM$80="",referentie_verwarming,AM$80),toestellen_RV,ROWS(bibliotheek!$E$79:$E$92),FALSE)</f>
        <v>elektriciteit</v>
      </c>
      <c r="AN102" s="390" t="str">
        <f>HLOOKUP(IF(AN$80="",referentie_koeling,AN$80),toestellen_KOEL,ROWS(bibliotheek!$E$170:$E$177),FALSE)</f>
        <v>nvt</v>
      </c>
      <c r="AO102" s="390" t="str">
        <f>HLOOKUP(IF(AO$80="",referentie_warmtapwater,AO$80),toestellen_TAP,ROWS(bibliotheek!$E$136:$E$149),FALSE)</f>
        <v>elektriciteit</v>
      </c>
      <c r="AP102" s="341"/>
      <c r="AQ102" s="341"/>
      <c r="AR102" s="341"/>
      <c r="AS102" s="341"/>
      <c r="AT102" s="341"/>
      <c r="AU102" s="341"/>
      <c r="AV102" s="342"/>
      <c r="AW102" s="350"/>
      <c r="AX102" s="235"/>
      <c r="AY102" s="390" t="str">
        <f>HLOOKUP(IF(AY$80="",referentie_verwarming,AY$80),toestellen_RV,ROWS(bibliotheek!$E$79:$E$92),FALSE)</f>
        <v>elektriciteit</v>
      </c>
      <c r="AZ102" s="390" t="str">
        <f>HLOOKUP(IF(AZ$80="",referentie_koeling,AZ$80),toestellen_KOEL,ROWS(bibliotheek!$E$170:$E$177),FALSE)</f>
        <v>nvt</v>
      </c>
      <c r="BA102" s="390" t="str">
        <f>HLOOKUP(IF(BA$80="",referentie_warmtapwater,BA$80),toestellen_TAP,ROWS(bibliotheek!$E$136:$E$149),FALSE)</f>
        <v>elektriciteit</v>
      </c>
      <c r="BB102" s="341"/>
      <c r="BC102" s="341"/>
      <c r="BD102" s="341"/>
      <c r="BE102" s="341"/>
      <c r="BF102" s="341"/>
      <c r="BG102" s="341"/>
      <c r="BH102" s="268"/>
    </row>
    <row r="103" spans="1:60" hidden="1" x14ac:dyDescent="0.2">
      <c r="A103" s="648"/>
      <c r="B103" s="492" t="s">
        <v>205</v>
      </c>
      <c r="C103" s="739" t="s">
        <v>199</v>
      </c>
      <c r="D103" s="747"/>
      <c r="E103" s="221" t="s">
        <v>209</v>
      </c>
      <c r="F103" s="220"/>
      <c r="G103" s="220"/>
      <c r="H103" s="221" t="s">
        <v>70</v>
      </c>
      <c r="I103" s="146"/>
      <c r="J103" s="230"/>
      <c r="K103" s="822"/>
      <c r="L103" s="822"/>
      <c r="M103" s="230"/>
      <c r="N103" s="129"/>
      <c r="O103" s="623" t="str">
        <f>INDEX(energiedragers_index_fPren,MATCH(O102,energiedragers_namen,0))</f>
        <v>nren</v>
      </c>
      <c r="P103" s="623" t="str">
        <f>INDEX(energiedragers_index_fPren,MATCH(P102,energiedragers_namen,0))</f>
        <v>nren</v>
      </c>
      <c r="Q103" s="623" t="str">
        <f>INDEX(energiedragers_index_fPren,MATCH(Q102,energiedragers_namen,0))</f>
        <v>nren</v>
      </c>
      <c r="R103" s="200"/>
      <c r="S103" s="200"/>
      <c r="T103" s="200"/>
      <c r="U103" s="200"/>
      <c r="V103" s="200"/>
      <c r="W103" s="200"/>
      <c r="X103" s="201"/>
      <c r="Y103" s="230"/>
      <c r="Z103" s="129"/>
      <c r="AA103" s="623" t="str">
        <f>INDEX(energiedragers_index_fPren,MATCH(AA102,energiedragers_namen,0))</f>
        <v>nren</v>
      </c>
      <c r="AB103" s="623" t="str">
        <f>INDEX(energiedragers_index_fPren,MATCH(AB102,energiedragers_namen,0))</f>
        <v>nren</v>
      </c>
      <c r="AC103" s="623" t="str">
        <f>INDEX(energiedragers_index_fPren,MATCH(AC102,energiedragers_namen,0))</f>
        <v>nren</v>
      </c>
      <c r="AD103" s="200"/>
      <c r="AE103" s="200"/>
      <c r="AF103" s="200"/>
      <c r="AG103" s="200"/>
      <c r="AH103" s="200"/>
      <c r="AI103" s="200"/>
      <c r="AJ103" s="201"/>
      <c r="AK103" s="230"/>
      <c r="AL103" s="129"/>
      <c r="AM103" s="623" t="str">
        <f>INDEX(energiedragers_index_fPren,MATCH(AM102,energiedragers_namen,0))</f>
        <v>nren</v>
      </c>
      <c r="AN103" s="623" t="str">
        <f>INDEX(energiedragers_index_fPren,MATCH(AN102,energiedragers_namen,0))</f>
        <v>nren</v>
      </c>
      <c r="AO103" s="623" t="str">
        <f>INDEX(energiedragers_index_fPren,MATCH(AO102,energiedragers_namen,0))</f>
        <v>nren</v>
      </c>
      <c r="AP103" s="200"/>
      <c r="AQ103" s="200"/>
      <c r="AR103" s="200"/>
      <c r="AS103" s="200"/>
      <c r="AT103" s="200"/>
      <c r="AU103" s="200"/>
      <c r="AV103" s="201"/>
      <c r="AW103" s="230"/>
      <c r="AX103" s="129"/>
      <c r="AY103" s="623" t="str">
        <f>INDEX(energiedragers_index_fPren,MATCH(AY102,energiedragers_namen,0))</f>
        <v>nren</v>
      </c>
      <c r="AZ103" s="623" t="str">
        <f>INDEX(energiedragers_index_fPren,MATCH(AZ102,energiedragers_namen,0))</f>
        <v>nren</v>
      </c>
      <c r="BA103" s="623" t="str">
        <f>INDEX(energiedragers_index_fPren,MATCH(BA102,energiedragers_namen,0))</f>
        <v>nren</v>
      </c>
      <c r="BB103" s="200"/>
      <c r="BC103" s="200"/>
      <c r="BD103" s="200"/>
      <c r="BE103" s="200"/>
      <c r="BF103" s="200"/>
      <c r="BG103" s="200"/>
      <c r="BH103" s="264"/>
    </row>
    <row r="104" spans="1:60" ht="18.75" x14ac:dyDescent="0.2">
      <c r="A104" s="648"/>
      <c r="B104" s="492" t="s">
        <v>205</v>
      </c>
      <c r="C104" s="739" t="s">
        <v>104</v>
      </c>
      <c r="D104" s="747"/>
      <c r="E104" s="144" t="s">
        <v>210</v>
      </c>
      <c r="F104" s="119"/>
      <c r="G104" s="119"/>
      <c r="H104" s="89"/>
      <c r="I104" s="120"/>
      <c r="J104" s="141"/>
      <c r="K104" s="124"/>
      <c r="L104" s="124"/>
      <c r="M104" s="141"/>
      <c r="N104" s="141"/>
      <c r="O104" s="141"/>
      <c r="P104" s="141"/>
      <c r="Q104" s="141"/>
      <c r="R104" s="141"/>
      <c r="S104" s="141"/>
      <c r="T104" s="141"/>
      <c r="U104" s="141"/>
      <c r="V104" s="141"/>
      <c r="W104" s="141"/>
      <c r="X104" s="143"/>
      <c r="Y104" s="141"/>
      <c r="Z104" s="141"/>
      <c r="AA104" s="141"/>
      <c r="AB104" s="141"/>
      <c r="AC104" s="141"/>
      <c r="AD104" s="141"/>
      <c r="AE104" s="141"/>
      <c r="AF104" s="141"/>
      <c r="AG104" s="141"/>
      <c r="AH104" s="141"/>
      <c r="AI104" s="141"/>
      <c r="AJ104" s="143"/>
      <c r="AK104" s="141"/>
      <c r="AL104" s="141"/>
      <c r="AM104" s="141"/>
      <c r="AN104" s="141"/>
      <c r="AO104" s="141"/>
      <c r="AP104" s="141"/>
      <c r="AQ104" s="141"/>
      <c r="AR104" s="141"/>
      <c r="AS104" s="141"/>
      <c r="AT104" s="141"/>
      <c r="AU104" s="141"/>
      <c r="AV104" s="143"/>
      <c r="AW104" s="141"/>
      <c r="AX104" s="141"/>
      <c r="AY104" s="141"/>
      <c r="AZ104" s="141"/>
      <c r="BA104" s="141"/>
      <c r="BB104" s="141"/>
      <c r="BC104" s="141"/>
      <c r="BD104" s="141"/>
      <c r="BE104" s="141"/>
      <c r="BF104" s="141"/>
      <c r="BG104" s="141"/>
      <c r="BH104" s="263"/>
    </row>
    <row r="105" spans="1:60" x14ac:dyDescent="0.2">
      <c r="A105" s="648"/>
      <c r="B105" s="492" t="s">
        <v>205</v>
      </c>
      <c r="C105" s="656" t="s">
        <v>127</v>
      </c>
      <c r="D105" s="747"/>
      <c r="E105" s="354" t="s">
        <v>211</v>
      </c>
      <c r="F105" s="316"/>
      <c r="G105" s="316"/>
      <c r="H105" s="354" t="s">
        <v>150</v>
      </c>
      <c r="I105" s="88"/>
      <c r="J105" s="229"/>
      <c r="K105" s="121"/>
      <c r="L105" s="121"/>
      <c r="M105" s="229"/>
      <c r="N105" s="90"/>
      <c r="O105" s="624">
        <f>IF(HLOOKUP(IF(O$80="",referentie_verwarming,O$80),toestellen_RV,ROWS(bibliotheek!$E$79:$E$94),FALSE)=1,1,IF(O106&lt;&gt;"",O106,HLOOKUP(IF(O$80="",referentie_verwarming,O$80),toestellen_RV,ROWS(bibliotheek!$E$79:$E$94),FALSE)))</f>
        <v>0.9</v>
      </c>
      <c r="P105" s="624">
        <f>IF(HLOOKUP(IF(P$80="",referentie_koeling,P$80),toestellen_KOEL,ROWS(bibliotheek!$E$170:$E$179),FALSE)=1,1,IF(P106&lt;&gt;"",P106,HLOOKUP(IF(P$80="",referentie_koeling,P$80),toestellen_KOEL,ROWS(bibliotheek!$E$170:$E$179),FALSE)))</f>
        <v>1</v>
      </c>
      <c r="Q105" s="624">
        <f>IF(HLOOKUP(IF(Q$80="",referentie_warmtapwater,Q$80),toestellen_TAP,ROWS(bibliotheek!$E$136:$E$151),FALSE)=1,1,IF(Q106&lt;&gt;"",Q106,HLOOKUP(IF(Q$80="",referentie_warmtapwater,Q$80),toestellen_TAP,ROWS(bibliotheek!$E$136:$E$151),FALSE)))</f>
        <v>0.9</v>
      </c>
      <c r="R105" s="152"/>
      <c r="S105" s="152"/>
      <c r="T105" s="152"/>
      <c r="U105" s="152"/>
      <c r="V105" s="152"/>
      <c r="W105" s="152"/>
      <c r="X105" s="87"/>
      <c r="Y105" s="229"/>
      <c r="Z105" s="90"/>
      <c r="AA105" s="624">
        <f>IF(HLOOKUP(IF(AA$80="",referentie_verwarming,AA$80),toestellen_RV,ROWS(bibliotheek!$E$79:$E$94),FALSE)=1,1,IF(AA106&lt;&gt;"",AA106,HLOOKUP(IF(AA$80="",referentie_verwarming,AA$80),toestellen_RV,ROWS(bibliotheek!$E$79:$E$94),FALSE)))</f>
        <v>0.9</v>
      </c>
      <c r="AB105" s="624">
        <f>IF(HLOOKUP(IF(AB$80="",referentie_koeling,AB$80),toestellen_KOEL,ROWS(bibliotheek!$E$170:$E$179),FALSE)=1,1,IF(AB106&lt;&gt;"",AB106,HLOOKUP(IF(AB$80="",referentie_koeling,AB$80),toestellen_KOEL,ROWS(bibliotheek!$E$170:$E$179),FALSE)))</f>
        <v>1</v>
      </c>
      <c r="AC105" s="624">
        <f>IF(HLOOKUP(IF(AC$80="",referentie_warmtapwater,AC$80),toestellen_TAP,ROWS(bibliotheek!$E$136:$E$151),FALSE)=1,1,IF(AC106&lt;&gt;"",AC106,HLOOKUP(IF(AC$80="",referentie_warmtapwater,AC$80),toestellen_TAP,ROWS(bibliotheek!$E$136:$E$151),FALSE)))</f>
        <v>0.9</v>
      </c>
      <c r="AD105" s="152"/>
      <c r="AE105" s="152"/>
      <c r="AF105" s="152"/>
      <c r="AG105" s="152"/>
      <c r="AH105" s="152"/>
      <c r="AI105" s="152"/>
      <c r="AJ105" s="87"/>
      <c r="AK105" s="229"/>
      <c r="AL105" s="90"/>
      <c r="AM105" s="624">
        <f>IF(HLOOKUP(IF(AM$80="",referentie_verwarming,AM$80),toestellen_RV,ROWS(bibliotheek!$E$79:$E$94),FALSE)=1,1,IF(AM106&lt;&gt;"",AM106,HLOOKUP(IF(AM$80="",referentie_verwarming,AM$80),toestellen_RV,ROWS(bibliotheek!$E$79:$E$94),FALSE)))</f>
        <v>0.9</v>
      </c>
      <c r="AN105" s="624">
        <f>IF(HLOOKUP(IF(AN$80="",referentie_koeling,AN$80),toestellen_KOEL,ROWS(bibliotheek!$E$170:$E$179),FALSE)=1,1,IF(AN106&lt;&gt;"",AN106,HLOOKUP(IF(AN$80="",referentie_koeling,AN$80),toestellen_KOEL,ROWS(bibliotheek!$E$170:$E$179),FALSE)))</f>
        <v>1</v>
      </c>
      <c r="AO105" s="624">
        <f>IF(HLOOKUP(IF(AO$80="",referentie_warmtapwater,AO$80),toestellen_TAP,ROWS(bibliotheek!$E$136:$E$151),FALSE)=1,1,IF(AO106&lt;&gt;"",AO106,HLOOKUP(IF(AO$80="",referentie_warmtapwater,AO$80),toestellen_TAP,ROWS(bibliotheek!$E$136:$E$151),FALSE)))</f>
        <v>0.9</v>
      </c>
      <c r="AP105" s="152"/>
      <c r="AQ105" s="152"/>
      <c r="AR105" s="152"/>
      <c r="AS105" s="152"/>
      <c r="AT105" s="152"/>
      <c r="AU105" s="152"/>
      <c r="AV105" s="87"/>
      <c r="AW105" s="229"/>
      <c r="AX105" s="90"/>
      <c r="AY105" s="624">
        <f>IF(HLOOKUP(IF(AY$80="",referentie_verwarming,AY$80),toestellen_RV,ROWS(bibliotheek!$E$79:$E$94),FALSE)=1,1,IF(AY106&lt;&gt;"",AY106,HLOOKUP(IF(AY$80="",referentie_verwarming,AY$80),toestellen_RV,ROWS(bibliotheek!$E$79:$E$94),FALSE)))</f>
        <v>0.9</v>
      </c>
      <c r="AZ105" s="624">
        <f>IF(HLOOKUP(IF(AZ$80="",referentie_koeling,AZ$80),toestellen_KOEL,ROWS(bibliotheek!$E$170:$E$179),FALSE)=1,1,IF(AZ106&lt;&gt;"",AZ106,HLOOKUP(IF(AZ$80="",referentie_koeling,AZ$80),toestellen_KOEL,ROWS(bibliotheek!$E$170:$E$179),FALSE)))</f>
        <v>1</v>
      </c>
      <c r="BA105" s="624">
        <f>IF(HLOOKUP(IF(BA$80="",referentie_warmtapwater,BA$80),toestellen_TAP,ROWS(bibliotheek!$E$136:$E$151),FALSE)=1,1,IF(BA106&lt;&gt;"",BA106,HLOOKUP(IF(BA$80="",referentie_warmtapwater,BA$80),toestellen_TAP,ROWS(bibliotheek!$E$136:$E$151),FALSE)))</f>
        <v>0.9</v>
      </c>
      <c r="BB105" s="152"/>
      <c r="BC105" s="152"/>
      <c r="BD105" s="152"/>
      <c r="BE105" s="152"/>
      <c r="BF105" s="152"/>
      <c r="BG105" s="152"/>
      <c r="BH105" s="214"/>
    </row>
    <row r="106" spans="1:60" x14ac:dyDescent="0.2">
      <c r="A106" s="648"/>
      <c r="B106" s="492" t="s">
        <v>205</v>
      </c>
      <c r="C106" s="656" t="s">
        <v>127</v>
      </c>
      <c r="D106" s="747"/>
      <c r="E106" s="412" t="s">
        <v>212</v>
      </c>
      <c r="F106" s="317"/>
      <c r="G106" s="317"/>
      <c r="H106" s="355"/>
      <c r="I106" s="88"/>
      <c r="J106" s="362"/>
      <c r="K106" s="121"/>
      <c r="L106" s="121"/>
      <c r="M106" s="239"/>
      <c r="N106" s="90"/>
      <c r="O106" s="345"/>
      <c r="P106" s="345"/>
      <c r="Q106" s="345"/>
      <c r="R106" s="154"/>
      <c r="S106" s="154"/>
      <c r="T106" s="154"/>
      <c r="U106" s="154"/>
      <c r="V106" s="154"/>
      <c r="W106" s="154"/>
      <c r="X106" s="87"/>
      <c r="Y106" s="239"/>
      <c r="Z106" s="90"/>
      <c r="AA106" s="345"/>
      <c r="AB106" s="345"/>
      <c r="AC106" s="345"/>
      <c r="AD106" s="154"/>
      <c r="AE106" s="154"/>
      <c r="AF106" s="154"/>
      <c r="AG106" s="154"/>
      <c r="AH106" s="154"/>
      <c r="AI106" s="154"/>
      <c r="AJ106" s="87"/>
      <c r="AK106" s="239"/>
      <c r="AL106" s="90"/>
      <c r="AM106" s="345"/>
      <c r="AN106" s="345"/>
      <c r="AO106" s="345"/>
      <c r="AP106" s="154"/>
      <c r="AQ106" s="154"/>
      <c r="AR106" s="154"/>
      <c r="AS106" s="154"/>
      <c r="AT106" s="154"/>
      <c r="AU106" s="154"/>
      <c r="AV106" s="87"/>
      <c r="AW106" s="239"/>
      <c r="AX106" s="90"/>
      <c r="AY106" s="345"/>
      <c r="AZ106" s="345"/>
      <c r="BA106" s="345"/>
      <c r="BB106" s="154"/>
      <c r="BC106" s="154"/>
      <c r="BD106" s="154"/>
      <c r="BE106" s="154"/>
      <c r="BF106" s="154"/>
      <c r="BG106" s="154"/>
      <c r="BH106" s="265"/>
    </row>
    <row r="107" spans="1:60" hidden="1" x14ac:dyDescent="0.2">
      <c r="A107" s="650"/>
      <c r="B107" s="492" t="s">
        <v>205</v>
      </c>
      <c r="C107" s="740" t="s">
        <v>199</v>
      </c>
      <c r="D107" s="752"/>
      <c r="E107" s="242" t="s">
        <v>213</v>
      </c>
      <c r="F107" s="298"/>
      <c r="G107" s="298"/>
      <c r="H107" s="242" t="s">
        <v>177</v>
      </c>
      <c r="I107" s="121"/>
      <c r="J107" s="243">
        <f>M107+Y107+AK107+AW107</f>
        <v>0</v>
      </c>
      <c r="K107" s="293"/>
      <c r="L107" s="293"/>
      <c r="M107" s="243">
        <f>SUM(O107:X107)</f>
        <v>0</v>
      </c>
      <c r="N107" s="294"/>
      <c r="O107" s="207">
        <f>O$94*O105</f>
        <v>0</v>
      </c>
      <c r="P107" s="207">
        <f>P$94*P105</f>
        <v>0</v>
      </c>
      <c r="Q107" s="207">
        <f>Q$94*Q105</f>
        <v>0</v>
      </c>
      <c r="R107" s="147"/>
      <c r="S107" s="147"/>
      <c r="T107" s="147"/>
      <c r="U107" s="147"/>
      <c r="V107" s="147"/>
      <c r="W107" s="147"/>
      <c r="X107" s="125"/>
      <c r="Y107" s="243">
        <f>SUM(AA107:AJ107)</f>
        <v>0</v>
      </c>
      <c r="Z107" s="294"/>
      <c r="AA107" s="207">
        <f>AA$94*AA105</f>
        <v>0</v>
      </c>
      <c r="AB107" s="207">
        <f>AB$94*AB105</f>
        <v>0</v>
      </c>
      <c r="AC107" s="207">
        <f>AC$94*AC105</f>
        <v>0</v>
      </c>
      <c r="AD107" s="147"/>
      <c r="AE107" s="147"/>
      <c r="AF107" s="147"/>
      <c r="AG107" s="147"/>
      <c r="AH107" s="147"/>
      <c r="AI107" s="147"/>
      <c r="AJ107" s="125"/>
      <c r="AK107" s="243">
        <f>SUM(AM107:AV107)</f>
        <v>0</v>
      </c>
      <c r="AL107" s="294"/>
      <c r="AM107" s="207">
        <f>AM$94*AM105</f>
        <v>0</v>
      </c>
      <c r="AN107" s="207">
        <f>AN$94*AN105</f>
        <v>0</v>
      </c>
      <c r="AO107" s="207">
        <f>AO$94*AO105</f>
        <v>0</v>
      </c>
      <c r="AP107" s="147"/>
      <c r="AQ107" s="147"/>
      <c r="AR107" s="147"/>
      <c r="AS107" s="147"/>
      <c r="AT107" s="147"/>
      <c r="AU107" s="147"/>
      <c r="AV107" s="125"/>
      <c r="AW107" s="243">
        <f>SUM(AY107:BH107)</f>
        <v>0</v>
      </c>
      <c r="AX107" s="294"/>
      <c r="AY107" s="207">
        <f>AY$94*AY105</f>
        <v>0</v>
      </c>
      <c r="AZ107" s="207">
        <f>AZ$94*AZ105</f>
        <v>0</v>
      </c>
      <c r="BA107" s="207">
        <f>BA$94*BA105</f>
        <v>0</v>
      </c>
      <c r="BB107" s="147"/>
      <c r="BC107" s="147"/>
      <c r="BD107" s="147"/>
      <c r="BE107" s="147"/>
      <c r="BF107" s="147"/>
      <c r="BG107" s="147"/>
      <c r="BH107" s="214"/>
    </row>
    <row r="108" spans="1:60" x14ac:dyDescent="0.2">
      <c r="A108" s="648"/>
      <c r="B108" s="492" t="s">
        <v>205</v>
      </c>
      <c r="C108" s="656" t="s">
        <v>127</v>
      </c>
      <c r="D108" s="750" t="s">
        <v>50</v>
      </c>
      <c r="E108" s="354" t="s">
        <v>214</v>
      </c>
      <c r="F108" s="316"/>
      <c r="G108" s="316"/>
      <c r="H108" s="354" t="s">
        <v>70</v>
      </c>
      <c r="I108" s="88"/>
      <c r="J108" s="351"/>
      <c r="K108" s="296"/>
      <c r="L108" s="296"/>
      <c r="M108" s="351"/>
      <c r="N108" s="297"/>
      <c r="O108" s="445">
        <f>IF(O109&lt;&gt;"",O109,HLOOKUP(IF(O$80="",referentie_verwarming,O$80),toestellen_RV,ROWS(bibliotheek!$E$79:$E$95),FALSE))</f>
        <v>4.55</v>
      </c>
      <c r="P108" s="445">
        <f>IF(P109&lt;&gt;"",P109,HLOOKUP(IF(P$80="",referentie_koeling,P$80),toestellen_KOEL,ROWS(bibliotheek!$E$170:$E$180),FALSE))</f>
        <v>0</v>
      </c>
      <c r="Q108" s="445">
        <f>IF(Q109&lt;&gt;"",Q109,HLOOKUP(IF(Q$80="",referentie_warmtapwater,Q$80),toestellen_TAP,ROWS(bibliotheek!$E$136:$E$152),FALSE))</f>
        <v>2.4</v>
      </c>
      <c r="R108" s="158"/>
      <c r="S108" s="158"/>
      <c r="T108" s="158"/>
      <c r="U108" s="158"/>
      <c r="V108" s="158"/>
      <c r="W108" s="158"/>
      <c r="X108" s="414"/>
      <c r="Y108" s="351"/>
      <c r="Z108" s="297"/>
      <c r="AA108" s="445">
        <f>IF(AA109&lt;&gt;"",AA109,HLOOKUP(IF(AA$80="",referentie_verwarming,AA$80),toestellen_RV,ROWS(bibliotheek!$E$79:$E$95),FALSE))</f>
        <v>4.55</v>
      </c>
      <c r="AB108" s="445">
        <f>IF(AB109&lt;&gt;"",AB109,HLOOKUP(IF(AB$80="",referentie_koeling,AB$80),toestellen_KOEL,ROWS(bibliotheek!$E$170:$E$180),FALSE))</f>
        <v>0</v>
      </c>
      <c r="AC108" s="445">
        <f>IF(AC109&lt;&gt;"",AC109,HLOOKUP(IF(AC$80="",referentie_warmtapwater,AC$80),toestellen_TAP,ROWS(bibliotheek!$E$136:$E$152),FALSE))</f>
        <v>2.4</v>
      </c>
      <c r="AD108" s="158"/>
      <c r="AE108" s="158"/>
      <c r="AF108" s="158"/>
      <c r="AG108" s="158"/>
      <c r="AH108" s="158"/>
      <c r="AI108" s="158"/>
      <c r="AJ108" s="414"/>
      <c r="AK108" s="351"/>
      <c r="AL108" s="297"/>
      <c r="AM108" s="445">
        <f>IF(AM109&lt;&gt;"",AM109,HLOOKUP(IF(AM$80="",referentie_verwarming,AM$80),toestellen_RV,ROWS(bibliotheek!$E$79:$E$95),FALSE))</f>
        <v>4.55</v>
      </c>
      <c r="AN108" s="445">
        <f>IF(AN109&lt;&gt;"",AN109,HLOOKUP(IF(AN$80="",referentie_koeling,AN$80),toestellen_KOEL,ROWS(bibliotheek!$E$170:$E$180),FALSE))</f>
        <v>0</v>
      </c>
      <c r="AO108" s="445">
        <f>IF(AO109&lt;&gt;"",AO109,HLOOKUP(IF(AO$80="",referentie_warmtapwater,AO$80),toestellen_TAP,ROWS(bibliotheek!$E$136:$E$152),FALSE))</f>
        <v>2.4</v>
      </c>
      <c r="AP108" s="158"/>
      <c r="AQ108" s="158"/>
      <c r="AR108" s="158"/>
      <c r="AS108" s="158"/>
      <c r="AT108" s="158"/>
      <c r="AU108" s="158"/>
      <c r="AV108" s="414"/>
      <c r="AW108" s="351"/>
      <c r="AX108" s="297"/>
      <c r="AY108" s="445">
        <f>IF(AY109&lt;&gt;"",AY109,HLOOKUP(IF(AY$80="",referentie_verwarming,AY$80),toestellen_RV,ROWS(bibliotheek!$E$79:$E$95),FALSE))</f>
        <v>4.55</v>
      </c>
      <c r="AZ108" s="445">
        <f>IF(AZ109&lt;&gt;"",AZ109,HLOOKUP(IF(AZ$80="",referentie_koeling,AZ$80),toestellen_KOEL,ROWS(bibliotheek!$E$170:$E$180),FALSE))</f>
        <v>0</v>
      </c>
      <c r="BA108" s="445">
        <f>IF(BA109&lt;&gt;"",BA109,HLOOKUP(IF(BA$80="",referentie_warmtapwater,BA$80),toestellen_TAP,ROWS(bibliotheek!$E$136:$E$152),FALSE))</f>
        <v>2.4</v>
      </c>
      <c r="BB108" s="158"/>
      <c r="BC108" s="158"/>
      <c r="BD108" s="158"/>
      <c r="BE108" s="158"/>
      <c r="BF108" s="158"/>
      <c r="BG108" s="158"/>
      <c r="BH108" s="214"/>
    </row>
    <row r="109" spans="1:60" x14ac:dyDescent="0.2">
      <c r="A109" s="648"/>
      <c r="B109" s="492" t="s">
        <v>205</v>
      </c>
      <c r="C109" s="656" t="s">
        <v>127</v>
      </c>
      <c r="D109" s="747"/>
      <c r="E109" s="412" t="s">
        <v>215</v>
      </c>
      <c r="F109" s="355"/>
      <c r="G109" s="355"/>
      <c r="H109" s="355"/>
      <c r="I109" s="88"/>
      <c r="J109" s="362"/>
      <c r="K109" s="296"/>
      <c r="L109" s="296"/>
      <c r="M109" s="239"/>
      <c r="N109" s="297"/>
      <c r="O109" s="420"/>
      <c r="P109" s="420"/>
      <c r="Q109" s="420"/>
      <c r="R109" s="483"/>
      <c r="S109" s="483"/>
      <c r="T109" s="483"/>
      <c r="U109" s="483"/>
      <c r="V109" s="483"/>
      <c r="W109" s="483"/>
      <c r="X109" s="448"/>
      <c r="Y109" s="239"/>
      <c r="Z109" s="297"/>
      <c r="AA109" s="420"/>
      <c r="AB109" s="420"/>
      <c r="AC109" s="420"/>
      <c r="AD109" s="483"/>
      <c r="AE109" s="483"/>
      <c r="AF109" s="483"/>
      <c r="AG109" s="483"/>
      <c r="AH109" s="483"/>
      <c r="AI109" s="483"/>
      <c r="AJ109" s="448"/>
      <c r="AK109" s="239"/>
      <c r="AL109" s="297"/>
      <c r="AM109" s="420"/>
      <c r="AN109" s="420"/>
      <c r="AO109" s="420"/>
      <c r="AP109" s="483"/>
      <c r="AQ109" s="483"/>
      <c r="AR109" s="483"/>
      <c r="AS109" s="483"/>
      <c r="AT109" s="483"/>
      <c r="AU109" s="483"/>
      <c r="AV109" s="448"/>
      <c r="AW109" s="239"/>
      <c r="AX109" s="297"/>
      <c r="AY109" s="420"/>
      <c r="AZ109" s="420"/>
      <c r="BA109" s="420"/>
      <c r="BB109" s="483"/>
      <c r="BC109" s="483"/>
      <c r="BD109" s="483"/>
      <c r="BE109" s="483"/>
      <c r="BF109" s="483"/>
      <c r="BG109" s="483"/>
      <c r="BH109" s="265"/>
    </row>
    <row r="110" spans="1:60" hidden="1" x14ac:dyDescent="0.2">
      <c r="A110" s="648"/>
      <c r="B110" s="492" t="s">
        <v>205</v>
      </c>
      <c r="C110" s="656" t="s">
        <v>199</v>
      </c>
      <c r="D110" s="750" t="s">
        <v>50</v>
      </c>
      <c r="E110" s="221" t="s">
        <v>216</v>
      </c>
      <c r="F110" s="220"/>
      <c r="G110" s="220"/>
      <c r="H110" s="221" t="s">
        <v>70</v>
      </c>
      <c r="I110" s="88"/>
      <c r="J110" s="230"/>
      <c r="K110" s="121"/>
      <c r="L110" s="121"/>
      <c r="M110" s="230"/>
      <c r="N110" s="90"/>
      <c r="O110" s="273">
        <f>INDEX(installaties_RV_verlies_elek_prod_aftapwarmte,MATCH(IF(O101="",referentie_verwarming,O101),toestellen_RV_kopregel,0))</f>
        <v>0</v>
      </c>
      <c r="P110" s="720"/>
      <c r="Q110" s="273">
        <f>INDEX(installaties_TAP_verlies_elek_prod_aftapwarmte,MATCH(IF(Q101="",referentie_verwarming,Q101),toestellen_TAP_kopregel,0))</f>
        <v>0</v>
      </c>
      <c r="R110" s="720"/>
      <c r="S110" s="720"/>
      <c r="T110" s="720"/>
      <c r="U110" s="720"/>
      <c r="V110" s="720"/>
      <c r="W110" s="720"/>
      <c r="X110" s="721"/>
      <c r="Y110" s="423"/>
      <c r="Z110" s="722"/>
      <c r="AA110" s="273">
        <f>INDEX(installaties_RV_verlies_elek_prod_aftapwarmte,MATCH(IF(AA101="",referentie_verwarming,AA101),toestellen_RV_kopregel,0))</f>
        <v>0</v>
      </c>
      <c r="AB110" s="720"/>
      <c r="AC110" s="273">
        <f>INDEX(installaties_TAP_verlies_elek_prod_aftapwarmte,MATCH(IF(AC101="",referentie_verwarming,AC101),toestellen_TAP_kopregel,0))</f>
        <v>0</v>
      </c>
      <c r="AD110" s="720"/>
      <c r="AE110" s="720"/>
      <c r="AF110" s="720"/>
      <c r="AG110" s="720"/>
      <c r="AH110" s="720"/>
      <c r="AI110" s="720"/>
      <c r="AJ110" s="721"/>
      <c r="AK110" s="423"/>
      <c r="AL110" s="722"/>
      <c r="AM110" s="273">
        <f>INDEX(installaties_RV_verlies_elek_prod_aftapwarmte,MATCH(IF(AM101="",referentie_verwarming,AM101),toestellen_RV_kopregel,0))</f>
        <v>0</v>
      </c>
      <c r="AN110" s="720"/>
      <c r="AO110" s="273">
        <f>INDEX(installaties_TAP_verlies_elek_prod_aftapwarmte,MATCH(IF(AO101="",referentie_verwarming,AO101),toestellen_TAP_kopregel,0))</f>
        <v>0</v>
      </c>
      <c r="AP110" s="720"/>
      <c r="AQ110" s="720"/>
      <c r="AR110" s="720"/>
      <c r="AS110" s="720"/>
      <c r="AT110" s="720"/>
      <c r="AU110" s="720"/>
      <c r="AV110" s="721"/>
      <c r="AW110" s="423"/>
      <c r="AX110" s="722"/>
      <c r="AY110" s="273">
        <f>INDEX(installaties_RV_verlies_elek_prod_aftapwarmte,MATCH(IF(AY101="",referentie_verwarming,AY101),toestellen_RV_kopregel,0))</f>
        <v>0</v>
      </c>
      <c r="AZ110" s="720"/>
      <c r="BA110" s="273">
        <f>INDEX(installaties_TAP_verlies_elek_prod_aftapwarmte,MATCH(IF(BA101="",referentie_verwarming,BA101),toestellen_TAP_kopregel,0))</f>
        <v>0</v>
      </c>
      <c r="BB110" s="148"/>
      <c r="BC110" s="148"/>
      <c r="BD110" s="148"/>
      <c r="BE110" s="148"/>
      <c r="BF110" s="148"/>
      <c r="BG110" s="148"/>
      <c r="BH110" s="255"/>
    </row>
    <row r="111" spans="1:60" hidden="1" x14ac:dyDescent="0.2">
      <c r="A111" s="648"/>
      <c r="B111" s="492" t="s">
        <v>205</v>
      </c>
      <c r="C111" s="656" t="s">
        <v>199</v>
      </c>
      <c r="D111" s="747"/>
      <c r="E111" s="221" t="s">
        <v>217</v>
      </c>
      <c r="F111" s="220"/>
      <c r="G111" s="220"/>
      <c r="H111" s="221" t="s">
        <v>70</v>
      </c>
      <c r="I111" s="88"/>
      <c r="J111" s="230"/>
      <c r="K111" s="121"/>
      <c r="L111" s="121"/>
      <c r="M111" s="230"/>
      <c r="N111" s="90"/>
      <c r="O111" s="273">
        <f>HLOOKUP(IF(O$80="",referentie_verwarming,O$80),toestellen_RV,ROWS(bibliotheek!$E$79:$E$96),FALSE)</f>
        <v>0</v>
      </c>
      <c r="P111" s="720"/>
      <c r="Q111" s="273">
        <f>HLOOKUP(IF(Q$80="",referentie_warmtapwater,Q$80),toestellen_TAP,ROWS(bibliotheek!$E$136:$E$153),FALSE)</f>
        <v>0</v>
      </c>
      <c r="R111" s="720"/>
      <c r="S111" s="720"/>
      <c r="T111" s="720"/>
      <c r="U111" s="720"/>
      <c r="V111" s="720"/>
      <c r="W111" s="720"/>
      <c r="X111" s="721"/>
      <c r="Y111" s="423"/>
      <c r="Z111" s="722"/>
      <c r="AA111" s="273">
        <f>HLOOKUP(IF(AA$80="",referentie_verwarming,AA$80),toestellen_RV,ROWS(bibliotheek!$E$79:$E$96),FALSE)</f>
        <v>0</v>
      </c>
      <c r="AB111" s="720"/>
      <c r="AC111" s="273">
        <f>HLOOKUP(IF(AC$80="",referentie_warmtapwater,AC$80),toestellen_TAP,ROWS(bibliotheek!$E$136:$E$153),FALSE)</f>
        <v>0</v>
      </c>
      <c r="AD111" s="720"/>
      <c r="AE111" s="720"/>
      <c r="AF111" s="720"/>
      <c r="AG111" s="720"/>
      <c r="AH111" s="720"/>
      <c r="AI111" s="720"/>
      <c r="AJ111" s="721"/>
      <c r="AK111" s="423"/>
      <c r="AL111" s="722"/>
      <c r="AM111" s="273">
        <f>HLOOKUP(IF(AM$80="",referentie_verwarming,AM$80),toestellen_RV,ROWS(bibliotheek!$E$79:$E$96),FALSE)</f>
        <v>0</v>
      </c>
      <c r="AN111" s="720"/>
      <c r="AO111" s="273">
        <f>HLOOKUP(IF(AO$80="",referentie_warmtapwater,AO$80),toestellen_TAP,ROWS(bibliotheek!$E$136:$E$153),FALSE)</f>
        <v>0</v>
      </c>
      <c r="AP111" s="720"/>
      <c r="AQ111" s="720"/>
      <c r="AR111" s="720"/>
      <c r="AS111" s="720"/>
      <c r="AT111" s="720"/>
      <c r="AU111" s="720"/>
      <c r="AV111" s="721"/>
      <c r="AW111" s="423"/>
      <c r="AX111" s="722"/>
      <c r="AY111" s="273">
        <f>HLOOKUP(IF(AY$80="",referentie_verwarming,AY$80),toestellen_RV,ROWS(bibliotheek!$E$79:$E$96),FALSE)</f>
        <v>0</v>
      </c>
      <c r="AZ111" s="720"/>
      <c r="BA111" s="273">
        <f>HLOOKUP(IF(BA$80="",referentie_warmtapwater,BA$80),toestellen_TAP,ROWS(bibliotheek!$E$136:$E$153),FALSE)</f>
        <v>0</v>
      </c>
      <c r="BB111" s="148"/>
      <c r="BC111" s="148"/>
      <c r="BD111" s="148"/>
      <c r="BE111" s="148"/>
      <c r="BF111" s="148"/>
      <c r="BG111" s="148"/>
      <c r="BH111" s="255"/>
    </row>
    <row r="112" spans="1:60" hidden="1" x14ac:dyDescent="0.2">
      <c r="A112" s="648"/>
      <c r="B112" s="492" t="s">
        <v>205</v>
      </c>
      <c r="C112" s="656" t="s">
        <v>199</v>
      </c>
      <c r="D112" s="747"/>
      <c r="E112" s="221" t="s">
        <v>218</v>
      </c>
      <c r="F112" s="220"/>
      <c r="G112" s="220"/>
      <c r="H112" s="221" t="s">
        <v>177</v>
      </c>
      <c r="I112" s="88"/>
      <c r="J112" s="243">
        <f>M112+Y112+AK112+AW112</f>
        <v>0</v>
      </c>
      <c r="K112" s="293"/>
      <c r="L112" s="293"/>
      <c r="M112" s="243">
        <f>SUM(O112:X112)</f>
        <v>0</v>
      </c>
      <c r="N112" s="294"/>
      <c r="O112" s="207">
        <f>IF(HLOOKUP(IF(O$80="",referentie_verwarming,O$80),toestellen_RV,ROWS(bibliotheek!$E$79:$E$84),FALSE)=1,O$94*O$105*((O$108-1)/O$108),0)</f>
        <v>0</v>
      </c>
      <c r="P112" s="207">
        <f>IF(HLOOKUP(IF(P$80="",referentie_koeling,P$80),toestellen_KOEL,ROWS(bibliotheek!$E$170:$E$174),FALSE)=1,P$94*P$105*((P$108-1)/P$108),0)</f>
        <v>0</v>
      </c>
      <c r="Q112" s="207">
        <f>IF(HLOOKUP(IF(Q$80="",referentie_warmtapwater,Q$80),toestellen_TAP,ROWS(bibliotheek!$E$136:$E$141),FALSE)=1,Q$94*Q$105*((Q$108-1)/Q$108),0)</f>
        <v>0</v>
      </c>
      <c r="R112" s="147"/>
      <c r="S112" s="147"/>
      <c r="T112" s="147"/>
      <c r="U112" s="147"/>
      <c r="V112" s="147"/>
      <c r="W112" s="147"/>
      <c r="X112" s="125"/>
      <c r="Y112" s="243">
        <f>SUM(AA112:AJ112)</f>
        <v>0</v>
      </c>
      <c r="Z112" s="294"/>
      <c r="AA112" s="207">
        <f>IF(HLOOKUP(IF(AA$80="",referentie_verwarming,AA$80),toestellen_RV,ROWS(bibliotheek!$E$79:$E$84),FALSE)=1,AA$94*AA$105*((AA$108-1)/AA$108),0)</f>
        <v>0</v>
      </c>
      <c r="AB112" s="207">
        <f>IF(HLOOKUP(IF(AB$80="",referentie_koeling,AB$80),toestellen_KOEL,ROWS(bibliotheek!$E$170:$E$174),FALSE)=1,AB$94*AB$105*((AB$108-1)/AB$108),0)</f>
        <v>0</v>
      </c>
      <c r="AC112" s="207">
        <f>IF(HLOOKUP(IF(AC$80="",referentie_warmtapwater,AC$80),toestellen_TAP,ROWS(bibliotheek!$E$136:$E$141),FALSE)=1,AC$94*AC$105*((AC$108-1)/AC$108),0)</f>
        <v>0</v>
      </c>
      <c r="AD112" s="147"/>
      <c r="AE112" s="147"/>
      <c r="AF112" s="147"/>
      <c r="AG112" s="147"/>
      <c r="AH112" s="147"/>
      <c r="AI112" s="147"/>
      <c r="AJ112" s="125"/>
      <c r="AK112" s="243">
        <f>SUM(AM112:AV112)</f>
        <v>0</v>
      </c>
      <c r="AL112" s="294"/>
      <c r="AM112" s="207">
        <f>IF(HLOOKUP(IF(AM$80="",referentie_verwarming,AM$80),toestellen_RV,ROWS(bibliotheek!$E$79:$E$84),FALSE)=1,AM$94*AM$105*((AM$108-1)/AM$108),0)</f>
        <v>0</v>
      </c>
      <c r="AN112" s="207">
        <f>IF(HLOOKUP(IF(AN$80="",referentie_koeling,AN$80),toestellen_KOEL,ROWS(bibliotheek!$E$170:$E$174),FALSE)=1,AN$94*AN$105*((AN$108-1)/AN$108),0)</f>
        <v>0</v>
      </c>
      <c r="AO112" s="207">
        <f>IF(HLOOKUP(IF(AO$80="",referentie_warmtapwater,AO$80),toestellen_TAP,ROWS(bibliotheek!$E$136:$E$141),FALSE)=1,AO$94*AO$105*((AO$108-1)/AO$108),0)</f>
        <v>0</v>
      </c>
      <c r="AP112" s="147"/>
      <c r="AQ112" s="147"/>
      <c r="AR112" s="147"/>
      <c r="AS112" s="147"/>
      <c r="AT112" s="147"/>
      <c r="AU112" s="147"/>
      <c r="AV112" s="125"/>
      <c r="AW112" s="243">
        <f>SUM(AY112:BH112)</f>
        <v>0</v>
      </c>
      <c r="AX112" s="294"/>
      <c r="AY112" s="207">
        <f>IF(HLOOKUP(IF(AY$80="",referentie_verwarming,AY$80),toestellen_RV,ROWS(bibliotheek!$E$79:$E$84),FALSE)=1,AY$94*AY$105*((AY$108-1)/AY$108),0)</f>
        <v>0</v>
      </c>
      <c r="AZ112" s="207">
        <f>IF(HLOOKUP(IF(AZ$80="",referentie_koeling,AZ$80),toestellen_KOEL,ROWS(bibliotheek!$E$170:$E$174),FALSE)=1,AZ$94*AZ$105*((AZ$108-1)/AZ$108),0)</f>
        <v>0</v>
      </c>
      <c r="BA112" s="207">
        <f>IF(HLOOKUP(IF(BA$80="",referentie_warmtapwater,BA$80),toestellen_TAP,ROWS(bibliotheek!$E$136:$E$141),FALSE)=1,BA$94*BA$105*((BA$108-1)/BA$108),0)</f>
        <v>0</v>
      </c>
      <c r="BB112" s="147"/>
      <c r="BC112" s="147"/>
      <c r="BD112" s="147"/>
      <c r="BE112" s="147"/>
      <c r="BF112" s="147"/>
      <c r="BG112" s="147"/>
      <c r="BH112" s="255"/>
    </row>
    <row r="113" spans="1:60" hidden="1" x14ac:dyDescent="0.2">
      <c r="A113" s="648"/>
      <c r="B113" s="492" t="s">
        <v>205</v>
      </c>
      <c r="C113" s="656" t="s">
        <v>199</v>
      </c>
      <c r="D113" s="747"/>
      <c r="E113" s="221" t="s">
        <v>219</v>
      </c>
      <c r="F113" s="220"/>
      <c r="G113" s="220"/>
      <c r="H113" s="221" t="s">
        <v>220</v>
      </c>
      <c r="I113" s="88"/>
      <c r="J113" s="243">
        <f>M113+Y113+AK113+AW113</f>
        <v>0</v>
      </c>
      <c r="K113" s="293"/>
      <c r="L113" s="293"/>
      <c r="M113" s="243">
        <f>SUM(O113:X113)</f>
        <v>0</v>
      </c>
      <c r="N113" s="294"/>
      <c r="O113" s="207">
        <f>IF(O$108=0,0,O$107/O$108)</f>
        <v>0</v>
      </c>
      <c r="P113" s="207">
        <f>IF(P$108=0,0,P$107/P$108)</f>
        <v>0</v>
      </c>
      <c r="Q113" s="207">
        <f>IF(Q$108=0,0,Q$107/Q$108)</f>
        <v>0</v>
      </c>
      <c r="R113" s="147"/>
      <c r="S113" s="147"/>
      <c r="T113" s="147"/>
      <c r="U113" s="147"/>
      <c r="V113" s="147"/>
      <c r="W113" s="147"/>
      <c r="X113" s="125"/>
      <c r="Y113" s="243">
        <f>SUM(AA113:AJ113)</f>
        <v>0</v>
      </c>
      <c r="Z113" s="294"/>
      <c r="AA113" s="207">
        <f>IF(AA$108=0,0,AA$107/AA$108)</f>
        <v>0</v>
      </c>
      <c r="AB113" s="207">
        <f>IF(AB$108=0,0,AB$107/AB$108)</f>
        <v>0</v>
      </c>
      <c r="AC113" s="207">
        <f>IF(AC$108=0,0,AC$107/AC$108)</f>
        <v>0</v>
      </c>
      <c r="AD113" s="147"/>
      <c r="AE113" s="147"/>
      <c r="AF113" s="147"/>
      <c r="AG113" s="147"/>
      <c r="AH113" s="147"/>
      <c r="AI113" s="147"/>
      <c r="AJ113" s="125"/>
      <c r="AK113" s="243">
        <f>SUM(AM113:AV113)</f>
        <v>0</v>
      </c>
      <c r="AL113" s="294"/>
      <c r="AM113" s="207">
        <f>IF(AM$108=0,0,AM$107/AM$108)</f>
        <v>0</v>
      </c>
      <c r="AN113" s="207">
        <f>IF(AN$108=0,0,AN$107/AN$108)</f>
        <v>0</v>
      </c>
      <c r="AO113" s="207">
        <f>IF(AO$108=0,0,AO$107/AO$108)</f>
        <v>0</v>
      </c>
      <c r="AP113" s="147"/>
      <c r="AQ113" s="147"/>
      <c r="AR113" s="147"/>
      <c r="AS113" s="147"/>
      <c r="AT113" s="147"/>
      <c r="AU113" s="147"/>
      <c r="AV113" s="125"/>
      <c r="AW113" s="243">
        <f>SUM(AY113:BH113)</f>
        <v>0</v>
      </c>
      <c r="AX113" s="294"/>
      <c r="AY113" s="207">
        <f>IF(AY$108=0,0,AY$107/AY$108)</f>
        <v>0</v>
      </c>
      <c r="AZ113" s="207">
        <f>IF(AZ$108=0,0,AZ$107/AZ$108)</f>
        <v>0</v>
      </c>
      <c r="BA113" s="207">
        <f>IF(BA$108=0,0,BA$107/BA$108)</f>
        <v>0</v>
      </c>
      <c r="BB113" s="147"/>
      <c r="BC113" s="147"/>
      <c r="BD113" s="147"/>
      <c r="BE113" s="147"/>
      <c r="BF113" s="147"/>
      <c r="BG113" s="147"/>
      <c r="BH113" s="255"/>
    </row>
    <row r="114" spans="1:60" ht="18.75" x14ac:dyDescent="0.2">
      <c r="A114" s="648"/>
      <c r="B114" s="492" t="s">
        <v>205</v>
      </c>
      <c r="C114" s="739" t="s">
        <v>104</v>
      </c>
      <c r="D114" s="750"/>
      <c r="E114" s="144" t="s">
        <v>114</v>
      </c>
      <c r="F114" s="160"/>
      <c r="G114" s="160"/>
      <c r="H114" s="161"/>
      <c r="I114" s="162"/>
      <c r="J114" s="163"/>
      <c r="K114" s="164"/>
      <c r="L114" s="164"/>
      <c r="M114" s="163"/>
      <c r="N114" s="163"/>
      <c r="O114" s="836"/>
      <c r="P114" s="163"/>
      <c r="Q114" s="163"/>
      <c r="R114" s="163"/>
      <c r="S114" s="163"/>
      <c r="T114" s="163"/>
      <c r="U114" s="163"/>
      <c r="V114" s="163"/>
      <c r="W114" s="163"/>
      <c r="X114" s="165"/>
      <c r="Y114" s="163"/>
      <c r="Z114" s="163"/>
      <c r="AA114" s="836"/>
      <c r="AB114" s="163"/>
      <c r="AC114" s="163"/>
      <c r="AD114" s="163"/>
      <c r="AE114" s="163"/>
      <c r="AF114" s="163"/>
      <c r="AG114" s="163"/>
      <c r="AH114" s="163"/>
      <c r="AI114" s="163"/>
      <c r="AJ114" s="165"/>
      <c r="AK114" s="163"/>
      <c r="AL114" s="163"/>
      <c r="AM114" s="836"/>
      <c r="AN114" s="163"/>
      <c r="AO114" s="163"/>
      <c r="AP114" s="163"/>
      <c r="AQ114" s="163"/>
      <c r="AR114" s="163"/>
      <c r="AS114" s="163"/>
      <c r="AT114" s="163"/>
      <c r="AU114" s="163"/>
      <c r="AV114" s="165"/>
      <c r="AW114" s="163"/>
      <c r="AX114" s="163"/>
      <c r="AY114" s="163"/>
      <c r="AZ114" s="163"/>
      <c r="BA114" s="163"/>
      <c r="BB114" s="163"/>
      <c r="BC114" s="163"/>
      <c r="BD114" s="163"/>
      <c r="BE114" s="163"/>
      <c r="BF114" s="163"/>
      <c r="BG114" s="163"/>
      <c r="BH114" s="263"/>
    </row>
    <row r="115" spans="1:60" hidden="1" x14ac:dyDescent="0.2">
      <c r="A115" s="648"/>
      <c r="B115" s="492" t="s">
        <v>205</v>
      </c>
      <c r="C115" s="656" t="s">
        <v>221</v>
      </c>
      <c r="D115" s="750" t="s">
        <v>50</v>
      </c>
      <c r="E115" s="356" t="s">
        <v>222</v>
      </c>
      <c r="F115" s="316"/>
      <c r="G115" s="316"/>
      <c r="H115" s="354" t="s">
        <v>223</v>
      </c>
      <c r="I115" s="88"/>
      <c r="J115" s="229"/>
      <c r="K115" s="121"/>
      <c r="L115" s="121"/>
      <c r="M115" s="229"/>
      <c r="N115" s="90"/>
      <c r="O115" s="445">
        <f>IF(O116&lt;&gt;"",O116,
IF(O$102=elektriciteit,$G$5,
INDEX(energiedragers_primaire_energiefactor,MATCH(O102,energiedragers_kopregel,0))
*IF(O110=0,1,
$G$5*INDEX(installaties_RV_verlies_elek_prod_aftapwarmte,MATCH(O101,toestellen_RV_kopregel,0)))))</f>
        <v>1.45</v>
      </c>
      <c r="P115" s="445">
        <f>IF(P116&lt;&gt;"",P116,IF(HLOOKUP(P102,ENERGIEDRAGERS,ROWS(bibliotheek!$E$221:$E$222),FALSE)=0,$G$5,HLOOKUP(P102,ENERGIEDRAGERS,ROWS(bibliotheek!$E$221:$E$223),FALSE)))</f>
        <v>1.45</v>
      </c>
      <c r="Q115" s="445">
        <f>IF(Q116&lt;&gt;"",Q116,
IF(Q$102=elektriciteit,$G$5,
INDEX(energiedragers_primaire_energiefactor,MATCH(Q102,energiedragers_kopregel,0))
*IF(Q110=0,1,
$G$5*INDEX(installaties_TAP_verlies_elek_prod_aftapwarmte,MATCH(Q101,toestellen_TAP_kopregel,0)))))</f>
        <v>1.45</v>
      </c>
      <c r="R115" s="158"/>
      <c r="S115" s="158"/>
      <c r="T115" s="158"/>
      <c r="U115" s="158"/>
      <c r="V115" s="158"/>
      <c r="W115" s="158"/>
      <c r="X115" s="414"/>
      <c r="Y115" s="352"/>
      <c r="Z115" s="722"/>
      <c r="AA115" s="445">
        <f>IF(AA116&lt;&gt;"",AA116,
IF(AA$102=elektriciteit,$G$5,
INDEX(energiedragers_primaire_energiefactor,MATCH(AA102,energiedragers_kopregel,0))
*IF(AA110=0,1,
$G$5*INDEX(installaties_RV_verlies_elek_prod_aftapwarmte,MATCH(AA101,toestellen_RV_kopregel,0)))))</f>
        <v>1.45</v>
      </c>
      <c r="AB115" s="445">
        <f>IF(AB116&lt;&gt;"",AB116,IF(HLOOKUP(AB102,ENERGIEDRAGERS,ROWS(bibliotheek!$E$221:$E$222),FALSE)=0,$G$5,HLOOKUP(AB102,ENERGIEDRAGERS,ROWS(bibliotheek!$E$221:$E$223),FALSE)))</f>
        <v>1.45</v>
      </c>
      <c r="AC115" s="445">
        <f>IF(AC116&lt;&gt;"",AC116,
IF(AC$102=elektriciteit,$G$5,
INDEX(energiedragers_primaire_energiefactor,MATCH(AC102,energiedragers_kopregel,0))
*IF(AC110=0,1,
$G$5*INDEX(installaties_TAP_verlies_elek_prod_aftapwarmte,MATCH(AC101,toestellen_TAP_kopregel,0)))))</f>
        <v>1.45</v>
      </c>
      <c r="AD115" s="158"/>
      <c r="AE115" s="158"/>
      <c r="AF115" s="158"/>
      <c r="AG115" s="158"/>
      <c r="AH115" s="158"/>
      <c r="AI115" s="158"/>
      <c r="AJ115" s="414"/>
      <c r="AK115" s="352"/>
      <c r="AL115" s="722"/>
      <c r="AM115" s="445">
        <f>IF(AM116&lt;&gt;"",AM116,
IF(AM$102=elektriciteit,$G$5,
INDEX(energiedragers_primaire_energiefactor,MATCH(AM102,energiedragers_kopregel,0))
*IF(AM110=0,1,
$G$5*INDEX(installaties_RV_verlies_elek_prod_aftapwarmte,MATCH(AM101,toestellen_RV_kopregel,0)))))</f>
        <v>1.45</v>
      </c>
      <c r="AN115" s="445">
        <f>IF(AN116&lt;&gt;"",AN116,IF(HLOOKUP(AN102,ENERGIEDRAGERS,ROWS(bibliotheek!$E$221:$E$222),FALSE)=0,$G$5,HLOOKUP(AN102,ENERGIEDRAGERS,ROWS(bibliotheek!$E$221:$E$223),FALSE)))</f>
        <v>1.45</v>
      </c>
      <c r="AO115" s="445">
        <f>IF(AO116&lt;&gt;"",AO116,
IF(AO$102=elektriciteit,$G$5,
INDEX(energiedragers_primaire_energiefactor,MATCH(AO102,energiedragers_kopregel,0))
*IF(AO110=0,1,
$G$5*INDEX(installaties_TAP_verlies_elek_prod_aftapwarmte,MATCH(AO101,toestellen_TAP_kopregel,0)))))</f>
        <v>1.45</v>
      </c>
      <c r="AP115" s="158"/>
      <c r="AQ115" s="158"/>
      <c r="AR115" s="158"/>
      <c r="AS115" s="158"/>
      <c r="AT115" s="158"/>
      <c r="AU115" s="158"/>
      <c r="AV115" s="414"/>
      <c r="AW115" s="352"/>
      <c r="AX115" s="722"/>
      <c r="AY115" s="445">
        <f>IF(AY116&lt;&gt;"",AY116,
IF(AY$102=elektriciteit,$G$5,
INDEX(energiedragers_primaire_energiefactor,MATCH(AY102,energiedragers_kopregel,0))
*IF(AY110=0,1,
$G$5*INDEX(installaties_RV_verlies_elek_prod_aftapwarmte,MATCH(AY101,toestellen_RV_kopregel,0)))))</f>
        <v>1.45</v>
      </c>
      <c r="AZ115" s="445">
        <f>IF(AZ116&lt;&gt;"",AZ116,IF(HLOOKUP(AZ102,ENERGIEDRAGERS,ROWS(bibliotheek!$E$221:$E$222),FALSE)=0,$G$5,HLOOKUP(AZ102,ENERGIEDRAGERS,ROWS(bibliotheek!$E$221:$E$223),FALSE)))</f>
        <v>1.45</v>
      </c>
      <c r="BA115" s="445">
        <f>IF(BA116&lt;&gt;"",BA116,
IF(BA$102=elektriciteit,$G$5,
INDEX(energiedragers_primaire_energiefactor,MATCH(BA102,energiedragers_kopregel,0))
*IF(BA110=0,1,
$G$5*INDEX(installaties_TAP_verlies_elek_prod_aftapwarmte,MATCH(BA101,toestellen_TAP_kopregel,0)))))</f>
        <v>1.45</v>
      </c>
      <c r="BB115" s="156"/>
      <c r="BC115" s="156"/>
      <c r="BD115" s="156"/>
      <c r="BE115" s="156"/>
      <c r="BF115" s="156"/>
      <c r="BG115" s="156"/>
      <c r="BH115" s="214"/>
    </row>
    <row r="116" spans="1:60" hidden="1" x14ac:dyDescent="0.2">
      <c r="A116" s="648"/>
      <c r="B116" s="492" t="s">
        <v>205</v>
      </c>
      <c r="C116" s="656" t="s">
        <v>221</v>
      </c>
      <c r="D116" s="750"/>
      <c r="E116" s="412" t="s">
        <v>224</v>
      </c>
      <c r="F116" s="317"/>
      <c r="G116" s="317"/>
      <c r="H116" s="355"/>
      <c r="I116" s="88"/>
      <c r="J116" s="362"/>
      <c r="K116" s="121"/>
      <c r="L116" s="121"/>
      <c r="M116" s="239"/>
      <c r="N116" s="90"/>
      <c r="O116" s="337"/>
      <c r="P116" s="712"/>
      <c r="Q116" s="337"/>
      <c r="R116" s="157"/>
      <c r="S116" s="157"/>
      <c r="T116" s="157"/>
      <c r="U116" s="157"/>
      <c r="V116" s="157"/>
      <c r="W116" s="157"/>
      <c r="X116" s="87"/>
      <c r="Y116" s="239"/>
      <c r="Z116" s="90"/>
      <c r="AA116" s="337"/>
      <c r="AB116" s="712"/>
      <c r="AC116" s="337"/>
      <c r="AD116" s="157"/>
      <c r="AE116" s="157"/>
      <c r="AF116" s="157"/>
      <c r="AG116" s="157"/>
      <c r="AH116" s="157"/>
      <c r="AI116" s="157"/>
      <c r="AJ116" s="87"/>
      <c r="AK116" s="239"/>
      <c r="AL116" s="90"/>
      <c r="AM116" s="337"/>
      <c r="AN116" s="712"/>
      <c r="AO116" s="337"/>
      <c r="AP116" s="157"/>
      <c r="AQ116" s="157"/>
      <c r="AR116" s="157"/>
      <c r="AS116" s="157"/>
      <c r="AT116" s="157"/>
      <c r="AU116" s="157"/>
      <c r="AV116" s="87"/>
      <c r="AW116" s="239"/>
      <c r="AX116" s="90"/>
      <c r="AY116" s="337"/>
      <c r="AZ116" s="712"/>
      <c r="BA116" s="337"/>
      <c r="BB116" s="157"/>
      <c r="BC116" s="157"/>
      <c r="BD116" s="157"/>
      <c r="BE116" s="157"/>
      <c r="BF116" s="157"/>
      <c r="BG116" s="157"/>
      <c r="BH116" s="214"/>
    </row>
    <row r="117" spans="1:60" x14ac:dyDescent="0.2">
      <c r="A117" s="648"/>
      <c r="B117" s="492" t="s">
        <v>205</v>
      </c>
      <c r="C117" s="656" t="s">
        <v>113</v>
      </c>
      <c r="D117" s="750"/>
      <c r="E117" s="221" t="s">
        <v>114</v>
      </c>
      <c r="F117" s="221"/>
      <c r="G117" s="221"/>
      <c r="H117" s="221" t="s">
        <v>115</v>
      </c>
      <c r="I117" s="88"/>
      <c r="J117" s="243">
        <f>M117+Y117+AK117+AW117</f>
        <v>0</v>
      </c>
      <c r="K117" s="295"/>
      <c r="L117" s="295"/>
      <c r="M117" s="243">
        <f>SUM(O117:X117)</f>
        <v>0</v>
      </c>
      <c r="N117" s="294"/>
      <c r="O117" s="207">
        <f>O$113*O$115</f>
        <v>0</v>
      </c>
      <c r="P117" s="207">
        <f>P$113*P$115</f>
        <v>0</v>
      </c>
      <c r="Q117" s="207">
        <f>Q$113*Q$115</f>
        <v>0</v>
      </c>
      <c r="R117" s="147"/>
      <c r="S117" s="147"/>
      <c r="T117" s="147"/>
      <c r="U117" s="147"/>
      <c r="V117" s="147"/>
      <c r="W117" s="147"/>
      <c r="X117" s="125"/>
      <c r="Y117" s="243">
        <f>SUM(AA117:AJ117)</f>
        <v>0</v>
      </c>
      <c r="Z117" s="294"/>
      <c r="AA117" s="207">
        <f>AA$113*AA$115</f>
        <v>0</v>
      </c>
      <c r="AB117" s="207">
        <f>AB$113*AB$115</f>
        <v>0</v>
      </c>
      <c r="AC117" s="207">
        <f>AC$113*AC$115</f>
        <v>0</v>
      </c>
      <c r="AD117" s="147"/>
      <c r="AE117" s="147"/>
      <c r="AF117" s="147"/>
      <c r="AG117" s="147"/>
      <c r="AH117" s="147"/>
      <c r="AI117" s="147"/>
      <c r="AJ117" s="125"/>
      <c r="AK117" s="243">
        <f>SUM(AM117:AV117)</f>
        <v>0</v>
      </c>
      <c r="AL117" s="294"/>
      <c r="AM117" s="207">
        <f>AM$113*AM$115</f>
        <v>0</v>
      </c>
      <c r="AN117" s="207">
        <f>AN$113*AN$115</f>
        <v>0</v>
      </c>
      <c r="AO117" s="207">
        <f>AO$113*AO$115</f>
        <v>0</v>
      </c>
      <c r="AP117" s="147"/>
      <c r="AQ117" s="147"/>
      <c r="AR117" s="147"/>
      <c r="AS117" s="147"/>
      <c r="AT117" s="147"/>
      <c r="AU117" s="147"/>
      <c r="AV117" s="125"/>
      <c r="AW117" s="243">
        <f>SUM(AY117:BH117)</f>
        <v>0</v>
      </c>
      <c r="AX117" s="294"/>
      <c r="AY117" s="207">
        <f>AY$113*AY$115</f>
        <v>0</v>
      </c>
      <c r="AZ117" s="207">
        <f>AZ$113*AZ$115</f>
        <v>0</v>
      </c>
      <c r="BA117" s="207">
        <f>BA$113*BA$115</f>
        <v>0</v>
      </c>
      <c r="BB117" s="147"/>
      <c r="BC117" s="147"/>
      <c r="BD117" s="147"/>
      <c r="BE117" s="147"/>
      <c r="BF117" s="147"/>
      <c r="BG117" s="147"/>
      <c r="BH117" s="255"/>
    </row>
    <row r="118" spans="1:60" ht="18.75" x14ac:dyDescent="0.2">
      <c r="A118" s="648"/>
      <c r="B118" s="492" t="s">
        <v>205</v>
      </c>
      <c r="C118" s="739" t="s">
        <v>104</v>
      </c>
      <c r="D118" s="750"/>
      <c r="E118" s="144" t="s">
        <v>116</v>
      </c>
      <c r="F118" s="160"/>
      <c r="G118" s="160"/>
      <c r="H118" s="161"/>
      <c r="I118" s="161"/>
      <c r="J118" s="161"/>
      <c r="K118" s="164"/>
      <c r="L118" s="164"/>
      <c r="M118" s="163"/>
      <c r="N118" s="163"/>
      <c r="P118" s="163"/>
      <c r="Q118" s="163"/>
      <c r="R118" s="163"/>
      <c r="S118" s="163"/>
      <c r="T118" s="163"/>
      <c r="U118" s="163"/>
      <c r="V118" s="163"/>
      <c r="W118" s="163"/>
      <c r="X118" s="165"/>
      <c r="Y118" s="163"/>
      <c r="Z118" s="163"/>
      <c r="AA118" s="836"/>
      <c r="AB118" s="163"/>
      <c r="AC118" s="163"/>
      <c r="AD118" s="163"/>
      <c r="AE118" s="163"/>
      <c r="AF118" s="163"/>
      <c r="AG118" s="163"/>
      <c r="AH118" s="163"/>
      <c r="AI118" s="163"/>
      <c r="AJ118" s="165"/>
      <c r="AK118" s="163"/>
      <c r="AL118" s="163"/>
      <c r="AM118" s="163"/>
      <c r="AN118" s="163"/>
      <c r="AO118" s="163"/>
      <c r="AP118" s="163"/>
      <c r="AQ118" s="163"/>
      <c r="AR118" s="163"/>
      <c r="AS118" s="163"/>
      <c r="AT118" s="163"/>
      <c r="AU118" s="163"/>
      <c r="AV118" s="165"/>
      <c r="AW118" s="163"/>
      <c r="AX118" s="163"/>
      <c r="AY118" s="163"/>
      <c r="AZ118" s="163"/>
      <c r="BA118" s="163"/>
      <c r="BB118" s="163"/>
      <c r="BC118" s="163"/>
      <c r="BD118" s="163"/>
      <c r="BE118" s="163"/>
      <c r="BF118" s="163"/>
      <c r="BG118" s="163"/>
      <c r="BH118" s="263"/>
    </row>
    <row r="119" spans="1:60" hidden="1" x14ac:dyDescent="0.2">
      <c r="A119" s="648"/>
      <c r="B119" s="492" t="s">
        <v>205</v>
      </c>
      <c r="C119" s="656" t="s">
        <v>221</v>
      </c>
      <c r="D119" s="750" t="s">
        <v>50</v>
      </c>
      <c r="E119" s="356" t="s">
        <v>225</v>
      </c>
      <c r="F119" s="316"/>
      <c r="G119" s="316"/>
      <c r="H119" s="354" t="s">
        <v>226</v>
      </c>
      <c r="I119" s="88"/>
      <c r="J119" s="229"/>
      <c r="K119" s="121"/>
      <c r="L119" s="121"/>
      <c r="M119" s="229"/>
      <c r="N119" s="90"/>
      <c r="O119" s="445">
        <f>IF(O120&lt;&gt;"",O120,
IF(O$102=elektriciteit,$H$5,
INDEX(energiedragers_CO2_emissiefactor,MATCH(O102,energiedragers_kopregel,0))
*IF(O110=0,1,
$G$5*INDEX(installaties_RV_verlies_elek_prod_aftapwarmte,MATCH(O101,toestellen_RV_kopregel,0)))))</f>
        <v>0.34</v>
      </c>
      <c r="P119" s="445">
        <f>IF(P120&lt;&gt;"",P120,
IF(P102=elektriciteit,$H$5,
HLOOKUP(P102,ENERGIEDRAGERS,ROWS(bibliotheek!$E$221:$E$224),FALSE)))</f>
        <v>0</v>
      </c>
      <c r="Q119" s="445">
        <f>IF(Q116&lt;&gt;"",Q116,
IF(Q$102=elektriciteit,$H$5,
INDEX(energiedragers_CO2_emissiefactor,MATCH(Q102,energiedragers_kopregel,0))
*IF(Q110=0,1,
$G$5*INDEX(installaties_TAP_verlies_elek_prod_aftapwarmte,MATCH(Q101,toestellen_TAP_kopregel,0)))))</f>
        <v>0.34</v>
      </c>
      <c r="R119" s="158"/>
      <c r="S119" s="158"/>
      <c r="T119" s="158"/>
      <c r="U119" s="158"/>
      <c r="V119" s="158"/>
      <c r="W119" s="158"/>
      <c r="X119" s="414"/>
      <c r="Y119" s="229"/>
      <c r="Z119" s="90"/>
      <c r="AA119" s="445">
        <f>IF(AA120&lt;&gt;"",AA120,
IF(AA$102=elektriciteit,$H$5,
INDEX(energiedragers_CO2_emissiefactor,MATCH(AA102,energiedragers_kopregel,0))
*IF(AA110=0,1,
$G$5*INDEX(installaties_RV_verlies_elek_prod_aftapwarmte,MATCH(AA101,toestellen_RV_kopregel,0)))))</f>
        <v>0.34</v>
      </c>
      <c r="AB119" s="445">
        <f>IF(AB120&lt;&gt;"",AB120,
IF(AB102=elektriciteit,$H$5,
HLOOKUP(AB102,ENERGIEDRAGERS,ROWS(bibliotheek!$E$221:$E$224),FALSE)))</f>
        <v>0</v>
      </c>
      <c r="AC119" s="445">
        <f>IF(AC116&lt;&gt;"",AC116,
IF(AC$102=elektriciteit,$H$5,
INDEX(energiedragers_CO2_emissiefactor,MATCH(AC102,energiedragers_kopregel,0))
*IF(AC110=0,1,
$G$5*INDEX(installaties_TAP_verlies_elek_prod_aftapwarmte,MATCH(AC101,toestellen_TAP_kopregel,0)))))</f>
        <v>0.34</v>
      </c>
      <c r="AD119" s="158"/>
      <c r="AE119" s="158"/>
      <c r="AF119" s="158"/>
      <c r="AG119" s="158"/>
      <c r="AH119" s="158"/>
      <c r="AI119" s="158"/>
      <c r="AJ119" s="414"/>
      <c r="AK119" s="229"/>
      <c r="AL119" s="90"/>
      <c r="AM119" s="445">
        <f>IF(AM120&lt;&gt;"",AM120,
IF(AM$102=elektriciteit,$H$5,
INDEX(energiedragers_CO2_emissiefactor,MATCH(AM102,energiedragers_kopregel,0))
*IF(AM110=0,1,
$G$5*INDEX(installaties_RV_verlies_elek_prod_aftapwarmte,MATCH(AM101,toestellen_RV_kopregel,0)))))</f>
        <v>0.34</v>
      </c>
      <c r="AN119" s="445">
        <f>IF(AN120&lt;&gt;"",AN120,
IF(AN102=elektriciteit,$H$5,
HLOOKUP(AN102,ENERGIEDRAGERS,ROWS(bibliotheek!$E$221:$E$224),FALSE)))</f>
        <v>0</v>
      </c>
      <c r="AO119" s="445">
        <f>IF(AO116&lt;&gt;"",AO116,
IF(AO$102=elektriciteit,$H$5,
INDEX(energiedragers_CO2_emissiefactor,MATCH(AO102,energiedragers_kopregel,0))
*IF(AO110=0,1,
$G$5*INDEX(installaties_TAP_verlies_elek_prod_aftapwarmte,MATCH(AO101,toestellen_TAP_kopregel,0)))))</f>
        <v>0.34</v>
      </c>
      <c r="AP119" s="158"/>
      <c r="AQ119" s="158"/>
      <c r="AR119" s="158"/>
      <c r="AS119" s="158"/>
      <c r="AT119" s="158"/>
      <c r="AU119" s="158"/>
      <c r="AV119" s="414"/>
      <c r="AW119" s="229"/>
      <c r="AX119" s="90"/>
      <c r="AY119" s="445">
        <f>IF(AY120&lt;&gt;"",AY120,
IF(AY$102=elektriciteit,$H$5,
INDEX(energiedragers_CO2_emissiefactor,MATCH(AY102,energiedragers_kopregel,0))
*IF(AY110=0,1,
$G$5*INDEX(installaties_RV_verlies_elek_prod_aftapwarmte,MATCH(AY101,toestellen_RV_kopregel,0)))))</f>
        <v>0.34</v>
      </c>
      <c r="AZ119" s="445">
        <f>IF(AZ120&lt;&gt;"",AZ120,
IF(AZ102=elektriciteit,$H$5,
HLOOKUP(AZ102,ENERGIEDRAGERS,ROWS(bibliotheek!$E$221:$E$224),FALSE)))</f>
        <v>0</v>
      </c>
      <c r="BA119" s="445">
        <f>IF(BA116&lt;&gt;"",BA116,
IF(BA$102=elektriciteit,$H$5,
INDEX(energiedragers_CO2_emissiefactor,MATCH(BA102,energiedragers_kopregel,0))
*IF(BA110=0,1,
$G$5*INDEX(installaties_TAP_verlies_elek_prod_aftapwarmte,MATCH(BA101,toestellen_TAP_kopregel,0)))))</f>
        <v>0.34</v>
      </c>
      <c r="BB119" s="158"/>
      <c r="BC119" s="158"/>
      <c r="BD119" s="158"/>
      <c r="BE119" s="158"/>
      <c r="BF119" s="158"/>
      <c r="BG119" s="158"/>
      <c r="BH119" s="214"/>
    </row>
    <row r="120" spans="1:60" hidden="1" x14ac:dyDescent="0.2">
      <c r="A120" s="648"/>
      <c r="B120" s="492" t="s">
        <v>205</v>
      </c>
      <c r="C120" s="656" t="s">
        <v>221</v>
      </c>
      <c r="D120" s="747"/>
      <c r="E120" s="412" t="s">
        <v>227</v>
      </c>
      <c r="F120" s="355"/>
      <c r="G120" s="355"/>
      <c r="H120" s="355"/>
      <c r="I120" s="88"/>
      <c r="J120" s="362"/>
      <c r="K120" s="121"/>
      <c r="L120" s="121"/>
      <c r="M120" s="239"/>
      <c r="N120" s="90"/>
      <c r="O120" s="337"/>
      <c r="P120" s="420"/>
      <c r="Q120" s="420"/>
      <c r="R120" s="483"/>
      <c r="S120" s="483"/>
      <c r="T120" s="483"/>
      <c r="U120" s="483"/>
      <c r="V120" s="483"/>
      <c r="W120" s="483"/>
      <c r="X120" s="448"/>
      <c r="Y120" s="239"/>
      <c r="Z120" s="90"/>
      <c r="AA120" s="420"/>
      <c r="AB120" s="420"/>
      <c r="AC120" s="420"/>
      <c r="AD120" s="483"/>
      <c r="AE120" s="483"/>
      <c r="AF120" s="483"/>
      <c r="AG120" s="483"/>
      <c r="AH120" s="483"/>
      <c r="AI120" s="483"/>
      <c r="AJ120" s="448"/>
      <c r="AK120" s="239"/>
      <c r="AL120" s="90"/>
      <c r="AM120" s="420"/>
      <c r="AN120" s="420"/>
      <c r="AO120" s="420"/>
      <c r="AP120" s="483"/>
      <c r="AQ120" s="483"/>
      <c r="AR120" s="483"/>
      <c r="AS120" s="483"/>
      <c r="AT120" s="483"/>
      <c r="AU120" s="483"/>
      <c r="AV120" s="448"/>
      <c r="AW120" s="239"/>
      <c r="AX120" s="90"/>
      <c r="AY120" s="420"/>
      <c r="AZ120" s="420"/>
      <c r="BA120" s="420"/>
      <c r="BB120" s="483"/>
      <c r="BC120" s="483"/>
      <c r="BD120" s="483"/>
      <c r="BE120" s="483"/>
      <c r="BF120" s="483"/>
      <c r="BG120" s="483"/>
      <c r="BH120" s="214"/>
    </row>
    <row r="121" spans="1:60" x14ac:dyDescent="0.2">
      <c r="A121" s="648"/>
      <c r="B121" s="492" t="s">
        <v>205</v>
      </c>
      <c r="C121" s="656" t="s">
        <v>113</v>
      </c>
      <c r="D121" s="747"/>
      <c r="E121" s="221" t="s">
        <v>116</v>
      </c>
      <c r="F121" s="221"/>
      <c r="G121" s="221"/>
      <c r="H121" s="221" t="s">
        <v>228</v>
      </c>
      <c r="I121" s="88"/>
      <c r="J121" s="243">
        <f>M121+Y121+AK121+AW121</f>
        <v>0</v>
      </c>
      <c r="K121" s="295"/>
      <c r="L121" s="295"/>
      <c r="M121" s="243">
        <f>SUM(O121:X121)</f>
        <v>0</v>
      </c>
      <c r="N121" s="294"/>
      <c r="O121" s="207">
        <f>O$113*O$119</f>
        <v>0</v>
      </c>
      <c r="P121" s="207">
        <f>P$113*P$119</f>
        <v>0</v>
      </c>
      <c r="Q121" s="207">
        <f>Q$113*Q$119</f>
        <v>0</v>
      </c>
      <c r="R121" s="147"/>
      <c r="S121" s="147"/>
      <c r="T121" s="147"/>
      <c r="U121" s="147"/>
      <c r="V121" s="147"/>
      <c r="W121" s="147"/>
      <c r="X121" s="125"/>
      <c r="Y121" s="243">
        <f>SUM(AA121:AJ121)</f>
        <v>0</v>
      </c>
      <c r="Z121" s="294"/>
      <c r="AA121" s="207">
        <f>AA$113*AA$119</f>
        <v>0</v>
      </c>
      <c r="AB121" s="207">
        <f>AB$113*AB$119</f>
        <v>0</v>
      </c>
      <c r="AC121" s="207">
        <f>AC$113*AC$119</f>
        <v>0</v>
      </c>
      <c r="AD121" s="147"/>
      <c r="AE121" s="147"/>
      <c r="AF121" s="147"/>
      <c r="AG121" s="147"/>
      <c r="AH121" s="147"/>
      <c r="AI121" s="147"/>
      <c r="AJ121" s="125"/>
      <c r="AK121" s="243">
        <f>SUM(AM121:AV121)</f>
        <v>0</v>
      </c>
      <c r="AL121" s="294"/>
      <c r="AM121" s="207">
        <f>AM$113*AM$119</f>
        <v>0</v>
      </c>
      <c r="AN121" s="207">
        <f>AN$113*AN$119</f>
        <v>0</v>
      </c>
      <c r="AO121" s="207">
        <f>AO$113*AO$119</f>
        <v>0</v>
      </c>
      <c r="AP121" s="147"/>
      <c r="AQ121" s="147"/>
      <c r="AR121" s="147"/>
      <c r="AS121" s="147"/>
      <c r="AT121" s="147"/>
      <c r="AU121" s="147"/>
      <c r="AV121" s="125"/>
      <c r="AW121" s="243">
        <f>SUM(AY121:BH121)</f>
        <v>0</v>
      </c>
      <c r="AX121" s="294"/>
      <c r="AY121" s="207">
        <f>AY$113*AY$119</f>
        <v>0</v>
      </c>
      <c r="AZ121" s="207">
        <f>AZ$113*AZ$119</f>
        <v>0</v>
      </c>
      <c r="BA121" s="207">
        <f>BA$113*BA$119</f>
        <v>0</v>
      </c>
      <c r="BB121" s="147"/>
      <c r="BC121" s="147"/>
      <c r="BD121" s="147"/>
      <c r="BE121" s="147"/>
      <c r="BF121" s="147"/>
      <c r="BG121" s="147"/>
      <c r="BH121" s="255"/>
    </row>
    <row r="122" spans="1:60" ht="18.75" x14ac:dyDescent="0.2">
      <c r="A122" s="648"/>
      <c r="B122" s="492" t="s">
        <v>205</v>
      </c>
      <c r="C122" s="739" t="s">
        <v>104</v>
      </c>
      <c r="D122" s="747"/>
      <c r="E122" s="144" t="s">
        <v>229</v>
      </c>
      <c r="F122" s="160"/>
      <c r="G122" s="160"/>
      <c r="H122" s="161"/>
      <c r="I122" s="162"/>
      <c r="J122" s="163"/>
      <c r="K122" s="164"/>
      <c r="L122" s="164"/>
      <c r="M122" s="163"/>
      <c r="N122" s="163"/>
      <c r="O122" s="163"/>
      <c r="P122" s="163"/>
      <c r="Q122" s="163"/>
      <c r="R122" s="163"/>
      <c r="S122" s="163"/>
      <c r="T122" s="163"/>
      <c r="U122" s="163"/>
      <c r="V122" s="163"/>
      <c r="W122" s="163"/>
      <c r="X122" s="165"/>
      <c r="Y122" s="163"/>
      <c r="Z122" s="163"/>
      <c r="AA122" s="163"/>
      <c r="AB122" s="163"/>
      <c r="AC122" s="163"/>
      <c r="AD122" s="163"/>
      <c r="AE122" s="163"/>
      <c r="AF122" s="163"/>
      <c r="AG122" s="163"/>
      <c r="AH122" s="163"/>
      <c r="AI122" s="163"/>
      <c r="AJ122" s="165"/>
      <c r="AK122" s="163"/>
      <c r="AL122" s="163"/>
      <c r="AM122" s="163"/>
      <c r="AN122" s="163"/>
      <c r="AO122" s="163"/>
      <c r="AP122" s="163"/>
      <c r="AQ122" s="163"/>
      <c r="AR122" s="163"/>
      <c r="AS122" s="163"/>
      <c r="AT122" s="163"/>
      <c r="AU122" s="163"/>
      <c r="AV122" s="165"/>
      <c r="AW122" s="163"/>
      <c r="AX122" s="163"/>
      <c r="AY122" s="163"/>
      <c r="AZ122" s="163"/>
      <c r="BA122" s="163"/>
      <c r="BB122" s="163"/>
      <c r="BC122" s="163"/>
      <c r="BD122" s="163"/>
      <c r="BE122" s="163"/>
      <c r="BF122" s="163"/>
      <c r="BG122" s="163"/>
      <c r="BH122" s="263"/>
    </row>
    <row r="123" spans="1:60" x14ac:dyDescent="0.2">
      <c r="A123" s="648"/>
      <c r="B123" s="492" t="s">
        <v>205</v>
      </c>
      <c r="C123" s="656" t="s">
        <v>127</v>
      </c>
      <c r="D123" s="747" t="s">
        <v>50</v>
      </c>
      <c r="E123" s="221" t="s">
        <v>230</v>
      </c>
      <c r="F123" s="221"/>
      <c r="G123" s="221"/>
      <c r="H123" s="221" t="s">
        <v>177</v>
      </c>
      <c r="I123" s="146"/>
      <c r="J123" s="243">
        <f>M123+Y123+AK123+AW123</f>
        <v>0</v>
      </c>
      <c r="K123" s="293"/>
      <c r="L123" s="293"/>
      <c r="M123" s="243">
        <f>SUM(O123:X123)</f>
        <v>0</v>
      </c>
      <c r="N123" s="294"/>
      <c r="O123" s="207">
        <f>IF(   AND(   HLOOKUP(IF(O$80="",referentie_verwarming,O$80),toestellen_RV,ROWS(bibliotheek!$E$79:$E$84),FALSE)=1,   O112+Q112&gt;P112   ),
ABS(O112+Q112-P112)*O$112/(O112+Q112),
0)</f>
        <v>0</v>
      </c>
      <c r="P123" s="207">
        <f>IF(AND(HLOOKUP(IF(P$80="",referentie_koeling,P$80),toestellen_KOEL,ROWS(bibliotheek!$E$170:$E$174),FALSE)=1,O112+Q112&lt;P112),ABS(O112+Q112-P112),0)</f>
        <v>0</v>
      </c>
      <c r="Q123" s="207">
        <f>IF(AND(HLOOKUP(IF(Q$80="",referentie_warmtapwater,Q$80),toestellen_TAP,ROWS(bibliotheek!$E$136:$E$141),FALSE)=1,O112+Q112&gt;P112),ABS(O112+Q112-P112)*Q$112/(O112+Q112),0)</f>
        <v>0</v>
      </c>
      <c r="R123" s="147"/>
      <c r="S123" s="147"/>
      <c r="T123" s="147"/>
      <c r="U123" s="147"/>
      <c r="V123" s="147"/>
      <c r="W123" s="147"/>
      <c r="X123" s="125"/>
      <c r="Y123" s="243">
        <f>SUM(AA123:AJ123)</f>
        <v>0</v>
      </c>
      <c r="Z123" s="294"/>
      <c r="AA123" s="207">
        <f>IF(   AND(   HLOOKUP(IF(AA$80="",referentie_verwarming,AA$80),toestellen_RV,ROWS(bibliotheek!$E$79:$E$84),FALSE)=1,   AA112+AC112&gt;AB112   ),
ABS(AA112+AC112-AB112)*AA$112/(AA112+AC112),
0)</f>
        <v>0</v>
      </c>
      <c r="AB123" s="207">
        <f>IF(AND(HLOOKUP(IF(AB$80="",referentie_koeling,AB$80),toestellen_KOEL,ROWS(bibliotheek!$E$170:$E$174),FALSE)=1,AA112+AC112&lt;AB112),ABS(AA112+AC112-AB112),0)</f>
        <v>0</v>
      </c>
      <c r="AC123" s="207">
        <f>IF(AND(HLOOKUP(IF(AC$80="",referentie_warmtapwater,AC$80),toestellen_TAP,ROWS(bibliotheek!$E$136:$E$141),FALSE)=1,AA112+AC112&gt;AB112),ABS(AA112+AC112-AB112)*AC$112/(AA112+AC112),0)</f>
        <v>0</v>
      </c>
      <c r="AD123" s="147"/>
      <c r="AE123" s="147"/>
      <c r="AF123" s="147"/>
      <c r="AG123" s="147"/>
      <c r="AH123" s="147"/>
      <c r="AI123" s="147"/>
      <c r="AJ123" s="125"/>
      <c r="AK123" s="243">
        <f>SUM(AM123:AV123)</f>
        <v>0</v>
      </c>
      <c r="AL123" s="294"/>
      <c r="AM123" s="207">
        <f>IF(   AND(   HLOOKUP(IF(AM$80="",referentie_verwarming,AM$80),toestellen_RV,ROWS(bibliotheek!$E$79:$E$84),FALSE)=1,   AM112+AO112&gt;AN112   ),
ABS(AM112+AO112-AN112)*AM$112/(AM112+AO112),
0)</f>
        <v>0</v>
      </c>
      <c r="AN123" s="207">
        <f>IF(AND(HLOOKUP(IF(AN$80="",referentie_koeling,AN$80),toestellen_KOEL,ROWS(bibliotheek!$E$170:$E$174),FALSE)=1,AM112+AO112&lt;AN112),ABS(AM112+AO112-AN112),0)</f>
        <v>0</v>
      </c>
      <c r="AO123" s="207">
        <f>IF(AND(HLOOKUP(IF(AO$80="",referentie_warmtapwater,AO$80),toestellen_TAP,ROWS(bibliotheek!$E$136:$E$141),FALSE)=1,AM112+AO112&gt;AN112),ABS(AM112+AO112-AN112)*AO$112/(AM112+AO112),0)</f>
        <v>0</v>
      </c>
      <c r="AP123" s="147"/>
      <c r="AQ123" s="147"/>
      <c r="AR123" s="147"/>
      <c r="AS123" s="147"/>
      <c r="AT123" s="147"/>
      <c r="AU123" s="147"/>
      <c r="AV123" s="125"/>
      <c r="AW123" s="243">
        <f>SUM(AY123:BH123)</f>
        <v>0</v>
      </c>
      <c r="AX123" s="294"/>
      <c r="AY123" s="207">
        <f>IF(   AND(   HLOOKUP(IF(AY$80="",referentie_verwarming,AY$80),toestellen_RV,ROWS(bibliotheek!$E$79:$E$84),FALSE)=1,   AY112+BA112&gt;AZ112   ),
ABS(AY112+BA112-AZ112)*AY$112/(AY112+BA112),
0)</f>
        <v>0</v>
      </c>
      <c r="AZ123" s="207">
        <f>IF(AND(HLOOKUP(IF(AZ$80="",referentie_koeling,AZ$80),toestellen_KOEL,ROWS(bibliotheek!$E$170:$E$174),FALSE)=1,AY112+BA112&lt;AZ112),ABS(AY112+BA112-AZ112),0)</f>
        <v>0</v>
      </c>
      <c r="BA123" s="207">
        <f>IF(AND(HLOOKUP(IF(BA$80="",referentie_warmtapwater,BA$80),toestellen_TAP,ROWS(bibliotheek!$E$136:$E$141),FALSE)=1,AY112+BA112&gt;AZ112),ABS(AY112+BA112-AZ112)*BA$112/(AY112+BA112),0)</f>
        <v>0</v>
      </c>
      <c r="BB123" s="147"/>
      <c r="BC123" s="147"/>
      <c r="BD123" s="147"/>
      <c r="BE123" s="147"/>
      <c r="BF123" s="147"/>
      <c r="BG123" s="147"/>
      <c r="BH123" s="255"/>
    </row>
    <row r="124" spans="1:60" hidden="1" x14ac:dyDescent="0.2">
      <c r="A124" s="648"/>
      <c r="B124" s="492" t="s">
        <v>205</v>
      </c>
      <c r="C124" s="656" t="s">
        <v>199</v>
      </c>
      <c r="D124" s="747"/>
      <c r="E124" s="221" t="s">
        <v>231</v>
      </c>
      <c r="F124" s="220"/>
      <c r="G124" s="220"/>
      <c r="H124" s="221" t="s">
        <v>232</v>
      </c>
      <c r="I124" s="146"/>
      <c r="J124" s="230"/>
      <c r="K124" s="121"/>
      <c r="L124" s="121"/>
      <c r="M124" s="230"/>
      <c r="N124" s="90"/>
      <c r="O124" s="625">
        <f>HLOOKUP(IF(O$80="",referentie_verwarming,O$80),toestellen_RV,ROWS(bibliotheek!$E$79:$E$113),FALSE)</f>
        <v>0</v>
      </c>
      <c r="P124" s="625">
        <f>HLOOKUP(IF(P$80="",referentie_koeling,P$80),toestellen_KOEL,ROWS(bibliotheek!$E$170:$E$188),FALSE)</f>
        <v>0</v>
      </c>
      <c r="Q124" s="625">
        <f>HLOOKUP(IF(Q$80="",referentie_warmtapwater,Q$80),toestellen_TAP,ROWS(bibliotheek!$E$136:$E$162),FALSE)</f>
        <v>0</v>
      </c>
      <c r="R124" s="447"/>
      <c r="S124" s="447"/>
      <c r="T124" s="447"/>
      <c r="U124" s="447"/>
      <c r="V124" s="447"/>
      <c r="W124" s="447"/>
      <c r="X124" s="487"/>
      <c r="Y124" s="230"/>
      <c r="Z124" s="90"/>
      <c r="AA124" s="625">
        <f>HLOOKUP(IF(AA$80="",referentie_verwarming,AA$80),toestellen_RV,ROWS(bibliotheek!$E$79:$E$113),FALSE)</f>
        <v>0</v>
      </c>
      <c r="AB124" s="625">
        <f>HLOOKUP(IF(AB$80="",referentie_koeling,AB$80),toestellen_KOEL,ROWS(bibliotheek!$E$170:$E$188),FALSE)</f>
        <v>0</v>
      </c>
      <c r="AC124" s="625">
        <f>HLOOKUP(IF(AC$80="",referentie_warmtapwater,AC$80),toestellen_TAP,ROWS(bibliotheek!$E$136:$E$162),FALSE)</f>
        <v>0</v>
      </c>
      <c r="AD124" s="447"/>
      <c r="AE124" s="447"/>
      <c r="AF124" s="447"/>
      <c r="AG124" s="447"/>
      <c r="AH124" s="447"/>
      <c r="AI124" s="447"/>
      <c r="AJ124" s="487"/>
      <c r="AK124" s="230"/>
      <c r="AL124" s="90"/>
      <c r="AM124" s="625">
        <f>HLOOKUP(IF(AM$80="",referentie_verwarming,AM$80),toestellen_RV,ROWS(bibliotheek!$E$79:$E$113),FALSE)</f>
        <v>0</v>
      </c>
      <c r="AN124" s="625">
        <f>HLOOKUP(IF(AN$80="",referentie_koeling,AN$80),toestellen_KOEL,ROWS(bibliotheek!$E$170:$E$188),FALSE)</f>
        <v>0</v>
      </c>
      <c r="AO124" s="625">
        <f>HLOOKUP(IF(AO$80="",referentie_warmtapwater,AO$80),toestellen_TAP,ROWS(bibliotheek!$E$136:$E$162),FALSE)</f>
        <v>0</v>
      </c>
      <c r="AP124" s="447"/>
      <c r="AQ124" s="447"/>
      <c r="AR124" s="447"/>
      <c r="AS124" s="447"/>
      <c r="AT124" s="447"/>
      <c r="AU124" s="447"/>
      <c r="AV124" s="487"/>
      <c r="AW124" s="230"/>
      <c r="AX124" s="90"/>
      <c r="AY124" s="625">
        <f>HLOOKUP(IF(AY$80="",referentie_verwarming,AY$80),toestellen_RV,ROWS(bibliotheek!$E$79:$E$113),FALSE)</f>
        <v>0</v>
      </c>
      <c r="AZ124" s="625">
        <f>HLOOKUP(IF(AZ$80="",referentie_koeling,AZ$80),toestellen_KOEL,ROWS(bibliotheek!$E$170:$E$188),FALSE)</f>
        <v>0</v>
      </c>
      <c r="BA124" s="625">
        <f>HLOOKUP(IF(BA$80="",referentie_warmtapwater,BA$80),toestellen_TAP,ROWS(bibliotheek!$E$136:$E$162),FALSE)</f>
        <v>0</v>
      </c>
      <c r="BB124" s="447"/>
      <c r="BC124" s="447"/>
      <c r="BD124" s="447"/>
      <c r="BE124" s="447"/>
      <c r="BF124" s="447"/>
      <c r="BG124" s="447"/>
      <c r="BH124" s="255"/>
    </row>
    <row r="125" spans="1:60" x14ac:dyDescent="0.2">
      <c r="A125" s="648"/>
      <c r="B125" s="492" t="s">
        <v>205</v>
      </c>
      <c r="C125" s="656" t="s">
        <v>127</v>
      </c>
      <c r="D125" s="747"/>
      <c r="E125" s="354" t="s">
        <v>233</v>
      </c>
      <c r="F125" s="316"/>
      <c r="G125" s="316"/>
      <c r="H125" s="354" t="s">
        <v>70</v>
      </c>
      <c r="I125" s="88"/>
      <c r="J125" s="352"/>
      <c r="K125" s="88"/>
      <c r="L125" s="88"/>
      <c r="M125" s="352"/>
      <c r="N125" s="90"/>
      <c r="O125" s="452">
        <f>IF(HLOOKUP(IF(O$80="",referentie_verwarming,O$80),toestellen_RV,ROWS(bibliotheek!$E$79:$E$97),FALSE)=0,0,IF(O126&lt;&gt;"",O126,HLOOKUP(IF(O$80="",referentie_verwarming,O$80),toestellen_RV,ROWS(bibliotheek!$E$79:$E$97),FALSE)))</f>
        <v>0</v>
      </c>
      <c r="P125" s="452">
        <f>IF(HLOOKUP(IF(P$80="",referentie_koeling,P$80),toestellen_KOEL,ROWS(bibliotheek!$E$170:$E$181),FALSE)=0,0,IF(P126&lt;&gt;"",P126,HLOOKUP(IF(P$80="",referentie_koeling,P$80),toestellen_KOEL,ROWS(bibliotheek!$E$170:$E$181),FALSE)))</f>
        <v>0</v>
      </c>
      <c r="Q125" s="452">
        <f>IF(HLOOKUP(IF(Q$80="",referentie_warmtapwater,Q$80),toestellen_TAP,ROWS(bibliotheek!$E$136:$E$154),FALSE)=0,0,IF(Q126&lt;&gt;"",Q126,HLOOKUP(IF(Q$80="",referentie_warmtapwater,Q$80),toestellen_TAP,ROWS(bibliotheek!$E$136:$E$154),FALSE)))</f>
        <v>0</v>
      </c>
      <c r="R125" s="156"/>
      <c r="S125" s="156"/>
      <c r="T125" s="156"/>
      <c r="U125" s="156"/>
      <c r="V125" s="156"/>
      <c r="W125" s="156"/>
      <c r="X125" s="126"/>
      <c r="Y125" s="352"/>
      <c r="Z125" s="90"/>
      <c r="AA125" s="452">
        <f>IF(HLOOKUP(IF(AA$80="",referentie_verwarming,AA$80),toestellen_RV,ROWS(bibliotheek!$E$79:$E$97),FALSE)=0,0,IF(AA126&lt;&gt;"",AA126,HLOOKUP(IF(AA$80="",referentie_verwarming,AA$80),toestellen_RV,ROWS(bibliotheek!$E$79:$E$97),FALSE)))</f>
        <v>0</v>
      </c>
      <c r="AB125" s="452">
        <f>IF(HLOOKUP(IF(AB$80="",referentie_koeling,AB$80),toestellen_KOEL,ROWS(bibliotheek!$E$170:$E$181),FALSE)=0,0,IF(AB126&lt;&gt;"",AB126,HLOOKUP(IF(AB$80="",referentie_koeling,AB$80),toestellen_KOEL,ROWS(bibliotheek!$E$170:$E$181),FALSE)))</f>
        <v>0</v>
      </c>
      <c r="AC125" s="452">
        <f>IF(HLOOKUP(IF(AC$80="",referentie_warmtapwater,AC$80),toestellen_TAP,ROWS(bibliotheek!$E$136:$E$154),FALSE)=0,0,IF(AC126&lt;&gt;"",AC126,HLOOKUP(IF(AC$80="",referentie_warmtapwater,AC$80),toestellen_TAP,ROWS(bibliotheek!$E$136:$E$154),FALSE)))</f>
        <v>0</v>
      </c>
      <c r="AD125" s="156"/>
      <c r="AE125" s="156"/>
      <c r="AF125" s="156"/>
      <c r="AG125" s="156"/>
      <c r="AH125" s="156"/>
      <c r="AI125" s="156"/>
      <c r="AJ125" s="126"/>
      <c r="AK125" s="352"/>
      <c r="AL125" s="90"/>
      <c r="AM125" s="452">
        <f>IF(HLOOKUP(IF(AM$80="",referentie_verwarming,AM$80),toestellen_RV,ROWS(bibliotheek!$E$79:$E$97),FALSE)=0,0,IF(AM126&lt;&gt;"",AM126,HLOOKUP(IF(AM$80="",referentie_verwarming,AM$80),toestellen_RV,ROWS(bibliotheek!$E$79:$E$97),FALSE)))</f>
        <v>0</v>
      </c>
      <c r="AN125" s="452">
        <f>IF(HLOOKUP(IF(AN$80="",referentie_koeling,AN$80),toestellen_KOEL,ROWS(bibliotheek!$E$170:$E$181),FALSE)=0,0,IF(AN126&lt;&gt;"",AN126,HLOOKUP(IF(AN$80="",referentie_koeling,AN$80),toestellen_KOEL,ROWS(bibliotheek!$E$170:$E$181),FALSE)))</f>
        <v>0</v>
      </c>
      <c r="AO125" s="452">
        <f>IF(HLOOKUP(IF(AO$80="",referentie_warmtapwater,AO$80),toestellen_TAP,ROWS(bibliotheek!$E$136:$E$154),FALSE)=0,0,IF(AO126&lt;&gt;"",AO126,HLOOKUP(IF(AO$80="",referentie_warmtapwater,AO$80),toestellen_TAP,ROWS(bibliotheek!$E$136:$E$154),FALSE)))</f>
        <v>0</v>
      </c>
      <c r="AP125" s="156"/>
      <c r="AQ125" s="156"/>
      <c r="AR125" s="156"/>
      <c r="AS125" s="156"/>
      <c r="AT125" s="156"/>
      <c r="AU125" s="156"/>
      <c r="AV125" s="126"/>
      <c r="AW125" s="352"/>
      <c r="AX125" s="90"/>
      <c r="AY125" s="452">
        <f>IF(HLOOKUP(IF(AY$80="",referentie_verwarming,AY$80),toestellen_RV,ROWS(bibliotheek!$E$79:$E$97),FALSE)=0,0,IF(AY126&lt;&gt;"",AY126,HLOOKUP(IF(AY$80="",referentie_verwarming,AY$80),toestellen_RV,ROWS(bibliotheek!$E$79:$E$97),FALSE)))</f>
        <v>0</v>
      </c>
      <c r="AZ125" s="452">
        <f>IF(HLOOKUP(IF(AZ$80="",referentie_koeling,AZ$80),toestellen_KOEL,ROWS(bibliotheek!$E$170:$E$181),FALSE)=0,0,IF(AZ126&lt;&gt;"",AZ126,HLOOKUP(IF(AZ$80="",referentie_koeling,AZ$80),toestellen_KOEL,ROWS(bibliotheek!$E$170:$E$181),FALSE)))</f>
        <v>0</v>
      </c>
      <c r="BA125" s="452">
        <f>IF(HLOOKUP(IF(BA$80="",referentie_warmtapwater,BA$80),toestellen_TAP,ROWS(bibliotheek!$E$136:$E$154),FALSE)=0,0,IF(BA126&lt;&gt;"",BA126,HLOOKUP(IF(BA$80="",referentie_warmtapwater,BA$80),toestellen_TAP,ROWS(bibliotheek!$E$136:$E$154),FALSE)))</f>
        <v>0</v>
      </c>
      <c r="BB125" s="156"/>
      <c r="BC125" s="156"/>
      <c r="BD125" s="156"/>
      <c r="BE125" s="156"/>
      <c r="BF125" s="156"/>
      <c r="BG125" s="156"/>
      <c r="BH125" s="214"/>
    </row>
    <row r="126" spans="1:60" x14ac:dyDescent="0.2">
      <c r="A126" s="648"/>
      <c r="B126" s="492" t="s">
        <v>205</v>
      </c>
      <c r="C126" s="656" t="s">
        <v>127</v>
      </c>
      <c r="D126" s="747"/>
      <c r="E126" s="412" t="s">
        <v>234</v>
      </c>
      <c r="F126" s="317"/>
      <c r="G126" s="317"/>
      <c r="H126" s="355"/>
      <c r="I126" s="88"/>
      <c r="J126" s="362"/>
      <c r="K126" s="88"/>
      <c r="L126" s="88"/>
      <c r="M126" s="239"/>
      <c r="N126" s="90"/>
      <c r="O126" s="337"/>
      <c r="P126" s="712"/>
      <c r="Q126" s="337"/>
      <c r="R126" s="157"/>
      <c r="S126" s="157"/>
      <c r="T126" s="157"/>
      <c r="U126" s="157"/>
      <c r="V126" s="157"/>
      <c r="W126" s="157"/>
      <c r="X126" s="87"/>
      <c r="Y126" s="239"/>
      <c r="Z126" s="90"/>
      <c r="AA126" s="337"/>
      <c r="AB126" s="712"/>
      <c r="AC126" s="337"/>
      <c r="AD126" s="157"/>
      <c r="AE126" s="157"/>
      <c r="AF126" s="157"/>
      <c r="AG126" s="157"/>
      <c r="AH126" s="157"/>
      <c r="AI126" s="157"/>
      <c r="AJ126" s="87"/>
      <c r="AK126" s="239"/>
      <c r="AL126" s="90"/>
      <c r="AM126" s="337"/>
      <c r="AN126" s="712"/>
      <c r="AO126" s="337"/>
      <c r="AP126" s="157"/>
      <c r="AQ126" s="157"/>
      <c r="AR126" s="157"/>
      <c r="AS126" s="157"/>
      <c r="AT126" s="157"/>
      <c r="AU126" s="157"/>
      <c r="AV126" s="87"/>
      <c r="AW126" s="239"/>
      <c r="AX126" s="90"/>
      <c r="AY126" s="337"/>
      <c r="AZ126" s="712"/>
      <c r="BA126" s="337"/>
      <c r="BB126" s="157"/>
      <c r="BC126" s="157"/>
      <c r="BD126" s="157"/>
      <c r="BE126" s="157"/>
      <c r="BF126" s="157"/>
      <c r="BG126" s="157"/>
      <c r="BH126" s="214"/>
    </row>
    <row r="127" spans="1:60" x14ac:dyDescent="0.2">
      <c r="A127" s="648"/>
      <c r="B127" s="492" t="s">
        <v>205</v>
      </c>
      <c r="C127" s="656" t="s">
        <v>104</v>
      </c>
      <c r="D127" s="747"/>
      <c r="E127" s="90"/>
      <c r="F127" s="90"/>
      <c r="G127" s="90"/>
      <c r="H127" s="96"/>
      <c r="I127" s="90"/>
      <c r="J127" s="93"/>
      <c r="K127" s="90"/>
      <c r="L127" s="90"/>
      <c r="M127" s="93"/>
      <c r="N127" s="93"/>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3"/>
      <c r="AN127" s="93"/>
      <c r="AO127" s="93"/>
      <c r="AP127" s="93"/>
      <c r="AQ127" s="93"/>
      <c r="AR127" s="93"/>
      <c r="AS127" s="93"/>
      <c r="AT127" s="93"/>
      <c r="AU127" s="93"/>
      <c r="AV127" s="93"/>
      <c r="AW127" s="93"/>
      <c r="AX127" s="93"/>
      <c r="AY127" s="93"/>
      <c r="AZ127" s="93"/>
      <c r="BA127" s="93"/>
      <c r="BB127" s="93"/>
      <c r="BC127" s="93"/>
      <c r="BD127" s="93"/>
      <c r="BE127" s="93"/>
      <c r="BF127" s="93"/>
      <c r="BG127" s="93"/>
      <c r="BH127" s="1"/>
    </row>
    <row r="128" spans="1:60" x14ac:dyDescent="0.2">
      <c r="A128" s="648"/>
      <c r="B128" s="492" t="s">
        <v>235</v>
      </c>
      <c r="C128" s="656" t="s">
        <v>104</v>
      </c>
      <c r="D128" s="747"/>
      <c r="E128" s="90"/>
      <c r="F128" s="90"/>
      <c r="G128" s="90"/>
      <c r="H128" s="96"/>
      <c r="I128" s="90"/>
      <c r="J128" s="93"/>
      <c r="K128" s="90"/>
      <c r="L128" s="90"/>
      <c r="M128" s="93"/>
      <c r="N128" s="93"/>
      <c r="O128" s="93"/>
      <c r="P128" s="93"/>
      <c r="Q128" s="93"/>
      <c r="R128" s="93"/>
      <c r="S128" s="93"/>
      <c r="T128" s="93"/>
      <c r="U128" s="93"/>
      <c r="V128" s="93"/>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1"/>
    </row>
    <row r="129" spans="1:60" ht="21" x14ac:dyDescent="0.2">
      <c r="A129" s="648"/>
      <c r="B129" s="492" t="s">
        <v>235</v>
      </c>
      <c r="C129" s="739" t="s">
        <v>104</v>
      </c>
      <c r="D129" s="750" t="s">
        <v>50</v>
      </c>
      <c r="E129" s="240" t="s">
        <v>236</v>
      </c>
      <c r="F129" s="240"/>
      <c r="G129" s="240"/>
      <c r="H129" s="240"/>
      <c r="I129" s="88"/>
      <c r="J129" s="241" t="s">
        <v>58</v>
      </c>
      <c r="K129" s="142"/>
      <c r="L129" s="142"/>
      <c r="M129" s="216" t="s">
        <v>237</v>
      </c>
      <c r="N129" s="222"/>
      <c r="O129" s="217" t="str">
        <f>$O$10</f>
        <v>verwarming</v>
      </c>
      <c r="P129" s="217" t="str">
        <f>$P$10</f>
        <v>koeling</v>
      </c>
      <c r="Q129" s="217" t="str">
        <f>$Q$10</f>
        <v>tapwater</v>
      </c>
      <c r="R129" s="217"/>
      <c r="S129" s="217"/>
      <c r="T129" s="217"/>
      <c r="U129" s="217"/>
      <c r="V129" s="217"/>
      <c r="W129" s="217"/>
      <c r="X129" s="214"/>
      <c r="Y129" s="216" t="s">
        <v>237</v>
      </c>
      <c r="Z129" s="222"/>
      <c r="AA129" s="217" t="str">
        <f>$O$10</f>
        <v>verwarming</v>
      </c>
      <c r="AB129" s="217" t="str">
        <f>$P$10</f>
        <v>koeling</v>
      </c>
      <c r="AC129" s="217" t="str">
        <f>$Q$10</f>
        <v>tapwater</v>
      </c>
      <c r="AD129" s="217"/>
      <c r="AE129" s="217"/>
      <c r="AF129" s="217"/>
      <c r="AG129" s="217"/>
      <c r="AH129" s="217"/>
      <c r="AI129" s="217"/>
      <c r="AJ129" s="214"/>
      <c r="AK129" s="216" t="s">
        <v>237</v>
      </c>
      <c r="AL129" s="222"/>
      <c r="AM129" s="217" t="str">
        <f>$O$10</f>
        <v>verwarming</v>
      </c>
      <c r="AN129" s="217" t="str">
        <f>$P$10</f>
        <v>koeling</v>
      </c>
      <c r="AO129" s="217" t="str">
        <f>$Q$10</f>
        <v>tapwater</v>
      </c>
      <c r="AP129" s="217"/>
      <c r="AQ129" s="217"/>
      <c r="AR129" s="217"/>
      <c r="AS129" s="217"/>
      <c r="AT129" s="217"/>
      <c r="AU129" s="217"/>
      <c r="AV129" s="214"/>
      <c r="AW129" s="216" t="s">
        <v>237</v>
      </c>
      <c r="AX129" s="222"/>
      <c r="AY129" s="217" t="str">
        <f>$O$10</f>
        <v>verwarming</v>
      </c>
      <c r="AZ129" s="217" t="str">
        <f>$P$10</f>
        <v>koeling</v>
      </c>
      <c r="BA129" s="217" t="str">
        <f>$Q$10</f>
        <v>tapwater</v>
      </c>
      <c r="BB129" s="217"/>
      <c r="BC129" s="217"/>
      <c r="BD129" s="217"/>
      <c r="BE129" s="217"/>
      <c r="BF129" s="217"/>
      <c r="BG129" s="217"/>
      <c r="BH129" s="1"/>
    </row>
    <row r="130" spans="1:60" ht="18.75" x14ac:dyDescent="0.2">
      <c r="A130" s="648"/>
      <c r="B130" s="492" t="s">
        <v>235</v>
      </c>
      <c r="C130" s="739" t="s">
        <v>104</v>
      </c>
      <c r="D130" s="747"/>
      <c r="E130" s="144" t="s">
        <v>210</v>
      </c>
      <c r="F130" s="231"/>
      <c r="G130" s="231"/>
      <c r="H130" s="89"/>
      <c r="I130" s="232"/>
      <c r="J130" s="231"/>
      <c r="K130" s="232"/>
      <c r="L130" s="232"/>
      <c r="M130" s="231"/>
      <c r="N130" s="232"/>
      <c r="O130" s="232"/>
      <c r="P130" s="232"/>
      <c r="Q130" s="232"/>
      <c r="R130" s="232"/>
      <c r="S130" s="232"/>
      <c r="T130" s="232"/>
      <c r="U130" s="232"/>
      <c r="V130" s="232"/>
      <c r="W130" s="232"/>
      <c r="X130" s="232"/>
      <c r="Y130" s="232"/>
      <c r="Z130" s="232"/>
      <c r="AA130" s="232"/>
      <c r="AB130" s="232"/>
      <c r="AC130" s="232"/>
      <c r="AD130" s="232"/>
      <c r="AE130" s="232"/>
      <c r="AF130" s="232"/>
      <c r="AG130" s="232"/>
      <c r="AH130" s="232"/>
      <c r="AI130" s="232"/>
      <c r="AJ130" s="232"/>
      <c r="AK130" s="232"/>
      <c r="AL130" s="232"/>
      <c r="AM130" s="232"/>
      <c r="AN130" s="232"/>
      <c r="AO130" s="232"/>
      <c r="AP130" s="232"/>
      <c r="AQ130" s="232"/>
      <c r="AR130" s="232"/>
      <c r="AS130" s="232"/>
      <c r="AT130" s="232"/>
      <c r="AU130" s="232"/>
      <c r="AV130" s="232"/>
      <c r="AW130" s="232"/>
      <c r="AX130" s="232"/>
      <c r="AY130" s="232"/>
      <c r="AZ130" s="232"/>
      <c r="BA130" s="232"/>
      <c r="BB130" s="232"/>
      <c r="BC130" s="232"/>
      <c r="BD130" s="232"/>
      <c r="BE130" s="232"/>
      <c r="BF130" s="232"/>
      <c r="BG130" s="232"/>
      <c r="BH130" s="38"/>
    </row>
    <row r="131" spans="1:60" ht="25.5" x14ac:dyDescent="0.2">
      <c r="A131" s="648"/>
      <c r="B131" s="492" t="s">
        <v>235</v>
      </c>
      <c r="C131" s="656" t="s">
        <v>127</v>
      </c>
      <c r="D131" s="747"/>
      <c r="E131" s="326" t="s">
        <v>238</v>
      </c>
      <c r="F131" s="326"/>
      <c r="G131" s="326"/>
      <c r="H131" s="327" t="s">
        <v>70</v>
      </c>
      <c r="I131" s="115"/>
      <c r="J131" s="330"/>
      <c r="K131" s="115"/>
      <c r="L131" s="115"/>
      <c r="M131" s="330" t="str">
        <f>IF(OR(M$12=0,O134=0),"-","RV: "&amp;O131)</f>
        <v>-</v>
      </c>
      <c r="N131" s="136"/>
      <c r="O131" s="346" t="str">
        <f>IF(O$105=1,geen,HLOOKUP(IF(O$80="",referentie_verwarming,O$80),toestellen_RV,ROWS(bibliotheek!$E$79:$E$100),FALSE))</f>
        <v>elektrisch element</v>
      </c>
      <c r="P131" s="346" t="str">
        <f>IF(OR(P$101=geen,P$105=1),geen,HLOOKUP(IF(P$80="",referentie_koeling,P$80),toestellen_KOEL,ROWS(bibliotheek!$E$170:$E$183),FALSE))</f>
        <v>geen</v>
      </c>
      <c r="Q131" s="346" t="str">
        <f>IF(Q105=1,geen,HLOOKUP(IF(Q$80="",referentie_warmtapwater,Q$80),toestellen_TAP,ROWS(bibliotheek!$E$136:$E$157),FALSE))</f>
        <v>elektrisch element</v>
      </c>
      <c r="R131" s="331"/>
      <c r="S131" s="331"/>
      <c r="T131" s="331"/>
      <c r="U131" s="331"/>
      <c r="V131" s="331"/>
      <c r="W131" s="331"/>
      <c r="X131" s="130"/>
      <c r="Y131" s="330" t="str">
        <f>IF(OR(Y$12=0,AA134=0),"-","RV: "&amp;AA131)</f>
        <v>-</v>
      </c>
      <c r="Z131" s="136"/>
      <c r="AA131" s="346" t="str">
        <f>IF(AA$105=1,geen,HLOOKUP(IF(AA$80="",referentie_verwarming,AA$80),toestellen_RV,ROWS(bibliotheek!$E$79:$E$100),FALSE))</f>
        <v>elektrisch element</v>
      </c>
      <c r="AB131" s="346" t="str">
        <f>IF(OR(AB$101=geen,AB$105=1),geen,HLOOKUP(IF(AB$80="",referentie_koeling,AB$80),toestellen_KOEL,ROWS(bibliotheek!$E$170:$E$183),FALSE))</f>
        <v>geen</v>
      </c>
      <c r="AC131" s="346" t="str">
        <f>IF(AC105=1,geen,HLOOKUP(IF(AC$80="",referentie_warmtapwater,AC$80),toestellen_TAP,ROWS(bibliotheek!$E$136:$E$157),FALSE))</f>
        <v>elektrisch element</v>
      </c>
      <c r="AD131" s="331"/>
      <c r="AE131" s="331"/>
      <c r="AF131" s="331"/>
      <c r="AG131" s="331"/>
      <c r="AH131" s="331"/>
      <c r="AI131" s="331"/>
      <c r="AJ131" s="130"/>
      <c r="AK131" s="330" t="str">
        <f>IF(OR(AK$12=0,AM134=0),"-","RV: "&amp;AM131)</f>
        <v>-</v>
      </c>
      <c r="AL131" s="136"/>
      <c r="AM131" s="346" t="str">
        <f>IF(AM$105=1,geen,HLOOKUP(IF(AM$80="",referentie_verwarming,AM$80),toestellen_RV,ROWS(bibliotheek!$E$79:$E$100),FALSE))</f>
        <v>elektrisch element</v>
      </c>
      <c r="AN131" s="346" t="str">
        <f>IF(OR(AN$101=geen,AN$105=1),geen,HLOOKUP(IF(AN$80="",referentie_koeling,AN$80),toestellen_KOEL,ROWS(bibliotheek!$E$170:$E$183),FALSE))</f>
        <v>geen</v>
      </c>
      <c r="AO131" s="346" t="str">
        <f>IF(AO105=1,geen,HLOOKUP(IF(AO$80="",referentie_warmtapwater,AO$80),toestellen_TAP,ROWS(bibliotheek!$E$136:$E$157),FALSE))</f>
        <v>elektrisch element</v>
      </c>
      <c r="AP131" s="331"/>
      <c r="AQ131" s="331"/>
      <c r="AR131" s="331"/>
      <c r="AS131" s="331"/>
      <c r="AT131" s="331"/>
      <c r="AU131" s="331"/>
      <c r="AV131" s="130"/>
      <c r="AW131" s="330" t="str">
        <f>IF(OR(AW$12=0,AY134=0),"-","RV: "&amp;AY131)</f>
        <v>-</v>
      </c>
      <c r="AX131" s="136"/>
      <c r="AY131" s="346" t="str">
        <f>IF(AY$105=1,geen,HLOOKUP(IF(AY$80="",referentie_verwarming,AY$80),toestellen_RV,ROWS(bibliotheek!$E$79:$E$100),FALSE))</f>
        <v>elektrisch element</v>
      </c>
      <c r="AZ131" s="346" t="str">
        <f>IF(OR(AZ$101=geen,AZ$105=1),geen,HLOOKUP(IF(AZ$80="",referentie_koeling,AZ$80),toestellen_KOEL,ROWS(bibliotheek!$E$170:$E$183),FALSE))</f>
        <v>geen</v>
      </c>
      <c r="BA131" s="346" t="str">
        <f>IF(BA105=1,geen,HLOOKUP(IF(BA$80="",referentie_warmtapwater,BA$80),toestellen_TAP,ROWS(bibliotheek!$E$136:$E$157),FALSE))</f>
        <v>elektrisch element</v>
      </c>
      <c r="BB131" s="331"/>
      <c r="BC131" s="331"/>
      <c r="BD131" s="331"/>
      <c r="BE131" s="331"/>
      <c r="BF131" s="331"/>
      <c r="BG131" s="331"/>
      <c r="BH131" s="266"/>
    </row>
    <row r="132" spans="1:60" hidden="1" x14ac:dyDescent="0.2">
      <c r="A132" s="648"/>
      <c r="B132" s="492" t="s">
        <v>235</v>
      </c>
      <c r="C132" s="656" t="s">
        <v>199</v>
      </c>
      <c r="D132" s="747"/>
      <c r="E132" s="220" t="s">
        <v>208</v>
      </c>
      <c r="F132" s="220"/>
      <c r="G132" s="220"/>
      <c r="H132" s="221" t="s">
        <v>70</v>
      </c>
      <c r="I132" s="90"/>
      <c r="J132" s="230"/>
      <c r="K132" s="90"/>
      <c r="L132" s="90"/>
      <c r="M132" s="230"/>
      <c r="N132" s="129"/>
      <c r="O132" s="347" t="str">
        <f>IF(O131=geen,nvt,HLOOKUP(IF(O$80="",referentie_verwarming,O$80),toestellen_RV,ROWS(bibliotheek!$E$79:$E$101),FALSE))</f>
        <v>elektriciteit</v>
      </c>
      <c r="P132" s="208" t="str">
        <f>IF(P131=geen,nvt,HLOOKUP(IF(P$80="",referentie_koeling,P$80),toestellen_KOEL,ROWS(bibliotheek!$E$170:$E$184),FALSE))</f>
        <v>nvt</v>
      </c>
      <c r="Q132" s="272" t="str">
        <f>IF(Q131=geen,nvt,HLOOKUP(IF(Q$80="",referentie_warmtapwater,Q$80),toestellen_TAP,ROWS(bibliotheek!$E$136:$E$158),FALSE))</f>
        <v>elektriciteit</v>
      </c>
      <c r="R132" s="332"/>
      <c r="S132" s="332"/>
      <c r="T132" s="332"/>
      <c r="U132" s="332"/>
      <c r="V132" s="332"/>
      <c r="W132" s="332"/>
      <c r="X132" s="122"/>
      <c r="Y132" s="230"/>
      <c r="Z132" s="129"/>
      <c r="AA132" s="347" t="str">
        <f>IF(AA131=geen,nvt,HLOOKUP(IF(AA$80="",referentie_verwarming,AA$80),toestellen_RV,ROWS(bibliotheek!$E$79:$E$101),FALSE))</f>
        <v>elektriciteit</v>
      </c>
      <c r="AB132" s="208" t="str">
        <f>IF(AB131=geen,nvt,HLOOKUP(IF(AB$80="",referentie_koeling,AB$80),toestellen_KOEL,ROWS(bibliotheek!$E$170:$E$184),FALSE))</f>
        <v>nvt</v>
      </c>
      <c r="AC132" s="272" t="str">
        <f>IF(AC131=geen,nvt,HLOOKUP(IF(AC$80="",referentie_warmtapwater,AC$80),toestellen_TAP,ROWS(bibliotheek!$E$136:$E$158),FALSE))</f>
        <v>elektriciteit</v>
      </c>
      <c r="AD132" s="332"/>
      <c r="AE132" s="332"/>
      <c r="AF132" s="332"/>
      <c r="AG132" s="332"/>
      <c r="AH132" s="332"/>
      <c r="AI132" s="332"/>
      <c r="AJ132" s="122"/>
      <c r="AK132" s="230"/>
      <c r="AL132" s="129"/>
      <c r="AM132" s="347" t="str">
        <f>IF(AM131=geen,nvt,HLOOKUP(IF(AM$80="",referentie_verwarming,AM$80),toestellen_RV,ROWS(bibliotheek!$E$79:$E$101),FALSE))</f>
        <v>elektriciteit</v>
      </c>
      <c r="AN132" s="208" t="str">
        <f>IF(AN131=geen,nvt,HLOOKUP(IF(AN$80="",referentie_koeling,AN$80),toestellen_KOEL,ROWS(bibliotheek!$E$170:$E$184),FALSE))</f>
        <v>nvt</v>
      </c>
      <c r="AO132" s="272" t="str">
        <f>IF(AO131=geen,nvt,HLOOKUP(IF(AO$80="",referentie_warmtapwater,AO$80),toestellen_TAP,ROWS(bibliotheek!$E$136:$E$158),FALSE))</f>
        <v>elektriciteit</v>
      </c>
      <c r="AP132" s="332"/>
      <c r="AQ132" s="332"/>
      <c r="AR132" s="332"/>
      <c r="AS132" s="332"/>
      <c r="AT132" s="332"/>
      <c r="AU132" s="332"/>
      <c r="AV132" s="122"/>
      <c r="AW132" s="230"/>
      <c r="AX132" s="129"/>
      <c r="AY132" s="347" t="str">
        <f>IF(AY131=geen,nvt,HLOOKUP(IF(AY$80="",referentie_verwarming,AY$80),toestellen_RV,ROWS(bibliotheek!$E$79:$E$101),FALSE))</f>
        <v>elektriciteit</v>
      </c>
      <c r="AZ132" s="208" t="str">
        <f>IF(AZ131=geen,nvt,HLOOKUP(IF(AZ$80="",referentie_koeling,AZ$80),toestellen_KOEL,ROWS(bibliotheek!$E$170:$E$184),FALSE))</f>
        <v>nvt</v>
      </c>
      <c r="BA132" s="272" t="str">
        <f>IF(BA131=geen,nvt,HLOOKUP(IF(BA$80="",referentie_warmtapwater,BA$80),toestellen_TAP,ROWS(bibliotheek!$E$136:$E$158),FALSE))</f>
        <v>elektriciteit</v>
      </c>
      <c r="BB132" s="332"/>
      <c r="BC132" s="332"/>
      <c r="BD132" s="332"/>
      <c r="BE132" s="332"/>
      <c r="BF132" s="332"/>
      <c r="BG132" s="332"/>
      <c r="BH132" s="214"/>
    </row>
    <row r="133" spans="1:60" hidden="1" x14ac:dyDescent="0.2">
      <c r="A133" s="648"/>
      <c r="B133" s="492" t="s">
        <v>235</v>
      </c>
      <c r="C133" s="739" t="s">
        <v>199</v>
      </c>
      <c r="D133" s="747"/>
      <c r="E133" s="221" t="s">
        <v>209</v>
      </c>
      <c r="F133" s="220"/>
      <c r="G133" s="220"/>
      <c r="H133" s="221" t="s">
        <v>70</v>
      </c>
      <c r="I133" s="146"/>
      <c r="J133" s="230"/>
      <c r="K133" s="822"/>
      <c r="L133" s="822"/>
      <c r="M133" s="230"/>
      <c r="N133" s="129"/>
      <c r="O133" s="347" t="str">
        <f>INDEX(energiedragers_index_fPren,MATCH(O132,energiedragers_namen,0))</f>
        <v>nren</v>
      </c>
      <c r="P133" s="208" t="str">
        <f>INDEX(energiedragers_index_fPren,MATCH(P132,energiedragers_namen,0))</f>
        <v>nren</v>
      </c>
      <c r="Q133" s="272" t="str">
        <f>INDEX(energiedragers_index_fPren,MATCH(Q132,energiedragers_namen,0))</f>
        <v>nren</v>
      </c>
      <c r="R133" s="333"/>
      <c r="S133" s="333"/>
      <c r="T133" s="333"/>
      <c r="U133" s="333"/>
      <c r="V133" s="333"/>
      <c r="W133" s="333"/>
      <c r="X133" s="889"/>
      <c r="Y133" s="230"/>
      <c r="Z133" s="129"/>
      <c r="AA133" s="347" t="str">
        <f>INDEX(energiedragers_index_fPren,MATCH(AA132,energiedragers_namen,0))</f>
        <v>nren</v>
      </c>
      <c r="AB133" s="208" t="str">
        <f>INDEX(energiedragers_index_fPren,MATCH(AB132,energiedragers_namen,0))</f>
        <v>nren</v>
      </c>
      <c r="AC133" s="272" t="str">
        <f>INDEX(energiedragers_index_fPren,MATCH(AC132,energiedragers_namen,0))</f>
        <v>nren</v>
      </c>
      <c r="AD133" s="333"/>
      <c r="AE133" s="333"/>
      <c r="AF133" s="333"/>
      <c r="AG133" s="333"/>
      <c r="AH133" s="333"/>
      <c r="AI133" s="333"/>
      <c r="AJ133" s="889"/>
      <c r="AK133" s="230"/>
      <c r="AL133" s="129"/>
      <c r="AM133" s="347" t="str">
        <f>INDEX(energiedragers_index_fPren,MATCH(AM132,energiedragers_namen,0))</f>
        <v>nren</v>
      </c>
      <c r="AN133" s="208" t="str">
        <f>INDEX(energiedragers_index_fPren,MATCH(AN132,energiedragers_namen,0))</f>
        <v>nren</v>
      </c>
      <c r="AO133" s="272" t="str">
        <f>INDEX(energiedragers_index_fPren,MATCH(AO132,energiedragers_namen,0))</f>
        <v>nren</v>
      </c>
      <c r="AP133" s="333"/>
      <c r="AQ133" s="333"/>
      <c r="AR133" s="333"/>
      <c r="AS133" s="333"/>
      <c r="AT133" s="333"/>
      <c r="AU133" s="333"/>
      <c r="AV133" s="889"/>
      <c r="AW133" s="230"/>
      <c r="AX133" s="129"/>
      <c r="AY133" s="347" t="str">
        <f>INDEX(energiedragers_index_fPren,MATCH(AY132,energiedragers_namen,0))</f>
        <v>nren</v>
      </c>
      <c r="AZ133" s="208" t="str">
        <f>INDEX(energiedragers_index_fPren,MATCH(AZ132,energiedragers_namen,0))</f>
        <v>nren</v>
      </c>
      <c r="BA133" s="272" t="str">
        <f>INDEX(energiedragers_index_fPren,MATCH(BA132,energiedragers_namen,0))</f>
        <v>nren</v>
      </c>
      <c r="BB133" s="333"/>
      <c r="BC133" s="333"/>
      <c r="BD133" s="333"/>
      <c r="BE133" s="333"/>
      <c r="BF133" s="333"/>
      <c r="BG133" s="333"/>
      <c r="BH133" s="264"/>
    </row>
    <row r="134" spans="1:60" hidden="1" x14ac:dyDescent="0.2">
      <c r="A134" s="648"/>
      <c r="B134" s="492" t="s">
        <v>235</v>
      </c>
      <c r="C134" s="656" t="s">
        <v>199</v>
      </c>
      <c r="D134" s="747"/>
      <c r="E134" s="220" t="s">
        <v>211</v>
      </c>
      <c r="F134" s="220"/>
      <c r="G134" s="220"/>
      <c r="H134" s="221" t="s">
        <v>70</v>
      </c>
      <c r="I134" s="90"/>
      <c r="J134" s="230"/>
      <c r="K134" s="115"/>
      <c r="L134" s="115"/>
      <c r="M134" s="230"/>
      <c r="N134" s="129"/>
      <c r="O134" s="348">
        <f>1-O105</f>
        <v>9.9999999999999978E-2</v>
      </c>
      <c r="P134" s="348">
        <f>1-P105</f>
        <v>0</v>
      </c>
      <c r="Q134" s="348">
        <f>1-Q105</f>
        <v>9.9999999999999978E-2</v>
      </c>
      <c r="R134" s="334"/>
      <c r="S134" s="334"/>
      <c r="T134" s="334"/>
      <c r="U134" s="334"/>
      <c r="V134" s="334"/>
      <c r="W134" s="334"/>
      <c r="X134" s="122"/>
      <c r="Y134" s="230"/>
      <c r="Z134" s="129"/>
      <c r="AA134" s="348">
        <f>1-AA105</f>
        <v>9.9999999999999978E-2</v>
      </c>
      <c r="AB134" s="348">
        <f>1-AB105</f>
        <v>0</v>
      </c>
      <c r="AC134" s="348">
        <f>1-AC105</f>
        <v>9.9999999999999978E-2</v>
      </c>
      <c r="AD134" s="334"/>
      <c r="AE134" s="334"/>
      <c r="AF134" s="334"/>
      <c r="AG134" s="334"/>
      <c r="AH134" s="334"/>
      <c r="AI134" s="334"/>
      <c r="AJ134" s="122"/>
      <c r="AK134" s="230"/>
      <c r="AL134" s="129"/>
      <c r="AM134" s="348">
        <f>1-AM105</f>
        <v>9.9999999999999978E-2</v>
      </c>
      <c r="AN134" s="348">
        <f>1-AN105</f>
        <v>0</v>
      </c>
      <c r="AO134" s="348">
        <f>1-AO105</f>
        <v>9.9999999999999978E-2</v>
      </c>
      <c r="AP134" s="334"/>
      <c r="AQ134" s="334"/>
      <c r="AR134" s="334"/>
      <c r="AS134" s="334"/>
      <c r="AT134" s="334"/>
      <c r="AU134" s="334"/>
      <c r="AV134" s="122"/>
      <c r="AW134" s="230"/>
      <c r="AX134" s="129"/>
      <c r="AY134" s="348">
        <f>1-AY105</f>
        <v>9.9999999999999978E-2</v>
      </c>
      <c r="AZ134" s="348">
        <f>1-AZ105</f>
        <v>0</v>
      </c>
      <c r="BA134" s="348">
        <f>1-BA105</f>
        <v>9.9999999999999978E-2</v>
      </c>
      <c r="BB134" s="334"/>
      <c r="BC134" s="334"/>
      <c r="BD134" s="334"/>
      <c r="BE134" s="334"/>
      <c r="BF134" s="334"/>
      <c r="BG134" s="334"/>
      <c r="BH134" s="214"/>
    </row>
    <row r="135" spans="1:60" hidden="1" x14ac:dyDescent="0.2">
      <c r="A135" s="648"/>
      <c r="B135" s="492" t="s">
        <v>235</v>
      </c>
      <c r="C135" s="656" t="s">
        <v>199</v>
      </c>
      <c r="D135" s="747"/>
      <c r="E135" s="220" t="s">
        <v>239</v>
      </c>
      <c r="F135" s="220"/>
      <c r="G135" s="220"/>
      <c r="H135" s="221" t="s">
        <v>177</v>
      </c>
      <c r="I135" s="90"/>
      <c r="J135" s="243">
        <f>M135+Y135+AK135+AW135</f>
        <v>0</v>
      </c>
      <c r="K135" s="294"/>
      <c r="L135" s="294"/>
      <c r="M135" s="243">
        <f>SUM(O135:X135)</f>
        <v>0</v>
      </c>
      <c r="N135" s="129"/>
      <c r="O135" s="207">
        <f>O$94*O134</f>
        <v>0</v>
      </c>
      <c r="P135" s="207">
        <f>P$94*P134</f>
        <v>0</v>
      </c>
      <c r="Q135" s="207">
        <f>Q$94*Q134</f>
        <v>0</v>
      </c>
      <c r="R135" s="335"/>
      <c r="S135" s="335"/>
      <c r="T135" s="335"/>
      <c r="U135" s="335"/>
      <c r="V135" s="335"/>
      <c r="W135" s="335"/>
      <c r="X135" s="118"/>
      <c r="Y135" s="243">
        <f>SUM(AA135:AJ135)</f>
        <v>0</v>
      </c>
      <c r="Z135" s="129"/>
      <c r="AA135" s="207">
        <f>AA$94*AA134</f>
        <v>0</v>
      </c>
      <c r="AB135" s="207">
        <f>AB$94*AB134</f>
        <v>0</v>
      </c>
      <c r="AC135" s="207">
        <f>AC$94*AC134</f>
        <v>0</v>
      </c>
      <c r="AD135" s="335"/>
      <c r="AE135" s="335"/>
      <c r="AF135" s="335"/>
      <c r="AG135" s="335"/>
      <c r="AH135" s="335"/>
      <c r="AI135" s="335"/>
      <c r="AJ135" s="118"/>
      <c r="AK135" s="243">
        <f>SUM(AM135:AV135)</f>
        <v>0</v>
      </c>
      <c r="AL135" s="129"/>
      <c r="AM135" s="207">
        <f>AM$94*AM134</f>
        <v>0</v>
      </c>
      <c r="AN135" s="207">
        <f>AN$94*AN134</f>
        <v>0</v>
      </c>
      <c r="AO135" s="207">
        <f>AO$94*AO134</f>
        <v>0</v>
      </c>
      <c r="AP135" s="335"/>
      <c r="AQ135" s="335"/>
      <c r="AR135" s="335"/>
      <c r="AS135" s="335"/>
      <c r="AT135" s="335"/>
      <c r="AU135" s="335"/>
      <c r="AV135" s="118"/>
      <c r="AW135" s="243">
        <f>SUM(AY135:BH135)</f>
        <v>0</v>
      </c>
      <c r="AX135" s="129"/>
      <c r="AY135" s="207">
        <f>AY$94*AY134</f>
        <v>0</v>
      </c>
      <c r="AZ135" s="207">
        <f>AZ$94*AZ134</f>
        <v>0</v>
      </c>
      <c r="BA135" s="207">
        <f>BA$94*BA134</f>
        <v>0</v>
      </c>
      <c r="BB135" s="335"/>
      <c r="BC135" s="335"/>
      <c r="BD135" s="335"/>
      <c r="BE135" s="335"/>
      <c r="BF135" s="335"/>
      <c r="BG135" s="335"/>
      <c r="BH135" s="255"/>
    </row>
    <row r="136" spans="1:60" x14ac:dyDescent="0.2">
      <c r="A136" s="648"/>
      <c r="B136" s="492" t="s">
        <v>235</v>
      </c>
      <c r="C136" s="656" t="s">
        <v>127</v>
      </c>
      <c r="D136" s="747"/>
      <c r="E136" s="316" t="s">
        <v>240</v>
      </c>
      <c r="F136" s="316"/>
      <c r="G136" s="316"/>
      <c r="H136" s="354" t="s">
        <v>70</v>
      </c>
      <c r="I136" s="90"/>
      <c r="J136" s="229"/>
      <c r="K136" s="90"/>
      <c r="L136" s="90"/>
      <c r="M136" s="229"/>
      <c r="N136" s="131"/>
      <c r="O136" s="415">
        <f>IF(O137&lt;&gt;"",O137,HLOOKUP(IF(O$80="",referentie_verwarming,O$80),toestellen_RV,ROWS(bibliotheek!$E$79:$E$103),FALSE))</f>
        <v>1</v>
      </c>
      <c r="P136" s="415">
        <f>IF(P137&lt;&gt;"",P137,HLOOKUP(IF(P$80="",referentie_koeling,P$80),toestellen_KOEL,ROWS(bibliotheek!$E$170:$E$186),FALSE))</f>
        <v>0</v>
      </c>
      <c r="Q136" s="415">
        <f>IF(Q137&lt;&gt;"",Q137,HLOOKUP(IF(Q$80="",referentie_warmtapwater,Q$80),toestellen_TAP,ROWS(bibliotheek!$E$136:$E$160),FALSE))</f>
        <v>1</v>
      </c>
      <c r="R136" s="416"/>
      <c r="S136" s="416"/>
      <c r="T136" s="416"/>
      <c r="U136" s="416"/>
      <c r="V136" s="416"/>
      <c r="W136" s="416"/>
      <c r="X136" s="417"/>
      <c r="Y136" s="418"/>
      <c r="Z136" s="129"/>
      <c r="AA136" s="415">
        <f>IF(AA137&lt;&gt;"",AA137,HLOOKUP(IF(AA$80="",referentie_verwarming,AA$80),toestellen_RV,ROWS(bibliotheek!$E$79:$E$103),FALSE))</f>
        <v>1</v>
      </c>
      <c r="AB136" s="415">
        <f>IF(AB137&lt;&gt;"",AB137,HLOOKUP(IF(AB$80="",referentie_koeling,AB$80),toestellen_KOEL,ROWS(bibliotheek!$E$170:$E$186),FALSE))</f>
        <v>0</v>
      </c>
      <c r="AC136" s="415">
        <f>IF(AC137&lt;&gt;"",AC137,HLOOKUP(IF(AC$80="",referentie_warmtapwater,AC$80),toestellen_TAP,ROWS(bibliotheek!$E$136:$E$160),FALSE))</f>
        <v>1</v>
      </c>
      <c r="AD136" s="416"/>
      <c r="AE136" s="416"/>
      <c r="AF136" s="416"/>
      <c r="AG136" s="416"/>
      <c r="AH136" s="416"/>
      <c r="AI136" s="416"/>
      <c r="AJ136" s="417"/>
      <c r="AK136" s="418"/>
      <c r="AL136" s="129"/>
      <c r="AM136" s="415">
        <f>IF(AM137&lt;&gt;"",AM137,HLOOKUP(IF(AM$80="",referentie_verwarming,AM$80),toestellen_RV,ROWS(bibliotheek!$E$79:$E$103),FALSE))</f>
        <v>1</v>
      </c>
      <c r="AN136" s="415">
        <f>IF(AN137&lt;&gt;"",AN137,HLOOKUP(IF(AN$80="",referentie_koeling,AN$80),toestellen_KOEL,ROWS(bibliotheek!$E$170:$E$186),FALSE))</f>
        <v>0</v>
      </c>
      <c r="AO136" s="415">
        <f>IF(AO137&lt;&gt;"",AO137,HLOOKUP(IF(AO$80="",referentie_warmtapwater,AO$80),toestellen_TAP,ROWS(bibliotheek!$E$136:$E$160),FALSE))</f>
        <v>1</v>
      </c>
      <c r="AP136" s="416"/>
      <c r="AQ136" s="416"/>
      <c r="AR136" s="416"/>
      <c r="AS136" s="416"/>
      <c r="AT136" s="416"/>
      <c r="AU136" s="416"/>
      <c r="AV136" s="417"/>
      <c r="AW136" s="418"/>
      <c r="AX136" s="129"/>
      <c r="AY136" s="415">
        <f>IF(AY137&lt;&gt;"",AY137,HLOOKUP(IF(AY$80="",referentie_verwarming,AY$80),toestellen_RV,ROWS(bibliotheek!$E$79:$E$103),FALSE))</f>
        <v>1</v>
      </c>
      <c r="AZ136" s="415">
        <f>IF(AZ137&lt;&gt;"",AZ137,HLOOKUP(IF(AZ$80="",referentie_koeling,AZ$80),toestellen_KOEL,ROWS(bibliotheek!$E$170:$E$186),FALSE))</f>
        <v>0</v>
      </c>
      <c r="BA136" s="415">
        <f>IF(BA137&lt;&gt;"",BA137,HLOOKUP(IF(BA$80="",referentie_warmtapwater,BA$80),toestellen_TAP,ROWS(bibliotheek!$E$136:$E$160),FALSE))</f>
        <v>1</v>
      </c>
      <c r="BB136" s="363"/>
      <c r="BC136" s="363"/>
      <c r="BD136" s="363"/>
      <c r="BE136" s="363"/>
      <c r="BF136" s="363"/>
      <c r="BG136" s="363"/>
      <c r="BH136" s="214"/>
    </row>
    <row r="137" spans="1:60" x14ac:dyDescent="0.2">
      <c r="A137" s="648"/>
      <c r="B137" s="492" t="s">
        <v>235</v>
      </c>
      <c r="C137" s="656" t="s">
        <v>127</v>
      </c>
      <c r="D137" s="747"/>
      <c r="E137" s="412" t="s">
        <v>215</v>
      </c>
      <c r="F137" s="317"/>
      <c r="G137" s="317"/>
      <c r="H137" s="355"/>
      <c r="I137" s="90"/>
      <c r="J137" s="362"/>
      <c r="K137" s="90"/>
      <c r="L137" s="90"/>
      <c r="M137" s="239"/>
      <c r="N137" s="196"/>
      <c r="O137" s="723"/>
      <c r="P137" s="724"/>
      <c r="Q137" s="723"/>
      <c r="R137" s="725"/>
      <c r="S137" s="725"/>
      <c r="T137" s="725"/>
      <c r="U137" s="725"/>
      <c r="V137" s="725"/>
      <c r="W137" s="725"/>
      <c r="X137" s="414"/>
      <c r="Y137" s="726"/>
      <c r="Z137" s="129"/>
      <c r="AA137" s="723"/>
      <c r="AB137" s="724"/>
      <c r="AC137" s="723"/>
      <c r="AD137" s="725"/>
      <c r="AE137" s="725"/>
      <c r="AF137" s="725"/>
      <c r="AG137" s="725"/>
      <c r="AH137" s="725"/>
      <c r="AI137" s="725"/>
      <c r="AJ137" s="414"/>
      <c r="AK137" s="726"/>
      <c r="AL137" s="129"/>
      <c r="AM137" s="723"/>
      <c r="AN137" s="724"/>
      <c r="AO137" s="723"/>
      <c r="AP137" s="725"/>
      <c r="AQ137" s="725"/>
      <c r="AR137" s="725"/>
      <c r="AS137" s="725"/>
      <c r="AT137" s="725"/>
      <c r="AU137" s="725"/>
      <c r="AV137" s="414"/>
      <c r="AW137" s="726"/>
      <c r="AX137" s="129"/>
      <c r="AY137" s="723"/>
      <c r="AZ137" s="724"/>
      <c r="BA137" s="723"/>
      <c r="BB137" s="364"/>
      <c r="BC137" s="364"/>
      <c r="BD137" s="364"/>
      <c r="BE137" s="364"/>
      <c r="BF137" s="364"/>
      <c r="BG137" s="364"/>
      <c r="BH137" s="214"/>
    </row>
    <row r="138" spans="1:60" hidden="1" x14ac:dyDescent="0.2">
      <c r="A138" s="648"/>
      <c r="B138" s="492" t="s">
        <v>235</v>
      </c>
      <c r="C138" s="656" t="s">
        <v>199</v>
      </c>
      <c r="D138" s="747"/>
      <c r="E138" s="220" t="s">
        <v>241</v>
      </c>
      <c r="F138" s="220"/>
      <c r="G138" s="220"/>
      <c r="H138" s="221" t="s">
        <v>220</v>
      </c>
      <c r="I138" s="90"/>
      <c r="J138" s="243">
        <f>M138+Y138+AK138+AW138</f>
        <v>0</v>
      </c>
      <c r="K138" s="294"/>
      <c r="L138" s="294"/>
      <c r="M138" s="243">
        <f>SUM(O138:X138)</f>
        <v>0</v>
      </c>
      <c r="N138" s="129"/>
      <c r="O138" s="207">
        <f>IF(O$136=0,0,O$135/O$136)</f>
        <v>0</v>
      </c>
      <c r="P138" s="207">
        <f>IF(P$136=0,0,P$135/P$136)</f>
        <v>0</v>
      </c>
      <c r="Q138" s="207">
        <f>IF(Q$136=0,0,Q$135/Q$136)</f>
        <v>0</v>
      </c>
      <c r="R138" s="335"/>
      <c r="S138" s="335"/>
      <c r="T138" s="335"/>
      <c r="U138" s="335"/>
      <c r="V138" s="335"/>
      <c r="W138" s="335"/>
      <c r="X138" s="118"/>
      <c r="Y138" s="243">
        <f>SUM(AA138:AJ138)</f>
        <v>0</v>
      </c>
      <c r="Z138" s="129"/>
      <c r="AA138" s="207">
        <f>IF(AA$136=0,0,AA$135/AA$136)</f>
        <v>0</v>
      </c>
      <c r="AB138" s="207">
        <f>IF(AB$136=0,0,AB$135/AB$136)</f>
        <v>0</v>
      </c>
      <c r="AC138" s="207">
        <f>IF(AC$136=0,0,AC$135/AC$136)</f>
        <v>0</v>
      </c>
      <c r="AD138" s="335"/>
      <c r="AE138" s="335"/>
      <c r="AF138" s="335"/>
      <c r="AG138" s="335"/>
      <c r="AH138" s="335"/>
      <c r="AI138" s="335"/>
      <c r="AJ138" s="118"/>
      <c r="AK138" s="243">
        <f>SUM(AM138:AV138)</f>
        <v>0</v>
      </c>
      <c r="AL138" s="129"/>
      <c r="AM138" s="207">
        <f>IF(AM$136=0,0,AM$135/AM$136)</f>
        <v>0</v>
      </c>
      <c r="AN138" s="207">
        <f>IF(AN$136=0,0,AN$135/AN$136)</f>
        <v>0</v>
      </c>
      <c r="AO138" s="207">
        <f>IF(AO$136=0,0,AO$135/AO$136)</f>
        <v>0</v>
      </c>
      <c r="AP138" s="335"/>
      <c r="AQ138" s="335"/>
      <c r="AR138" s="335"/>
      <c r="AS138" s="335"/>
      <c r="AT138" s="335"/>
      <c r="AU138" s="335"/>
      <c r="AV138" s="118"/>
      <c r="AW138" s="243">
        <f>SUM(AY138:BH138)</f>
        <v>0</v>
      </c>
      <c r="AX138" s="129"/>
      <c r="AY138" s="207">
        <f>IF(AY$136=0,0,AY$135/AY$136)</f>
        <v>0</v>
      </c>
      <c r="AZ138" s="207">
        <f>IF(AZ$136=0,0,AZ$135/AZ$136)</f>
        <v>0</v>
      </c>
      <c r="BA138" s="207">
        <f>IF(BA$136=0,0,BA$135/BA$136)</f>
        <v>0</v>
      </c>
      <c r="BB138" s="335"/>
      <c r="BC138" s="335"/>
      <c r="BD138" s="335"/>
      <c r="BE138" s="335"/>
      <c r="BF138" s="335"/>
      <c r="BG138" s="335"/>
      <c r="BH138" s="255"/>
    </row>
    <row r="139" spans="1:60" ht="18.75" x14ac:dyDescent="0.2">
      <c r="A139" s="648"/>
      <c r="B139" s="492" t="s">
        <v>235</v>
      </c>
      <c r="C139" s="739" t="s">
        <v>104</v>
      </c>
      <c r="D139" s="747"/>
      <c r="E139" s="144" t="s">
        <v>114</v>
      </c>
      <c r="F139" s="231"/>
      <c r="G139" s="231"/>
      <c r="H139" s="89"/>
      <c r="I139" s="232"/>
      <c r="J139" s="231"/>
      <c r="K139" s="232"/>
      <c r="L139" s="232"/>
      <c r="M139" s="231"/>
      <c r="N139" s="232"/>
      <c r="O139" s="232"/>
      <c r="P139" s="232"/>
      <c r="Q139" s="232"/>
      <c r="R139" s="232"/>
      <c r="S139" s="232"/>
      <c r="T139" s="232"/>
      <c r="U139" s="232"/>
      <c r="V139" s="232"/>
      <c r="W139" s="232"/>
      <c r="X139" s="232"/>
      <c r="Y139" s="231"/>
      <c r="Z139" s="232"/>
      <c r="AA139" s="232"/>
      <c r="AB139" s="232"/>
      <c r="AC139" s="232"/>
      <c r="AD139" s="232"/>
      <c r="AE139" s="232"/>
      <c r="AF139" s="232"/>
      <c r="AG139" s="232"/>
      <c r="AH139" s="232"/>
      <c r="AI139" s="232"/>
      <c r="AJ139" s="232"/>
      <c r="AK139" s="231"/>
      <c r="AL139" s="232"/>
      <c r="AM139" s="232"/>
      <c r="AN139" s="232"/>
      <c r="AO139" s="232"/>
      <c r="AP139" s="232"/>
      <c r="AQ139" s="232"/>
      <c r="AR139" s="232"/>
      <c r="AS139" s="232"/>
      <c r="AT139" s="232"/>
      <c r="AU139" s="232"/>
      <c r="AV139" s="232"/>
      <c r="AW139" s="231"/>
      <c r="AX139" s="232"/>
      <c r="AY139" s="232"/>
      <c r="AZ139" s="232"/>
      <c r="BA139" s="232"/>
      <c r="BB139" s="232"/>
      <c r="BC139" s="232"/>
      <c r="BD139" s="232"/>
      <c r="BE139" s="232"/>
      <c r="BF139" s="232"/>
      <c r="BG139" s="232"/>
      <c r="BH139" s="38"/>
    </row>
    <row r="140" spans="1:60" x14ac:dyDescent="0.2">
      <c r="A140" s="648"/>
      <c r="B140" s="492" t="s">
        <v>235</v>
      </c>
      <c r="C140" s="656" t="s">
        <v>127</v>
      </c>
      <c r="D140" s="750" t="s">
        <v>50</v>
      </c>
      <c r="E140" s="316" t="s">
        <v>222</v>
      </c>
      <c r="F140" s="316"/>
      <c r="G140" s="316"/>
      <c r="H140" s="354" t="s">
        <v>223</v>
      </c>
      <c r="I140" s="90"/>
      <c r="J140" s="229"/>
      <c r="K140" s="90"/>
      <c r="L140" s="90"/>
      <c r="M140" s="229"/>
      <c r="N140" s="131"/>
      <c r="O140" s="353">
        <f>IF(O135=0,0,IF(O141&lt;&gt;"",O141,IF(O132=elektriciteit,$G$5,HLOOKUP(O132,ENERGIEDRAGERS,ROWS(bibliotheek!$E$221:$E$223),FALSE))))</f>
        <v>0</v>
      </c>
      <c r="P140" s="353">
        <f>IF(P135=0,0,IF(P141&lt;&gt;"",P141,IF(HLOOKUP(P132,ENERGIEDRAGERS,ROWS(bibliotheek!$E$221:$E$222),FALSE)=0,$G$5,HLOOKUP(P132,ENERGIEDRAGERS,ROWS(bibliotheek!$E$221:$E$223),FALSE))))</f>
        <v>0</v>
      </c>
      <c r="Q140" s="353">
        <f>IF(Q135=0,0,IF(Q141&lt;&gt;"",Q141,IF(Q132=elektriciteit,$G$5,HLOOKUP(Q132,ENERGIEDRAGERS,ROWS(bibliotheek!$E$221:$E$223),FALSE))))</f>
        <v>0</v>
      </c>
      <c r="R140" s="365"/>
      <c r="S140" s="365"/>
      <c r="T140" s="365"/>
      <c r="U140" s="365"/>
      <c r="V140" s="365"/>
      <c r="W140" s="365"/>
      <c r="X140" s="122"/>
      <c r="Y140" s="229"/>
      <c r="Z140" s="131"/>
      <c r="AA140" s="353">
        <f>IF(AA135=0,0,IF(AA141&lt;&gt;"",AA141,IF(AA132=elektriciteit,$G$5,HLOOKUP(AA132,ENERGIEDRAGERS,ROWS(bibliotheek!$E$221:$E$223),FALSE))))</f>
        <v>0</v>
      </c>
      <c r="AB140" s="353">
        <f>IF(AB135=0,0,IF(AB141&lt;&gt;"",AB141,IF(HLOOKUP(AB132,ENERGIEDRAGERS,ROWS(bibliotheek!$E$221:$E$222),FALSE)=0,$G$5,HLOOKUP(AB132,ENERGIEDRAGERS,ROWS(bibliotheek!$E$221:$E$223),FALSE))))</f>
        <v>0</v>
      </c>
      <c r="AC140" s="353">
        <f>IF(AC135=0,0,IF(AC141&lt;&gt;"",AC141,IF(AC132=elektriciteit,$G$5,HLOOKUP(AC132,ENERGIEDRAGERS,ROWS(bibliotheek!$E$221:$E$223),FALSE))))</f>
        <v>0</v>
      </c>
      <c r="AD140" s="365"/>
      <c r="AE140" s="365"/>
      <c r="AF140" s="365"/>
      <c r="AG140" s="365"/>
      <c r="AH140" s="365"/>
      <c r="AI140" s="365"/>
      <c r="AJ140" s="122"/>
      <c r="AK140" s="229"/>
      <c r="AL140" s="131"/>
      <c r="AM140" s="353">
        <f>IF(AM135=0,0,IF(AM141&lt;&gt;"",AM141,IF(AM132=elektriciteit,$G$5,HLOOKUP(AM132,ENERGIEDRAGERS,ROWS(bibliotheek!$E$221:$E$223),FALSE))))</f>
        <v>0</v>
      </c>
      <c r="AN140" s="353">
        <f>IF(AN135=0,0,IF(AN141&lt;&gt;"",AN141,IF(HLOOKUP(AN132,ENERGIEDRAGERS,ROWS(bibliotheek!$E$221:$E$222),FALSE)=0,$G$5,HLOOKUP(AN132,ENERGIEDRAGERS,ROWS(bibliotheek!$E$221:$E$223),FALSE))))</f>
        <v>0</v>
      </c>
      <c r="AO140" s="353">
        <f>IF(AO135=0,0,IF(AO141&lt;&gt;"",AO141,IF(AO132=elektriciteit,$G$5,HLOOKUP(AO132,ENERGIEDRAGERS,ROWS(bibliotheek!$E$221:$E$223),FALSE))))</f>
        <v>0</v>
      </c>
      <c r="AP140" s="365"/>
      <c r="AQ140" s="365"/>
      <c r="AR140" s="365"/>
      <c r="AS140" s="365"/>
      <c r="AT140" s="365"/>
      <c r="AU140" s="365"/>
      <c r="AV140" s="122"/>
      <c r="AW140" s="229"/>
      <c r="AX140" s="131"/>
      <c r="AY140" s="353">
        <f>IF(AY135=0,0,IF(AY141&lt;&gt;"",AY141,IF(AY132=elektriciteit,$G$5,HLOOKUP(AY132,ENERGIEDRAGERS,ROWS(bibliotheek!$E$221:$E$223),FALSE))))</f>
        <v>0</v>
      </c>
      <c r="AZ140" s="353">
        <f>IF(AZ135=0,0,IF(AZ141&lt;&gt;"",AZ141,IF(HLOOKUP(AZ132,ENERGIEDRAGERS,ROWS(bibliotheek!$E$221:$E$222),FALSE)=0,$G$5,HLOOKUP(AZ132,ENERGIEDRAGERS,ROWS(bibliotheek!$E$221:$E$223),FALSE))))</f>
        <v>0</v>
      </c>
      <c r="BA140" s="353">
        <f>IF(BA135=0,0,IF(BA141&lt;&gt;"",BA141,IF(BA132=elektriciteit,$G$5,HLOOKUP(BA132,ENERGIEDRAGERS,ROWS(bibliotheek!$E$221:$E$223),FALSE))))</f>
        <v>0</v>
      </c>
      <c r="BB140" s="365"/>
      <c r="BC140" s="365"/>
      <c r="BD140" s="365"/>
      <c r="BE140" s="365"/>
      <c r="BF140" s="365"/>
      <c r="BG140" s="365"/>
      <c r="BH140" s="214"/>
    </row>
    <row r="141" spans="1:60" x14ac:dyDescent="0.2">
      <c r="A141" s="648"/>
      <c r="B141" s="492" t="s">
        <v>235</v>
      </c>
      <c r="C141" s="656" t="s">
        <v>127</v>
      </c>
      <c r="D141" s="747"/>
      <c r="E141" s="412" t="s">
        <v>224</v>
      </c>
      <c r="F141" s="317"/>
      <c r="G141" s="317"/>
      <c r="H141" s="355"/>
      <c r="I141" s="90"/>
      <c r="J141" s="362"/>
      <c r="K141" s="90"/>
      <c r="L141" s="90"/>
      <c r="M141" s="239"/>
      <c r="N141" s="196"/>
      <c r="O141" s="723"/>
      <c r="P141" s="724"/>
      <c r="Q141" s="723"/>
      <c r="R141" s="725"/>
      <c r="S141" s="725"/>
      <c r="T141" s="725"/>
      <c r="U141" s="725"/>
      <c r="V141" s="725"/>
      <c r="W141" s="725"/>
      <c r="X141" s="414"/>
      <c r="Y141" s="726"/>
      <c r="Z141" s="129"/>
      <c r="AA141" s="723"/>
      <c r="AB141" s="724"/>
      <c r="AC141" s="723"/>
      <c r="AD141" s="725"/>
      <c r="AE141" s="725"/>
      <c r="AF141" s="725"/>
      <c r="AG141" s="725"/>
      <c r="AH141" s="725"/>
      <c r="AI141" s="725"/>
      <c r="AJ141" s="414"/>
      <c r="AK141" s="726"/>
      <c r="AL141" s="129"/>
      <c r="AM141" s="723"/>
      <c r="AN141" s="724"/>
      <c r="AO141" s="723"/>
      <c r="AP141" s="725"/>
      <c r="AQ141" s="725"/>
      <c r="AR141" s="725"/>
      <c r="AS141" s="725"/>
      <c r="AT141" s="725"/>
      <c r="AU141" s="725"/>
      <c r="AV141" s="414"/>
      <c r="AW141" s="726"/>
      <c r="AX141" s="129"/>
      <c r="AY141" s="723"/>
      <c r="AZ141" s="724"/>
      <c r="BA141" s="723"/>
      <c r="BB141" s="364"/>
      <c r="BC141" s="364"/>
      <c r="BD141" s="364"/>
      <c r="BE141" s="364"/>
      <c r="BF141" s="364"/>
      <c r="BG141" s="364"/>
      <c r="BH141" s="214"/>
    </row>
    <row r="142" spans="1:60" x14ac:dyDescent="0.2">
      <c r="A142" s="648"/>
      <c r="B142" s="492" t="s">
        <v>235</v>
      </c>
      <c r="C142" s="656" t="s">
        <v>113</v>
      </c>
      <c r="D142" s="747"/>
      <c r="E142" s="220" t="s">
        <v>114</v>
      </c>
      <c r="F142" s="221"/>
      <c r="G142" s="221"/>
      <c r="H142" s="221" t="s">
        <v>115</v>
      </c>
      <c r="I142" s="90"/>
      <c r="J142" s="243">
        <f>M142+Y142+AK142+AW142</f>
        <v>0</v>
      </c>
      <c r="K142" s="823"/>
      <c r="L142" s="823"/>
      <c r="M142" s="243">
        <f>SUM(O142:X142)</f>
        <v>0</v>
      </c>
      <c r="N142" s="129"/>
      <c r="O142" s="207">
        <f>O$138*O$140</f>
        <v>0</v>
      </c>
      <c r="P142" s="207">
        <f>P$138*P$140</f>
        <v>0</v>
      </c>
      <c r="Q142" s="207">
        <f>Q$138*Q$140</f>
        <v>0</v>
      </c>
      <c r="R142" s="335"/>
      <c r="S142" s="335"/>
      <c r="T142" s="335"/>
      <c r="U142" s="335"/>
      <c r="V142" s="335"/>
      <c r="W142" s="335"/>
      <c r="X142" s="128"/>
      <c r="Y142" s="243">
        <f>SUM(AA142:AJ142)</f>
        <v>0</v>
      </c>
      <c r="Z142" s="129"/>
      <c r="AA142" s="207">
        <f>AA$138*AA$140</f>
        <v>0</v>
      </c>
      <c r="AB142" s="207">
        <f>AB$138*AB$140</f>
        <v>0</v>
      </c>
      <c r="AC142" s="207">
        <f>AC$138*AC$140</f>
        <v>0</v>
      </c>
      <c r="AD142" s="335"/>
      <c r="AE142" s="335"/>
      <c r="AF142" s="335"/>
      <c r="AG142" s="335"/>
      <c r="AH142" s="335"/>
      <c r="AI142" s="335"/>
      <c r="AJ142" s="128"/>
      <c r="AK142" s="243">
        <f>SUM(AM142:AV142)</f>
        <v>0</v>
      </c>
      <c r="AL142" s="129"/>
      <c r="AM142" s="207">
        <f>AM$138*AM$140</f>
        <v>0</v>
      </c>
      <c r="AN142" s="207">
        <f>AN$138*AN$140</f>
        <v>0</v>
      </c>
      <c r="AO142" s="207">
        <f>AO$138*AO$140</f>
        <v>0</v>
      </c>
      <c r="AP142" s="335"/>
      <c r="AQ142" s="335"/>
      <c r="AR142" s="335"/>
      <c r="AS142" s="335"/>
      <c r="AT142" s="335"/>
      <c r="AU142" s="335"/>
      <c r="AV142" s="128"/>
      <c r="AW142" s="243">
        <f>SUM(AY142:BH142)</f>
        <v>0</v>
      </c>
      <c r="AX142" s="129"/>
      <c r="AY142" s="207">
        <f>AY$138*AY$140</f>
        <v>0</v>
      </c>
      <c r="AZ142" s="207">
        <f>AZ$138*AZ$140</f>
        <v>0</v>
      </c>
      <c r="BA142" s="207">
        <f>BA$138*BA$140</f>
        <v>0</v>
      </c>
      <c r="BB142" s="335"/>
      <c r="BC142" s="335"/>
      <c r="BD142" s="335"/>
      <c r="BE142" s="335"/>
      <c r="BF142" s="335"/>
      <c r="BG142" s="335"/>
      <c r="BH142" s="255"/>
    </row>
    <row r="143" spans="1:60" ht="18.75" x14ac:dyDescent="0.2">
      <c r="A143" s="648"/>
      <c r="B143" s="492" t="s">
        <v>235</v>
      </c>
      <c r="C143" s="739" t="s">
        <v>104</v>
      </c>
      <c r="D143" s="747"/>
      <c r="E143" s="231" t="s">
        <v>116</v>
      </c>
      <c r="F143" s="231"/>
      <c r="G143" s="231"/>
      <c r="H143" s="89"/>
      <c r="I143" s="232"/>
      <c r="J143" s="231"/>
      <c r="K143" s="232"/>
      <c r="L143" s="232"/>
      <c r="M143" s="231"/>
      <c r="N143" s="232"/>
      <c r="O143" s="232"/>
      <c r="P143" s="232"/>
      <c r="Q143" s="232"/>
      <c r="R143" s="232"/>
      <c r="S143" s="232"/>
      <c r="T143" s="232"/>
      <c r="U143" s="232"/>
      <c r="V143" s="232"/>
      <c r="W143" s="232"/>
      <c r="X143" s="232"/>
      <c r="Y143" s="231"/>
      <c r="Z143" s="232"/>
      <c r="AA143" s="232"/>
      <c r="AB143" s="232"/>
      <c r="AC143" s="232"/>
      <c r="AD143" s="232"/>
      <c r="AE143" s="232"/>
      <c r="AF143" s="232"/>
      <c r="AG143" s="232"/>
      <c r="AH143" s="232"/>
      <c r="AI143" s="232"/>
      <c r="AJ143" s="232"/>
      <c r="AK143" s="231"/>
      <c r="AL143" s="232"/>
      <c r="AM143" s="232"/>
      <c r="AN143" s="232"/>
      <c r="AO143" s="232"/>
      <c r="AP143" s="232"/>
      <c r="AQ143" s="232"/>
      <c r="AR143" s="232"/>
      <c r="AS143" s="232"/>
      <c r="AT143" s="232"/>
      <c r="AU143" s="232"/>
      <c r="AV143" s="232"/>
      <c r="AW143" s="231"/>
      <c r="AX143" s="232"/>
      <c r="AY143" s="232"/>
      <c r="AZ143" s="232"/>
      <c r="BA143" s="232"/>
      <c r="BB143" s="232"/>
      <c r="BC143" s="232"/>
      <c r="BD143" s="232"/>
      <c r="BE143" s="232"/>
      <c r="BF143" s="232"/>
      <c r="BG143" s="232"/>
      <c r="BH143" s="38"/>
    </row>
    <row r="144" spans="1:60" x14ac:dyDescent="0.2">
      <c r="A144" s="648"/>
      <c r="B144" s="492" t="s">
        <v>235</v>
      </c>
      <c r="C144" s="656" t="s">
        <v>127</v>
      </c>
      <c r="D144" s="747"/>
      <c r="E144" s="366" t="s">
        <v>225</v>
      </c>
      <c r="F144" s="316"/>
      <c r="G144" s="316"/>
      <c r="H144" s="354" t="s">
        <v>226</v>
      </c>
      <c r="I144" s="90"/>
      <c r="J144" s="229"/>
      <c r="K144" s="90"/>
      <c r="L144" s="90"/>
      <c r="M144" s="229"/>
      <c r="N144" s="131"/>
      <c r="O144" s="415">
        <f>IF(O135=0,0,IF(O145&lt;&gt;"",O145,IF(O132=elektriciteit,$H$5,
HLOOKUP(O132,ENERGIEDRAGERS,ROWS(bibliotheek!$E$221:$E$224),FALSE))))</f>
        <v>0</v>
      </c>
      <c r="P144" s="415">
        <f>IF(P135=0,0,IF(P145&lt;&gt;"",P145,IF(P132=elektriciteit,$H$5,
HLOOKUP(P132,ENERGIEDRAGERS,ROWS(bibliotheek!$E$221:$E$224),FALSE))))</f>
        <v>0</v>
      </c>
      <c r="Q144" s="415">
        <f>IF(Q135=0,0,IF(Q145&lt;&gt;"",Q145,IF(Q132=elektriciteit,$H$5,
HLOOKUP(Q132,ENERGIEDRAGERS,ROWS(bibliotheek!$E$221:$E$224),FALSE))))</f>
        <v>0</v>
      </c>
      <c r="R144" s="416"/>
      <c r="S144" s="416"/>
      <c r="T144" s="416"/>
      <c r="U144" s="416"/>
      <c r="V144" s="416"/>
      <c r="W144" s="416"/>
      <c r="X144" s="417"/>
      <c r="Y144" s="229"/>
      <c r="Z144" s="419"/>
      <c r="AA144" s="415">
        <f>IF(AA135=0,0,IF(AA145&lt;&gt;"",AA145,IF(AA132=elektriciteit,$H$5,
HLOOKUP(AA132,ENERGIEDRAGERS,ROWS(bibliotheek!$E$221:$E$224),FALSE))))</f>
        <v>0</v>
      </c>
      <c r="AB144" s="415">
        <f>IF(AB135=0,0,IF(AB145&lt;&gt;"",AB145,IF(AB132=elektriciteit,$H$5,
HLOOKUP(AB132,ENERGIEDRAGERS,ROWS(bibliotheek!$E$221:$E$224),FALSE))))</f>
        <v>0</v>
      </c>
      <c r="AC144" s="415">
        <f>IF(AC135=0,0,IF(AC145&lt;&gt;"",AC145,IF(AC132=elektriciteit,$H$5,
HLOOKUP(AC132,ENERGIEDRAGERS,ROWS(bibliotheek!$E$221:$E$224),FALSE))))</f>
        <v>0</v>
      </c>
      <c r="AD144" s="416"/>
      <c r="AE144" s="416"/>
      <c r="AF144" s="416"/>
      <c r="AG144" s="416"/>
      <c r="AH144" s="416"/>
      <c r="AI144" s="416"/>
      <c r="AJ144" s="417"/>
      <c r="AK144" s="229"/>
      <c r="AL144" s="419"/>
      <c r="AM144" s="415">
        <f>IF(AM135=0,0,IF(AM145&lt;&gt;"",AM145,IF(AM132=elektriciteit,$H$5,
HLOOKUP(AM132,ENERGIEDRAGERS,ROWS(bibliotheek!$E$221:$E$224),FALSE))))</f>
        <v>0</v>
      </c>
      <c r="AN144" s="415">
        <f>IF(AN135=0,0,IF(AN145&lt;&gt;"",AN145,IF(AN132=elektriciteit,$H$5,
HLOOKUP(AN132,ENERGIEDRAGERS,ROWS(bibliotheek!$E$221:$E$224),FALSE))))</f>
        <v>0</v>
      </c>
      <c r="AO144" s="415">
        <f>IF(AO135=0,0,IF(AO145&lt;&gt;"",AO145,IF(AO132=elektriciteit,$H$5,
HLOOKUP(AO132,ENERGIEDRAGERS,ROWS(bibliotheek!$E$221:$E$224),FALSE))))</f>
        <v>0</v>
      </c>
      <c r="AP144" s="416"/>
      <c r="AQ144" s="416"/>
      <c r="AR144" s="416"/>
      <c r="AS144" s="416"/>
      <c r="AT144" s="416"/>
      <c r="AU144" s="416"/>
      <c r="AV144" s="417"/>
      <c r="AW144" s="229"/>
      <c r="AX144" s="419"/>
      <c r="AY144" s="415">
        <f>IF(AY135=0,0,IF(AY145&lt;&gt;"",AY145,IF(AY132=elektriciteit,$H$5,
HLOOKUP(AY132,ENERGIEDRAGERS,ROWS(bibliotheek!$E$221:$E$224),FALSE))))</f>
        <v>0</v>
      </c>
      <c r="AZ144" s="415">
        <f>IF(AZ135=0,0,IF(AZ145&lt;&gt;"",AZ145,IF(AZ132=elektriciteit,$H$5,
HLOOKUP(AZ132,ENERGIEDRAGERS,ROWS(bibliotheek!$E$221:$E$224),FALSE))))</f>
        <v>0</v>
      </c>
      <c r="BA144" s="415">
        <f>IF(BA135=0,0,IF(BA145&lt;&gt;"",BA145,IF(BA132=elektriciteit,$H$5,
HLOOKUP(BA132,ENERGIEDRAGERS,ROWS(bibliotheek!$E$221:$E$224),FALSE))))</f>
        <v>0</v>
      </c>
      <c r="BB144" s="365"/>
      <c r="BC144" s="365"/>
      <c r="BD144" s="365"/>
      <c r="BE144" s="365"/>
      <c r="BF144" s="365"/>
      <c r="BG144" s="365"/>
      <c r="BH144" s="214"/>
    </row>
    <row r="145" spans="1:60" x14ac:dyDescent="0.2">
      <c r="A145" s="648"/>
      <c r="B145" s="492" t="s">
        <v>235</v>
      </c>
      <c r="C145" s="656" t="s">
        <v>127</v>
      </c>
      <c r="D145" s="747"/>
      <c r="E145" s="412" t="s">
        <v>227</v>
      </c>
      <c r="F145" s="317"/>
      <c r="G145" s="317"/>
      <c r="H145" s="355"/>
      <c r="I145" s="90"/>
      <c r="J145" s="362"/>
      <c r="K145" s="90"/>
      <c r="L145" s="90"/>
      <c r="M145" s="239"/>
      <c r="N145" s="196"/>
      <c r="O145" s="723"/>
      <c r="P145" s="724"/>
      <c r="Q145" s="723"/>
      <c r="R145" s="725"/>
      <c r="S145" s="725"/>
      <c r="T145" s="725"/>
      <c r="U145" s="725"/>
      <c r="V145" s="725"/>
      <c r="W145" s="725"/>
      <c r="X145" s="414"/>
      <c r="Y145" s="726"/>
      <c r="Z145" s="129"/>
      <c r="AA145" s="723"/>
      <c r="AB145" s="724"/>
      <c r="AC145" s="723"/>
      <c r="AD145" s="725"/>
      <c r="AE145" s="725"/>
      <c r="AF145" s="725"/>
      <c r="AG145" s="725"/>
      <c r="AH145" s="725"/>
      <c r="AI145" s="725"/>
      <c r="AJ145" s="414"/>
      <c r="AK145" s="726"/>
      <c r="AL145" s="129"/>
      <c r="AM145" s="723"/>
      <c r="AN145" s="724"/>
      <c r="AO145" s="723"/>
      <c r="AP145" s="725"/>
      <c r="AQ145" s="725"/>
      <c r="AR145" s="725"/>
      <c r="AS145" s="725"/>
      <c r="AT145" s="725"/>
      <c r="AU145" s="725"/>
      <c r="AV145" s="414"/>
      <c r="AW145" s="726"/>
      <c r="AX145" s="129"/>
      <c r="AY145" s="723"/>
      <c r="AZ145" s="724"/>
      <c r="BA145" s="723"/>
      <c r="BB145" s="364"/>
      <c r="BC145" s="364"/>
      <c r="BD145" s="364"/>
      <c r="BE145" s="364"/>
      <c r="BF145" s="364"/>
      <c r="BG145" s="364"/>
      <c r="BH145" s="214"/>
    </row>
    <row r="146" spans="1:60" x14ac:dyDescent="0.2">
      <c r="A146" s="648"/>
      <c r="B146" s="492" t="s">
        <v>235</v>
      </c>
      <c r="C146" s="656" t="s">
        <v>113</v>
      </c>
      <c r="D146" s="747"/>
      <c r="E146" s="220" t="s">
        <v>116</v>
      </c>
      <c r="F146" s="221"/>
      <c r="G146" s="221"/>
      <c r="H146" s="221" t="s">
        <v>117</v>
      </c>
      <c r="I146" s="90"/>
      <c r="J146" s="243">
        <f>M146+Y146+AK146+AW146</f>
        <v>0</v>
      </c>
      <c r="K146" s="823"/>
      <c r="L146" s="823"/>
      <c r="M146" s="243">
        <f>SUM(O146:X146)</f>
        <v>0</v>
      </c>
      <c r="N146" s="129"/>
      <c r="O146" s="207">
        <f>O$138*O$144</f>
        <v>0</v>
      </c>
      <c r="P146" s="207">
        <f>P$138*P$144</f>
        <v>0</v>
      </c>
      <c r="Q146" s="207">
        <f>Q$138*Q$144</f>
        <v>0</v>
      </c>
      <c r="R146" s="335"/>
      <c r="S146" s="335"/>
      <c r="T146" s="335"/>
      <c r="U146" s="335"/>
      <c r="V146" s="335"/>
      <c r="W146" s="335"/>
      <c r="X146" s="128"/>
      <c r="Y146" s="243">
        <f>SUM(AA146:AJ146)</f>
        <v>0</v>
      </c>
      <c r="Z146" s="129"/>
      <c r="AA146" s="207">
        <f>AA$138*AA$144</f>
        <v>0</v>
      </c>
      <c r="AB146" s="207">
        <f>AB$138*AB$144</f>
        <v>0</v>
      </c>
      <c r="AC146" s="207">
        <f>AC$138*AC$144</f>
        <v>0</v>
      </c>
      <c r="AD146" s="335"/>
      <c r="AE146" s="335"/>
      <c r="AF146" s="335"/>
      <c r="AG146" s="335"/>
      <c r="AH146" s="335"/>
      <c r="AI146" s="335"/>
      <c r="AJ146" s="128"/>
      <c r="AK146" s="243">
        <f>SUM(AM146:AV146)</f>
        <v>0</v>
      </c>
      <c r="AL146" s="129"/>
      <c r="AM146" s="207">
        <f>AM$138*AM$144</f>
        <v>0</v>
      </c>
      <c r="AN146" s="207">
        <f>AN$138*AN$144</f>
        <v>0</v>
      </c>
      <c r="AO146" s="207">
        <f>AO$138*AO$144</f>
        <v>0</v>
      </c>
      <c r="AP146" s="335"/>
      <c r="AQ146" s="335"/>
      <c r="AR146" s="335"/>
      <c r="AS146" s="335"/>
      <c r="AT146" s="335"/>
      <c r="AU146" s="335"/>
      <c r="AV146" s="128"/>
      <c r="AW146" s="243">
        <f>SUM(AY146:BH146)</f>
        <v>0</v>
      </c>
      <c r="AX146" s="129"/>
      <c r="AY146" s="207">
        <f>AY$138*AY$144</f>
        <v>0</v>
      </c>
      <c r="AZ146" s="207">
        <f>AZ$138*AZ$144</f>
        <v>0</v>
      </c>
      <c r="BA146" s="207">
        <f>BA$138*BA$144</f>
        <v>0</v>
      </c>
      <c r="BB146" s="335"/>
      <c r="BC146" s="335"/>
      <c r="BD146" s="335"/>
      <c r="BE146" s="335"/>
      <c r="BF146" s="335"/>
      <c r="BG146" s="335"/>
      <c r="BH146" s="255"/>
    </row>
    <row r="147" spans="1:60" x14ac:dyDescent="0.2">
      <c r="A147" s="648"/>
      <c r="B147" s="741" t="s">
        <v>242</v>
      </c>
      <c r="C147" s="656" t="s">
        <v>113</v>
      </c>
      <c r="D147" s="747"/>
      <c r="E147" s="90"/>
      <c r="F147" s="90"/>
      <c r="G147" s="90"/>
      <c r="H147" s="96"/>
      <c r="I147" s="90"/>
      <c r="J147" s="93"/>
      <c r="K147" s="90"/>
      <c r="L147" s="90"/>
      <c r="M147" s="93"/>
      <c r="N147" s="90"/>
      <c r="O147" s="90"/>
      <c r="P147" s="90"/>
      <c r="Q147" s="90"/>
      <c r="R147" s="93"/>
      <c r="S147" s="93"/>
      <c r="T147" s="93"/>
      <c r="U147" s="93"/>
      <c r="V147" s="93"/>
      <c r="W147" s="93"/>
      <c r="X147" s="93"/>
      <c r="Y147" s="93"/>
      <c r="Z147" s="90"/>
      <c r="AA147" s="187"/>
      <c r="AB147" s="187"/>
      <c r="AC147" s="187"/>
      <c r="AD147" s="93"/>
      <c r="AE147" s="93"/>
      <c r="AF147" s="93"/>
      <c r="AG147" s="93"/>
      <c r="AH147" s="93"/>
      <c r="AI147" s="93"/>
      <c r="AJ147" s="93"/>
      <c r="AK147" s="93"/>
      <c r="AL147" s="90"/>
      <c r="AM147" s="187"/>
      <c r="AN147" s="187"/>
      <c r="AO147" s="187"/>
      <c r="AP147" s="93"/>
      <c r="AQ147" s="93"/>
      <c r="AR147" s="93"/>
      <c r="AS147" s="93"/>
      <c r="AT147" s="93"/>
      <c r="AU147" s="93"/>
      <c r="AV147" s="93"/>
      <c r="AW147" s="93"/>
      <c r="AX147" s="90"/>
      <c r="AY147" s="187"/>
      <c r="AZ147" s="187"/>
      <c r="BA147" s="187"/>
      <c r="BB147" s="93"/>
      <c r="BC147" s="93"/>
      <c r="BD147" s="93"/>
      <c r="BE147" s="93"/>
      <c r="BF147" s="93"/>
      <c r="BG147" s="93"/>
      <c r="BH147" s="1"/>
    </row>
    <row r="148" spans="1:60" x14ac:dyDescent="0.2">
      <c r="A148" s="648"/>
      <c r="B148" s="492" t="s">
        <v>243</v>
      </c>
      <c r="C148" s="656" t="s">
        <v>104</v>
      </c>
      <c r="D148" s="747"/>
      <c r="E148" s="90"/>
      <c r="F148" s="90"/>
      <c r="G148" s="90"/>
      <c r="H148" s="96"/>
      <c r="I148" s="90"/>
      <c r="J148" s="93"/>
      <c r="K148" s="90"/>
      <c r="L148" s="90"/>
      <c r="M148" s="93"/>
      <c r="N148" s="90"/>
      <c r="O148" s="128"/>
      <c r="P148" s="93"/>
      <c r="Q148" s="93"/>
      <c r="R148" s="93"/>
      <c r="S148" s="93"/>
      <c r="T148" s="93"/>
      <c r="U148" s="93"/>
      <c r="V148" s="93"/>
      <c r="W148" s="93"/>
      <c r="X148" s="93"/>
      <c r="Y148" s="93"/>
      <c r="Z148" s="90"/>
      <c r="AA148" s="128"/>
      <c r="AB148" s="93"/>
      <c r="AC148" s="93"/>
      <c r="AD148" s="93"/>
      <c r="AE148" s="93"/>
      <c r="AF148" s="93"/>
      <c r="AG148" s="93"/>
      <c r="AH148" s="93"/>
      <c r="AI148" s="93"/>
      <c r="AJ148" s="93"/>
      <c r="AK148" s="93"/>
      <c r="AL148" s="90"/>
      <c r="AM148" s="128"/>
      <c r="AN148" s="93"/>
      <c r="AO148" s="93"/>
      <c r="AP148" s="93"/>
      <c r="AQ148" s="93"/>
      <c r="AR148" s="93"/>
      <c r="AS148" s="93"/>
      <c r="AT148" s="93"/>
      <c r="AU148" s="93"/>
      <c r="AV148" s="93"/>
      <c r="AW148" s="93"/>
      <c r="AX148" s="90"/>
      <c r="AY148" s="128"/>
      <c r="AZ148" s="93"/>
      <c r="BA148" s="93"/>
      <c r="BB148" s="93"/>
      <c r="BC148" s="93"/>
      <c r="BD148" s="93"/>
      <c r="BE148" s="93"/>
      <c r="BF148" s="93"/>
      <c r="BG148" s="93"/>
      <c r="BH148" s="1"/>
    </row>
    <row r="149" spans="1:60" ht="21" x14ac:dyDescent="0.2">
      <c r="A149" s="648"/>
      <c r="B149" s="492" t="s">
        <v>243</v>
      </c>
      <c r="C149" s="739" t="s">
        <v>104</v>
      </c>
      <c r="D149" s="750" t="s">
        <v>50</v>
      </c>
      <c r="E149" s="240" t="s">
        <v>244</v>
      </c>
      <c r="F149" s="240"/>
      <c r="G149" s="825"/>
      <c r="H149" s="216"/>
      <c r="I149" s="88"/>
      <c r="J149" s="241" t="s">
        <v>58</v>
      </c>
      <c r="K149" s="142"/>
      <c r="L149" s="142"/>
      <c r="M149" s="216" t="s">
        <v>237</v>
      </c>
      <c r="N149" s="222"/>
      <c r="O149" s="217" t="str">
        <f t="shared" ref="O149:V149" si="93">O$10</f>
        <v>verwarming</v>
      </c>
      <c r="P149" s="217" t="str">
        <f t="shared" si="93"/>
        <v>koeling</v>
      </c>
      <c r="Q149" s="217" t="str">
        <f t="shared" si="93"/>
        <v>tapwater</v>
      </c>
      <c r="R149" s="217" t="str">
        <f t="shared" si="93"/>
        <v>verlichting</v>
      </c>
      <c r="S149" s="217" t="str">
        <f t="shared" si="93"/>
        <v>ventilatoren</v>
      </c>
      <c r="T149" s="217" t="str">
        <f t="shared" si="93"/>
        <v>kookgas</v>
      </c>
      <c r="U149" s="217" t="str">
        <f t="shared" si="93"/>
        <v>overig elektra</v>
      </c>
      <c r="V149" s="217" t="str">
        <f t="shared" si="93"/>
        <v>mobiliteit</v>
      </c>
      <c r="W149" s="217"/>
      <c r="X149" s="214"/>
      <c r="Y149" s="216" t="s">
        <v>237</v>
      </c>
      <c r="Z149" s="222"/>
      <c r="AA149" s="217" t="str">
        <f t="shared" ref="AA149:AH149" si="94">AA$10</f>
        <v>verwarming</v>
      </c>
      <c r="AB149" s="217" t="str">
        <f t="shared" si="94"/>
        <v>koeling</v>
      </c>
      <c r="AC149" s="217" t="str">
        <f t="shared" si="94"/>
        <v>tapwater</v>
      </c>
      <c r="AD149" s="217" t="str">
        <f t="shared" si="94"/>
        <v>verlichting</v>
      </c>
      <c r="AE149" s="217" t="str">
        <f t="shared" si="94"/>
        <v>ventilatoren</v>
      </c>
      <c r="AF149" s="217" t="str">
        <f t="shared" si="94"/>
        <v>kookgas</v>
      </c>
      <c r="AG149" s="217" t="str">
        <f t="shared" si="94"/>
        <v>overig elektra</v>
      </c>
      <c r="AH149" s="217" t="str">
        <f t="shared" si="94"/>
        <v>mobiliteit</v>
      </c>
      <c r="AI149" s="217"/>
      <c r="AJ149" s="214"/>
      <c r="AK149" s="216" t="s">
        <v>237</v>
      </c>
      <c r="AL149" s="222"/>
      <c r="AM149" s="217" t="str">
        <f>AM$10</f>
        <v>verwarming</v>
      </c>
      <c r="AN149" s="217" t="str">
        <f t="shared" ref="AN149:AT149" si="95">AN$10</f>
        <v>koeling</v>
      </c>
      <c r="AO149" s="217" t="str">
        <f t="shared" si="95"/>
        <v>tapwater</v>
      </c>
      <c r="AP149" s="217" t="str">
        <f t="shared" si="95"/>
        <v>verlichting</v>
      </c>
      <c r="AQ149" s="217" t="str">
        <f t="shared" si="95"/>
        <v>ventilatoren</v>
      </c>
      <c r="AR149" s="217" t="str">
        <f t="shared" si="95"/>
        <v>kookgas</v>
      </c>
      <c r="AS149" s="217" t="str">
        <f t="shared" si="95"/>
        <v>overig elektra</v>
      </c>
      <c r="AT149" s="217" t="str">
        <f t="shared" si="95"/>
        <v>mobiliteit</v>
      </c>
      <c r="AU149" s="217"/>
      <c r="AV149" s="214"/>
      <c r="AW149" s="216" t="s">
        <v>237</v>
      </c>
      <c r="AX149" s="222"/>
      <c r="AY149" s="217" t="str">
        <f>AY$10</f>
        <v>verwarming</v>
      </c>
      <c r="AZ149" s="217" t="str">
        <f t="shared" ref="AZ149:BF149" si="96">AZ$10</f>
        <v>koeling</v>
      </c>
      <c r="BA149" s="217" t="str">
        <f t="shared" si="96"/>
        <v>tapwater</v>
      </c>
      <c r="BB149" s="217" t="str">
        <f t="shared" si="96"/>
        <v>verlichting</v>
      </c>
      <c r="BC149" s="217" t="str">
        <f t="shared" si="96"/>
        <v>ventilatoren</v>
      </c>
      <c r="BD149" s="217" t="str">
        <f t="shared" si="96"/>
        <v>kookgas</v>
      </c>
      <c r="BE149" s="217" t="str">
        <f t="shared" si="96"/>
        <v>overig elektra</v>
      </c>
      <c r="BF149" s="217" t="str">
        <f t="shared" si="96"/>
        <v>mobiliteit</v>
      </c>
      <c r="BG149" s="217"/>
      <c r="BH149" s="1"/>
    </row>
    <row r="150" spans="1:60" ht="18.75" x14ac:dyDescent="0.2">
      <c r="A150" s="648"/>
      <c r="B150" s="492" t="s">
        <v>243</v>
      </c>
      <c r="C150" s="739" t="s">
        <v>104</v>
      </c>
      <c r="D150" s="747"/>
      <c r="E150" s="231" t="s">
        <v>245</v>
      </c>
      <c r="F150" s="231"/>
      <c r="G150" s="231"/>
      <c r="H150" s="89"/>
      <c r="I150" s="232"/>
      <c r="J150" s="231"/>
      <c r="K150" s="232"/>
      <c r="L150" s="232"/>
      <c r="M150" s="231"/>
      <c r="N150" s="232"/>
      <c r="O150" s="232"/>
      <c r="P150" s="232"/>
      <c r="Q150" s="232"/>
      <c r="R150" s="232"/>
      <c r="S150" s="232"/>
      <c r="T150" s="232"/>
      <c r="U150" s="232"/>
      <c r="V150" s="232"/>
      <c r="W150" s="232"/>
      <c r="X150" s="232"/>
      <c r="Y150" s="231"/>
      <c r="Z150" s="232"/>
      <c r="AA150" s="232"/>
      <c r="AB150" s="232"/>
      <c r="AC150" s="232"/>
      <c r="AD150" s="232"/>
      <c r="AE150" s="232"/>
      <c r="AF150" s="232"/>
      <c r="AG150" s="232"/>
      <c r="AH150" s="232"/>
      <c r="AI150" s="232"/>
      <c r="AJ150" s="232"/>
      <c r="AK150" s="231"/>
      <c r="AL150" s="232"/>
      <c r="AM150" s="232"/>
      <c r="AN150" s="232"/>
      <c r="AO150" s="232"/>
      <c r="AP150" s="232"/>
      <c r="AQ150" s="232"/>
      <c r="AR150" s="232"/>
      <c r="AS150" s="232"/>
      <c r="AT150" s="232"/>
      <c r="AU150" s="232"/>
      <c r="AV150" s="232"/>
      <c r="AW150" s="231"/>
      <c r="AX150" s="232"/>
      <c r="AY150" s="232"/>
      <c r="AZ150" s="232"/>
      <c r="BA150" s="232"/>
      <c r="BB150" s="232"/>
      <c r="BC150" s="232"/>
      <c r="BD150" s="232"/>
      <c r="BE150" s="232"/>
      <c r="BF150" s="232"/>
      <c r="BG150" s="232"/>
      <c r="BH150" s="38"/>
    </row>
    <row r="151" spans="1:60" x14ac:dyDescent="0.2">
      <c r="A151" s="648"/>
      <c r="B151" s="492" t="s">
        <v>243</v>
      </c>
      <c r="C151" s="656" t="s">
        <v>127</v>
      </c>
      <c r="D151" s="747"/>
      <c r="E151" s="316" t="s">
        <v>246</v>
      </c>
      <c r="F151" s="316"/>
      <c r="G151" s="316"/>
      <c r="H151" s="354" t="s">
        <v>232</v>
      </c>
      <c r="I151" s="232"/>
      <c r="J151" s="368"/>
      <c r="K151" s="294"/>
      <c r="L151" s="294"/>
      <c r="M151" s="368"/>
      <c r="N151" s="444"/>
      <c r="O151" s="445">
        <f>IF(O152&lt;&gt;"",O152,HLOOKUP(IF(O$80="",referentie_verwarming,O$80),toestellen_RV,ROWS(bibliotheek!$E$79:$E$114),FALSE))</f>
        <v>0</v>
      </c>
      <c r="P151" s="445">
        <f>IF(P152&lt;&gt;"",P152,HLOOKUP(IF(P$80="",referentie_koeling,P$80),toestellen_KOEL,ROWS(bibliotheek!$E$170:$E$189),FALSE))</f>
        <v>0</v>
      </c>
      <c r="Q151" s="445">
        <f>IF(Q152&lt;&gt;"",Q152,HLOOKUP(IF(Q$80="",referentie_warmtapwater,Q$80),toestellen_TAP,ROWS(bibliotheek!$E$136:$E$163),FALSE))</f>
        <v>4.4999999999999998E-2</v>
      </c>
      <c r="R151" s="446"/>
      <c r="S151" s="446"/>
      <c r="T151" s="446"/>
      <c r="U151" s="446"/>
      <c r="V151" s="446"/>
      <c r="W151" s="446"/>
      <c r="X151" s="422"/>
      <c r="Y151" s="352"/>
      <c r="Z151" s="444"/>
      <c r="AA151" s="445">
        <f>IF(AA152&lt;&gt;"",AA152,HLOOKUP(IF(AA$80="",referentie_verwarming,AA$80),toestellen_RV,ROWS(bibliotheek!$E$79:$E$114),FALSE))</f>
        <v>0</v>
      </c>
      <c r="AB151" s="445">
        <f>IF(AB152&lt;&gt;"",AB152,HLOOKUP(IF(AB$80="",referentie_koeling,AB$80),toestellen_KOEL,ROWS(bibliotheek!$E$170:$E$189),FALSE))</f>
        <v>0</v>
      </c>
      <c r="AC151" s="445">
        <f>IF(AC152&lt;&gt;"",AC152,HLOOKUP(IF(AC$80="",referentie_warmtapwater,AC$80),toestellen_TAP,ROWS(bibliotheek!$E$136:$E$163),FALSE))</f>
        <v>4.4999999999999998E-2</v>
      </c>
      <c r="AD151" s="446"/>
      <c r="AE151" s="446"/>
      <c r="AF151" s="446"/>
      <c r="AG151" s="446"/>
      <c r="AH151" s="446"/>
      <c r="AI151" s="446"/>
      <c r="AJ151" s="422"/>
      <c r="AK151" s="352"/>
      <c r="AL151" s="444"/>
      <c r="AM151" s="445">
        <f>IF(AM152&lt;&gt;"",AM152,HLOOKUP(IF(AM$80="",referentie_verwarming,AM$80),toestellen_RV,ROWS(bibliotheek!$E$79:$E$114),FALSE))</f>
        <v>0</v>
      </c>
      <c r="AN151" s="445">
        <f>IF(AN152&lt;&gt;"",AN152,HLOOKUP(IF(AN$80="",referentie_koeling,AN$80),toestellen_KOEL,ROWS(bibliotheek!$E$170:$E$189),FALSE))</f>
        <v>0</v>
      </c>
      <c r="AO151" s="445">
        <f>IF(AO152&lt;&gt;"",AO152,HLOOKUP(IF(AO$80="",referentie_warmtapwater,AO$80),toestellen_TAP,ROWS(bibliotheek!$E$136:$E$163),FALSE))</f>
        <v>4.4999999999999998E-2</v>
      </c>
      <c r="AP151" s="446"/>
      <c r="AQ151" s="446"/>
      <c r="AR151" s="446"/>
      <c r="AS151" s="446"/>
      <c r="AT151" s="446"/>
      <c r="AU151" s="446"/>
      <c r="AV151" s="422"/>
      <c r="AW151" s="352"/>
      <c r="AX151" s="444"/>
      <c r="AY151" s="445">
        <f>IF(AY152&lt;&gt;"",AY152,HLOOKUP(IF(AY$80="",referentie_verwarming,AY$80),toestellen_RV,ROWS(bibliotheek!$E$79:$E$114),FALSE))</f>
        <v>0</v>
      </c>
      <c r="AZ151" s="445">
        <f>IF(AZ152&lt;&gt;"",AZ152,HLOOKUP(IF(AZ$80="",referentie_koeling,AZ$80),toestellen_KOEL,ROWS(bibliotheek!$E$170:$E$189),FALSE))</f>
        <v>0</v>
      </c>
      <c r="BA151" s="445">
        <f>IF(BA152&lt;&gt;"",BA152,HLOOKUP(IF(BA$80="",referentie_warmtapwater,BA$80),toestellen_TAP,ROWS(bibliotheek!$E$136:$E$163),FALSE))</f>
        <v>4.4999999999999998E-2</v>
      </c>
      <c r="BB151" s="369"/>
      <c r="BC151" s="369"/>
      <c r="BD151" s="369"/>
      <c r="BE151" s="369"/>
      <c r="BF151" s="369"/>
      <c r="BG151" s="369"/>
      <c r="BH151" s="214"/>
    </row>
    <row r="152" spans="1:60" x14ac:dyDescent="0.2">
      <c r="A152" s="648"/>
      <c r="B152" s="492" t="s">
        <v>243</v>
      </c>
      <c r="C152" s="656" t="s">
        <v>127</v>
      </c>
      <c r="D152" s="747"/>
      <c r="E152" s="412" t="s">
        <v>227</v>
      </c>
      <c r="F152" s="317"/>
      <c r="G152" s="317"/>
      <c r="H152" s="355"/>
      <c r="I152" s="232"/>
      <c r="J152" s="362"/>
      <c r="K152" s="294"/>
      <c r="L152" s="294"/>
      <c r="M152" s="370"/>
      <c r="N152" s="371"/>
      <c r="O152" s="338"/>
      <c r="P152" s="344"/>
      <c r="Q152" s="338"/>
      <c r="R152" s="372"/>
      <c r="S152" s="372"/>
      <c r="T152" s="372"/>
      <c r="U152" s="372"/>
      <c r="V152" s="372"/>
      <c r="W152" s="372"/>
      <c r="X152" s="128"/>
      <c r="Y152" s="370"/>
      <c r="Z152" s="371"/>
      <c r="AA152" s="338"/>
      <c r="AB152" s="344"/>
      <c r="AC152" s="338"/>
      <c r="AD152" s="372"/>
      <c r="AE152" s="372"/>
      <c r="AF152" s="372"/>
      <c r="AG152" s="372"/>
      <c r="AH152" s="372"/>
      <c r="AI152" s="372"/>
      <c r="AJ152" s="128"/>
      <c r="AK152" s="370"/>
      <c r="AL152" s="371"/>
      <c r="AM152" s="338"/>
      <c r="AN152" s="344"/>
      <c r="AO152" s="338"/>
      <c r="AP152" s="372"/>
      <c r="AQ152" s="372"/>
      <c r="AR152" s="372"/>
      <c r="AS152" s="372"/>
      <c r="AT152" s="372"/>
      <c r="AU152" s="372"/>
      <c r="AV152" s="128"/>
      <c r="AW152" s="370"/>
      <c r="AX152" s="371"/>
      <c r="AY152" s="338"/>
      <c r="AZ152" s="344"/>
      <c r="BA152" s="338"/>
      <c r="BB152" s="372"/>
      <c r="BC152" s="372"/>
      <c r="BD152" s="372"/>
      <c r="BE152" s="372"/>
      <c r="BF152" s="372"/>
      <c r="BG152" s="372"/>
      <c r="BH152" s="214"/>
    </row>
    <row r="153" spans="1:60" x14ac:dyDescent="0.2">
      <c r="A153" s="650"/>
      <c r="B153" s="492" t="s">
        <v>243</v>
      </c>
      <c r="C153" s="656" t="s">
        <v>127</v>
      </c>
      <c r="D153" s="752"/>
      <c r="E153" s="298" t="s">
        <v>247</v>
      </c>
      <c r="F153" s="298"/>
      <c r="G153" s="298"/>
      <c r="H153" s="242" t="s">
        <v>220</v>
      </c>
      <c r="I153" s="232"/>
      <c r="J153" s="243">
        <f>M153+Y153+AK153+AW153</f>
        <v>0</v>
      </c>
      <c r="K153" s="294"/>
      <c r="L153" s="294"/>
      <c r="M153" s="243">
        <f>SUM(O153:X153)</f>
        <v>0</v>
      </c>
      <c r="N153" s="100"/>
      <c r="O153" s="207">
        <f>O$123*O$151</f>
        <v>0</v>
      </c>
      <c r="P153" s="207">
        <f>P$123*P$151</f>
        <v>0</v>
      </c>
      <c r="Q153" s="207">
        <f>Q$123*Q$151</f>
        <v>0</v>
      </c>
      <c r="R153" s="335"/>
      <c r="S153" s="335"/>
      <c r="T153" s="335"/>
      <c r="U153" s="335"/>
      <c r="V153" s="335"/>
      <c r="W153" s="335"/>
      <c r="X153" s="118"/>
      <c r="Y153" s="243">
        <f>SUM(AA153:AJ153)</f>
        <v>0</v>
      </c>
      <c r="Z153" s="100"/>
      <c r="AA153" s="207">
        <f>AA$123*AA$151</f>
        <v>0</v>
      </c>
      <c r="AB153" s="207">
        <f>AB$123*AB$151</f>
        <v>0</v>
      </c>
      <c r="AC153" s="207">
        <f>AC$123*AC$151</f>
        <v>0</v>
      </c>
      <c r="AD153" s="335"/>
      <c r="AE153" s="335"/>
      <c r="AF153" s="335"/>
      <c r="AG153" s="335"/>
      <c r="AH153" s="335"/>
      <c r="AI153" s="335"/>
      <c r="AJ153" s="118"/>
      <c r="AK153" s="243">
        <f>SUM(AM153:AV153)</f>
        <v>0</v>
      </c>
      <c r="AL153" s="100"/>
      <c r="AM153" s="207">
        <f>AM$123*AM$151</f>
        <v>0</v>
      </c>
      <c r="AN153" s="207">
        <f>AN$123*AN$151</f>
        <v>0</v>
      </c>
      <c r="AO153" s="207">
        <f>AO$123*AO$151</f>
        <v>0</v>
      </c>
      <c r="AP153" s="335"/>
      <c r="AQ153" s="335"/>
      <c r="AR153" s="335"/>
      <c r="AS153" s="335"/>
      <c r="AT153" s="335"/>
      <c r="AU153" s="335"/>
      <c r="AV153" s="118"/>
      <c r="AW153" s="243">
        <f>SUM(AY153:BH153)</f>
        <v>0</v>
      </c>
      <c r="AX153" s="100"/>
      <c r="AY153" s="207">
        <f>AY$123*AY$151</f>
        <v>0</v>
      </c>
      <c r="AZ153" s="207">
        <f>AZ$123*AZ$151</f>
        <v>0</v>
      </c>
      <c r="BA153" s="207">
        <f>BA$123*BA$151</f>
        <v>0</v>
      </c>
      <c r="BB153" s="335"/>
      <c r="BC153" s="335"/>
      <c r="BD153" s="335"/>
      <c r="BE153" s="335"/>
      <c r="BF153" s="335"/>
      <c r="BG153" s="335"/>
      <c r="BH153" s="214"/>
    </row>
    <row r="154" spans="1:60" hidden="1" x14ac:dyDescent="0.2">
      <c r="A154" s="650"/>
      <c r="B154" s="492" t="s">
        <v>243</v>
      </c>
      <c r="C154" s="740" t="s">
        <v>199</v>
      </c>
      <c r="D154" s="752" t="s">
        <v>50</v>
      </c>
      <c r="E154" s="298" t="s">
        <v>248</v>
      </c>
      <c r="F154" s="298"/>
      <c r="G154" s="298"/>
      <c r="H154" s="242" t="s">
        <v>220</v>
      </c>
      <c r="I154" s="232"/>
      <c r="J154" s="243">
        <f>M154+Y154+AK154+AW154</f>
        <v>0</v>
      </c>
      <c r="K154" s="294"/>
      <c r="L154" s="294"/>
      <c r="M154" s="243">
        <f>SUM(O154:X154)</f>
        <v>0</v>
      </c>
      <c r="N154" s="100"/>
      <c r="O154" s="207">
        <f>IF(O33=0,0,
(O$95*IFERROR((  INDEX(bibliotheek!$E$105:$AT$105,MATCH(O$80,toestellen_RV_kopregel,0)) +
INDEX(bibliotheek!$E$106:$AT$106,MATCH(O$80,toestellen_RV_kopregel,0))  *(O$94*1000/O$95)/
(  INDEX(bibliotheek!$E$107:$AT$107,MATCH(O$80,toestellen_RV_kopregel,0)) *
INDEX(bibliotheek!$E$108:$AT$108,MATCH(O$80,toestellen_RV_kopregel,0)) ) ),0)+
O$95*INDEX(bibliotheek!$E$109:$AT$109,MATCH(O$80,toestellen_RV_kopregel,0))+
O$96*INDEX(bibliotheek!$E$110:$AT$110,MATCH(O$80,toestellen_RV_kopregel,0)))/1000)</f>
        <v>0</v>
      </c>
      <c r="P154" s="335"/>
      <c r="Q154" s="335"/>
      <c r="R154" s="207">
        <f>R$75</f>
        <v>0</v>
      </c>
      <c r="S154" s="207">
        <f>S$75</f>
        <v>0</v>
      </c>
      <c r="T154" s="335"/>
      <c r="U154" s="207">
        <f>U$75</f>
        <v>0</v>
      </c>
      <c r="V154" s="207">
        <f>V$75</f>
        <v>0</v>
      </c>
      <c r="W154" s="335"/>
      <c r="X154" s="118"/>
      <c r="Y154" s="243">
        <f>SUM(AA154:AJ154)</f>
        <v>0</v>
      </c>
      <c r="Z154" s="100"/>
      <c r="AA154" s="207">
        <f>IF(AA33=0,0,
(AA$95*IFERROR((  INDEX(bibliotheek!$E$105:$AT$105,MATCH(AA$80,toestellen_RV_kopregel,0)) +
INDEX(bibliotheek!$E$106:$AT$106,MATCH(AA$80,toestellen_RV_kopregel,0))  *(AA$94*1000/AA$95)/
(  INDEX(bibliotheek!$E$107:$AT$107,MATCH(AA$80,toestellen_RV_kopregel,0)) *
INDEX(bibliotheek!$E$108:$AT$108,MATCH(AA$80,toestellen_RV_kopregel,0)) ) ),0)+
AA$95*INDEX(bibliotheek!$E$109:$AT$109,MATCH(AA$80,toestellen_RV_kopregel,0))+
AA$96*INDEX(bibliotheek!$E$110:$AT$110,MATCH(AA$80,toestellen_RV_kopregel,0)))/1000)</f>
        <v>0</v>
      </c>
      <c r="AB154" s="335"/>
      <c r="AC154" s="335"/>
      <c r="AD154" s="207">
        <f>AD$75</f>
        <v>0</v>
      </c>
      <c r="AE154" s="207">
        <f>AE$75</f>
        <v>0</v>
      </c>
      <c r="AF154" s="335"/>
      <c r="AG154" s="207">
        <f>AG$75</f>
        <v>0</v>
      </c>
      <c r="AH154" s="207">
        <f>AH$75</f>
        <v>0</v>
      </c>
      <c r="AI154" s="335"/>
      <c r="AJ154" s="118"/>
      <c r="AK154" s="243">
        <f>SUM(AM154:AV154)</f>
        <v>0</v>
      </c>
      <c r="AL154" s="100"/>
      <c r="AM154" s="207">
        <f>IF(AM33=0,0,
(AM$95*IFERROR((  INDEX(bibliotheek!$E$105:$AT$105,MATCH(AM$80,toestellen_RV_kopregel,0)) +
INDEX(bibliotheek!$E$106:$AT$106,MATCH(AM$80,toestellen_RV_kopregel,0))  *(AM$94*1000/AM$95)/
(  INDEX(bibliotheek!$E$107:$AT$107,MATCH(AM$80,toestellen_RV_kopregel,0)) *
INDEX(bibliotheek!$E$108:$AT$108,MATCH(AM$80,toestellen_RV_kopregel,0)) ) ),0)+
AM$95*INDEX(bibliotheek!$E$109:$AT$109,MATCH(AM$80,toestellen_RV_kopregel,0))+
AM$96*INDEX(bibliotheek!$E$110:$AT$110,MATCH(AM$80,toestellen_RV_kopregel,0)))/1000)</f>
        <v>0</v>
      </c>
      <c r="AN154" s="335"/>
      <c r="AO154" s="335"/>
      <c r="AP154" s="207">
        <f>AP$75</f>
        <v>0</v>
      </c>
      <c r="AQ154" s="207">
        <f>AQ$75</f>
        <v>0</v>
      </c>
      <c r="AR154" s="335"/>
      <c r="AS154" s="207">
        <f>AS$75</f>
        <v>0</v>
      </c>
      <c r="AT154" s="207">
        <f>AT$75</f>
        <v>0</v>
      </c>
      <c r="AU154" s="335"/>
      <c r="AV154" s="118"/>
      <c r="AW154" s="243">
        <f>SUM(AY154:BH154)</f>
        <v>0</v>
      </c>
      <c r="AX154" s="100"/>
      <c r="AY154" s="207">
        <f>IF(AY33=0,0,
(AY$95*IFERROR((  INDEX(bibliotheek!$E$105:$AT$105,MATCH(AY$80,toestellen_RV_kopregel,0)) +
INDEX(bibliotheek!$E$106:$AT$106,MATCH(AY$80,toestellen_RV_kopregel,0))  *(AY$94*1000/AY$95)/
(  INDEX(bibliotheek!$E$107:$AT$107,MATCH(AY$80,toestellen_RV_kopregel,0)) *
INDEX(bibliotheek!$E$108:$AT$108,MATCH(AY$80,toestellen_RV_kopregel,0)) ) ),0)+
AY$95*INDEX(bibliotheek!$E$109:$AT$109,MATCH(AY$80,toestellen_RV_kopregel,0))+
AY$96*INDEX(bibliotheek!$E$110:$AT$110,MATCH(AY$80,toestellen_RV_kopregel,0)))/1000)</f>
        <v>0</v>
      </c>
      <c r="AZ154" s="335"/>
      <c r="BA154" s="335"/>
      <c r="BB154" s="207">
        <f>BB$75</f>
        <v>0</v>
      </c>
      <c r="BC154" s="207">
        <f>BC$75</f>
        <v>0</v>
      </c>
      <c r="BD154" s="335"/>
      <c r="BE154" s="207">
        <f>BE$75</f>
        <v>0</v>
      </c>
      <c r="BF154" s="207">
        <f>BF$75</f>
        <v>0</v>
      </c>
      <c r="BG154" s="335"/>
      <c r="BH154" s="214"/>
    </row>
    <row r="155" spans="1:60" hidden="1" x14ac:dyDescent="0.2">
      <c r="A155" s="650"/>
      <c r="B155" s="492" t="s">
        <v>243</v>
      </c>
      <c r="C155" s="740" t="s">
        <v>199</v>
      </c>
      <c r="D155" s="752"/>
      <c r="E155" s="298" t="s">
        <v>249</v>
      </c>
      <c r="F155" s="298"/>
      <c r="G155" s="298"/>
      <c r="H155" s="242" t="s">
        <v>220</v>
      </c>
      <c r="I155" s="232"/>
      <c r="J155" s="243">
        <f>M155+Y155+AK155+AW155</f>
        <v>0</v>
      </c>
      <c r="K155" s="294"/>
      <c r="L155" s="294"/>
      <c r="M155" s="243">
        <f>SUM(O155:X155)</f>
        <v>0</v>
      </c>
      <c r="N155" s="100"/>
      <c r="O155" s="207">
        <f>O$94*O$124+IF(O$111=0,0,O112/O$111)</f>
        <v>0</v>
      </c>
      <c r="P155" s="207">
        <f>P$94*P$124+IF(P$111=0,0,P112/P$111)</f>
        <v>0</v>
      </c>
      <c r="Q155" s="207">
        <f>Q$94*Q$124+IF(Q$111=0,0,Q112/Q$111)</f>
        <v>0</v>
      </c>
      <c r="R155" s="335"/>
      <c r="S155" s="335"/>
      <c r="T155" s="335"/>
      <c r="U155" s="335"/>
      <c r="V155" s="335"/>
      <c r="W155" s="335"/>
      <c r="X155" s="118"/>
      <c r="Y155" s="243">
        <f>SUM(AA155:AJ155)</f>
        <v>0</v>
      </c>
      <c r="Z155" s="100"/>
      <c r="AA155" s="207">
        <f>AA$94*AA$124+IF(AA$111=0,0,AA112/AA$111)</f>
        <v>0</v>
      </c>
      <c r="AB155" s="207">
        <f>AB$94*AB$124+IF(AB$111=0,0,AB112/AB$111)</f>
        <v>0</v>
      </c>
      <c r="AC155" s="207">
        <f>AC$94*AC$124+IF(AC$111=0,0,AC112/AC$111)</f>
        <v>0</v>
      </c>
      <c r="AD155" s="335"/>
      <c r="AE155" s="335"/>
      <c r="AF155" s="335"/>
      <c r="AG155" s="335"/>
      <c r="AH155" s="335"/>
      <c r="AI155" s="335"/>
      <c r="AJ155" s="118"/>
      <c r="AK155" s="243">
        <f>SUM(AM155:AV155)</f>
        <v>0</v>
      </c>
      <c r="AL155" s="100"/>
      <c r="AM155" s="207">
        <f>AM$94*AM$124+IF(AM$111=0,0,AM112/AM$111)</f>
        <v>0</v>
      </c>
      <c r="AN155" s="207">
        <f>AN$94*AN$124+IF(AN$111=0,0,AN112/AN$111)</f>
        <v>0</v>
      </c>
      <c r="AO155" s="207">
        <f>AO$94*AO$124+IF(AO$111=0,0,AO112/AO$111)</f>
        <v>0</v>
      </c>
      <c r="AP155" s="335"/>
      <c r="AQ155" s="335"/>
      <c r="AR155" s="335"/>
      <c r="AS155" s="335"/>
      <c r="AT155" s="335"/>
      <c r="AU155" s="335"/>
      <c r="AV155" s="118"/>
      <c r="AW155" s="243">
        <f>SUM(AY155:BH155)</f>
        <v>0</v>
      </c>
      <c r="AX155" s="100"/>
      <c r="AY155" s="207">
        <f>AY$94*AY$124+IF(AY$111=0,0,AY112/AY$111)</f>
        <v>0</v>
      </c>
      <c r="AZ155" s="207">
        <f>AZ$94*AZ$124+IF(AZ$111=0,0,AZ112/AZ$111)</f>
        <v>0</v>
      </c>
      <c r="BA155" s="207">
        <f>BA$94*BA$124+IF(BA$111=0,0,BA112/BA$111)</f>
        <v>0</v>
      </c>
      <c r="BB155" s="335"/>
      <c r="BC155" s="335"/>
      <c r="BD155" s="335"/>
      <c r="BE155" s="335"/>
      <c r="BF155" s="335"/>
      <c r="BG155" s="335"/>
      <c r="BH155" s="214"/>
    </row>
    <row r="156" spans="1:60" hidden="1" x14ac:dyDescent="0.2">
      <c r="A156" s="650"/>
      <c r="B156" s="492" t="s">
        <v>243</v>
      </c>
      <c r="C156" s="740" t="s">
        <v>199</v>
      </c>
      <c r="D156" s="752"/>
      <c r="E156" s="298" t="s">
        <v>109</v>
      </c>
      <c r="F156" s="298"/>
      <c r="G156" s="298"/>
      <c r="H156" s="242" t="s">
        <v>220</v>
      </c>
      <c r="I156" s="232"/>
      <c r="J156" s="243">
        <f>M156+Y156+AK156+AW156</f>
        <v>0</v>
      </c>
      <c r="K156" s="294"/>
      <c r="L156" s="294"/>
      <c r="M156" s="243">
        <f>SUM(O156:X156)</f>
        <v>0</v>
      </c>
      <c r="N156" s="100"/>
      <c r="O156" s="335"/>
      <c r="P156" s="335"/>
      <c r="Q156" s="335"/>
      <c r="R156" s="335"/>
      <c r="S156" s="335"/>
      <c r="T156" s="207">
        <f>T75</f>
        <v>0</v>
      </c>
      <c r="U156" s="335"/>
      <c r="V156" s="335"/>
      <c r="W156" s="335"/>
      <c r="X156" s="118"/>
      <c r="Y156" s="243">
        <f>SUM(AA156:AJ156)</f>
        <v>0</v>
      </c>
      <c r="Z156" s="100"/>
      <c r="AA156" s="207"/>
      <c r="AB156" s="207"/>
      <c r="AC156" s="207"/>
      <c r="AD156" s="335"/>
      <c r="AE156" s="335"/>
      <c r="AF156" s="207">
        <f>AF75</f>
        <v>0</v>
      </c>
      <c r="AG156" s="335"/>
      <c r="AH156" s="335"/>
      <c r="AI156" s="335"/>
      <c r="AJ156" s="118"/>
      <c r="AK156" s="243">
        <f>SUM(AM156:AV156)</f>
        <v>0</v>
      </c>
      <c r="AL156" s="100"/>
      <c r="AM156" s="207"/>
      <c r="AN156" s="207"/>
      <c r="AO156" s="207"/>
      <c r="AP156" s="335"/>
      <c r="AQ156" s="335"/>
      <c r="AR156" s="207">
        <f>AR75</f>
        <v>0</v>
      </c>
      <c r="AS156" s="335"/>
      <c r="AT156" s="335"/>
      <c r="AU156" s="335"/>
      <c r="AV156" s="118"/>
      <c r="AW156" s="243">
        <f>SUM(AY156:BH156)</f>
        <v>0</v>
      </c>
      <c r="AX156" s="100"/>
      <c r="AY156" s="207"/>
      <c r="AZ156" s="207"/>
      <c r="BA156" s="207"/>
      <c r="BB156" s="335"/>
      <c r="BC156" s="335"/>
      <c r="BD156" s="207">
        <f>BD75</f>
        <v>0</v>
      </c>
      <c r="BE156" s="335"/>
      <c r="BF156" s="335"/>
      <c r="BG156" s="335"/>
      <c r="BH156" s="214"/>
    </row>
    <row r="157" spans="1:60" ht="18.75" x14ac:dyDescent="0.2">
      <c r="A157" s="648"/>
      <c r="B157" s="492" t="s">
        <v>243</v>
      </c>
      <c r="C157" s="739" t="s">
        <v>104</v>
      </c>
      <c r="D157" s="747"/>
      <c r="E157" s="303" t="s">
        <v>250</v>
      </c>
      <c r="F157" s="303"/>
      <c r="G157" s="303"/>
      <c r="H157" s="305"/>
      <c r="I157" s="232"/>
      <c r="J157" s="303"/>
      <c r="K157" s="232"/>
      <c r="L157" s="232"/>
      <c r="M157" s="303"/>
      <c r="N157" s="304"/>
      <c r="O157" s="304"/>
      <c r="P157" s="304"/>
      <c r="Q157" s="304"/>
      <c r="R157" s="304"/>
      <c r="S157" s="304"/>
      <c r="T157" s="304"/>
      <c r="U157" s="304"/>
      <c r="V157" s="304"/>
      <c r="W157" s="304"/>
      <c r="X157" s="232"/>
      <c r="Y157" s="303"/>
      <c r="Z157" s="304"/>
      <c r="AA157" s="304"/>
      <c r="AB157" s="304"/>
      <c r="AC157" s="304"/>
      <c r="AD157" s="304"/>
      <c r="AE157" s="304"/>
      <c r="AF157" s="304"/>
      <c r="AG157" s="304"/>
      <c r="AH157" s="304"/>
      <c r="AI157" s="304"/>
      <c r="AJ157" s="232"/>
      <c r="AK157" s="303"/>
      <c r="AL157" s="304"/>
      <c r="AM157" s="304"/>
      <c r="AN157" s="304"/>
      <c r="AO157" s="304"/>
      <c r="AP157" s="304"/>
      <c r="AQ157" s="304"/>
      <c r="AR157" s="304"/>
      <c r="AS157" s="304"/>
      <c r="AT157" s="304"/>
      <c r="AU157" s="304"/>
      <c r="AV157" s="232"/>
      <c r="AW157" s="303"/>
      <c r="AX157" s="304"/>
      <c r="AY157" s="304"/>
      <c r="AZ157" s="304"/>
      <c r="BA157" s="304"/>
      <c r="BB157" s="304"/>
      <c r="BC157" s="304"/>
      <c r="BD157" s="304"/>
      <c r="BE157" s="304"/>
      <c r="BF157" s="304"/>
      <c r="BG157" s="304"/>
      <c r="BH157" s="38"/>
    </row>
    <row r="158" spans="1:60" hidden="1" x14ac:dyDescent="0.2">
      <c r="A158" s="648"/>
      <c r="B158" s="492" t="s">
        <v>243</v>
      </c>
      <c r="C158" s="656" t="s">
        <v>199</v>
      </c>
      <c r="D158" s="747"/>
      <c r="E158" s="316" t="s">
        <v>222</v>
      </c>
      <c r="F158" s="316"/>
      <c r="G158" s="316"/>
      <c r="H158" s="354" t="s">
        <v>223</v>
      </c>
      <c r="I158" s="232"/>
      <c r="J158" s="229"/>
      <c r="K158" s="90"/>
      <c r="L158" s="90"/>
      <c r="M158" s="229"/>
      <c r="N158" s="131"/>
      <c r="O158" s="184">
        <f>$G$5</f>
        <v>1.45</v>
      </c>
      <c r="P158" s="184">
        <f>$G$5</f>
        <v>1.45</v>
      </c>
      <c r="Q158" s="184">
        <f>$G$5</f>
        <v>1.45</v>
      </c>
      <c r="R158" s="184">
        <f>$G$5</f>
        <v>1.45</v>
      </c>
      <c r="S158" s="184">
        <f>$G$5</f>
        <v>1.45</v>
      </c>
      <c r="T158" s="184">
        <f>bibliotheek!$K$223</f>
        <v>1</v>
      </c>
      <c r="U158" s="184">
        <f>$G$5</f>
        <v>1.45</v>
      </c>
      <c r="V158" s="184">
        <f>$G$5</f>
        <v>1.45</v>
      </c>
      <c r="W158" s="452"/>
      <c r="X158" s="139"/>
      <c r="Y158" s="706"/>
      <c r="Z158" s="707"/>
      <c r="AA158" s="184">
        <f>$G$5</f>
        <v>1.45</v>
      </c>
      <c r="AB158" s="184">
        <f>$G$5</f>
        <v>1.45</v>
      </c>
      <c r="AC158" s="184">
        <f>$G$5</f>
        <v>1.45</v>
      </c>
      <c r="AD158" s="184">
        <f>$G$5</f>
        <v>1.45</v>
      </c>
      <c r="AE158" s="184">
        <f>$G$5</f>
        <v>1.45</v>
      </c>
      <c r="AF158" s="272">
        <f>bibliotheek!$K$223</f>
        <v>1</v>
      </c>
      <c r="AG158" s="184">
        <f>$G$5</f>
        <v>1.45</v>
      </c>
      <c r="AH158" s="184">
        <f>$G$5</f>
        <v>1.45</v>
      </c>
      <c r="AI158" s="452"/>
      <c r="AJ158" s="139"/>
      <c r="AK158" s="706"/>
      <c r="AL158" s="707"/>
      <c r="AM158" s="184">
        <f>$G$5</f>
        <v>1.45</v>
      </c>
      <c r="AN158" s="184">
        <f>$G$5</f>
        <v>1.45</v>
      </c>
      <c r="AO158" s="184">
        <f>$G$5</f>
        <v>1.45</v>
      </c>
      <c r="AP158" s="184">
        <f>$G$5</f>
        <v>1.45</v>
      </c>
      <c r="AQ158" s="184">
        <f>$G$5</f>
        <v>1.45</v>
      </c>
      <c r="AR158" s="272">
        <f>bibliotheek!$K$223</f>
        <v>1</v>
      </c>
      <c r="AS158" s="184">
        <f>$G$5</f>
        <v>1.45</v>
      </c>
      <c r="AT158" s="184">
        <f>$G$5</f>
        <v>1.45</v>
      </c>
      <c r="AU158" s="452"/>
      <c r="AV158" s="139"/>
      <c r="AW158" s="706"/>
      <c r="AX158" s="707"/>
      <c r="AY158" s="184">
        <f>$G$5</f>
        <v>1.45</v>
      </c>
      <c r="AZ158" s="184">
        <f>$G$5</f>
        <v>1.45</v>
      </c>
      <c r="BA158" s="184">
        <f>$G$5</f>
        <v>1.45</v>
      </c>
      <c r="BB158" s="184">
        <f>$G$5</f>
        <v>1.45</v>
      </c>
      <c r="BC158" s="184">
        <f>$G$5</f>
        <v>1.45</v>
      </c>
      <c r="BD158" s="272">
        <f>bibliotheek!$K$223</f>
        <v>1</v>
      </c>
      <c r="BE158" s="184">
        <f>$G$5</f>
        <v>1.45</v>
      </c>
      <c r="BF158" s="184">
        <f>$G$5</f>
        <v>1.45</v>
      </c>
      <c r="BG158" s="452"/>
      <c r="BH158" s="214"/>
    </row>
    <row r="159" spans="1:60" x14ac:dyDescent="0.2">
      <c r="A159" s="650"/>
      <c r="B159" s="492" t="s">
        <v>243</v>
      </c>
      <c r="C159" s="740" t="s">
        <v>113</v>
      </c>
      <c r="D159" s="752" t="s">
        <v>50</v>
      </c>
      <c r="E159" s="298" t="s">
        <v>114</v>
      </c>
      <c r="F159" s="242"/>
      <c r="G159" s="242"/>
      <c r="H159" s="242" t="s">
        <v>115</v>
      </c>
      <c r="I159" s="232"/>
      <c r="J159" s="243">
        <f>M159+Y159+AK159+AW159</f>
        <v>0</v>
      </c>
      <c r="K159" s="823"/>
      <c r="L159" s="823"/>
      <c r="M159" s="243">
        <f>SUM(O159:X159)</f>
        <v>0</v>
      </c>
      <c r="N159" s="100"/>
      <c r="O159" s="207">
        <f t="shared" ref="O159:V159" si="97">SUM(O$153:O$156)*O$158</f>
        <v>0</v>
      </c>
      <c r="P159" s="207">
        <f t="shared" si="97"/>
        <v>0</v>
      </c>
      <c r="Q159" s="207">
        <f t="shared" si="97"/>
        <v>0</v>
      </c>
      <c r="R159" s="207">
        <f t="shared" si="97"/>
        <v>0</v>
      </c>
      <c r="S159" s="207">
        <f t="shared" si="97"/>
        <v>0</v>
      </c>
      <c r="T159" s="207">
        <f t="shared" si="97"/>
        <v>0</v>
      </c>
      <c r="U159" s="207">
        <f>SUM(U$153:U$156)*U$158</f>
        <v>0</v>
      </c>
      <c r="V159" s="207">
        <f t="shared" si="97"/>
        <v>0</v>
      </c>
      <c r="W159" s="335"/>
      <c r="X159" s="128"/>
      <c r="Y159" s="243">
        <f>SUM(AA159:AJ159)</f>
        <v>0</v>
      </c>
      <c r="Z159" s="100"/>
      <c r="AA159" s="207">
        <f t="shared" ref="AA159:AH159" si="98">SUM(AA$153:AA$156)*AA$158</f>
        <v>0</v>
      </c>
      <c r="AB159" s="207">
        <f t="shared" si="98"/>
        <v>0</v>
      </c>
      <c r="AC159" s="207">
        <f t="shared" si="98"/>
        <v>0</v>
      </c>
      <c r="AD159" s="207">
        <f t="shared" si="98"/>
        <v>0</v>
      </c>
      <c r="AE159" s="207">
        <f t="shared" si="98"/>
        <v>0</v>
      </c>
      <c r="AF159" s="207">
        <f t="shared" si="98"/>
        <v>0</v>
      </c>
      <c r="AG159" s="207">
        <f t="shared" si="98"/>
        <v>0</v>
      </c>
      <c r="AH159" s="207">
        <f t="shared" si="98"/>
        <v>0</v>
      </c>
      <c r="AI159" s="335"/>
      <c r="AJ159" s="128"/>
      <c r="AK159" s="243">
        <f>SUM(AM159:AV159)</f>
        <v>0</v>
      </c>
      <c r="AL159" s="100"/>
      <c r="AM159" s="207">
        <f>SUM(AM$153:AM$156)*AM$158</f>
        <v>0</v>
      </c>
      <c r="AN159" s="207">
        <f t="shared" ref="AN159:AT159" si="99">SUM(AN$153:AN$156)*AN$158</f>
        <v>0</v>
      </c>
      <c r="AO159" s="207">
        <f t="shared" si="99"/>
        <v>0</v>
      </c>
      <c r="AP159" s="207">
        <f t="shared" si="99"/>
        <v>0</v>
      </c>
      <c r="AQ159" s="207">
        <f t="shared" si="99"/>
        <v>0</v>
      </c>
      <c r="AR159" s="207">
        <f t="shared" si="99"/>
        <v>0</v>
      </c>
      <c r="AS159" s="207">
        <f t="shared" si="99"/>
        <v>0</v>
      </c>
      <c r="AT159" s="207">
        <f t="shared" si="99"/>
        <v>0</v>
      </c>
      <c r="AU159" s="335"/>
      <c r="AV159" s="128"/>
      <c r="AW159" s="243">
        <f>SUM(AY159:BH159)</f>
        <v>0</v>
      </c>
      <c r="AX159" s="100"/>
      <c r="AY159" s="207">
        <f>SUM(AY$153:AY$156)*AY$158</f>
        <v>0</v>
      </c>
      <c r="AZ159" s="207">
        <f t="shared" ref="AZ159:BF159" si="100">SUM(AZ$153:AZ$156)*AZ$158</f>
        <v>0</v>
      </c>
      <c r="BA159" s="207">
        <f t="shared" si="100"/>
        <v>0</v>
      </c>
      <c r="BB159" s="207">
        <f t="shared" si="100"/>
        <v>0</v>
      </c>
      <c r="BC159" s="207">
        <f t="shared" si="100"/>
        <v>0</v>
      </c>
      <c r="BD159" s="207">
        <f t="shared" si="100"/>
        <v>0</v>
      </c>
      <c r="BE159" s="207">
        <f t="shared" si="100"/>
        <v>0</v>
      </c>
      <c r="BF159" s="207">
        <f t="shared" si="100"/>
        <v>0</v>
      </c>
      <c r="BG159" s="335"/>
      <c r="BH159" s="214"/>
    </row>
    <row r="160" spans="1:60" ht="18.75" x14ac:dyDescent="0.2">
      <c r="A160" s="648"/>
      <c r="B160" s="492" t="s">
        <v>243</v>
      </c>
      <c r="C160" s="739" t="s">
        <v>104</v>
      </c>
      <c r="D160" s="747"/>
      <c r="E160" s="303" t="s">
        <v>251</v>
      </c>
      <c r="F160" s="303"/>
      <c r="G160" s="303"/>
      <c r="H160" s="305"/>
      <c r="I160" s="232"/>
      <c r="J160" s="303"/>
      <c r="K160" s="232"/>
      <c r="L160" s="232"/>
      <c r="M160" s="303"/>
      <c r="N160" s="304"/>
      <c r="O160" s="304"/>
      <c r="P160" s="304"/>
      <c r="Q160" s="304"/>
      <c r="R160" s="304"/>
      <c r="S160" s="304"/>
      <c r="T160" s="304"/>
      <c r="U160" s="304"/>
      <c r="V160" s="304"/>
      <c r="W160" s="304"/>
      <c r="X160" s="232"/>
      <c r="Y160" s="303"/>
      <c r="Z160" s="304"/>
      <c r="AA160" s="304"/>
      <c r="AB160" s="304"/>
      <c r="AC160" s="304"/>
      <c r="AD160" s="304"/>
      <c r="AE160" s="304"/>
      <c r="AF160" s="304"/>
      <c r="AG160" s="304"/>
      <c r="AH160" s="304"/>
      <c r="AI160" s="304"/>
      <c r="AJ160" s="232"/>
      <c r="AK160" s="303"/>
      <c r="AL160" s="304"/>
      <c r="AM160" s="304"/>
      <c r="AN160" s="304"/>
      <c r="AO160" s="304"/>
      <c r="AP160" s="304"/>
      <c r="AQ160" s="304"/>
      <c r="AR160" s="304"/>
      <c r="AS160" s="304"/>
      <c r="AT160" s="304"/>
      <c r="AU160" s="304"/>
      <c r="AV160" s="232"/>
      <c r="AW160" s="303"/>
      <c r="AX160" s="304"/>
      <c r="AY160" s="304"/>
      <c r="AZ160" s="304"/>
      <c r="BA160" s="304"/>
      <c r="BB160" s="304"/>
      <c r="BC160" s="304"/>
      <c r="BD160" s="304"/>
      <c r="BE160" s="304"/>
      <c r="BF160" s="304"/>
      <c r="BG160" s="304"/>
      <c r="BH160" s="38"/>
    </row>
    <row r="161" spans="1:60" hidden="1" x14ac:dyDescent="0.2">
      <c r="A161" s="648"/>
      <c r="B161" s="492" t="s">
        <v>243</v>
      </c>
      <c r="C161" s="656" t="s">
        <v>199</v>
      </c>
      <c r="D161" s="747"/>
      <c r="E161" s="220" t="s">
        <v>225</v>
      </c>
      <c r="F161" s="220"/>
      <c r="G161" s="220"/>
      <c r="H161" s="221" t="s">
        <v>226</v>
      </c>
      <c r="I161" s="232"/>
      <c r="J161" s="230"/>
      <c r="K161" s="90"/>
      <c r="L161" s="90"/>
      <c r="M161" s="230"/>
      <c r="N161" s="129"/>
      <c r="O161" s="273">
        <f>$H$5</f>
        <v>0.34</v>
      </c>
      <c r="P161" s="273">
        <f t="shared" ref="P161:V161" si="101">$H$5</f>
        <v>0.34</v>
      </c>
      <c r="Q161" s="273">
        <f t="shared" si="101"/>
        <v>0.34</v>
      </c>
      <c r="R161" s="273">
        <f t="shared" si="101"/>
        <v>0.34</v>
      </c>
      <c r="S161" s="273">
        <f t="shared" si="101"/>
        <v>0.34</v>
      </c>
      <c r="T161" s="273">
        <f t="shared" si="101"/>
        <v>0.34</v>
      </c>
      <c r="U161" s="273">
        <f t="shared" si="101"/>
        <v>0.34</v>
      </c>
      <c r="V161" s="273">
        <f t="shared" si="101"/>
        <v>0.34</v>
      </c>
      <c r="W161" s="421"/>
      <c r="X161" s="422"/>
      <c r="Y161" s="230"/>
      <c r="Z161" s="424"/>
      <c r="AA161" s="273">
        <f>$H$5</f>
        <v>0.34</v>
      </c>
      <c r="AB161" s="273">
        <f t="shared" ref="AB161:AH161" si="102">$H$5</f>
        <v>0.34</v>
      </c>
      <c r="AC161" s="273">
        <f t="shared" si="102"/>
        <v>0.34</v>
      </c>
      <c r="AD161" s="273">
        <f t="shared" si="102"/>
        <v>0.34</v>
      </c>
      <c r="AE161" s="273">
        <f t="shared" si="102"/>
        <v>0.34</v>
      </c>
      <c r="AF161" s="207">
        <f t="shared" si="102"/>
        <v>0.34</v>
      </c>
      <c r="AG161" s="273">
        <f t="shared" si="102"/>
        <v>0.34</v>
      </c>
      <c r="AH161" s="273">
        <f t="shared" si="102"/>
        <v>0.34</v>
      </c>
      <c r="AI161" s="421"/>
      <c r="AJ161" s="422"/>
      <c r="AK161" s="230"/>
      <c r="AL161" s="424"/>
      <c r="AM161" s="273">
        <f>$H$5</f>
        <v>0.34</v>
      </c>
      <c r="AN161" s="273">
        <f t="shared" ref="AN161:AT161" si="103">$H$5</f>
        <v>0.34</v>
      </c>
      <c r="AO161" s="273">
        <f t="shared" si="103"/>
        <v>0.34</v>
      </c>
      <c r="AP161" s="273">
        <f t="shared" si="103"/>
        <v>0.34</v>
      </c>
      <c r="AQ161" s="273">
        <f t="shared" si="103"/>
        <v>0.34</v>
      </c>
      <c r="AR161" s="207">
        <f t="shared" si="103"/>
        <v>0.34</v>
      </c>
      <c r="AS161" s="273">
        <f t="shared" si="103"/>
        <v>0.34</v>
      </c>
      <c r="AT161" s="273">
        <f t="shared" si="103"/>
        <v>0.34</v>
      </c>
      <c r="AU161" s="421"/>
      <c r="AV161" s="422"/>
      <c r="AW161" s="230"/>
      <c r="AX161" s="424"/>
      <c r="AY161" s="273">
        <f>$H$5</f>
        <v>0.34</v>
      </c>
      <c r="AZ161" s="273">
        <f t="shared" ref="AZ161:BF161" si="104">$H$5</f>
        <v>0.34</v>
      </c>
      <c r="BA161" s="273">
        <f t="shared" si="104"/>
        <v>0.34</v>
      </c>
      <c r="BB161" s="273">
        <f t="shared" si="104"/>
        <v>0.34</v>
      </c>
      <c r="BC161" s="273">
        <f t="shared" si="104"/>
        <v>0.34</v>
      </c>
      <c r="BD161" s="207">
        <f t="shared" si="104"/>
        <v>0.34</v>
      </c>
      <c r="BE161" s="273">
        <f t="shared" si="104"/>
        <v>0.34</v>
      </c>
      <c r="BF161" s="273">
        <f t="shared" si="104"/>
        <v>0.34</v>
      </c>
      <c r="BG161" s="336"/>
      <c r="BH161" s="214"/>
    </row>
    <row r="162" spans="1:60" x14ac:dyDescent="0.2">
      <c r="A162" s="650"/>
      <c r="B162" s="492" t="s">
        <v>243</v>
      </c>
      <c r="C162" s="740" t="s">
        <v>113</v>
      </c>
      <c r="D162" s="752"/>
      <c r="E162" s="298" t="s">
        <v>116</v>
      </c>
      <c r="F162" s="242"/>
      <c r="G162" s="242"/>
      <c r="H162" s="242" t="s">
        <v>228</v>
      </c>
      <c r="I162" s="232"/>
      <c r="J162" s="243">
        <f>M162+Y162+AK162+AW162</f>
        <v>0</v>
      </c>
      <c r="K162" s="823"/>
      <c r="L162" s="823"/>
      <c r="M162" s="243">
        <f>SUM(O162:X162)</f>
        <v>0</v>
      </c>
      <c r="N162" s="100"/>
      <c r="O162" s="207">
        <f t="shared" ref="O162:V162" si="105">SUM(O$153:O$156)*O$161</f>
        <v>0</v>
      </c>
      <c r="P162" s="207">
        <f t="shared" si="105"/>
        <v>0</v>
      </c>
      <c r="Q162" s="207">
        <f t="shared" si="105"/>
        <v>0</v>
      </c>
      <c r="R162" s="207">
        <f t="shared" si="105"/>
        <v>0</v>
      </c>
      <c r="S162" s="207">
        <f t="shared" si="105"/>
        <v>0</v>
      </c>
      <c r="T162" s="207">
        <f t="shared" si="105"/>
        <v>0</v>
      </c>
      <c r="U162" s="207">
        <f t="shared" si="105"/>
        <v>0</v>
      </c>
      <c r="V162" s="207">
        <f t="shared" si="105"/>
        <v>0</v>
      </c>
      <c r="W162" s="335"/>
      <c r="X162" s="128"/>
      <c r="Y162" s="243">
        <f>SUM(AA162:AJ162)</f>
        <v>0</v>
      </c>
      <c r="Z162" s="100"/>
      <c r="AA162" s="207">
        <f t="shared" ref="AA162:AH162" si="106">SUM(AA$153:AA$156)*AA$161</f>
        <v>0</v>
      </c>
      <c r="AB162" s="207">
        <f t="shared" si="106"/>
        <v>0</v>
      </c>
      <c r="AC162" s="207">
        <f t="shared" si="106"/>
        <v>0</v>
      </c>
      <c r="AD162" s="207">
        <f t="shared" si="106"/>
        <v>0</v>
      </c>
      <c r="AE162" s="207">
        <f t="shared" si="106"/>
        <v>0</v>
      </c>
      <c r="AF162" s="207">
        <f t="shared" si="106"/>
        <v>0</v>
      </c>
      <c r="AG162" s="207">
        <f t="shared" si="106"/>
        <v>0</v>
      </c>
      <c r="AH162" s="207">
        <f t="shared" si="106"/>
        <v>0</v>
      </c>
      <c r="AI162" s="335"/>
      <c r="AJ162" s="128"/>
      <c r="AK162" s="243">
        <f>SUM(AM162:AV162)</f>
        <v>0</v>
      </c>
      <c r="AL162" s="100"/>
      <c r="AM162" s="207">
        <f>SUM(AM$153:AM$156)*AM$161</f>
        <v>0</v>
      </c>
      <c r="AN162" s="207">
        <f t="shared" ref="AN162:AT162" si="107">SUM(AN$153:AN$156)*AN$161</f>
        <v>0</v>
      </c>
      <c r="AO162" s="207">
        <f t="shared" si="107"/>
        <v>0</v>
      </c>
      <c r="AP162" s="207">
        <f t="shared" si="107"/>
        <v>0</v>
      </c>
      <c r="AQ162" s="207">
        <f t="shared" si="107"/>
        <v>0</v>
      </c>
      <c r="AR162" s="207">
        <f t="shared" si="107"/>
        <v>0</v>
      </c>
      <c r="AS162" s="207">
        <f t="shared" si="107"/>
        <v>0</v>
      </c>
      <c r="AT162" s="207">
        <f t="shared" si="107"/>
        <v>0</v>
      </c>
      <c r="AU162" s="335"/>
      <c r="AV162" s="128"/>
      <c r="AW162" s="243">
        <f>SUM(AY162:BH162)</f>
        <v>0</v>
      </c>
      <c r="AX162" s="100"/>
      <c r="AY162" s="207">
        <f>SUM(AY$153:AY$156)*AY$161</f>
        <v>0</v>
      </c>
      <c r="AZ162" s="207">
        <f t="shared" ref="AZ162:BF162" si="108">SUM(AZ$153:AZ$156)*AZ$161</f>
        <v>0</v>
      </c>
      <c r="BA162" s="207">
        <f t="shared" si="108"/>
        <v>0</v>
      </c>
      <c r="BB162" s="207">
        <f t="shared" si="108"/>
        <v>0</v>
      </c>
      <c r="BC162" s="207">
        <f t="shared" si="108"/>
        <v>0</v>
      </c>
      <c r="BD162" s="207">
        <f t="shared" si="108"/>
        <v>0</v>
      </c>
      <c r="BE162" s="207">
        <f t="shared" si="108"/>
        <v>0</v>
      </c>
      <c r="BF162" s="207">
        <f t="shared" si="108"/>
        <v>0</v>
      </c>
      <c r="BG162" s="335"/>
      <c r="BH162" s="214"/>
    </row>
    <row r="163" spans="1:60" x14ac:dyDescent="0.2">
      <c r="A163" s="648"/>
      <c r="B163" s="492" t="s">
        <v>243</v>
      </c>
      <c r="C163" s="739" t="s">
        <v>104</v>
      </c>
      <c r="D163" s="747"/>
      <c r="E163" s="90"/>
      <c r="F163" s="90"/>
      <c r="G163" s="90"/>
      <c r="H163" s="96"/>
      <c r="I163" s="232"/>
      <c r="J163" s="93"/>
      <c r="K163" s="90"/>
      <c r="L163" s="90"/>
      <c r="M163" s="93"/>
      <c r="N163" s="90"/>
      <c r="O163" s="132"/>
      <c r="P163" s="93"/>
      <c r="Q163" s="132"/>
      <c r="R163" s="93"/>
      <c r="S163" s="93"/>
      <c r="T163" s="93"/>
      <c r="U163" s="93"/>
      <c r="V163" s="93"/>
      <c r="W163" s="93"/>
      <c r="X163" s="93"/>
      <c r="Y163" s="93"/>
      <c r="Z163" s="90"/>
      <c r="AA163" s="132"/>
      <c r="AB163" s="93"/>
      <c r="AC163" s="132"/>
      <c r="AD163" s="93"/>
      <c r="AE163" s="93"/>
      <c r="AF163" s="93"/>
      <c r="AG163" s="93"/>
      <c r="AH163" s="93"/>
      <c r="AI163" s="93"/>
      <c r="AJ163" s="93"/>
      <c r="AK163" s="93"/>
      <c r="AL163" s="90"/>
      <c r="AM163" s="132"/>
      <c r="AN163" s="93"/>
      <c r="AO163" s="132"/>
      <c r="AP163" s="93"/>
      <c r="AQ163" s="93"/>
      <c r="AR163" s="93"/>
      <c r="AS163" s="93"/>
      <c r="AT163" s="93"/>
      <c r="AU163" s="93"/>
      <c r="AV163" s="93"/>
      <c r="AW163" s="93"/>
      <c r="AX163" s="90"/>
      <c r="AY163" s="132"/>
      <c r="AZ163" s="93"/>
      <c r="BA163" s="132"/>
      <c r="BB163" s="93"/>
      <c r="BC163" s="93"/>
      <c r="BD163" s="93"/>
      <c r="BE163" s="93"/>
      <c r="BF163" s="93"/>
      <c r="BG163" s="93"/>
      <c r="BH163" s="1"/>
    </row>
    <row r="164" spans="1:60" x14ac:dyDescent="0.2">
      <c r="A164" s="648"/>
      <c r="B164" s="492" t="s">
        <v>252</v>
      </c>
      <c r="C164" s="656" t="s">
        <v>104</v>
      </c>
      <c r="D164" s="747"/>
      <c r="E164" s="90"/>
      <c r="F164" s="90"/>
      <c r="G164" s="90"/>
      <c r="H164" s="96"/>
      <c r="I164" s="90"/>
      <c r="J164" s="93"/>
      <c r="K164" s="90"/>
      <c r="L164" s="90"/>
      <c r="M164" s="93"/>
      <c r="N164" s="90"/>
      <c r="O164" s="132"/>
      <c r="P164" s="93"/>
      <c r="Q164" s="132"/>
      <c r="R164" s="93"/>
      <c r="S164" s="93"/>
      <c r="T164" s="93"/>
      <c r="U164" s="93"/>
      <c r="V164" s="93"/>
      <c r="W164" s="93"/>
      <c r="X164" s="93"/>
      <c r="Y164" s="93"/>
      <c r="Z164" s="90"/>
      <c r="AA164" s="132"/>
      <c r="AB164" s="93"/>
      <c r="AC164" s="132"/>
      <c r="AD164" s="93"/>
      <c r="AE164" s="93"/>
      <c r="AF164" s="93"/>
      <c r="AG164" s="93"/>
      <c r="AH164" s="93"/>
      <c r="AI164" s="93"/>
      <c r="AJ164" s="93"/>
      <c r="AK164" s="93"/>
      <c r="AL164" s="90"/>
      <c r="AM164" s="132"/>
      <c r="AN164" s="93"/>
      <c r="AO164" s="132"/>
      <c r="AP164" s="93"/>
      <c r="AQ164" s="93"/>
      <c r="AR164" s="93"/>
      <c r="AS164" s="93"/>
      <c r="AT164" s="93"/>
      <c r="AU164" s="93"/>
      <c r="AV164" s="93"/>
      <c r="AW164" s="93"/>
      <c r="AX164" s="90"/>
      <c r="AY164" s="132"/>
      <c r="AZ164" s="93"/>
      <c r="BA164" s="132"/>
      <c r="BB164" s="93"/>
      <c r="BC164" s="93"/>
      <c r="BD164" s="93"/>
      <c r="BE164" s="93"/>
      <c r="BF164" s="93"/>
      <c r="BG164" s="93"/>
      <c r="BH164" s="1"/>
    </row>
    <row r="165" spans="1:60" ht="21" x14ac:dyDescent="0.2">
      <c r="A165" s="648"/>
      <c r="B165" s="492" t="s">
        <v>252</v>
      </c>
      <c r="C165" s="739" t="s">
        <v>104</v>
      </c>
      <c r="D165" s="752"/>
      <c r="E165" s="240" t="s">
        <v>253</v>
      </c>
      <c r="F165" s="240"/>
      <c r="G165" s="240"/>
      <c r="H165" s="240"/>
      <c r="I165" s="88"/>
      <c r="J165" s="241" t="str">
        <f>J$10</f>
        <v>totaal</v>
      </c>
      <c r="K165" s="142"/>
      <c r="L165" s="142"/>
      <c r="M165" s="216" t="s">
        <v>254</v>
      </c>
      <c r="N165" s="222"/>
      <c r="O165" s="217" t="str">
        <f t="shared" ref="O165:W165" si="109">O$10</f>
        <v>verwarming</v>
      </c>
      <c r="P165" s="217" t="str">
        <f t="shared" si="109"/>
        <v>koeling</v>
      </c>
      <c r="Q165" s="217" t="str">
        <f t="shared" si="109"/>
        <v>tapwater</v>
      </c>
      <c r="R165" s="217" t="str">
        <f t="shared" si="109"/>
        <v>verlichting</v>
      </c>
      <c r="S165" s="217" t="str">
        <f t="shared" si="109"/>
        <v>ventilatoren</v>
      </c>
      <c r="T165" s="217" t="str">
        <f t="shared" si="109"/>
        <v>kookgas</v>
      </c>
      <c r="U165" s="217" t="str">
        <f t="shared" si="109"/>
        <v>overig elektra</v>
      </c>
      <c r="V165" s="217" t="str">
        <f t="shared" si="109"/>
        <v>mobiliteit</v>
      </c>
      <c r="W165" s="217" t="str">
        <f t="shared" si="109"/>
        <v>zonnepanelen</v>
      </c>
      <c r="X165" s="214"/>
      <c r="Y165" s="216" t="s">
        <v>254</v>
      </c>
      <c r="Z165" s="222"/>
      <c r="AA165" s="217" t="str">
        <f t="shared" ref="AA165:AI165" si="110">AA$10</f>
        <v>verwarming</v>
      </c>
      <c r="AB165" s="217" t="str">
        <f t="shared" si="110"/>
        <v>koeling</v>
      </c>
      <c r="AC165" s="217" t="str">
        <f t="shared" si="110"/>
        <v>tapwater</v>
      </c>
      <c r="AD165" s="217" t="str">
        <f t="shared" si="110"/>
        <v>verlichting</v>
      </c>
      <c r="AE165" s="217" t="str">
        <f t="shared" si="110"/>
        <v>ventilatoren</v>
      </c>
      <c r="AF165" s="217" t="str">
        <f t="shared" si="110"/>
        <v>kookgas</v>
      </c>
      <c r="AG165" s="217" t="str">
        <f t="shared" si="110"/>
        <v>overig elektra</v>
      </c>
      <c r="AH165" s="217" t="str">
        <f t="shared" si="110"/>
        <v>mobiliteit</v>
      </c>
      <c r="AI165" s="217" t="str">
        <f t="shared" si="110"/>
        <v>zonnepanelen</v>
      </c>
      <c r="AJ165" s="214"/>
      <c r="AK165" s="216" t="s">
        <v>254</v>
      </c>
      <c r="AL165" s="222"/>
      <c r="AM165" s="217" t="str">
        <f>AM$10</f>
        <v>verwarming</v>
      </c>
      <c r="AN165" s="217" t="str">
        <f>AN$10</f>
        <v>koeling</v>
      </c>
      <c r="AO165" s="217" t="str">
        <f>AO$10</f>
        <v>tapwater</v>
      </c>
      <c r="AP165" s="217" t="str">
        <f t="shared" ref="AP165:AU165" si="111">AP$10</f>
        <v>verlichting</v>
      </c>
      <c r="AQ165" s="217" t="str">
        <f t="shared" si="111"/>
        <v>ventilatoren</v>
      </c>
      <c r="AR165" s="217" t="str">
        <f t="shared" si="111"/>
        <v>kookgas</v>
      </c>
      <c r="AS165" s="217" t="str">
        <f t="shared" si="111"/>
        <v>overig elektra</v>
      </c>
      <c r="AT165" s="217" t="str">
        <f t="shared" si="111"/>
        <v>mobiliteit</v>
      </c>
      <c r="AU165" s="217" t="str">
        <f t="shared" si="111"/>
        <v>zonnepanelen</v>
      </c>
      <c r="AV165" s="214"/>
      <c r="AW165" s="216" t="s">
        <v>255</v>
      </c>
      <c r="AX165" s="222"/>
      <c r="AY165" s="217" t="str">
        <f>AY$10</f>
        <v>verwarming</v>
      </c>
      <c r="AZ165" s="217" t="str">
        <f>AZ$10</f>
        <v>koeling</v>
      </c>
      <c r="BA165" s="217" t="str">
        <f>BA$10</f>
        <v>tapwater</v>
      </c>
      <c r="BB165" s="217" t="str">
        <f t="shared" ref="BB165:BG165" si="112">BB$10</f>
        <v>verlichting</v>
      </c>
      <c r="BC165" s="217" t="str">
        <f t="shared" si="112"/>
        <v>ventilatoren</v>
      </c>
      <c r="BD165" s="217" t="str">
        <f t="shared" si="112"/>
        <v>kookgas</v>
      </c>
      <c r="BE165" s="217" t="str">
        <f t="shared" si="112"/>
        <v>overig elektra</v>
      </c>
      <c r="BF165" s="217" t="str">
        <f t="shared" si="112"/>
        <v>mobiliteit</v>
      </c>
      <c r="BG165" s="217" t="str">
        <f t="shared" si="112"/>
        <v>zonnepanelen</v>
      </c>
      <c r="BH165" s="1"/>
    </row>
    <row r="166" spans="1:60" ht="18.75" x14ac:dyDescent="0.2">
      <c r="A166" s="648"/>
      <c r="B166" s="492" t="s">
        <v>252</v>
      </c>
      <c r="C166" s="739" t="s">
        <v>104</v>
      </c>
      <c r="D166" s="747"/>
      <c r="E166" s="231" t="s">
        <v>256</v>
      </c>
      <c r="F166" s="231"/>
      <c r="G166" s="231"/>
      <c r="H166" s="89"/>
      <c r="I166" s="232"/>
      <c r="J166" s="231"/>
      <c r="K166" s="232"/>
      <c r="L166" s="232"/>
      <c r="M166" s="231"/>
      <c r="N166" s="232"/>
      <c r="O166" s="232"/>
      <c r="P166" s="232"/>
      <c r="Q166" s="232"/>
      <c r="R166" s="232"/>
      <c r="S166" s="232"/>
      <c r="T166" s="232"/>
      <c r="U166" s="232"/>
      <c r="V166" s="232"/>
      <c r="W166" s="232"/>
      <c r="X166" s="232"/>
      <c r="Y166" s="231"/>
      <c r="Z166" s="232"/>
      <c r="AA166" s="232"/>
      <c r="AB166" s="232"/>
      <c r="AC166" s="232"/>
      <c r="AD166" s="232"/>
      <c r="AE166" s="232"/>
      <c r="AF166" s="232"/>
      <c r="AG166" s="232"/>
      <c r="AH166" s="232"/>
      <c r="AI166" s="232"/>
      <c r="AJ166" s="232"/>
      <c r="AK166" s="231"/>
      <c r="AL166" s="232"/>
      <c r="AM166" s="232"/>
      <c r="AN166" s="232"/>
      <c r="AO166" s="232"/>
      <c r="AP166" s="232"/>
      <c r="AQ166" s="232"/>
      <c r="AR166" s="232"/>
      <c r="AS166" s="232"/>
      <c r="AT166" s="232"/>
      <c r="AU166" s="232"/>
      <c r="AV166" s="232"/>
      <c r="AW166" s="231"/>
      <c r="AX166" s="232"/>
      <c r="AY166" s="232"/>
      <c r="AZ166" s="232"/>
      <c r="BA166" s="232"/>
      <c r="BB166" s="232"/>
      <c r="BC166" s="232"/>
      <c r="BD166" s="232"/>
      <c r="BE166" s="232"/>
      <c r="BF166" s="232"/>
      <c r="BG166" s="232"/>
      <c r="BH166" s="38"/>
    </row>
    <row r="167" spans="1:60" s="2" customFormat="1" hidden="1" x14ac:dyDescent="0.2">
      <c r="A167" s="649"/>
      <c r="B167" s="492" t="s">
        <v>252</v>
      </c>
      <c r="C167" s="739" t="s">
        <v>199</v>
      </c>
      <c r="D167" s="753"/>
      <c r="E167" s="220" t="s">
        <v>257</v>
      </c>
      <c r="F167" s="220"/>
      <c r="G167" s="220"/>
      <c r="H167" s="221" t="s">
        <v>177</v>
      </c>
      <c r="I167" s="129"/>
      <c r="J167" s="243">
        <f>M167+Y167+AK167+AW167</f>
        <v>0</v>
      </c>
      <c r="K167" s="294"/>
      <c r="L167" s="294"/>
      <c r="M167" s="243">
        <f>SUM(N167:X167)</f>
        <v>0</v>
      </c>
      <c r="N167" s="100"/>
      <c r="O167" s="207">
        <f>O$113*O$125</f>
        <v>0</v>
      </c>
      <c r="P167" s="207">
        <f>P$113*P$125</f>
        <v>0</v>
      </c>
      <c r="Q167" s="207">
        <f>Q$113*Q$125</f>
        <v>0</v>
      </c>
      <c r="R167" s="335"/>
      <c r="S167" s="335"/>
      <c r="T167" s="335"/>
      <c r="U167" s="335"/>
      <c r="V167" s="335"/>
      <c r="W167" s="335"/>
      <c r="X167" s="128"/>
      <c r="Y167" s="243">
        <f>SUM(Z167:AJ167)</f>
        <v>0</v>
      </c>
      <c r="Z167" s="100"/>
      <c r="AA167" s="207">
        <f>AA$113*AA$125</f>
        <v>0</v>
      </c>
      <c r="AB167" s="207">
        <f>AB$113*AB$125</f>
        <v>0</v>
      </c>
      <c r="AC167" s="207">
        <f>AC$113*AC$125</f>
        <v>0</v>
      </c>
      <c r="AD167" s="335"/>
      <c r="AE167" s="335"/>
      <c r="AF167" s="335"/>
      <c r="AG167" s="335"/>
      <c r="AH167" s="335"/>
      <c r="AI167" s="335"/>
      <c r="AJ167" s="128"/>
      <c r="AK167" s="243">
        <f>SUM(AL167:AV167)</f>
        <v>0</v>
      </c>
      <c r="AL167" s="100"/>
      <c r="AM167" s="207">
        <f>AM$113*AM$125</f>
        <v>0</v>
      </c>
      <c r="AN167" s="207">
        <f>AN$113*AN$125</f>
        <v>0</v>
      </c>
      <c r="AO167" s="207">
        <f>AO$113*AO$125</f>
        <v>0</v>
      </c>
      <c r="AP167" s="335"/>
      <c r="AQ167" s="335"/>
      <c r="AR167" s="335"/>
      <c r="AS167" s="335"/>
      <c r="AT167" s="335"/>
      <c r="AU167" s="335"/>
      <c r="AV167" s="128"/>
      <c r="AW167" s="243">
        <f>SUM(AX167:BH167)</f>
        <v>0</v>
      </c>
      <c r="AX167" s="100"/>
      <c r="AY167" s="207">
        <f>AY$113*AY$125</f>
        <v>0</v>
      </c>
      <c r="AZ167" s="207">
        <f>AZ$113*AZ$125</f>
        <v>0</v>
      </c>
      <c r="BA167" s="207">
        <f>BA$113*BA$125</f>
        <v>0</v>
      </c>
      <c r="BB167" s="335"/>
      <c r="BC167" s="335"/>
      <c r="BD167" s="335"/>
      <c r="BE167" s="335"/>
      <c r="BF167" s="335"/>
      <c r="BG167" s="335"/>
      <c r="BH167" s="255"/>
    </row>
    <row r="168" spans="1:60" s="2" customFormat="1" hidden="1" x14ac:dyDescent="0.2">
      <c r="A168" s="649"/>
      <c r="B168" s="492" t="s">
        <v>252</v>
      </c>
      <c r="C168" s="739" t="s">
        <v>199</v>
      </c>
      <c r="D168" s="754" t="s">
        <v>50</v>
      </c>
      <c r="E168" s="220" t="s">
        <v>112</v>
      </c>
      <c r="F168" s="220"/>
      <c r="G168" s="220"/>
      <c r="H168" s="221" t="s">
        <v>177</v>
      </c>
      <c r="I168" s="129"/>
      <c r="J168" s="243">
        <f>M168+Y168+AK168+AW168</f>
        <v>0</v>
      </c>
      <c r="K168" s="294"/>
      <c r="L168" s="294"/>
      <c r="M168" s="243">
        <f>SUM(N168:X168)</f>
        <v>0</v>
      </c>
      <c r="N168" s="100"/>
      <c r="O168" s="335"/>
      <c r="P168" s="335"/>
      <c r="Q168" s="335"/>
      <c r="R168" s="335"/>
      <c r="S168" s="335"/>
      <c r="T168" s="335"/>
      <c r="U168" s="335"/>
      <c r="V168" s="335"/>
      <c r="W168" s="207">
        <f>-W75</f>
        <v>0</v>
      </c>
      <c r="X168" s="128"/>
      <c r="Y168" s="243">
        <f>SUM(Z168:AJ168)</f>
        <v>0</v>
      </c>
      <c r="Z168" s="100"/>
      <c r="AA168" s="335"/>
      <c r="AB168" s="335"/>
      <c r="AC168" s="335"/>
      <c r="AD168" s="335"/>
      <c r="AE168" s="335"/>
      <c r="AF168" s="335"/>
      <c r="AG168" s="335"/>
      <c r="AH168" s="335"/>
      <c r="AI168" s="207">
        <f>-AI75</f>
        <v>0</v>
      </c>
      <c r="AJ168" s="128"/>
      <c r="AK168" s="243">
        <f>SUM(AL168:AV168)</f>
        <v>0</v>
      </c>
      <c r="AL168" s="100"/>
      <c r="AM168" s="335"/>
      <c r="AN168" s="335"/>
      <c r="AO168" s="335"/>
      <c r="AP168" s="335"/>
      <c r="AQ168" s="335"/>
      <c r="AR168" s="335"/>
      <c r="AS168" s="335"/>
      <c r="AT168" s="335"/>
      <c r="AU168" s="207">
        <f>-AU75</f>
        <v>0</v>
      </c>
      <c r="AV168" s="128"/>
      <c r="AW168" s="243">
        <f>SUM(AX168:BH168)</f>
        <v>0</v>
      </c>
      <c r="AX168" s="100"/>
      <c r="AY168" s="335"/>
      <c r="AZ168" s="335"/>
      <c r="BA168" s="335"/>
      <c r="BB168" s="335"/>
      <c r="BC168" s="335"/>
      <c r="BD168" s="335"/>
      <c r="BE168" s="335"/>
      <c r="BF168" s="335"/>
      <c r="BG168" s="207">
        <f>-BG75</f>
        <v>0</v>
      </c>
      <c r="BH168" s="255"/>
    </row>
    <row r="169" spans="1:60" s="2" customFormat="1" hidden="1" x14ac:dyDescent="0.2">
      <c r="A169" s="649"/>
      <c r="B169" s="492" t="s">
        <v>252</v>
      </c>
      <c r="C169" s="739" t="s">
        <v>199</v>
      </c>
      <c r="D169" s="753"/>
      <c r="E169" s="220" t="s">
        <v>258</v>
      </c>
      <c r="F169" s="220"/>
      <c r="G169" s="220"/>
      <c r="H169" s="221" t="s">
        <v>177</v>
      </c>
      <c r="I169" s="129"/>
      <c r="J169" s="243">
        <f>J167+J168</f>
        <v>0</v>
      </c>
      <c r="K169" s="294"/>
      <c r="L169" s="294"/>
      <c r="M169" s="243">
        <f>M167+M168</f>
        <v>0</v>
      </c>
      <c r="N169" s="100"/>
      <c r="O169" s="207">
        <f t="shared" ref="O169:W169" si="113">O167+O168</f>
        <v>0</v>
      </c>
      <c r="P169" s="207">
        <f t="shared" si="113"/>
        <v>0</v>
      </c>
      <c r="Q169" s="207">
        <f t="shared" si="113"/>
        <v>0</v>
      </c>
      <c r="R169" s="207"/>
      <c r="S169" s="207"/>
      <c r="T169" s="207"/>
      <c r="U169" s="207"/>
      <c r="V169" s="207"/>
      <c r="W169" s="207">
        <f t="shared" si="113"/>
        <v>0</v>
      </c>
      <c r="X169" s="128"/>
      <c r="Y169" s="243">
        <f>Y167+Y168</f>
        <v>0</v>
      </c>
      <c r="Z169" s="100"/>
      <c r="AA169" s="207">
        <f>AA167+AA168</f>
        <v>0</v>
      </c>
      <c r="AB169" s="207">
        <f>AB167+AB168</f>
        <v>0</v>
      </c>
      <c r="AC169" s="207">
        <f>AC167+AC168</f>
        <v>0</v>
      </c>
      <c r="AD169" s="335"/>
      <c r="AE169" s="335"/>
      <c r="AF169" s="335"/>
      <c r="AG169" s="335"/>
      <c r="AH169" s="335"/>
      <c r="AI169" s="207">
        <f>AI167+AI168</f>
        <v>0</v>
      </c>
      <c r="AJ169" s="128"/>
      <c r="AK169" s="243">
        <f>AK167+AK168</f>
        <v>0</v>
      </c>
      <c r="AL169" s="100"/>
      <c r="AM169" s="207">
        <f>AM167+AM168</f>
        <v>0</v>
      </c>
      <c r="AN169" s="207">
        <f>AN167+AN168</f>
        <v>0</v>
      </c>
      <c r="AO169" s="207">
        <f>AO167+AO168</f>
        <v>0</v>
      </c>
      <c r="AP169" s="335"/>
      <c r="AQ169" s="335"/>
      <c r="AR169" s="335"/>
      <c r="AS169" s="335"/>
      <c r="AT169" s="335"/>
      <c r="AU169" s="207">
        <f>AU167+AU168</f>
        <v>0</v>
      </c>
      <c r="AV169" s="128"/>
      <c r="AW169" s="243">
        <f>AW167+AW168</f>
        <v>0</v>
      </c>
      <c r="AX169" s="100"/>
      <c r="AY169" s="207">
        <f>AY167+AY168</f>
        <v>0</v>
      </c>
      <c r="AZ169" s="207">
        <f>AZ167+AZ168</f>
        <v>0</v>
      </c>
      <c r="BA169" s="207">
        <f>BA167+BA168</f>
        <v>0</v>
      </c>
      <c r="BB169" s="335"/>
      <c r="BC169" s="335"/>
      <c r="BD169" s="335"/>
      <c r="BE169" s="335"/>
      <c r="BF169" s="335"/>
      <c r="BG169" s="207">
        <f>BG167+BG168</f>
        <v>0</v>
      </c>
      <c r="BH169" s="255"/>
    </row>
    <row r="170" spans="1:60" s="2" customFormat="1" ht="18.75" x14ac:dyDescent="0.2">
      <c r="A170" s="649"/>
      <c r="B170" s="492" t="s">
        <v>252</v>
      </c>
      <c r="C170" s="739" t="s">
        <v>104</v>
      </c>
      <c r="D170" s="753"/>
      <c r="E170" s="310" t="s">
        <v>259</v>
      </c>
      <c r="F170" s="310"/>
      <c r="G170" s="310"/>
      <c r="H170" s="311"/>
      <c r="I170" s="312"/>
      <c r="J170" s="310"/>
      <c r="K170" s="313"/>
      <c r="L170" s="313"/>
      <c r="M170" s="310"/>
      <c r="N170" s="312"/>
      <c r="O170" s="312"/>
      <c r="P170" s="312"/>
      <c r="Q170" s="312"/>
      <c r="R170" s="312"/>
      <c r="S170" s="312"/>
      <c r="T170" s="312"/>
      <c r="U170" s="312"/>
      <c r="V170" s="312"/>
      <c r="W170" s="312"/>
      <c r="X170" s="313"/>
      <c r="Y170" s="310"/>
      <c r="Z170" s="312"/>
      <c r="AA170" s="312"/>
      <c r="AB170" s="312"/>
      <c r="AC170" s="312"/>
      <c r="AD170" s="312"/>
      <c r="AE170" s="312"/>
      <c r="AF170" s="312"/>
      <c r="AG170" s="312"/>
      <c r="AH170" s="312"/>
      <c r="AI170" s="312"/>
      <c r="AJ170" s="313"/>
      <c r="AK170" s="310"/>
      <c r="AL170" s="312"/>
      <c r="AM170" s="312"/>
      <c r="AN170" s="312"/>
      <c r="AO170" s="312"/>
      <c r="AP170" s="312"/>
      <c r="AQ170" s="312"/>
      <c r="AR170" s="312"/>
      <c r="AS170" s="312"/>
      <c r="AT170" s="312"/>
      <c r="AU170" s="312"/>
      <c r="AV170" s="313"/>
      <c r="AW170" s="310"/>
      <c r="AX170" s="312"/>
      <c r="AY170" s="312"/>
      <c r="AZ170" s="312"/>
      <c r="BA170" s="312"/>
      <c r="BB170" s="312"/>
      <c r="BC170" s="312"/>
      <c r="BD170" s="312"/>
      <c r="BE170" s="312"/>
      <c r="BF170" s="312"/>
      <c r="BG170" s="312"/>
    </row>
    <row r="171" spans="1:60" s="2" customFormat="1" hidden="1" x14ac:dyDescent="0.2">
      <c r="A171" s="649"/>
      <c r="B171" s="492" t="s">
        <v>252</v>
      </c>
      <c r="C171" s="739" t="s">
        <v>199</v>
      </c>
      <c r="D171" s="753"/>
      <c r="E171" s="220" t="s">
        <v>260</v>
      </c>
      <c r="F171" s="220"/>
      <c r="G171" s="220"/>
      <c r="H171" s="221" t="s">
        <v>220</v>
      </c>
      <c r="I171" s="129"/>
      <c r="J171" s="243">
        <f>M171+Y171+AK171+AW171</f>
        <v>0</v>
      </c>
      <c r="K171" s="294"/>
      <c r="L171" s="294"/>
      <c r="M171" s="306">
        <f>SUM(N171:X171)</f>
        <v>0</v>
      </c>
      <c r="N171" s="100"/>
      <c r="O171" s="308">
        <f>AND(O$81=gebouw,O$102=elektriciteit)*O$113+AND(O$81=gebouw,O$132=elektriciteit)*O$138+SUM(O$153:O$155)</f>
        <v>0</v>
      </c>
      <c r="P171" s="308">
        <f>AND(P$81=gebouw,P$102=elektriciteit)*P$113+AND(P$81=gebouw,P$132=elektriciteit)*P$138+SUM(P$153:P$155)</f>
        <v>0</v>
      </c>
      <c r="Q171" s="308">
        <f>AND(Q$81=gebouw,Q$102=elektriciteit)*Q$113+AND(Q$81=gebouw,Q$132=elektriciteit)*Q$138+SUM(Q$153:Q$155)</f>
        <v>0</v>
      </c>
      <c r="R171" s="308">
        <f>SUM(R$153:R$155)</f>
        <v>0</v>
      </c>
      <c r="S171" s="308">
        <f>SUM(S$153:S$155)</f>
        <v>0</v>
      </c>
      <c r="T171" s="335"/>
      <c r="U171" s="308">
        <f>SUM(U$153:U$155)</f>
        <v>0</v>
      </c>
      <c r="V171" s="308">
        <f>SUM(V$153:V$155)</f>
        <v>0</v>
      </c>
      <c r="W171" s="703"/>
      <c r="X171" s="133"/>
      <c r="Y171" s="306">
        <f>SUM(Z171:AJ171)</f>
        <v>0</v>
      </c>
      <c r="Z171" s="100"/>
      <c r="AA171" s="308">
        <f>AND(AA$81=gebouw,AA$102=elektriciteit)*AA$113+AND(AA$81=gebouw,AA$132=elektriciteit)*AA$138+SUM(AA$153:AA$155)</f>
        <v>0</v>
      </c>
      <c r="AB171" s="308">
        <f>AND(AB$81=gebouw,AB$102=elektriciteit)*AB$113+AND(AB$81=gebouw,AB$132=elektriciteit)*AB$138+SUM(AB$153:AB$155)</f>
        <v>0</v>
      </c>
      <c r="AC171" s="308">
        <f>AND(AC$81=gebouw,AC$102=elektriciteit)*AC$113+AND(AC$81=gebouw,AC$132=elektriciteit)*AC$138+SUM(AC$153:AC$155)</f>
        <v>0</v>
      </c>
      <c r="AD171" s="308">
        <f>SUM(AD$153:AD$155)</f>
        <v>0</v>
      </c>
      <c r="AE171" s="308">
        <f>SUM(AE$153:AE$155)</f>
        <v>0</v>
      </c>
      <c r="AF171" s="335"/>
      <c r="AG171" s="308">
        <f>SUM(AG$153:AG$155)</f>
        <v>0</v>
      </c>
      <c r="AH171" s="308">
        <f>SUM(AH$153:AH$155)</f>
        <v>0</v>
      </c>
      <c r="AI171" s="703"/>
      <c r="AJ171" s="133"/>
      <c r="AK171" s="306">
        <f>SUM(AL171:AV171)</f>
        <v>0</v>
      </c>
      <c r="AL171" s="100"/>
      <c r="AM171" s="308">
        <f>AND(AM$81=gebouw,AM$102=elektriciteit)*AM$113+AND(AM$81=gebouw,AM$132=elektriciteit)*AM$138+SUM(AM$153:AM$155)</f>
        <v>0</v>
      </c>
      <c r="AN171" s="308">
        <f>AND(AN$81=gebouw,AN$102=elektriciteit)*AN$113+AND(AN$81=gebouw,AN$132=elektriciteit)*AN$138+SUM(AN$153:AN$155)</f>
        <v>0</v>
      </c>
      <c r="AO171" s="308">
        <f>AND(AO$81=gebouw,AO$102=elektriciteit)*AO$113+AND(AO$81=gebouw,AO$132=elektriciteit)*AO$138+SUM(AO$153:AO$155)</f>
        <v>0</v>
      </c>
      <c r="AP171" s="308">
        <f>SUM(AP$153:AP$155)</f>
        <v>0</v>
      </c>
      <c r="AQ171" s="308">
        <f>SUM(AQ$153:AQ$155)</f>
        <v>0</v>
      </c>
      <c r="AR171" s="335"/>
      <c r="AS171" s="308">
        <f>SUM(AS$153:AS$155)</f>
        <v>0</v>
      </c>
      <c r="AT171" s="308">
        <f>SUM(AT$153:AT$155)</f>
        <v>0</v>
      </c>
      <c r="AU171" s="703"/>
      <c r="AV171" s="133"/>
      <c r="AW171" s="306">
        <f>SUM(AX171:BH171)</f>
        <v>0</v>
      </c>
      <c r="AX171" s="100"/>
      <c r="AY171" s="308">
        <f>AND(AY$81=gebouw,AY$102=elektriciteit)*AY$113+AND(AY$81=gebouw,AY$132=elektriciteit)*AY$138+SUM(AY$153:AY$155)</f>
        <v>0</v>
      </c>
      <c r="AZ171" s="308">
        <f>AND(AZ$81=gebouw,AZ$102=elektriciteit)*AZ$113+AND(AZ$81=gebouw,AZ$132=elektriciteit)*AZ$138+SUM(AZ$153:AZ$155)</f>
        <v>0</v>
      </c>
      <c r="BA171" s="308">
        <f>AND(BA$81=gebouw,BA$102=elektriciteit)*BA$113+AND(BA$81=gebouw,BA$132=elektriciteit)*BA$138+SUM(BA$153:BA$155)</f>
        <v>0</v>
      </c>
      <c r="BB171" s="308">
        <f>SUM(BB$153:BB$155)</f>
        <v>0</v>
      </c>
      <c r="BC171" s="308">
        <f>SUM(BC$153:BC$155)</f>
        <v>0</v>
      </c>
      <c r="BD171" s="308"/>
      <c r="BE171" s="308">
        <f>SUM(BE$153:BE$155)</f>
        <v>0</v>
      </c>
      <c r="BF171" s="308">
        <f>SUM(BF$153:BF$155)</f>
        <v>0</v>
      </c>
      <c r="BG171" s="703"/>
      <c r="BH171" s="267"/>
    </row>
    <row r="172" spans="1:60" s="2" customFormat="1" hidden="1" x14ac:dyDescent="0.2">
      <c r="A172" s="649"/>
      <c r="B172" s="492" t="s">
        <v>252</v>
      </c>
      <c r="C172" s="739" t="s">
        <v>199</v>
      </c>
      <c r="D172" s="753"/>
      <c r="E172" s="220" t="s">
        <v>261</v>
      </c>
      <c r="F172" s="220"/>
      <c r="G172" s="220"/>
      <c r="H172" s="221" t="s">
        <v>220</v>
      </c>
      <c r="I172" s="129"/>
      <c r="J172" s="243">
        <f>M172+Y172+AK172+AW172</f>
        <v>0</v>
      </c>
      <c r="K172" s="294"/>
      <c r="L172" s="294"/>
      <c r="M172" s="306">
        <f>MIN(M171,M169)</f>
        <v>0</v>
      </c>
      <c r="N172" s="100"/>
      <c r="O172" s="703"/>
      <c r="P172" s="703"/>
      <c r="Q172" s="703"/>
      <c r="R172" s="703"/>
      <c r="S172" s="703"/>
      <c r="T172" s="703"/>
      <c r="U172" s="703"/>
      <c r="V172" s="703"/>
      <c r="W172" s="703"/>
      <c r="X172" s="133"/>
      <c r="Y172" s="306">
        <f>MIN(Y171,Y169)</f>
        <v>0</v>
      </c>
      <c r="Z172" s="100"/>
      <c r="AA172" s="703"/>
      <c r="AB172" s="703"/>
      <c r="AC172" s="703"/>
      <c r="AD172" s="703"/>
      <c r="AE172" s="703"/>
      <c r="AF172" s="703"/>
      <c r="AG172" s="703"/>
      <c r="AH172" s="703"/>
      <c r="AI172" s="703"/>
      <c r="AJ172" s="133"/>
      <c r="AK172" s="306">
        <f>MIN(AK171,AK169)</f>
        <v>0</v>
      </c>
      <c r="AL172" s="100"/>
      <c r="AM172" s="703"/>
      <c r="AN172" s="703"/>
      <c r="AO172" s="703"/>
      <c r="AP172" s="703"/>
      <c r="AQ172" s="703"/>
      <c r="AR172" s="703"/>
      <c r="AS172" s="703"/>
      <c r="AT172" s="703"/>
      <c r="AU172" s="703"/>
      <c r="AV172" s="133"/>
      <c r="AW172" s="306">
        <f>MIN(AW171,AW169)</f>
        <v>0</v>
      </c>
      <c r="AX172" s="100"/>
      <c r="AY172" s="703"/>
      <c r="AZ172" s="703"/>
      <c r="BA172" s="703"/>
      <c r="BB172" s="703"/>
      <c r="BC172" s="703"/>
      <c r="BD172" s="703"/>
      <c r="BE172" s="703"/>
      <c r="BF172" s="703"/>
      <c r="BG172" s="703"/>
      <c r="BH172" s="267"/>
    </row>
    <row r="173" spans="1:60" s="2" customFormat="1" hidden="1" x14ac:dyDescent="0.2">
      <c r="A173" s="649"/>
      <c r="B173" s="492" t="s">
        <v>252</v>
      </c>
      <c r="C173" s="739" t="s">
        <v>199</v>
      </c>
      <c r="D173" s="753"/>
      <c r="E173" s="220" t="s">
        <v>262</v>
      </c>
      <c r="F173" s="220"/>
      <c r="G173" s="220"/>
      <c r="H173" s="221" t="s">
        <v>220</v>
      </c>
      <c r="I173" s="129"/>
      <c r="J173" s="243">
        <f>M173+Y173+AK173+AW173</f>
        <v>0</v>
      </c>
      <c r="K173" s="294"/>
      <c r="L173" s="294"/>
      <c r="M173" s="306">
        <f>MAX(0,M169-M172)</f>
        <v>0</v>
      </c>
      <c r="N173" s="100"/>
      <c r="O173" s="703"/>
      <c r="P173" s="703"/>
      <c r="Q173" s="703"/>
      <c r="R173" s="703"/>
      <c r="S173" s="703"/>
      <c r="T173" s="703"/>
      <c r="U173" s="703"/>
      <c r="V173" s="703"/>
      <c r="W173" s="703"/>
      <c r="X173" s="133"/>
      <c r="Y173" s="306">
        <f>MAX(0,Y167+Y168-Y172)</f>
        <v>0</v>
      </c>
      <c r="Z173" s="100"/>
      <c r="AA173" s="703"/>
      <c r="AB173" s="703"/>
      <c r="AC173" s="703"/>
      <c r="AD173" s="703"/>
      <c r="AE173" s="703"/>
      <c r="AF173" s="703"/>
      <c r="AG173" s="703"/>
      <c r="AH173" s="703"/>
      <c r="AI173" s="703"/>
      <c r="AJ173" s="133"/>
      <c r="AK173" s="306">
        <f>MAX(0,AK167+AK168-AK172)</f>
        <v>0</v>
      </c>
      <c r="AL173" s="100"/>
      <c r="AM173" s="703"/>
      <c r="AN173" s="703"/>
      <c r="AO173" s="703"/>
      <c r="AP173" s="703"/>
      <c r="AQ173" s="703"/>
      <c r="AR173" s="703"/>
      <c r="AS173" s="703"/>
      <c r="AT173" s="703"/>
      <c r="AU173" s="703"/>
      <c r="AV173" s="133"/>
      <c r="AW173" s="306">
        <f>MAX(0,AW167+AW168-AW172)</f>
        <v>0</v>
      </c>
      <c r="AX173" s="100"/>
      <c r="AY173" s="703"/>
      <c r="AZ173" s="703"/>
      <c r="BA173" s="703"/>
      <c r="BB173" s="703"/>
      <c r="BC173" s="703"/>
      <c r="BD173" s="703"/>
      <c r="BE173" s="703"/>
      <c r="BF173" s="703"/>
      <c r="BG173" s="703"/>
      <c r="BH173" s="267"/>
    </row>
    <row r="174" spans="1:60" s="2" customFormat="1" ht="18.75" x14ac:dyDescent="0.2">
      <c r="A174" s="649"/>
      <c r="B174" s="492" t="s">
        <v>252</v>
      </c>
      <c r="C174" s="739" t="s">
        <v>104</v>
      </c>
      <c r="D174" s="753"/>
      <c r="E174" s="310" t="s">
        <v>263</v>
      </c>
      <c r="F174" s="310"/>
      <c r="G174" s="310"/>
      <c r="H174" s="311"/>
      <c r="I174" s="312"/>
      <c r="J174" s="310"/>
      <c r="K174" s="313"/>
      <c r="L174" s="313"/>
      <c r="M174" s="310"/>
      <c r="N174" s="312"/>
      <c r="O174" s="312"/>
      <c r="P174" s="312"/>
      <c r="Q174" s="312"/>
      <c r="R174" s="312"/>
      <c r="S174" s="312"/>
      <c r="T174" s="312"/>
      <c r="U174" s="312"/>
      <c r="V174" s="312"/>
      <c r="W174" s="312"/>
      <c r="X174" s="313"/>
      <c r="Y174" s="310"/>
      <c r="Z174" s="312"/>
      <c r="AA174" s="312"/>
      <c r="AB174" s="312"/>
      <c r="AC174" s="312"/>
      <c r="AD174" s="312"/>
      <c r="AE174" s="312"/>
      <c r="AF174" s="312"/>
      <c r="AG174" s="312"/>
      <c r="AH174" s="312"/>
      <c r="AI174" s="312"/>
      <c r="AJ174" s="313"/>
      <c r="AK174" s="310"/>
      <c r="AL174" s="312"/>
      <c r="AM174" s="312"/>
      <c r="AN174" s="312"/>
      <c r="AO174" s="312"/>
      <c r="AP174" s="312"/>
      <c r="AQ174" s="312"/>
      <c r="AR174" s="312"/>
      <c r="AS174" s="312"/>
      <c r="AT174" s="312"/>
      <c r="AU174" s="312"/>
      <c r="AV174" s="313"/>
      <c r="AW174" s="310"/>
      <c r="AX174" s="312"/>
      <c r="AY174" s="312"/>
      <c r="AZ174" s="312"/>
      <c r="BA174" s="312"/>
      <c r="BB174" s="312"/>
      <c r="BC174" s="312"/>
      <c r="BD174" s="312"/>
      <c r="BE174" s="312"/>
      <c r="BF174" s="312"/>
      <c r="BG174" s="312"/>
    </row>
    <row r="175" spans="1:60" s="2" customFormat="1" hidden="1" x14ac:dyDescent="0.2">
      <c r="A175" s="649"/>
      <c r="B175" s="492" t="s">
        <v>252</v>
      </c>
      <c r="C175" s="739" t="s">
        <v>199</v>
      </c>
      <c r="D175" s="753"/>
      <c r="E175" s="220" t="s">
        <v>264</v>
      </c>
      <c r="F175" s="220"/>
      <c r="G175" s="220"/>
      <c r="H175" s="221" t="s">
        <v>223</v>
      </c>
      <c r="I175" s="129"/>
      <c r="J175" s="230"/>
      <c r="K175" s="90"/>
      <c r="L175" s="90"/>
      <c r="M175" s="307">
        <f>$G$5</f>
        <v>1.45</v>
      </c>
      <c r="N175" s="129"/>
      <c r="O175" s="401"/>
      <c r="P175" s="401"/>
      <c r="Q175" s="401"/>
      <c r="R175" s="401"/>
      <c r="S175" s="401"/>
      <c r="T175" s="401"/>
      <c r="U175" s="401"/>
      <c r="V175" s="401"/>
      <c r="W175" s="401"/>
      <c r="X175" s="123"/>
      <c r="Y175" s="307">
        <f>$G$5</f>
        <v>1.45</v>
      </c>
      <c r="Z175" s="129"/>
      <c r="AA175" s="401"/>
      <c r="AB175" s="401"/>
      <c r="AC175" s="401"/>
      <c r="AD175" s="401"/>
      <c r="AE175" s="401"/>
      <c r="AF175" s="401"/>
      <c r="AG175" s="401"/>
      <c r="AH175" s="401"/>
      <c r="AI175" s="401"/>
      <c r="AJ175" s="123"/>
      <c r="AK175" s="307">
        <f>$G$5</f>
        <v>1.45</v>
      </c>
      <c r="AL175" s="129"/>
      <c r="AM175" s="401"/>
      <c r="AN175" s="401"/>
      <c r="AO175" s="401"/>
      <c r="AP175" s="401"/>
      <c r="AQ175" s="401"/>
      <c r="AR175" s="401"/>
      <c r="AS175" s="401"/>
      <c r="AT175" s="401"/>
      <c r="AU175" s="401"/>
      <c r="AV175" s="123"/>
      <c r="AW175" s="307">
        <f>$G$5</f>
        <v>1.45</v>
      </c>
      <c r="AX175" s="129"/>
      <c r="AY175" s="401"/>
      <c r="AZ175" s="401"/>
      <c r="BA175" s="401"/>
      <c r="BB175" s="401"/>
      <c r="BC175" s="401"/>
      <c r="BD175" s="401"/>
      <c r="BE175" s="401"/>
      <c r="BF175" s="401"/>
      <c r="BG175" s="401"/>
      <c r="BH175" s="264"/>
    </row>
    <row r="176" spans="1:60" s="2" customFormat="1" hidden="1" x14ac:dyDescent="0.2">
      <c r="A176" s="649"/>
      <c r="B176" s="492" t="s">
        <v>252</v>
      </c>
      <c r="C176" s="739" t="s">
        <v>199</v>
      </c>
      <c r="D176" s="753"/>
      <c r="E176" s="220" t="s">
        <v>265</v>
      </c>
      <c r="F176" s="220"/>
      <c r="G176" s="220"/>
      <c r="H176" s="221" t="s">
        <v>223</v>
      </c>
      <c r="I176" s="129"/>
      <c r="J176" s="230"/>
      <c r="K176" s="90"/>
      <c r="L176" s="90"/>
      <c r="M176" s="307">
        <f>HLOOKUP($F$5,elektriciteit_primaire_energiefactor,ROWS(bibliotheek!$E$261:$E$263),FALSE)</f>
        <v>1.45</v>
      </c>
      <c r="N176" s="129"/>
      <c r="O176" s="401"/>
      <c r="P176" s="401"/>
      <c r="Q176" s="401"/>
      <c r="R176" s="401"/>
      <c r="S176" s="401"/>
      <c r="T176" s="401"/>
      <c r="U176" s="401"/>
      <c r="V176" s="401"/>
      <c r="W176" s="401"/>
      <c r="X176" s="123"/>
      <c r="Y176" s="307">
        <f>HLOOKUP($F$5,elektriciteit_primaire_energiefactor,ROWS(bibliotheek!$E$261:$E$263),FALSE)</f>
        <v>1.45</v>
      </c>
      <c r="Z176" s="129"/>
      <c r="AA176" s="401"/>
      <c r="AB176" s="401"/>
      <c r="AC176" s="401"/>
      <c r="AD176" s="401"/>
      <c r="AE176" s="401"/>
      <c r="AF176" s="401"/>
      <c r="AG176" s="401"/>
      <c r="AH176" s="401"/>
      <c r="AI176" s="401"/>
      <c r="AJ176" s="123"/>
      <c r="AK176" s="307">
        <f>HLOOKUP($F$5,elektriciteit_primaire_energiefactor,ROWS(bibliotheek!$E$261:$E$263),FALSE)</f>
        <v>1.45</v>
      </c>
      <c r="AL176" s="129"/>
      <c r="AM176" s="401"/>
      <c r="AN176" s="401"/>
      <c r="AO176" s="401"/>
      <c r="AP176" s="401"/>
      <c r="AQ176" s="401"/>
      <c r="AR176" s="401"/>
      <c r="AS176" s="401"/>
      <c r="AT176" s="401"/>
      <c r="AU176" s="401"/>
      <c r="AV176" s="123"/>
      <c r="AW176" s="307">
        <f>HLOOKUP($F$5,elektriciteit_primaire_energiefactor,ROWS(bibliotheek!$E$261:$E$263),FALSE)</f>
        <v>1.45</v>
      </c>
      <c r="AX176" s="129"/>
      <c r="AY176" s="401"/>
      <c r="AZ176" s="401"/>
      <c r="BA176" s="401"/>
      <c r="BB176" s="401"/>
      <c r="BC176" s="401"/>
      <c r="BD176" s="401"/>
      <c r="BE176" s="401"/>
      <c r="BF176" s="401"/>
      <c r="BG176" s="401"/>
      <c r="BH176" s="264"/>
    </row>
    <row r="177" spans="1:60" s="2" customFormat="1" x14ac:dyDescent="0.2">
      <c r="A177" s="649"/>
      <c r="B177" s="492" t="s">
        <v>252</v>
      </c>
      <c r="C177" s="739" t="s">
        <v>113</v>
      </c>
      <c r="D177" s="754"/>
      <c r="E177" s="220" t="s">
        <v>266</v>
      </c>
      <c r="F177" s="221"/>
      <c r="G177" s="221"/>
      <c r="H177" s="221" t="s">
        <v>115</v>
      </c>
      <c r="I177" s="129"/>
      <c r="J177" s="243">
        <f>M177+Y177+AK177+AW177</f>
        <v>0</v>
      </c>
      <c r="K177" s="823"/>
      <c r="L177" s="823"/>
      <c r="M177" s="306">
        <f>(M172*M175+M173*M176)</f>
        <v>0</v>
      </c>
      <c r="N177" s="100"/>
      <c r="O177" s="207">
        <f>IF($M$169=0,0,O$169/$M$169*$M177)</f>
        <v>0</v>
      </c>
      <c r="P177" s="207">
        <f>IF($M$169=0,0,P$169/$M$169*$M177)</f>
        <v>0</v>
      </c>
      <c r="Q177" s="207">
        <f>IF($M$169=0,0,Q$169/$M$169*$M177)</f>
        <v>0</v>
      </c>
      <c r="R177" s="335"/>
      <c r="S177" s="335"/>
      <c r="T177" s="335"/>
      <c r="U177" s="335"/>
      <c r="V177" s="335"/>
      <c r="W177" s="207">
        <f>IF($M$169=0,0,W$169/$M$169*$M177)</f>
        <v>0</v>
      </c>
      <c r="X177" s="128"/>
      <c r="Y177" s="306">
        <f>(Y172*Y175+Y173*Y176)</f>
        <v>0</v>
      </c>
      <c r="Z177" s="100"/>
      <c r="AA177" s="207">
        <f>IF($Y$169=0,0,AA$169/$Y$169*$Y177)</f>
        <v>0</v>
      </c>
      <c r="AB177" s="207">
        <f>IF($Y$169=0,0,AB$169/$Y$169*$Y177)</f>
        <v>0</v>
      </c>
      <c r="AC177" s="207">
        <f>IF($Y$169=0,0,AC$169/$Y$169*$Y177)</f>
        <v>0</v>
      </c>
      <c r="AD177" s="335"/>
      <c r="AE177" s="335"/>
      <c r="AF177" s="335"/>
      <c r="AG177" s="335"/>
      <c r="AH177" s="335"/>
      <c r="AI177" s="207">
        <f>IF($Y$169=0,0,AI$169/$Y$169*$Y177)</f>
        <v>0</v>
      </c>
      <c r="AJ177" s="128"/>
      <c r="AK177" s="306">
        <f>(AK172*AK175+AK173*AK176)</f>
        <v>0</v>
      </c>
      <c r="AL177" s="100"/>
      <c r="AM177" s="207">
        <f>IF($AK$169=0,0,AM$169/$AK$169*$AK177)</f>
        <v>0</v>
      </c>
      <c r="AN177" s="207">
        <f>IF($AK$169=0,0,AN$169/$AK$169*$AK177)</f>
        <v>0</v>
      </c>
      <c r="AO177" s="207">
        <f>IF($AK$169=0,0,AO$169/$AK$169*$AK177)</f>
        <v>0</v>
      </c>
      <c r="AP177" s="335"/>
      <c r="AQ177" s="335"/>
      <c r="AR177" s="335"/>
      <c r="AS177" s="335"/>
      <c r="AT177" s="335"/>
      <c r="AU177" s="207">
        <f>IF($AK$169=0,0,AU$169/$AK$169*$AK177)</f>
        <v>0</v>
      </c>
      <c r="AV177" s="128"/>
      <c r="AW177" s="306">
        <f>(AW172*AW175+AW173*AW176)</f>
        <v>0</v>
      </c>
      <c r="AX177" s="100"/>
      <c r="AY177" s="207">
        <f>IF($AW$169=0,0,AY$169/$AW$169*$AW177)</f>
        <v>0</v>
      </c>
      <c r="AZ177" s="207">
        <f>IF($AW$169=0,0,AZ$169/$AW$169*$AW177)</f>
        <v>0</v>
      </c>
      <c r="BA177" s="207">
        <f>IF($AW$169=0,0,BA$169/$AW$169*$AW177)</f>
        <v>0</v>
      </c>
      <c r="BB177" s="335"/>
      <c r="BC177" s="335"/>
      <c r="BD177" s="335"/>
      <c r="BE177" s="335"/>
      <c r="BF177" s="335"/>
      <c r="BG177" s="207">
        <f>IF($AW$169=0,0,BG$169/$AW$169*$AW177)</f>
        <v>0</v>
      </c>
      <c r="BH177" s="255"/>
    </row>
    <row r="178" spans="1:60" s="2" customFormat="1" ht="18.75" x14ac:dyDescent="0.2">
      <c r="A178" s="649"/>
      <c r="B178" s="492" t="s">
        <v>252</v>
      </c>
      <c r="C178" s="739" t="s">
        <v>104</v>
      </c>
      <c r="D178" s="753"/>
      <c r="E178" s="310" t="s">
        <v>267</v>
      </c>
      <c r="F178" s="310"/>
      <c r="G178" s="310"/>
      <c r="H178" s="311"/>
      <c r="I178" s="312"/>
      <c r="J178" s="310"/>
      <c r="K178" s="313"/>
      <c r="L178" s="313"/>
      <c r="M178" s="310"/>
      <c r="N178" s="312"/>
      <c r="O178" s="312"/>
      <c r="P178" s="312"/>
      <c r="Q178" s="312"/>
      <c r="R178" s="312"/>
      <c r="S178" s="312"/>
      <c r="T178" s="312"/>
      <c r="U178" s="312"/>
      <c r="V178" s="312"/>
      <c r="W178" s="312"/>
      <c r="X178" s="313"/>
      <c r="Y178" s="310"/>
      <c r="Z178" s="312"/>
      <c r="AA178" s="312"/>
      <c r="AB178" s="312"/>
      <c r="AC178" s="312"/>
      <c r="AD178" s="312"/>
      <c r="AE178" s="312"/>
      <c r="AF178" s="312"/>
      <c r="AG178" s="312"/>
      <c r="AH178" s="312"/>
      <c r="AI178" s="312"/>
      <c r="AJ178" s="313"/>
      <c r="AK178" s="310"/>
      <c r="AL178" s="312"/>
      <c r="AM178" s="312"/>
      <c r="AN178" s="312"/>
      <c r="AO178" s="312"/>
      <c r="AP178" s="312"/>
      <c r="AQ178" s="312"/>
      <c r="AR178" s="312"/>
      <c r="AS178" s="312"/>
      <c r="AT178" s="312"/>
      <c r="AU178" s="312"/>
      <c r="AV178" s="313"/>
      <c r="AW178" s="310"/>
      <c r="AX178" s="312"/>
      <c r="AY178" s="312"/>
      <c r="AZ178" s="312"/>
      <c r="BA178" s="312"/>
      <c r="BB178" s="312"/>
      <c r="BC178" s="312"/>
      <c r="BD178" s="312"/>
      <c r="BE178" s="312"/>
      <c r="BF178" s="312"/>
      <c r="BG178" s="312"/>
    </row>
    <row r="179" spans="1:60" s="2" customFormat="1" hidden="1" x14ac:dyDescent="0.2">
      <c r="A179" s="649"/>
      <c r="B179" s="492" t="s">
        <v>252</v>
      </c>
      <c r="C179" s="739" t="s">
        <v>199</v>
      </c>
      <c r="D179" s="753"/>
      <c r="E179" s="220" t="s">
        <v>268</v>
      </c>
      <c r="F179" s="220"/>
      <c r="G179" s="220"/>
      <c r="H179" s="221" t="s">
        <v>226</v>
      </c>
      <c r="I179" s="129"/>
      <c r="J179" s="230"/>
      <c r="K179" s="90"/>
      <c r="L179" s="90"/>
      <c r="M179" s="425">
        <f>$H$5</f>
        <v>0.34</v>
      </c>
      <c r="N179" s="424"/>
      <c r="O179" s="402"/>
      <c r="P179" s="402"/>
      <c r="Q179" s="402"/>
      <c r="R179" s="402"/>
      <c r="S179" s="402"/>
      <c r="T179" s="402"/>
      <c r="U179" s="402"/>
      <c r="V179" s="402"/>
      <c r="W179" s="402"/>
      <c r="X179" s="426"/>
      <c r="Y179" s="425">
        <f>$H$5</f>
        <v>0.34</v>
      </c>
      <c r="Z179" s="424"/>
      <c r="AA179" s="402"/>
      <c r="AB179" s="402"/>
      <c r="AC179" s="402"/>
      <c r="AD179" s="402"/>
      <c r="AE179" s="402"/>
      <c r="AF179" s="402"/>
      <c r="AG179" s="402"/>
      <c r="AH179" s="402"/>
      <c r="AI179" s="402"/>
      <c r="AJ179" s="426"/>
      <c r="AK179" s="425">
        <f>$H$5</f>
        <v>0.34</v>
      </c>
      <c r="AL179" s="424"/>
      <c r="AM179" s="402"/>
      <c r="AN179" s="402"/>
      <c r="AO179" s="402"/>
      <c r="AP179" s="402"/>
      <c r="AQ179" s="402"/>
      <c r="AR179" s="402"/>
      <c r="AS179" s="402"/>
      <c r="AT179" s="402"/>
      <c r="AU179" s="402"/>
      <c r="AV179" s="426"/>
      <c r="AW179" s="425">
        <f>$H$5</f>
        <v>0.34</v>
      </c>
      <c r="AX179" s="129"/>
      <c r="AY179" s="401"/>
      <c r="AZ179" s="401"/>
      <c r="BA179" s="401"/>
      <c r="BB179" s="401"/>
      <c r="BC179" s="401"/>
      <c r="BD179" s="401"/>
      <c r="BE179" s="401"/>
      <c r="BF179" s="401"/>
      <c r="BG179" s="401"/>
      <c r="BH179" s="264"/>
    </row>
    <row r="180" spans="1:60" s="2" customFormat="1" hidden="1" x14ac:dyDescent="0.2">
      <c r="A180" s="649"/>
      <c r="B180" s="492" t="s">
        <v>252</v>
      </c>
      <c r="C180" s="739" t="s">
        <v>199</v>
      </c>
      <c r="D180" s="753"/>
      <c r="E180" s="220" t="s">
        <v>269</v>
      </c>
      <c r="F180" s="220"/>
      <c r="G180" s="220"/>
      <c r="H180" s="221" t="s">
        <v>226</v>
      </c>
      <c r="I180" s="129"/>
      <c r="J180" s="230"/>
      <c r="K180" s="90"/>
      <c r="L180" s="90"/>
      <c r="M180" s="425">
        <f>HLOOKUP($F$5,elektriciteit_primaire_energiefactor,ROWS(bibliotheek!$E$261:$E$265),FALSE)</f>
        <v>0.34</v>
      </c>
      <c r="N180" s="424"/>
      <c r="O180" s="402"/>
      <c r="P180" s="402"/>
      <c r="Q180" s="402"/>
      <c r="R180" s="402"/>
      <c r="S180" s="402"/>
      <c r="T180" s="402"/>
      <c r="U180" s="402"/>
      <c r="V180" s="402"/>
      <c r="W180" s="402"/>
      <c r="X180" s="426"/>
      <c r="Y180" s="425">
        <f>HLOOKUP($F$5,elektriciteit_primaire_energiefactor,ROWS(bibliotheek!$E$261:$E$265),FALSE)</f>
        <v>0.34</v>
      </c>
      <c r="Z180" s="424"/>
      <c r="AA180" s="402"/>
      <c r="AB180" s="402"/>
      <c r="AC180" s="402"/>
      <c r="AD180" s="402"/>
      <c r="AE180" s="402"/>
      <c r="AF180" s="402"/>
      <c r="AG180" s="402"/>
      <c r="AH180" s="402"/>
      <c r="AI180" s="402"/>
      <c r="AJ180" s="426"/>
      <c r="AK180" s="425">
        <f>HLOOKUP($F$5,elektriciteit_primaire_energiefactor,ROWS(bibliotheek!$E$261:$E$265),FALSE)</f>
        <v>0.34</v>
      </c>
      <c r="AL180" s="424"/>
      <c r="AM180" s="402"/>
      <c r="AN180" s="402"/>
      <c r="AO180" s="402"/>
      <c r="AP180" s="402"/>
      <c r="AQ180" s="402"/>
      <c r="AR180" s="402"/>
      <c r="AS180" s="402"/>
      <c r="AT180" s="402"/>
      <c r="AU180" s="402"/>
      <c r="AV180" s="426"/>
      <c r="AW180" s="425">
        <f>HLOOKUP($F$5,elektriciteit_primaire_energiefactor,ROWS(bibliotheek!$E$261:$E$265),FALSE)</f>
        <v>0.34</v>
      </c>
      <c r="AX180" s="129"/>
      <c r="AY180" s="401"/>
      <c r="AZ180" s="401"/>
      <c r="BA180" s="401"/>
      <c r="BB180" s="401"/>
      <c r="BC180" s="401"/>
      <c r="BD180" s="401"/>
      <c r="BE180" s="401"/>
      <c r="BF180" s="401"/>
      <c r="BG180" s="401"/>
      <c r="BH180" s="264"/>
    </row>
    <row r="181" spans="1:60" s="2" customFormat="1" x14ac:dyDescent="0.2">
      <c r="A181" s="649"/>
      <c r="B181" s="492" t="s">
        <v>252</v>
      </c>
      <c r="C181" s="739" t="s">
        <v>113</v>
      </c>
      <c r="D181" s="753"/>
      <c r="E181" s="220" t="s">
        <v>270</v>
      </c>
      <c r="F181" s="221"/>
      <c r="G181" s="221"/>
      <c r="H181" s="221" t="s">
        <v>228</v>
      </c>
      <c r="I181" s="129"/>
      <c r="J181" s="243">
        <f>M181+Y181+AK181+AW181</f>
        <v>0</v>
      </c>
      <c r="K181" s="823"/>
      <c r="L181" s="823"/>
      <c r="M181" s="243">
        <f>M172*M179+M173*M180</f>
        <v>0</v>
      </c>
      <c r="N181" s="100"/>
      <c r="O181" s="207">
        <f>IF($M$169=0,0,O$169/$M$169*$M181)</f>
        <v>0</v>
      </c>
      <c r="P181" s="207">
        <f>IF($M$169=0,0,P$169/$M$169*$M181)</f>
        <v>0</v>
      </c>
      <c r="Q181" s="207">
        <f>IF($M$169=0,0,Q$169/$M$169*$M181)</f>
        <v>0</v>
      </c>
      <c r="R181" s="335"/>
      <c r="S181" s="335"/>
      <c r="T181" s="335"/>
      <c r="U181" s="335"/>
      <c r="V181" s="335"/>
      <c r="W181" s="207">
        <f>IF($M$169=0,0,W$169/$M$169*$M181)</f>
        <v>0</v>
      </c>
      <c r="X181" s="128"/>
      <c r="Y181" s="243">
        <f>Y172*Y179+Y173*Y180</f>
        <v>0</v>
      </c>
      <c r="Z181" s="100"/>
      <c r="AA181" s="207">
        <f>IF($Y$169=0,0,AA$169/$Y$169*$Y181)</f>
        <v>0</v>
      </c>
      <c r="AB181" s="207">
        <f>IF($Y$169=0,0,AB$169/$Y$169*$Y181)</f>
        <v>0</v>
      </c>
      <c r="AC181" s="207">
        <f>IF($Y$169=0,0,AC$169/$Y$169*$Y181)</f>
        <v>0</v>
      </c>
      <c r="AD181" s="335"/>
      <c r="AE181" s="335"/>
      <c r="AF181" s="335"/>
      <c r="AG181" s="335"/>
      <c r="AH181" s="335"/>
      <c r="AI181" s="207">
        <f>IF($Y$169=0,0,AI$169/$Y$169*$Y181)</f>
        <v>0</v>
      </c>
      <c r="AJ181" s="128"/>
      <c r="AK181" s="243">
        <f>AK172*AK179+AK173*AK180</f>
        <v>0</v>
      </c>
      <c r="AL181" s="100"/>
      <c r="AM181" s="207">
        <f>IF($AK$169=0,0,AM$169/$AK$169*$AK181)</f>
        <v>0</v>
      </c>
      <c r="AN181" s="207">
        <f>IF($AK$169=0,0,AN$169/$AK$169*$AK181)</f>
        <v>0</v>
      </c>
      <c r="AO181" s="207">
        <f>IF($AK$169=0,0,AO$169/$AK$169*$AK181)</f>
        <v>0</v>
      </c>
      <c r="AP181" s="335"/>
      <c r="AQ181" s="335"/>
      <c r="AR181" s="335"/>
      <c r="AS181" s="335"/>
      <c r="AT181" s="335"/>
      <c r="AU181" s="207">
        <f>IF($AK$169=0,0,AU$169/$AK$169*$AK181)</f>
        <v>0</v>
      </c>
      <c r="AV181" s="128"/>
      <c r="AW181" s="243">
        <f>AW172*AW179+AW173*AW180</f>
        <v>0</v>
      </c>
      <c r="AX181" s="100"/>
      <c r="AY181" s="207">
        <f>IF($AW$169=0,0,AY$169/$AW$169*$AW181)</f>
        <v>0</v>
      </c>
      <c r="AZ181" s="207">
        <f>IF($AW$169=0,0,AZ$169/$AW$169*$AW181)</f>
        <v>0</v>
      </c>
      <c r="BA181" s="207">
        <f>IF($AW$169=0,0,BA$169/$AW$169*$AW181)</f>
        <v>0</v>
      </c>
      <c r="BB181" s="335"/>
      <c r="BC181" s="335"/>
      <c r="BD181" s="335"/>
      <c r="BE181" s="335"/>
      <c r="BF181" s="335"/>
      <c r="BG181" s="207">
        <f>IF($AW$169=0,0,BG$169/$AW$169*$AW181)</f>
        <v>0</v>
      </c>
      <c r="BH181" s="255"/>
    </row>
    <row r="182" spans="1:60" x14ac:dyDescent="0.2">
      <c r="A182" s="648"/>
      <c r="B182" s="492" t="s">
        <v>252</v>
      </c>
      <c r="C182" s="739" t="s">
        <v>104</v>
      </c>
      <c r="D182" s="747"/>
      <c r="E182" s="90"/>
      <c r="F182" s="90"/>
      <c r="G182" s="90"/>
      <c r="H182" s="96"/>
      <c r="I182" s="90"/>
      <c r="J182" s="93"/>
      <c r="K182" s="90"/>
      <c r="L182" s="90"/>
      <c r="M182" s="93"/>
      <c r="N182" s="90"/>
      <c r="O182" s="122"/>
      <c r="P182" s="122"/>
      <c r="Q182" s="122"/>
      <c r="R182" s="93"/>
      <c r="S182" s="93"/>
      <c r="T182" s="93"/>
      <c r="U182" s="93"/>
      <c r="V182" s="93"/>
      <c r="W182" s="93"/>
      <c r="X182" s="93"/>
      <c r="Y182" s="93"/>
      <c r="Z182" s="90"/>
      <c r="AA182" s="122"/>
      <c r="AB182" s="122"/>
      <c r="AC182" s="122"/>
      <c r="AD182" s="93"/>
      <c r="AE182" s="93"/>
      <c r="AF182" s="93"/>
      <c r="AG182" s="93"/>
      <c r="AH182" s="93"/>
      <c r="AI182" s="93"/>
      <c r="AJ182" s="93"/>
      <c r="AK182" s="93"/>
      <c r="AL182" s="90"/>
      <c r="AM182" s="122"/>
      <c r="AN182" s="122"/>
      <c r="AO182" s="122"/>
      <c r="AP182" s="93"/>
      <c r="AQ182" s="93"/>
      <c r="AR182" s="93"/>
      <c r="AS182" s="93"/>
      <c r="AT182" s="93"/>
      <c r="AU182" s="93"/>
      <c r="AV182" s="93"/>
      <c r="AW182" s="93"/>
      <c r="AX182" s="90"/>
      <c r="AY182" s="122"/>
      <c r="AZ182" s="122"/>
      <c r="BA182" s="122"/>
      <c r="BB182" s="122"/>
      <c r="BC182" s="122"/>
      <c r="BD182" s="122"/>
      <c r="BE182" s="122"/>
      <c r="BF182" s="122"/>
      <c r="BG182" s="122"/>
      <c r="BH182" s="1"/>
    </row>
    <row r="183" spans="1:60" x14ac:dyDescent="0.2">
      <c r="A183" s="648"/>
      <c r="B183" s="492" t="s">
        <v>271</v>
      </c>
      <c r="C183" s="656" t="s">
        <v>104</v>
      </c>
      <c r="D183" s="747"/>
      <c r="E183" s="134"/>
      <c r="F183" s="90"/>
      <c r="G183" s="90"/>
      <c r="H183" s="96"/>
      <c r="I183" s="90"/>
      <c r="J183" s="93"/>
      <c r="K183" s="90"/>
      <c r="L183" s="90"/>
      <c r="M183" s="93"/>
      <c r="N183" s="90"/>
      <c r="O183" s="93"/>
      <c r="P183" s="93"/>
      <c r="Q183" s="93"/>
      <c r="R183" s="93"/>
      <c r="S183" s="93"/>
      <c r="T183" s="93"/>
      <c r="U183" s="93"/>
      <c r="V183" s="93"/>
      <c r="W183" s="93"/>
      <c r="X183" s="93"/>
      <c r="Y183" s="93"/>
      <c r="Z183" s="90"/>
      <c r="AA183" s="93"/>
      <c r="AB183" s="93"/>
      <c r="AC183" s="93"/>
      <c r="AD183" s="93"/>
      <c r="AE183" s="93"/>
      <c r="AF183" s="93"/>
      <c r="AG183" s="93"/>
      <c r="AH183" s="93"/>
      <c r="AI183" s="93"/>
      <c r="AJ183" s="93"/>
      <c r="AK183" s="93"/>
      <c r="AL183" s="90"/>
      <c r="AM183" s="93"/>
      <c r="AN183" s="93"/>
      <c r="AO183" s="93"/>
      <c r="AP183" s="93"/>
      <c r="AQ183" s="93"/>
      <c r="AR183" s="93"/>
      <c r="AS183" s="93"/>
      <c r="AT183" s="93"/>
      <c r="AU183" s="93"/>
      <c r="AV183" s="93"/>
      <c r="AW183" s="93"/>
      <c r="AX183" s="90"/>
      <c r="AY183" s="93"/>
      <c r="AZ183" s="93"/>
      <c r="BA183" s="93"/>
      <c r="BB183" s="93"/>
      <c r="BC183" s="93"/>
      <c r="BD183" s="93"/>
      <c r="BE183" s="93"/>
      <c r="BF183" s="93"/>
      <c r="BG183" s="93"/>
      <c r="BH183" s="1"/>
    </row>
    <row r="184" spans="1:60" ht="21" x14ac:dyDescent="0.2">
      <c r="A184" s="648"/>
      <c r="B184" s="492" t="s">
        <v>271</v>
      </c>
      <c r="C184" s="739" t="s">
        <v>104</v>
      </c>
      <c r="D184" s="752"/>
      <c r="E184" s="240" t="s">
        <v>272</v>
      </c>
      <c r="F184" s="240"/>
      <c r="G184" s="825"/>
      <c r="H184" s="216"/>
      <c r="I184" s="88"/>
      <c r="J184" s="241"/>
      <c r="K184" s="142"/>
      <c r="L184" s="142"/>
      <c r="M184" s="216" t="str">
        <f>M$10</f>
        <v>totaal</v>
      </c>
      <c r="N184" s="222"/>
      <c r="O184" s="217" t="str">
        <f t="shared" ref="O184:W184" si="114">O$10</f>
        <v>verwarming</v>
      </c>
      <c r="P184" s="217" t="str">
        <f t="shared" si="114"/>
        <v>koeling</v>
      </c>
      <c r="Q184" s="217" t="str">
        <f t="shared" si="114"/>
        <v>tapwater</v>
      </c>
      <c r="R184" s="217" t="str">
        <f t="shared" si="114"/>
        <v>verlichting</v>
      </c>
      <c r="S184" s="217" t="str">
        <f t="shared" si="114"/>
        <v>ventilatoren</v>
      </c>
      <c r="T184" s="217" t="str">
        <f t="shared" si="114"/>
        <v>kookgas</v>
      </c>
      <c r="U184" s="217" t="str">
        <f t="shared" si="114"/>
        <v>overig elektra</v>
      </c>
      <c r="V184" s="217" t="str">
        <f t="shared" si="114"/>
        <v>mobiliteit</v>
      </c>
      <c r="W184" s="217" t="str">
        <f t="shared" si="114"/>
        <v>zonnepanelen</v>
      </c>
      <c r="X184" s="214"/>
      <c r="Y184" s="216" t="str">
        <f>Y$10</f>
        <v>totaal</v>
      </c>
      <c r="Z184" s="222"/>
      <c r="AA184" s="217" t="str">
        <f t="shared" ref="AA184:AI184" si="115">AA$10</f>
        <v>verwarming</v>
      </c>
      <c r="AB184" s="217" t="str">
        <f t="shared" si="115"/>
        <v>koeling</v>
      </c>
      <c r="AC184" s="217" t="str">
        <f t="shared" si="115"/>
        <v>tapwater</v>
      </c>
      <c r="AD184" s="217" t="str">
        <f t="shared" si="115"/>
        <v>verlichting</v>
      </c>
      <c r="AE184" s="217" t="str">
        <f t="shared" si="115"/>
        <v>ventilatoren</v>
      </c>
      <c r="AF184" s="217" t="str">
        <f t="shared" si="115"/>
        <v>kookgas</v>
      </c>
      <c r="AG184" s="217" t="str">
        <f t="shared" si="115"/>
        <v>overig elektra</v>
      </c>
      <c r="AH184" s="217" t="str">
        <f t="shared" si="115"/>
        <v>mobiliteit</v>
      </c>
      <c r="AI184" s="217" t="str">
        <f t="shared" si="115"/>
        <v>zonnepanelen</v>
      </c>
      <c r="AJ184" s="214"/>
      <c r="AK184" s="216" t="str">
        <f>AK$10</f>
        <v>totaal</v>
      </c>
      <c r="AL184" s="222"/>
      <c r="AM184" s="217" t="str">
        <f>AM$10</f>
        <v>verwarming</v>
      </c>
      <c r="AN184" s="217" t="str">
        <f t="shared" ref="AN184:AU184" si="116">AN$10</f>
        <v>koeling</v>
      </c>
      <c r="AO184" s="217" t="str">
        <f t="shared" si="116"/>
        <v>tapwater</v>
      </c>
      <c r="AP184" s="217" t="str">
        <f t="shared" si="116"/>
        <v>verlichting</v>
      </c>
      <c r="AQ184" s="217" t="str">
        <f t="shared" si="116"/>
        <v>ventilatoren</v>
      </c>
      <c r="AR184" s="217" t="str">
        <f t="shared" si="116"/>
        <v>kookgas</v>
      </c>
      <c r="AS184" s="217" t="str">
        <f t="shared" si="116"/>
        <v>overig elektra</v>
      </c>
      <c r="AT184" s="217" t="str">
        <f t="shared" si="116"/>
        <v>mobiliteit</v>
      </c>
      <c r="AU184" s="217" t="str">
        <f t="shared" si="116"/>
        <v>zonnepanelen</v>
      </c>
      <c r="AV184" s="214"/>
      <c r="AW184" s="216" t="str">
        <f>AW$10</f>
        <v>totaal</v>
      </c>
      <c r="AX184" s="222"/>
      <c r="AY184" s="217" t="str">
        <f t="shared" ref="AY184:BG184" si="117">AY$10</f>
        <v>verwarming</v>
      </c>
      <c r="AZ184" s="217" t="str">
        <f t="shared" si="117"/>
        <v>koeling</v>
      </c>
      <c r="BA184" s="217" t="str">
        <f t="shared" si="117"/>
        <v>tapwater</v>
      </c>
      <c r="BB184" s="217" t="str">
        <f t="shared" si="117"/>
        <v>verlichting</v>
      </c>
      <c r="BC184" s="217" t="str">
        <f t="shared" si="117"/>
        <v>ventilatoren</v>
      </c>
      <c r="BD184" s="217" t="str">
        <f t="shared" si="117"/>
        <v>kookgas</v>
      </c>
      <c r="BE184" s="217" t="str">
        <f t="shared" si="117"/>
        <v>overig elektra</v>
      </c>
      <c r="BF184" s="217" t="str">
        <f t="shared" si="117"/>
        <v>mobiliteit</v>
      </c>
      <c r="BG184" s="217" t="str">
        <f t="shared" si="117"/>
        <v>zonnepanelen</v>
      </c>
      <c r="BH184" s="1"/>
    </row>
    <row r="185" spans="1:60" ht="18.75" x14ac:dyDescent="0.2">
      <c r="A185" s="648"/>
      <c r="B185" s="492" t="s">
        <v>271</v>
      </c>
      <c r="C185" s="739" t="s">
        <v>104</v>
      </c>
      <c r="D185" s="747"/>
      <c r="E185" s="231" t="s">
        <v>273</v>
      </c>
      <c r="F185" s="231"/>
      <c r="G185" s="231"/>
      <c r="H185" s="89"/>
      <c r="I185" s="232"/>
      <c r="J185" s="231"/>
      <c r="K185" s="232"/>
      <c r="L185" s="232"/>
      <c r="M185" s="231"/>
      <c r="N185" s="232"/>
      <c r="O185" s="232"/>
      <c r="P185" s="232"/>
      <c r="Q185" s="232"/>
      <c r="R185" s="232"/>
      <c r="S185" s="232"/>
      <c r="T185" s="232"/>
      <c r="U185" s="232"/>
      <c r="V185" s="232"/>
      <c r="W185" s="232"/>
      <c r="X185" s="232"/>
      <c r="Y185" s="232"/>
      <c r="Z185" s="232"/>
      <c r="AA185" s="232"/>
      <c r="AB185" s="232"/>
      <c r="AC185" s="232"/>
      <c r="AD185" s="232"/>
      <c r="AE185" s="232"/>
      <c r="AF185" s="232"/>
      <c r="AG185" s="232"/>
      <c r="AH185" s="232"/>
      <c r="AI185" s="232"/>
      <c r="AJ185" s="232"/>
      <c r="AK185" s="232"/>
      <c r="AL185" s="232"/>
      <c r="AM185" s="232"/>
      <c r="AN185" s="232"/>
      <c r="AO185" s="232"/>
      <c r="AP185" s="232"/>
      <c r="AQ185" s="232"/>
      <c r="AR185" s="232"/>
      <c r="AS185" s="232"/>
      <c r="AT185" s="232"/>
      <c r="AU185" s="232"/>
      <c r="AV185" s="232"/>
      <c r="AW185" s="232"/>
      <c r="AX185" s="232"/>
      <c r="AY185" s="232"/>
      <c r="AZ185" s="232"/>
      <c r="BA185" s="232"/>
      <c r="BB185" s="232"/>
      <c r="BC185" s="232"/>
      <c r="BD185" s="232"/>
      <c r="BE185" s="232"/>
      <c r="BF185" s="232"/>
      <c r="BG185" s="232"/>
      <c r="BH185" s="38"/>
    </row>
    <row r="186" spans="1:60" x14ac:dyDescent="0.2">
      <c r="A186" s="648"/>
      <c r="B186" s="492" t="s">
        <v>271</v>
      </c>
      <c r="C186" s="656" t="s">
        <v>113</v>
      </c>
      <c r="D186" s="750"/>
      <c r="E186" s="220" t="s">
        <v>274</v>
      </c>
      <c r="F186" s="220"/>
      <c r="G186" s="220"/>
      <c r="H186" s="242" t="str">
        <f>m3gas&amp;"/won.geb"</f>
        <v>m3/won.geb</v>
      </c>
      <c r="I186" s="129"/>
      <c r="J186" s="243"/>
      <c r="K186" s="279"/>
      <c r="L186" s="279"/>
      <c r="M186" s="230">
        <f>SUM(N186:X186)</f>
        <v>0</v>
      </c>
      <c r="N186" s="135"/>
      <c r="O186" s="223">
        <f>IF(O$29=0,0,((AND(O$81=gebouw,O$102=aardgas))*O$113+(AND(O$81=gebouw,O$132=aardgas))*O$138)*1000/bibliotheek!$I$530/O$29)</f>
        <v>0</v>
      </c>
      <c r="P186" s="223">
        <f>IF(P$29=0,0,((AND(P$81=gebouw,P$102=aardgas))*P$113+(AND(P$81=gebouw,P$132=aardgas))*P$138)*1000/bibliotheek!$I$530/P$29)</f>
        <v>0</v>
      </c>
      <c r="Q186" s="223">
        <f>IF(Q$29=0,0,((AND(Q$81=gebouw,Q$102=aardgas))*Q$113+(AND(Q$81=gebouw,Q$132=aardgas))*Q$138)*1000/bibliotheek!$I$530/Q$29)</f>
        <v>0</v>
      </c>
      <c r="R186" s="373"/>
      <c r="S186" s="373"/>
      <c r="T186" s="223">
        <f>IF(T$29=0,0,T$75*1000/bibliotheek!$I$530/T$29)</f>
        <v>0</v>
      </c>
      <c r="U186" s="373"/>
      <c r="V186" s="373"/>
      <c r="W186" s="373"/>
      <c r="X186" s="122"/>
      <c r="Y186" s="230">
        <f>SUM(Z186:AJ186)</f>
        <v>0</v>
      </c>
      <c r="Z186" s="135"/>
      <c r="AA186" s="223">
        <f>IF(AA$29=0,0,((AND(AA$81=gebouw,AA$102=aardgas))*AA$113+(AND(AA$81=gebouw,AA$132=aardgas))*AA$138)*1000/bibliotheek!$I$530/AA$29)</f>
        <v>0</v>
      </c>
      <c r="AB186" s="223">
        <f>IF(AB$29=0,0,((AND(AB$81=gebouw,AB$102=aardgas))*AB$113+(AND(AB$81=gebouw,AB$132=aardgas))*AB$138)*1000/bibliotheek!$I$530/AB$29)</f>
        <v>0</v>
      </c>
      <c r="AC186" s="223">
        <f>IF(AC$29=0,0,((AND(AC$81=gebouw,AC$102=aardgas))*AC$113+(AND(AC$81=gebouw,AC$132=aardgas))*AC$138)*1000/bibliotheek!$I$530/AC$29)</f>
        <v>0</v>
      </c>
      <c r="AD186" s="373"/>
      <c r="AE186" s="373"/>
      <c r="AF186" s="223">
        <f>IF(AF$29=0,0,AF$75*1000/bibliotheek!$I$530/AF$29)</f>
        <v>0</v>
      </c>
      <c r="AG186" s="373"/>
      <c r="AH186" s="373"/>
      <c r="AI186" s="373"/>
      <c r="AJ186" s="122"/>
      <c r="AK186" s="230">
        <f>SUM(AL186:AV186)</f>
        <v>0</v>
      </c>
      <c r="AL186" s="135"/>
      <c r="AM186" s="223">
        <f>IF(AM$29=0,0,((AND(AM$81=gebouw,AM$102=aardgas))*AM$113+(AND(AM$81=gebouw,AM$132=aardgas))*AM$138)*1000/bibliotheek!$I$530/AM$29)</f>
        <v>0</v>
      </c>
      <c r="AN186" s="223">
        <f>IF(AN$29=0,0,((AND(AN$81=gebouw,AN$102=aardgas))*AN$113+(AND(AN$81=gebouw,AN$132=aardgas))*AN$138)*1000/bibliotheek!$I$530/AN$29)</f>
        <v>0</v>
      </c>
      <c r="AO186" s="223">
        <f>IF(AO$29=0,0,((AND(AO$81=gebouw,AO$102=aardgas))*AO$113+(AND(AO$81=gebouw,AO$132=aardgas))*AO$138)*1000/bibliotheek!$I$530/AO$29)</f>
        <v>0</v>
      </c>
      <c r="AP186" s="373"/>
      <c r="AQ186" s="373"/>
      <c r="AR186" s="223">
        <f>IF(AR$29=0,0,AR$75*1000/bibliotheek!$I$530/AR$29)</f>
        <v>0</v>
      </c>
      <c r="AS186" s="373"/>
      <c r="AT186" s="373"/>
      <c r="AU186" s="373"/>
      <c r="AV186" s="122"/>
      <c r="AW186" s="230">
        <f>SUM(AX186:BH186)</f>
        <v>0</v>
      </c>
      <c r="AX186" s="135"/>
      <c r="AY186" s="223">
        <f>IF(AY$29=0,0,((AND(AY$81=gebouw,AY$102=aardgas))*AY$113+(AND(AY$81=gebouw,AY$132=aardgas))*AY$138)*1000/bibliotheek!$I$530/AY$29)</f>
        <v>0</v>
      </c>
      <c r="AZ186" s="223">
        <f>IF(AZ$29=0,0,((AND(AZ$81=gebouw,AZ$102=aardgas))*AZ$113+(AND(AZ$81=gebouw,AZ$132=aardgas))*AZ$138)*1000/bibliotheek!$I$530/AZ$29)</f>
        <v>0</v>
      </c>
      <c r="BA186" s="223">
        <f>IF(BA$29=0,0,((AND(BA$81=gebouw,BA$102=aardgas))*BA$113+(AND(BA$81=gebouw,BA$132=aardgas))*BA$138)*1000/bibliotheek!$I$530/BA$29)</f>
        <v>0</v>
      </c>
      <c r="BB186" s="373"/>
      <c r="BC186" s="373"/>
      <c r="BD186" s="223">
        <f>IF(BD$29=0,0,BD$75*1000/bibliotheek!$I$530/BD$29)</f>
        <v>0</v>
      </c>
      <c r="BE186" s="373"/>
      <c r="BF186" s="373"/>
      <c r="BG186" s="373"/>
      <c r="BH186" s="255"/>
    </row>
    <row r="187" spans="1:60" x14ac:dyDescent="0.2">
      <c r="A187" s="648"/>
      <c r="B187" s="492" t="s">
        <v>271</v>
      </c>
      <c r="C187" s="656" t="s">
        <v>113</v>
      </c>
      <c r="D187" s="750"/>
      <c r="E187" s="220" t="s">
        <v>156</v>
      </c>
      <c r="F187" s="220"/>
      <c r="G187" s="220"/>
      <c r="H187" s="242" t="str">
        <f>kWh&amp;"/won.geb"</f>
        <v>kWh/won.geb</v>
      </c>
      <c r="I187" s="129"/>
      <c r="J187" s="243"/>
      <c r="K187" s="279"/>
      <c r="L187" s="279"/>
      <c r="M187" s="230">
        <f>SUM(N187:X187)</f>
        <v>0</v>
      </c>
      <c r="N187" s="135"/>
      <c r="O187" s="223">
        <f>IF(O$29=0,0,(O$171-O$167)*1000/O$29)</f>
        <v>0</v>
      </c>
      <c r="P187" s="223">
        <f>IF(OR(P$29=0,P$33=0),0,(P$171-P$167)*1000/P$29)</f>
        <v>0</v>
      </c>
      <c r="Q187" s="223">
        <f>IF(OR(Q$29=0,Q$33=0),0,(Q$171-Q$167)*1000/Q$29)</f>
        <v>0</v>
      </c>
      <c r="R187" s="223">
        <f>IF(R$29=0,0,R$171*1000/R$29)</f>
        <v>0</v>
      </c>
      <c r="S187" s="223">
        <f>IF(S$29=0,0,S$171*1000/S$29)</f>
        <v>0</v>
      </c>
      <c r="T187" s="335"/>
      <c r="U187" s="223">
        <f>IF(U$29=0,0,U$171*1000/U$29)</f>
        <v>0</v>
      </c>
      <c r="V187" s="223">
        <f>IF(V$29=0,0,V$171*1000/V$29)</f>
        <v>0</v>
      </c>
      <c r="W187" s="223">
        <f>IF(W$29=0,0,-W$168*1000/W$29)</f>
        <v>0</v>
      </c>
      <c r="X187" s="122"/>
      <c r="Y187" s="230">
        <f>SUM(Z187:AJ187)</f>
        <v>0</v>
      </c>
      <c r="Z187" s="135"/>
      <c r="AA187" s="223">
        <f>IF(AA$29=0,0,(AA$171-AA$167)*1000/AA$29)</f>
        <v>0</v>
      </c>
      <c r="AB187" s="223">
        <f>IF(OR(AB$29=0,AB$33=0),0,(AB$171-AB$167)*1000/AB$29)</f>
        <v>0</v>
      </c>
      <c r="AC187" s="223">
        <f>IF(OR(AC$29=0,AC$33=0),0,(AC$171-AC$167)*1000/AC$29)</f>
        <v>0</v>
      </c>
      <c r="AD187" s="223">
        <f>IF(AD$29=0,0,AD$171*1000/AD$29)</f>
        <v>0</v>
      </c>
      <c r="AE187" s="223">
        <f>IF(AE$29=0,0,AE$171*1000/AE$29)</f>
        <v>0</v>
      </c>
      <c r="AF187" s="335"/>
      <c r="AG187" s="223">
        <f>IF(AG$29=0,0,AG$171*1000/AG$29)</f>
        <v>0</v>
      </c>
      <c r="AH187" s="223">
        <f>IF(AH$29=0,0,AH$171*1000/AH$29)</f>
        <v>0</v>
      </c>
      <c r="AI187" s="223">
        <f>IF(AI$29=0,0,-AI$168*1000/AI$29)</f>
        <v>0</v>
      </c>
      <c r="AJ187" s="122"/>
      <c r="AK187" s="230">
        <f>SUM(AL187:AV187)</f>
        <v>0</v>
      </c>
      <c r="AL187" s="135"/>
      <c r="AM187" s="223">
        <f>IF(AM$29=0,0,(AM$171-AM$167)*1000/AM$29)</f>
        <v>0</v>
      </c>
      <c r="AN187" s="223">
        <f>IF(OR(AN$29=0,AN$33=0),0,(AN$171-AN$167)*1000/AN$29)</f>
        <v>0</v>
      </c>
      <c r="AO187" s="223">
        <f>IF(OR(AO$29=0,AO$33=0),0,(AO$171-AO$167)*1000/AO$29)</f>
        <v>0</v>
      </c>
      <c r="AP187" s="223">
        <f>IF(AP$29=0,0,AP$171*1000/AP$29)</f>
        <v>0</v>
      </c>
      <c r="AQ187" s="223">
        <f>IF(AQ$29=0,0,AQ$171*1000/AQ$29)</f>
        <v>0</v>
      </c>
      <c r="AR187" s="207"/>
      <c r="AS187" s="223">
        <f>IF(AS$29=0,0,AS$171*1000/AS$29)</f>
        <v>0</v>
      </c>
      <c r="AT187" s="223">
        <f>IF(AT$29=0,0,AT$171*1000/AT$29)</f>
        <v>0</v>
      </c>
      <c r="AU187" s="223">
        <f>IF(AU$29=0,0,-AU$168*1000/AU$29)</f>
        <v>0</v>
      </c>
      <c r="AV187" s="122"/>
      <c r="AW187" s="230">
        <f>SUM(AX187:BH187)</f>
        <v>0</v>
      </c>
      <c r="AX187" s="135"/>
      <c r="AY187" s="223">
        <f>IF(AY$29=0,0,(AY$171-AY$167)*1000/AY$29)</f>
        <v>0</v>
      </c>
      <c r="AZ187" s="223">
        <f>IF(OR(AZ$29=0,AZ$33=0),0,(AZ$171-AZ$167)*1000/AZ$29)</f>
        <v>0</v>
      </c>
      <c r="BA187" s="223">
        <f>IF(OR(BA$29=0,BA$33=0),0,(BA$171-BA$167)*1000/BA$29)</f>
        <v>0</v>
      </c>
      <c r="BB187" s="223">
        <f>IF(BB$29=0,0,BB$171*1000/BB$29)</f>
        <v>0</v>
      </c>
      <c r="BC187" s="223">
        <f>IF(BC$29=0,0,BC$171*1000/BC$29)</f>
        <v>0</v>
      </c>
      <c r="BD187" s="335"/>
      <c r="BE187" s="223">
        <f>IF(BE$29=0,0,BE$171*1000/BE$29)</f>
        <v>0</v>
      </c>
      <c r="BF187" s="223">
        <f>IF(BF$29=0,0,BF$171*1000/BF$29)</f>
        <v>0</v>
      </c>
      <c r="BG187" s="223">
        <f>IF(BG$29=0,0,-BG$168*1000/BG$29)</f>
        <v>0</v>
      </c>
      <c r="BH187" s="255"/>
    </row>
    <row r="188" spans="1:60" x14ac:dyDescent="0.2">
      <c r="A188" s="648"/>
      <c r="B188" s="492" t="s">
        <v>271</v>
      </c>
      <c r="C188" s="656" t="s">
        <v>113</v>
      </c>
      <c r="D188" s="750"/>
      <c r="E188" s="220" t="s">
        <v>275</v>
      </c>
      <c r="F188" s="220"/>
      <c r="G188" s="220"/>
      <c r="H188" s="242" t="str">
        <f>GJ&amp;"/won.geb"</f>
        <v>GJ/won.geb</v>
      </c>
      <c r="I188" s="129"/>
      <c r="J188" s="243"/>
      <c r="K188" s="279"/>
      <c r="L188" s="279"/>
      <c r="M188" s="243">
        <f>SUM(N188:X188)</f>
        <v>0</v>
      </c>
      <c r="N188" s="100"/>
      <c r="O188" s="207">
        <f>IF(O$29=0,0,(O$81&lt;&gt;gebouw)*(O$75+O$85-O$88)*3.6/O$29)</f>
        <v>0</v>
      </c>
      <c r="P188" s="207">
        <f>IF(P$29=0,0,(P$81&lt;&gt;gebouw)*(P$75+P$85-P$88)*3.6/P$29)</f>
        <v>0</v>
      </c>
      <c r="Q188" s="207">
        <f>IF(Q$29=0,0,(Q$81&lt;&gt;gebouw)*(Q$75+Q$85-Q$88)*3.6/Q$29)</f>
        <v>0</v>
      </c>
      <c r="R188" s="335"/>
      <c r="S188" s="335"/>
      <c r="T188" s="335"/>
      <c r="U188" s="335"/>
      <c r="V188" s="335"/>
      <c r="W188" s="335"/>
      <c r="X188" s="128"/>
      <c r="Y188" s="243">
        <f>SUM(Z188:AJ188)</f>
        <v>0</v>
      </c>
      <c r="Z188" s="100"/>
      <c r="AA188" s="207">
        <f>IF(AA$29=0,0,(AA$81&lt;&gt;gebouw)*(AA$75+AA$85-AA$88)*3.6/AA$29)</f>
        <v>0</v>
      </c>
      <c r="AB188" s="207">
        <f>IF(AB$29=0,0,(AB$81&lt;&gt;gebouw)*(AB$75+AB$85-AB$88)*3.6/AB$29)</f>
        <v>0</v>
      </c>
      <c r="AC188" s="207">
        <f>IF(AC$29=0,0,(AC$81&lt;&gt;gebouw)*(AC$75+AC$85-AC$88)*3.6/AC$29)</f>
        <v>0</v>
      </c>
      <c r="AD188" s="335"/>
      <c r="AE188" s="335"/>
      <c r="AF188" s="335"/>
      <c r="AG188" s="335"/>
      <c r="AH188" s="335"/>
      <c r="AI188" s="335"/>
      <c r="AJ188" s="128"/>
      <c r="AK188" s="243">
        <f>SUM(AL188:AV188)</f>
        <v>0</v>
      </c>
      <c r="AL188" s="100"/>
      <c r="AM188" s="207">
        <f>IF(AM$29=0,0,(AM$81&lt;&gt;gebouw)*(AM$75+AM$85-AM$88)*3.6/AM$29)</f>
        <v>0</v>
      </c>
      <c r="AN188" s="207">
        <f>IF(AN$29=0,0,(AN$81&lt;&gt;gebouw)*(AN$75+AN$85-AN$88)*3.6/AN$29)</f>
        <v>0</v>
      </c>
      <c r="AO188" s="207">
        <f>IF(AO$29=0,0,(AO$81&lt;&gt;gebouw)*(AO$75+AO$85-AO$88)*3.6/AO$29)</f>
        <v>0</v>
      </c>
      <c r="AP188" s="207"/>
      <c r="AQ188" s="207"/>
      <c r="AR188" s="207"/>
      <c r="AS188" s="207"/>
      <c r="AT188" s="207"/>
      <c r="AU188" s="207"/>
      <c r="AV188" s="128"/>
      <c r="AW188" s="243">
        <f>SUM(AX188:BH188)</f>
        <v>0</v>
      </c>
      <c r="AX188" s="100"/>
      <c r="AY188" s="207">
        <f>IF(AY$29=0,0,(AY$81&lt;&gt;gebouw)*(AY$75+AY$85-AY$88)*3.6/AY$29)</f>
        <v>0</v>
      </c>
      <c r="AZ188" s="207">
        <f>IF(AZ$29=0,0,(AZ$81&lt;&gt;gebouw)*(AZ$75+AZ$85-AZ$88)*3.6/AZ$29)</f>
        <v>0</v>
      </c>
      <c r="BA188" s="207">
        <f>IF(BA$29=0,0,(BA$81&lt;&gt;gebouw)*(BA$75+BA$85-BA$88)*3.6/BA$29)</f>
        <v>0</v>
      </c>
      <c r="BB188" s="335"/>
      <c r="BC188" s="335"/>
      <c r="BD188" s="335"/>
      <c r="BE188" s="335"/>
      <c r="BF188" s="335"/>
      <c r="BG188" s="335"/>
      <c r="BH188" s="255"/>
    </row>
    <row r="189" spans="1:60" ht="18.75" x14ac:dyDescent="0.2">
      <c r="A189" s="648"/>
      <c r="B189" s="492" t="s">
        <v>271</v>
      </c>
      <c r="C189" s="739" t="s">
        <v>104</v>
      </c>
      <c r="D189" s="750"/>
      <c r="E189" s="231" t="s">
        <v>276</v>
      </c>
      <c r="F189" s="231"/>
      <c r="G189" s="231"/>
      <c r="H189" s="89"/>
      <c r="I189" s="232"/>
      <c r="J189" s="231"/>
      <c r="K189" s="232"/>
      <c r="L189" s="232"/>
      <c r="M189" s="231"/>
      <c r="N189" s="232"/>
      <c r="O189" s="232"/>
      <c r="P189" s="232"/>
      <c r="Q189" s="232"/>
      <c r="R189" s="232"/>
      <c r="S189" s="232"/>
      <c r="T189" s="232"/>
      <c r="U189" s="232"/>
      <c r="V189" s="232"/>
      <c r="W189" s="232"/>
      <c r="X189" s="232"/>
      <c r="Y189" s="232"/>
      <c r="Z189" s="232"/>
      <c r="AA189" s="232"/>
      <c r="AB189" s="232"/>
      <c r="AC189" s="232"/>
      <c r="AD189" s="232"/>
      <c r="AE189" s="232"/>
      <c r="AF189" s="232"/>
      <c r="AG189" s="232"/>
      <c r="AH189" s="232"/>
      <c r="AI189" s="232"/>
      <c r="AJ189" s="232"/>
      <c r="AK189" s="232"/>
      <c r="AL189" s="232"/>
      <c r="AM189" s="232"/>
      <c r="AN189" s="232"/>
      <c r="AO189" s="232"/>
      <c r="AP189" s="232"/>
      <c r="AQ189" s="232"/>
      <c r="AR189" s="232"/>
      <c r="AS189" s="232"/>
      <c r="AT189" s="232"/>
      <c r="AU189" s="232"/>
      <c r="AV189" s="232"/>
      <c r="AW189" s="232"/>
      <c r="AX189" s="232"/>
      <c r="AY189" s="232"/>
      <c r="AZ189" s="232"/>
      <c r="BA189" s="232"/>
      <c r="BB189" s="232"/>
      <c r="BC189" s="232"/>
      <c r="BD189" s="232"/>
      <c r="BE189" s="232"/>
      <c r="BF189" s="232"/>
      <c r="BG189" s="232"/>
      <c r="BH189" s="38"/>
    </row>
    <row r="190" spans="1:60" x14ac:dyDescent="0.2">
      <c r="A190" s="648"/>
      <c r="B190" s="492" t="s">
        <v>271</v>
      </c>
      <c r="C190" s="656" t="s">
        <v>113</v>
      </c>
      <c r="D190" s="750"/>
      <c r="E190" s="220" t="s">
        <v>274</v>
      </c>
      <c r="F190" s="220"/>
      <c r="G190" s="220"/>
      <c r="H190" s="242" t="s">
        <v>277</v>
      </c>
      <c r="I190" s="129"/>
      <c r="J190" s="243"/>
      <c r="K190" s="279"/>
      <c r="L190" s="279"/>
      <c r="M190" s="243">
        <f>IF(M$31=0,0,M186*M$24/M$31)</f>
        <v>0</v>
      </c>
      <c r="N190" s="100"/>
      <c r="O190" s="207">
        <f t="shared" ref="O190:Q192" si="118">IF(OR(O$33="",O$33=0),0,O$29*O186/O$33)</f>
        <v>0</v>
      </c>
      <c r="P190" s="207">
        <f t="shared" si="118"/>
        <v>0</v>
      </c>
      <c r="Q190" s="207">
        <f t="shared" si="118"/>
        <v>0</v>
      </c>
      <c r="R190" s="335"/>
      <c r="S190" s="335"/>
      <c r="T190" s="207">
        <f>IF(OR(T$33="",T$33=0),0,T$29*T186/T$33)</f>
        <v>0</v>
      </c>
      <c r="U190" s="335"/>
      <c r="V190" s="335"/>
      <c r="W190" s="335"/>
      <c r="X190" s="128"/>
      <c r="Y190" s="243">
        <f>IF(Y$31=0,0,Y186*Y$24/Y$31)</f>
        <v>0</v>
      </c>
      <c r="Z190" s="100"/>
      <c r="AA190" s="207">
        <f t="shared" ref="AA190:AC192" si="119">IF(OR(AA$33="",AA$33=0),0,AA$29*AA186/AA$33)</f>
        <v>0</v>
      </c>
      <c r="AB190" s="207">
        <f t="shared" si="119"/>
        <v>0</v>
      </c>
      <c r="AC190" s="207">
        <f t="shared" si="119"/>
        <v>0</v>
      </c>
      <c r="AD190" s="335"/>
      <c r="AE190" s="335"/>
      <c r="AF190" s="207">
        <f>IF(OR(AF$33="",AF$33=0),0,AF$29*AF186/AF$33)</f>
        <v>0</v>
      </c>
      <c r="AG190" s="335"/>
      <c r="AH190" s="335"/>
      <c r="AI190" s="335"/>
      <c r="AJ190" s="128"/>
      <c r="AK190" s="243">
        <f>IF(AK$31=0,0,AK186*AK$24/AK$31)</f>
        <v>0</v>
      </c>
      <c r="AL190" s="100"/>
      <c r="AM190" s="207">
        <f>IF(OR(AM$33="",AM$33=0),0,AM$29*AM186/AM$33)</f>
        <v>0</v>
      </c>
      <c r="AN190" s="207">
        <f t="shared" ref="AN190:AO192" si="120">IF(OR(AN$33="",AN$33=0),0,AN$29*AN186/AN$33)</f>
        <v>0</v>
      </c>
      <c r="AO190" s="207">
        <f t="shared" si="120"/>
        <v>0</v>
      </c>
      <c r="AP190" s="335"/>
      <c r="AQ190" s="335"/>
      <c r="AR190" s="207">
        <f>IF(OR(AR$33="",AR$33=0),0,AR$29*AR186/AR$33)</f>
        <v>0</v>
      </c>
      <c r="AS190" s="335"/>
      <c r="AT190" s="335"/>
      <c r="AU190" s="335"/>
      <c r="AV190" s="128"/>
      <c r="AW190" s="243">
        <f>IF(AW$31=0,0,AW186*AW$24/AW$31)</f>
        <v>0</v>
      </c>
      <c r="AX190" s="100"/>
      <c r="AY190" s="207">
        <f t="shared" ref="AY190:BA192" si="121">IF(OR(AY$33="",AY$33=0),0,AY$29*AY186/AY$33)</f>
        <v>0</v>
      </c>
      <c r="AZ190" s="207">
        <f t="shared" si="121"/>
        <v>0</v>
      </c>
      <c r="BA190" s="207">
        <f t="shared" si="121"/>
        <v>0</v>
      </c>
      <c r="BB190" s="335"/>
      <c r="BC190" s="335"/>
      <c r="BD190" s="207">
        <f>IF(OR(BD$33="",BD$33=0),0,BD$29*BD186/BD$33)</f>
        <v>0</v>
      </c>
      <c r="BE190" s="335"/>
      <c r="BF190" s="335"/>
      <c r="BG190" s="335"/>
      <c r="BH190" s="255"/>
    </row>
    <row r="191" spans="1:60" x14ac:dyDescent="0.2">
      <c r="A191" s="648"/>
      <c r="B191" s="492" t="s">
        <v>271</v>
      </c>
      <c r="C191" s="656" t="s">
        <v>113</v>
      </c>
      <c r="D191" s="750"/>
      <c r="E191" s="220" t="s">
        <v>156</v>
      </c>
      <c r="F191" s="220"/>
      <c r="G191" s="220"/>
      <c r="H191" s="242" t="s">
        <v>169</v>
      </c>
      <c r="I191" s="129"/>
      <c r="J191" s="243"/>
      <c r="K191" s="279"/>
      <c r="L191" s="279"/>
      <c r="M191" s="243">
        <f>IF(M$31=0,0,M187*M$24/M$31)</f>
        <v>0</v>
      </c>
      <c r="N191" s="100"/>
      <c r="O191" s="207">
        <f t="shared" si="118"/>
        <v>0</v>
      </c>
      <c r="P191" s="207">
        <f t="shared" si="118"/>
        <v>0</v>
      </c>
      <c r="Q191" s="207">
        <f t="shared" si="118"/>
        <v>0</v>
      </c>
      <c r="R191" s="207">
        <f>IF(OR(R$33="",R$33=0),0,R$29*R187/R$33)</f>
        <v>0</v>
      </c>
      <c r="S191" s="207">
        <f>IF(OR(S$33="",S$33=0),0,S$29*S187/S$33)</f>
        <v>0</v>
      </c>
      <c r="T191" s="335"/>
      <c r="U191" s="207">
        <f>IF(OR(U$33="",U$33=0),0,U$29*U187/U$33)</f>
        <v>0</v>
      </c>
      <c r="V191" s="207">
        <f>IF(OR(V$33="",V$33=0),0,V$29*V187/V$33)</f>
        <v>0</v>
      </c>
      <c r="W191" s="207">
        <f>IF(OR(W$33="",W$33=0),0,W$29*W187/W$33)</f>
        <v>0</v>
      </c>
      <c r="X191" s="128"/>
      <c r="Y191" s="243">
        <f>IF(Y$31=0,0,Y187*Y$24/Y$31)</f>
        <v>0</v>
      </c>
      <c r="Z191" s="100"/>
      <c r="AA191" s="207">
        <f t="shared" si="119"/>
        <v>0</v>
      </c>
      <c r="AB191" s="207">
        <f t="shared" si="119"/>
        <v>0</v>
      </c>
      <c r="AC191" s="207">
        <f t="shared" si="119"/>
        <v>0</v>
      </c>
      <c r="AD191" s="207">
        <f>IF(OR(AD$33="",AD$33=0),0,AD$29*AD187/AD$33)</f>
        <v>0</v>
      </c>
      <c r="AE191" s="207">
        <f>IF(OR(AE$33="",AE$33=0),0,AE$29*AE187/AE$33)</f>
        <v>0</v>
      </c>
      <c r="AF191" s="335"/>
      <c r="AG191" s="207">
        <f>IF(OR(AG$33="",AG$33=0),0,AG$29*AG187/AG$33)</f>
        <v>0</v>
      </c>
      <c r="AH191" s="207">
        <f>IF(OR(AH$33="",AH$33=0),0,AH$29*AH187/AH$33)</f>
        <v>0</v>
      </c>
      <c r="AI191" s="207">
        <f>IF(OR(AI$33="",AI$33=0),0,AI$29*AI187/AI$33)</f>
        <v>0</v>
      </c>
      <c r="AJ191" s="128"/>
      <c r="AK191" s="243">
        <f>IF(AK$31=0,0,AK187*AK$24/AK$31)</f>
        <v>0</v>
      </c>
      <c r="AL191" s="100"/>
      <c r="AM191" s="207">
        <f>IF(OR(AM$33="",AM$33=0),0,AM$29*AM187/AM$33)</f>
        <v>0</v>
      </c>
      <c r="AN191" s="207">
        <f t="shared" si="120"/>
        <v>0</v>
      </c>
      <c r="AO191" s="207">
        <f t="shared" si="120"/>
        <v>0</v>
      </c>
      <c r="AP191" s="207">
        <f>IF(OR(AP$33="",AP$33=0),0,AP$29*AP187/AP$33)</f>
        <v>0</v>
      </c>
      <c r="AQ191" s="207">
        <f>IF(OR(AQ$33="",AQ$33=0),0,AQ$29*AQ187/AQ$33)</f>
        <v>0</v>
      </c>
      <c r="AR191" s="335"/>
      <c r="AS191" s="207">
        <f>IF(OR(AS$33="",AS$33=0),0,AS$29*AS187/AS$33)</f>
        <v>0</v>
      </c>
      <c r="AT191" s="207">
        <f>IF(OR(AT$33="",AT$33=0),0,AT$29*AT187/AT$33)</f>
        <v>0</v>
      </c>
      <c r="AU191" s="207">
        <f>IF(OR(AU$33="",AU$33=0),0,AU$29*AU187/AU$33)</f>
        <v>0</v>
      </c>
      <c r="AV191" s="128"/>
      <c r="AW191" s="243">
        <f>IF(AW$31=0,0,AW187*AW$24/AW$31)</f>
        <v>0</v>
      </c>
      <c r="AX191" s="100"/>
      <c r="AY191" s="207">
        <f t="shared" si="121"/>
        <v>0</v>
      </c>
      <c r="AZ191" s="207">
        <f t="shared" si="121"/>
        <v>0</v>
      </c>
      <c r="BA191" s="207">
        <f t="shared" si="121"/>
        <v>0</v>
      </c>
      <c r="BB191" s="207">
        <f>IF(OR(BB$33="",BB$33=0),0,BB$29*BB187/BB$33)</f>
        <v>0</v>
      </c>
      <c r="BC191" s="207">
        <f>IF(OR(BC$33="",BC$33=0),0,BC$29*BC187/BC$33)</f>
        <v>0</v>
      </c>
      <c r="BD191" s="335"/>
      <c r="BE191" s="207">
        <f>IF(OR(BE$33="",BE$33=0),0,BE$29*BE187/BE$33)</f>
        <v>0</v>
      </c>
      <c r="BF191" s="207">
        <f>IF(OR(BF$33="",BF$33=0),0,BF$29*BF187/BF$33)</f>
        <v>0</v>
      </c>
      <c r="BG191" s="207">
        <f>IF(OR(BG$33="",BG$33=0),0,BG$29*BG187/BG$33)</f>
        <v>0</v>
      </c>
      <c r="BH191" s="255"/>
    </row>
    <row r="192" spans="1:60" x14ac:dyDescent="0.2">
      <c r="A192" s="648"/>
      <c r="B192" s="492" t="s">
        <v>271</v>
      </c>
      <c r="C192" s="656" t="s">
        <v>113</v>
      </c>
      <c r="D192" s="750"/>
      <c r="E192" s="220" t="s">
        <v>275</v>
      </c>
      <c r="F192" s="220"/>
      <c r="G192" s="220"/>
      <c r="H192" s="242" t="s">
        <v>278</v>
      </c>
      <c r="I192" s="129"/>
      <c r="J192" s="243"/>
      <c r="K192" s="279"/>
      <c r="L192" s="279"/>
      <c r="M192" s="243">
        <f>IF(M$31=0,0,M188*M$24/M$31)</f>
        <v>0</v>
      </c>
      <c r="N192" s="100"/>
      <c r="O192" s="207">
        <f t="shared" si="118"/>
        <v>0</v>
      </c>
      <c r="P192" s="207">
        <f t="shared" si="118"/>
        <v>0</v>
      </c>
      <c r="Q192" s="207">
        <f t="shared" si="118"/>
        <v>0</v>
      </c>
      <c r="R192" s="335"/>
      <c r="S192" s="335"/>
      <c r="T192" s="335"/>
      <c r="U192" s="335"/>
      <c r="V192" s="335"/>
      <c r="W192" s="335"/>
      <c r="X192" s="128"/>
      <c r="Y192" s="243">
        <f>IF(Y$31=0,0,Y188*Y$24/Y$31)</f>
        <v>0</v>
      </c>
      <c r="Z192" s="100"/>
      <c r="AA192" s="207">
        <f t="shared" si="119"/>
        <v>0</v>
      </c>
      <c r="AB192" s="207">
        <f t="shared" si="119"/>
        <v>0</v>
      </c>
      <c r="AC192" s="207">
        <f t="shared" si="119"/>
        <v>0</v>
      </c>
      <c r="AD192" s="335"/>
      <c r="AE192" s="335"/>
      <c r="AF192" s="335"/>
      <c r="AG192" s="335"/>
      <c r="AH192" s="335"/>
      <c r="AI192" s="335"/>
      <c r="AJ192" s="128"/>
      <c r="AK192" s="243">
        <f>IF(AK$31=0,0,AK188*AK$24/AK$31)</f>
        <v>0</v>
      </c>
      <c r="AL192" s="100"/>
      <c r="AM192" s="207">
        <f>IF(OR(AM$33="",AM$33=0),0,AM$29*AM188/AM$33)</f>
        <v>0</v>
      </c>
      <c r="AN192" s="207">
        <f t="shared" si="120"/>
        <v>0</v>
      </c>
      <c r="AO192" s="207">
        <f t="shared" si="120"/>
        <v>0</v>
      </c>
      <c r="AP192" s="335"/>
      <c r="AQ192" s="335"/>
      <c r="AR192" s="335"/>
      <c r="AS192" s="335"/>
      <c r="AT192" s="335"/>
      <c r="AU192" s="335"/>
      <c r="AV192" s="128"/>
      <c r="AW192" s="243">
        <f>IF(AW$31=0,0,AW188*AW$24/AW$31)</f>
        <v>0</v>
      </c>
      <c r="AX192" s="100"/>
      <c r="AY192" s="207">
        <f t="shared" si="121"/>
        <v>0</v>
      </c>
      <c r="AZ192" s="207">
        <f t="shared" si="121"/>
        <v>0</v>
      </c>
      <c r="BA192" s="207">
        <f t="shared" si="121"/>
        <v>0</v>
      </c>
      <c r="BB192" s="335"/>
      <c r="BC192" s="335"/>
      <c r="BD192" s="335"/>
      <c r="BE192" s="335"/>
      <c r="BF192" s="335"/>
      <c r="BG192" s="335"/>
      <c r="BH192" s="255"/>
    </row>
    <row r="193" spans="1:60" x14ac:dyDescent="0.2">
      <c r="A193" s="648"/>
      <c r="B193" s="492" t="s">
        <v>271</v>
      </c>
      <c r="C193" s="739" t="s">
        <v>104</v>
      </c>
      <c r="D193" s="747"/>
      <c r="E193" s="90"/>
      <c r="F193" s="90"/>
      <c r="G193" s="90"/>
      <c r="H193" s="96"/>
      <c r="I193" s="90"/>
      <c r="J193" s="93"/>
      <c r="K193" s="90"/>
      <c r="L193" s="90"/>
      <c r="M193" s="93"/>
      <c r="N193" s="90"/>
      <c r="O193" s="93"/>
      <c r="P193" s="93"/>
      <c r="Q193" s="93"/>
      <c r="R193" s="93"/>
      <c r="S193" s="93"/>
      <c r="T193" s="93"/>
      <c r="U193" s="93"/>
      <c r="V193" s="93"/>
      <c r="W193" s="93"/>
      <c r="X193" s="93"/>
      <c r="Y193" s="93"/>
      <c r="Z193" s="90"/>
      <c r="AA193" s="93"/>
      <c r="AB193" s="93"/>
      <c r="AC193" s="93"/>
      <c r="AD193" s="93"/>
      <c r="AE193" s="93"/>
      <c r="AF193" s="93"/>
      <c r="AG193" s="93"/>
      <c r="AH193" s="93"/>
      <c r="AI193" s="93"/>
      <c r="AJ193" s="93"/>
      <c r="AK193" s="93"/>
      <c r="AL193" s="90"/>
      <c r="AM193" s="90"/>
      <c r="AN193" s="90"/>
      <c r="AO193" s="90"/>
      <c r="AP193" s="90"/>
      <c r="AQ193" s="90"/>
      <c r="AR193" s="90"/>
      <c r="AS193" s="90"/>
      <c r="AT193" s="90"/>
      <c r="AU193" s="93"/>
      <c r="AV193" s="93"/>
      <c r="AW193" s="93"/>
      <c r="AX193" s="90"/>
      <c r="AY193" s="93"/>
      <c r="AZ193" s="93"/>
      <c r="BA193" s="93"/>
      <c r="BB193" s="93"/>
      <c r="BC193" s="93"/>
      <c r="BD193" s="93"/>
      <c r="BE193" s="93"/>
      <c r="BF193" s="93"/>
      <c r="BG193" s="93"/>
      <c r="BH193" s="1"/>
    </row>
    <row r="194" spans="1:60" x14ac:dyDescent="0.2">
      <c r="A194" s="648"/>
      <c r="B194" s="492" t="s">
        <v>279</v>
      </c>
      <c r="C194" s="656" t="s">
        <v>104</v>
      </c>
      <c r="D194" s="747"/>
      <c r="E194" s="90"/>
      <c r="F194" s="90"/>
      <c r="G194" s="90"/>
      <c r="H194" s="96"/>
      <c r="I194" s="90"/>
      <c r="J194" s="93"/>
      <c r="K194" s="90"/>
      <c r="L194" s="90"/>
      <c r="M194" s="93"/>
      <c r="N194" s="90"/>
      <c r="O194" s="93"/>
      <c r="P194" s="93"/>
      <c r="Q194" s="93"/>
      <c r="R194" s="93"/>
      <c r="S194" s="93"/>
      <c r="T194" s="93"/>
      <c r="U194" s="93"/>
      <c r="V194" s="93"/>
      <c r="W194" s="93"/>
      <c r="X194" s="93"/>
      <c r="Y194" s="93"/>
      <c r="Z194" s="90"/>
      <c r="AA194" s="93"/>
      <c r="AB194" s="93"/>
      <c r="AC194" s="93"/>
      <c r="AD194" s="93"/>
      <c r="AE194" s="93"/>
      <c r="AF194" s="93"/>
      <c r="AG194" s="93"/>
      <c r="AH194" s="93"/>
      <c r="AI194" s="93"/>
      <c r="AJ194" s="93"/>
      <c r="AK194" s="93"/>
      <c r="AL194" s="90"/>
      <c r="AM194" s="93"/>
      <c r="AN194" s="93"/>
      <c r="AO194" s="93"/>
      <c r="AP194" s="93"/>
      <c r="AQ194" s="93"/>
      <c r="AR194" s="93"/>
      <c r="AS194" s="93"/>
      <c r="AT194" s="93"/>
      <c r="AU194" s="93"/>
      <c r="AV194" s="93"/>
      <c r="AW194" s="93"/>
      <c r="AX194" s="90"/>
      <c r="AY194" s="93"/>
      <c r="AZ194" s="93"/>
      <c r="BA194" s="93"/>
      <c r="BB194" s="93"/>
      <c r="BC194" s="93"/>
      <c r="BD194" s="93"/>
      <c r="BE194" s="93"/>
      <c r="BF194" s="93"/>
      <c r="BG194" s="93"/>
      <c r="BH194" s="1"/>
    </row>
    <row r="195" spans="1:60" ht="21" x14ac:dyDescent="0.2">
      <c r="A195" s="648"/>
      <c r="B195" s="492" t="s">
        <v>279</v>
      </c>
      <c r="C195" s="739" t="s">
        <v>104</v>
      </c>
      <c r="D195" s="752"/>
      <c r="E195" s="240" t="s">
        <v>280</v>
      </c>
      <c r="F195" s="240"/>
      <c r="G195" s="240"/>
      <c r="H195" s="240"/>
      <c r="I195" s="88"/>
      <c r="J195" s="241" t="str">
        <f>J$10</f>
        <v>totaal</v>
      </c>
      <c r="K195" s="142"/>
      <c r="L195" s="142"/>
      <c r="M195" s="216" t="str">
        <f>M$10</f>
        <v>totaal</v>
      </c>
      <c r="N195" s="222"/>
      <c r="O195" s="217" t="str">
        <f t="shared" ref="O195:W195" si="122">O$10</f>
        <v>verwarming</v>
      </c>
      <c r="P195" s="217" t="str">
        <f t="shared" si="122"/>
        <v>koeling</v>
      </c>
      <c r="Q195" s="217" t="str">
        <f t="shared" si="122"/>
        <v>tapwater</v>
      </c>
      <c r="R195" s="217" t="str">
        <f t="shared" si="122"/>
        <v>verlichting</v>
      </c>
      <c r="S195" s="217" t="str">
        <f t="shared" si="122"/>
        <v>ventilatoren</v>
      </c>
      <c r="T195" s="217" t="str">
        <f t="shared" si="122"/>
        <v>kookgas</v>
      </c>
      <c r="U195" s="217" t="str">
        <f t="shared" si="122"/>
        <v>overig elektra</v>
      </c>
      <c r="V195" s="217" t="str">
        <f t="shared" si="122"/>
        <v>mobiliteit</v>
      </c>
      <c r="W195" s="217" t="str">
        <f t="shared" si="122"/>
        <v>zonnepanelen</v>
      </c>
      <c r="X195" s="214"/>
      <c r="Y195" s="216" t="str">
        <f>Y$10</f>
        <v>totaal</v>
      </c>
      <c r="Z195" s="222"/>
      <c r="AA195" s="217" t="str">
        <f t="shared" ref="AA195:AI195" si="123">AA$10</f>
        <v>verwarming</v>
      </c>
      <c r="AB195" s="217" t="str">
        <f t="shared" si="123"/>
        <v>koeling</v>
      </c>
      <c r="AC195" s="217" t="str">
        <f t="shared" si="123"/>
        <v>tapwater</v>
      </c>
      <c r="AD195" s="217" t="str">
        <f t="shared" si="123"/>
        <v>verlichting</v>
      </c>
      <c r="AE195" s="217" t="str">
        <f t="shared" si="123"/>
        <v>ventilatoren</v>
      </c>
      <c r="AF195" s="217" t="str">
        <f t="shared" si="123"/>
        <v>kookgas</v>
      </c>
      <c r="AG195" s="217" t="str">
        <f t="shared" si="123"/>
        <v>overig elektra</v>
      </c>
      <c r="AH195" s="217" t="str">
        <f t="shared" si="123"/>
        <v>mobiliteit</v>
      </c>
      <c r="AI195" s="217" t="str">
        <f t="shared" si="123"/>
        <v>zonnepanelen</v>
      </c>
      <c r="AJ195" s="214"/>
      <c r="AK195" s="216" t="str">
        <f>AK$10</f>
        <v>totaal</v>
      </c>
      <c r="AL195" s="222"/>
      <c r="AM195" s="217" t="str">
        <f>AM$10</f>
        <v>verwarming</v>
      </c>
      <c r="AN195" s="217" t="str">
        <f t="shared" ref="AN195:AU195" si="124">AN$10</f>
        <v>koeling</v>
      </c>
      <c r="AO195" s="217" t="str">
        <f t="shared" si="124"/>
        <v>tapwater</v>
      </c>
      <c r="AP195" s="217" t="str">
        <f t="shared" si="124"/>
        <v>verlichting</v>
      </c>
      <c r="AQ195" s="217" t="str">
        <f t="shared" si="124"/>
        <v>ventilatoren</v>
      </c>
      <c r="AR195" s="217" t="str">
        <f t="shared" si="124"/>
        <v>kookgas</v>
      </c>
      <c r="AS195" s="217" t="str">
        <f t="shared" si="124"/>
        <v>overig elektra</v>
      </c>
      <c r="AT195" s="217" t="str">
        <f t="shared" si="124"/>
        <v>mobiliteit</v>
      </c>
      <c r="AU195" s="217" t="str">
        <f t="shared" si="124"/>
        <v>zonnepanelen</v>
      </c>
      <c r="AV195" s="214"/>
      <c r="AW195" s="216" t="str">
        <f>AW$10</f>
        <v>totaal</v>
      </c>
      <c r="AX195" s="222"/>
      <c r="AY195" s="217" t="str">
        <f t="shared" ref="AY195:BG195" si="125">AY$10</f>
        <v>verwarming</v>
      </c>
      <c r="AZ195" s="217" t="str">
        <f t="shared" si="125"/>
        <v>koeling</v>
      </c>
      <c r="BA195" s="217" t="str">
        <f t="shared" si="125"/>
        <v>tapwater</v>
      </c>
      <c r="BB195" s="217" t="str">
        <f t="shared" si="125"/>
        <v>verlichting</v>
      </c>
      <c r="BC195" s="217" t="str">
        <f t="shared" si="125"/>
        <v>ventilatoren</v>
      </c>
      <c r="BD195" s="217" t="str">
        <f t="shared" si="125"/>
        <v>kookgas</v>
      </c>
      <c r="BE195" s="217" t="str">
        <f t="shared" si="125"/>
        <v>overig elektra</v>
      </c>
      <c r="BF195" s="217" t="str">
        <f t="shared" si="125"/>
        <v>mobiliteit</v>
      </c>
      <c r="BG195" s="217" t="str">
        <f t="shared" si="125"/>
        <v>zonnepanelen</v>
      </c>
      <c r="BH195" s="1"/>
    </row>
    <row r="196" spans="1:60" ht="18.75" x14ac:dyDescent="0.2">
      <c r="A196" s="648"/>
      <c r="B196" s="492" t="s">
        <v>279</v>
      </c>
      <c r="C196" s="739" t="s">
        <v>104</v>
      </c>
      <c r="D196" s="747"/>
      <c r="E196" s="231" t="s">
        <v>281</v>
      </c>
      <c r="F196" s="231"/>
      <c r="G196" s="231"/>
      <c r="H196" s="89"/>
      <c r="I196" s="232"/>
      <c r="J196" s="231"/>
      <c r="K196" s="232"/>
      <c r="L196" s="232"/>
      <c r="M196" s="231"/>
      <c r="N196" s="232"/>
      <c r="O196" s="232"/>
      <c r="P196" s="232"/>
      <c r="Q196" s="232"/>
      <c r="R196" s="232"/>
      <c r="S196" s="232"/>
      <c r="T196" s="232"/>
      <c r="U196" s="232"/>
      <c r="V196" s="232"/>
      <c r="W196" s="232"/>
      <c r="X196" s="232"/>
      <c r="Y196" s="232"/>
      <c r="Z196" s="232"/>
      <c r="AA196" s="232"/>
      <c r="AB196" s="232"/>
      <c r="AC196" s="232"/>
      <c r="AD196" s="232"/>
      <c r="AE196" s="232"/>
      <c r="AF196" s="232"/>
      <c r="AG196" s="232"/>
      <c r="AH196" s="232"/>
      <c r="AI196" s="232"/>
      <c r="AJ196" s="232"/>
      <c r="AK196" s="232"/>
      <c r="AL196" s="232"/>
      <c r="AM196" s="232"/>
      <c r="AN196" s="232"/>
      <c r="AO196" s="232"/>
      <c r="AP196" s="232"/>
      <c r="AQ196" s="232"/>
      <c r="AR196" s="232"/>
      <c r="AS196" s="232"/>
      <c r="AT196" s="232"/>
      <c r="AU196" s="232"/>
      <c r="AV196" s="232"/>
      <c r="AW196" s="232"/>
      <c r="AX196" s="232"/>
      <c r="AY196" s="232"/>
      <c r="AZ196" s="232"/>
      <c r="BA196" s="232"/>
      <c r="BB196" s="232"/>
      <c r="BC196" s="232"/>
      <c r="BD196" s="232"/>
      <c r="BE196" s="232"/>
      <c r="BF196" s="232"/>
      <c r="BG196" s="232"/>
      <c r="BH196" s="38"/>
    </row>
    <row r="197" spans="1:60" s="38" customFormat="1" x14ac:dyDescent="0.2">
      <c r="A197" s="648"/>
      <c r="B197" s="492" t="s">
        <v>279</v>
      </c>
      <c r="C197" s="656" t="s">
        <v>113</v>
      </c>
      <c r="D197" s="747"/>
      <c r="E197" s="287" t="s">
        <v>282</v>
      </c>
      <c r="F197" s="287" t="s">
        <v>208</v>
      </c>
      <c r="G197" s="287"/>
      <c r="H197" s="288" t="s">
        <v>70</v>
      </c>
      <c r="I197" s="289"/>
      <c r="J197" s="290"/>
      <c r="K197" s="280"/>
      <c r="L197" s="280"/>
      <c r="M197" s="290"/>
      <c r="N197" s="291"/>
      <c r="O197" s="292" t="str">
        <f>IF(AND(O$80&lt;&gt;"geen",O$102&lt;&gt;""),O$102,"")</f>
        <v>elektriciteit</v>
      </c>
      <c r="P197" s="292" t="str">
        <f>IF(AND(P$80&lt;&gt;"geen",P$102&lt;&gt;""),P$102,"")</f>
        <v/>
      </c>
      <c r="Q197" s="292" t="str">
        <f>IF(AND(Q$80&lt;&gt;"geen",Q$102&lt;&gt;""),Q$102,"")</f>
        <v>elektriciteit</v>
      </c>
      <c r="R197" s="704"/>
      <c r="S197" s="704"/>
      <c r="T197" s="704"/>
      <c r="U197" s="704"/>
      <c r="V197" s="704"/>
      <c r="W197" s="704"/>
      <c r="X197" s="137"/>
      <c r="Y197" s="290"/>
      <c r="Z197" s="291"/>
      <c r="AA197" s="292" t="str">
        <f>IF(AND(AA$80&lt;&gt;"geen",AA$102&lt;&gt;""),AA$102,"")</f>
        <v>elektriciteit</v>
      </c>
      <c r="AB197" s="292" t="str">
        <f>IF(AND(AB$80&lt;&gt;"geen",AB$102&lt;&gt;""),AB$102,"")</f>
        <v/>
      </c>
      <c r="AC197" s="292" t="str">
        <f>IF(AND(AC$80&lt;&gt;"geen",AC$102&lt;&gt;""),AC$102,"")</f>
        <v>elektriciteit</v>
      </c>
      <c r="AD197" s="704"/>
      <c r="AE197" s="704"/>
      <c r="AF197" s="704"/>
      <c r="AG197" s="704"/>
      <c r="AH197" s="704"/>
      <c r="AI197" s="704"/>
      <c r="AJ197" s="137"/>
      <c r="AK197" s="290"/>
      <c r="AL197" s="291"/>
      <c r="AM197" s="292" t="str">
        <f>IF(AND(AM$80&lt;&gt;"geen",AM$102&lt;&gt;""),AM$102,"")</f>
        <v>elektriciteit</v>
      </c>
      <c r="AN197" s="292" t="str">
        <f>IF(AND(AN$80&lt;&gt;"geen",AN$102&lt;&gt;""),AN$102,"")</f>
        <v/>
      </c>
      <c r="AO197" s="292" t="str">
        <f>IF(AND(AO$80&lt;&gt;"geen",AO$102&lt;&gt;""),AO$102,"")</f>
        <v>elektriciteit</v>
      </c>
      <c r="AP197" s="704"/>
      <c r="AQ197" s="704"/>
      <c r="AR197" s="704"/>
      <c r="AS197" s="704"/>
      <c r="AT197" s="704"/>
      <c r="AU197" s="704"/>
      <c r="AV197" s="137"/>
      <c r="AW197" s="290"/>
      <c r="AX197" s="291"/>
      <c r="AY197" s="292" t="str">
        <f>IF(AND(AY$80&lt;&gt;"geen",AY$102&lt;&gt;""),AY$102,"")</f>
        <v>elektriciteit</v>
      </c>
      <c r="AZ197" s="292" t="str">
        <f>IF(AND(AZ$80&lt;&gt;"geen",AZ$102&lt;&gt;""),AZ$102,"")</f>
        <v/>
      </c>
      <c r="BA197" s="292" t="str">
        <f>IF(AND(BA$80&lt;&gt;"geen",BA$102&lt;&gt;""),BA$102,"")</f>
        <v>elektriciteit</v>
      </c>
      <c r="BB197" s="704"/>
      <c r="BC197" s="704"/>
      <c r="BD197" s="704"/>
      <c r="BE197" s="704"/>
      <c r="BF197" s="704"/>
      <c r="BG197" s="704"/>
      <c r="BH197" s="269"/>
    </row>
    <row r="198" spans="1:60" s="2" customFormat="1" x14ac:dyDescent="0.2">
      <c r="A198" s="649"/>
      <c r="B198" s="492" t="s">
        <v>279</v>
      </c>
      <c r="C198" s="739" t="s">
        <v>113</v>
      </c>
      <c r="D198" s="753"/>
      <c r="E198" s="413"/>
      <c r="F198" s="317" t="s">
        <v>283</v>
      </c>
      <c r="G198" s="317"/>
      <c r="H198" s="427" t="s">
        <v>115</v>
      </c>
      <c r="I198" s="196"/>
      <c r="J198" s="370">
        <f>M198+Y198+AK198+AW198</f>
        <v>0</v>
      </c>
      <c r="K198" s="428"/>
      <c r="L198" s="428"/>
      <c r="M198" s="370">
        <f>SUM(N198:X198)</f>
        <v>0</v>
      </c>
      <c r="N198" s="371"/>
      <c r="O198" s="429">
        <f>IF(O197="","",(O$102=O197)*O$117)</f>
        <v>0</v>
      </c>
      <c r="P198" s="429" t="str">
        <f>IF(P197="","",(P$102=P197)*P$117)</f>
        <v/>
      </c>
      <c r="Q198" s="429">
        <f>IF(Q197="","",(Q$102=Q197)*Q$117)</f>
        <v>0</v>
      </c>
      <c r="R198" s="372"/>
      <c r="S198" s="372"/>
      <c r="T198" s="372"/>
      <c r="U198" s="372"/>
      <c r="V198" s="372"/>
      <c r="W198" s="372"/>
      <c r="X198" s="128"/>
      <c r="Y198" s="370">
        <f>SUM(Z198:AJ198)</f>
        <v>0</v>
      </c>
      <c r="Z198" s="371"/>
      <c r="AA198" s="429">
        <f>IF(AA197="","",(AA$102=AA197)*AA$117)</f>
        <v>0</v>
      </c>
      <c r="AB198" s="429" t="str">
        <f>IF(AB197="","",(AB$102=AB197)*AB$117)</f>
        <v/>
      </c>
      <c r="AC198" s="429">
        <f>IF(AC197="","",(AC$102=AC197)*AC$117)</f>
        <v>0</v>
      </c>
      <c r="AD198" s="372"/>
      <c r="AE198" s="372"/>
      <c r="AF198" s="372"/>
      <c r="AG198" s="372"/>
      <c r="AH198" s="372"/>
      <c r="AI198" s="372"/>
      <c r="AJ198" s="128"/>
      <c r="AK198" s="370">
        <f>SUM(AL198:AV198)</f>
        <v>0</v>
      </c>
      <c r="AL198" s="371"/>
      <c r="AM198" s="429">
        <f>IF(AM197="","",(AM$102=AM197)*AM$117)</f>
        <v>0</v>
      </c>
      <c r="AN198" s="429" t="str">
        <f>IF(AN197="","",(AN$102=AN197)*AN$117)</f>
        <v/>
      </c>
      <c r="AO198" s="429">
        <f>IF(AO197="","",(AO$102=AO197)*AO$117)</f>
        <v>0</v>
      </c>
      <c r="AP198" s="372"/>
      <c r="AQ198" s="372"/>
      <c r="AR198" s="372"/>
      <c r="AS198" s="372"/>
      <c r="AT198" s="372"/>
      <c r="AU198" s="372"/>
      <c r="AV198" s="128"/>
      <c r="AW198" s="370">
        <f>SUM(AX198:BH198)</f>
        <v>0</v>
      </c>
      <c r="AX198" s="371"/>
      <c r="AY198" s="429">
        <f>IF(AY197="","",(AY$102=AY197)*AY$117)</f>
        <v>0</v>
      </c>
      <c r="AZ198" s="429" t="str">
        <f>IF(AZ197="","",(AZ$102=AZ197)*AZ$117)</f>
        <v/>
      </c>
      <c r="BA198" s="429">
        <f>IF(BA197="","",(BA$102=BA197)*BA$117)</f>
        <v>0</v>
      </c>
      <c r="BB198" s="372"/>
      <c r="BC198" s="372"/>
      <c r="BD198" s="372"/>
      <c r="BE198" s="372"/>
      <c r="BF198" s="372"/>
      <c r="BG198" s="372"/>
      <c r="BH198" s="267"/>
    </row>
    <row r="199" spans="1:60" s="2" customFormat="1" x14ac:dyDescent="0.2">
      <c r="A199" s="649"/>
      <c r="B199" s="492" t="s">
        <v>279</v>
      </c>
      <c r="C199" s="739" t="s">
        <v>113</v>
      </c>
      <c r="D199" s="753"/>
      <c r="E199" s="316" t="s">
        <v>284</v>
      </c>
      <c r="F199" s="366" t="s">
        <v>208</v>
      </c>
      <c r="G199" s="366"/>
      <c r="H199" s="430" t="s">
        <v>70</v>
      </c>
      <c r="I199" s="431"/>
      <c r="J199" s="432"/>
      <c r="K199" s="433"/>
      <c r="L199" s="433"/>
      <c r="M199" s="432"/>
      <c r="N199" s="434"/>
      <c r="O199" s="435" t="str">
        <f>IF(AND(O$131&lt;&gt;"",O$131&lt;&gt;"geen"),O$132,"")</f>
        <v>elektriciteit</v>
      </c>
      <c r="P199" s="435" t="str">
        <f>IF(AND(P$131&lt;&gt;"",P$131&lt;&gt;"geen"),P$132,"")</f>
        <v/>
      </c>
      <c r="Q199" s="435" t="str">
        <f>IF(AND(Q$131&lt;&gt;"",Q$131&lt;&gt;"geen"),Q$132,"")</f>
        <v>elektriciteit</v>
      </c>
      <c r="R199" s="705"/>
      <c r="S199" s="705"/>
      <c r="T199" s="705"/>
      <c r="U199" s="705"/>
      <c r="V199" s="705"/>
      <c r="W199" s="705"/>
      <c r="X199" s="133"/>
      <c r="Y199" s="432"/>
      <c r="Z199" s="434"/>
      <c r="AA199" s="435" t="str">
        <f>IF(AND(AA$131&lt;&gt;"",AA$131&lt;&gt;"geen"),AA$132,"")</f>
        <v>elektriciteit</v>
      </c>
      <c r="AB199" s="435" t="str">
        <f>IF(AND(AB$131&lt;&gt;"",AB$131&lt;&gt;"geen"),AB$132,"")</f>
        <v/>
      </c>
      <c r="AC199" s="435" t="str">
        <f>IF(AND(AC$131&lt;&gt;"",AC$131&lt;&gt;"geen"),AC$132,"")</f>
        <v>elektriciteit</v>
      </c>
      <c r="AD199" s="705"/>
      <c r="AE199" s="705"/>
      <c r="AF199" s="705"/>
      <c r="AG199" s="705"/>
      <c r="AH199" s="705"/>
      <c r="AI199" s="705"/>
      <c r="AJ199" s="133"/>
      <c r="AK199" s="432"/>
      <c r="AL199" s="434"/>
      <c r="AM199" s="435" t="str">
        <f>IF(AND(AM$131&lt;&gt;"",AM$131&lt;&gt;"geen"),AM$132,"")</f>
        <v>elektriciteit</v>
      </c>
      <c r="AN199" s="435" t="str">
        <f>IF(AND(AN$131&lt;&gt;"",AN$131&lt;&gt;"geen"),AN$132,"")</f>
        <v/>
      </c>
      <c r="AO199" s="435" t="str">
        <f>IF(AND(AO$131&lt;&gt;"",AO$131&lt;&gt;"geen"),AO$132,"")</f>
        <v>elektriciteit</v>
      </c>
      <c r="AP199" s="705"/>
      <c r="AQ199" s="705"/>
      <c r="AR199" s="705"/>
      <c r="AS199" s="705"/>
      <c r="AT199" s="705"/>
      <c r="AU199" s="705"/>
      <c r="AV199" s="133"/>
      <c r="AW199" s="432"/>
      <c r="AX199" s="434"/>
      <c r="AY199" s="435" t="str">
        <f>IF(AND(AY$131&lt;&gt;"",AY$131&lt;&gt;"geen"),AY$132,"")</f>
        <v>elektriciteit</v>
      </c>
      <c r="AZ199" s="435" t="str">
        <f>IF(AND(AZ$131&lt;&gt;"",AZ$131&lt;&gt;"geen"),AZ$132,"")</f>
        <v/>
      </c>
      <c r="BA199" s="435" t="str">
        <f>IF(AND(BA$131&lt;&gt;"",BA$131&lt;&gt;"geen"),BA$132,"")</f>
        <v>elektriciteit</v>
      </c>
      <c r="BB199" s="705"/>
      <c r="BC199" s="705"/>
      <c r="BD199" s="705"/>
      <c r="BE199" s="705"/>
      <c r="BF199" s="705"/>
      <c r="BG199" s="705"/>
      <c r="BH199" s="267"/>
    </row>
    <row r="200" spans="1:60" s="2" customFormat="1" x14ac:dyDescent="0.2">
      <c r="A200" s="649"/>
      <c r="B200" s="492" t="s">
        <v>279</v>
      </c>
      <c r="C200" s="739" t="s">
        <v>113</v>
      </c>
      <c r="D200" s="753"/>
      <c r="E200" s="413"/>
      <c r="F200" s="317" t="s">
        <v>283</v>
      </c>
      <c r="G200" s="317"/>
      <c r="H200" s="427" t="s">
        <v>115</v>
      </c>
      <c r="I200" s="196"/>
      <c r="J200" s="370">
        <f>M200+Y200+AK200+AW200</f>
        <v>0</v>
      </c>
      <c r="K200" s="428"/>
      <c r="L200" s="428"/>
      <c r="M200" s="370">
        <f>SUM(N200:X200)</f>
        <v>0</v>
      </c>
      <c r="N200" s="371"/>
      <c r="O200" s="429">
        <f>IF(O199="",0,(O$132=O199)*O$142)</f>
        <v>0</v>
      </c>
      <c r="P200" s="429">
        <f>IF(P199="",0,(P$132=P199)*P$142)</f>
        <v>0</v>
      </c>
      <c r="Q200" s="429">
        <f>IF(Q199="",0,(Q$132=Q199)*Q$142)</f>
        <v>0</v>
      </c>
      <c r="R200" s="372"/>
      <c r="S200" s="372"/>
      <c r="T200" s="372"/>
      <c r="U200" s="372"/>
      <c r="V200" s="372"/>
      <c r="W200" s="372"/>
      <c r="X200" s="128"/>
      <c r="Y200" s="370">
        <f>SUM(Z200:AJ200)</f>
        <v>0</v>
      </c>
      <c r="Z200" s="371"/>
      <c r="AA200" s="429">
        <f>IF(AA199="",0,(AA$132=AA199)*AA$142)</f>
        <v>0</v>
      </c>
      <c r="AB200" s="429">
        <f>IF(AB199="",0,(AB$132=AB199)*AB$142)</f>
        <v>0</v>
      </c>
      <c r="AC200" s="429">
        <f>IF(AC199="",0,(AC$132=AC199)*AC$142)</f>
        <v>0</v>
      </c>
      <c r="AD200" s="372"/>
      <c r="AE200" s="372"/>
      <c r="AF200" s="372"/>
      <c r="AG200" s="372"/>
      <c r="AH200" s="372"/>
      <c r="AI200" s="372"/>
      <c r="AJ200" s="128"/>
      <c r="AK200" s="370">
        <f>SUM(AL200:AV200)</f>
        <v>0</v>
      </c>
      <c r="AL200" s="371"/>
      <c r="AM200" s="429">
        <f>IF(AM199="",0,(AM$132=AM199)*AM$142)</f>
        <v>0</v>
      </c>
      <c r="AN200" s="429">
        <f>IF(AN199="",0,(AN$132=AN199)*AN$142)</f>
        <v>0</v>
      </c>
      <c r="AO200" s="429">
        <f>IF(AO199="",0,(AO$132=AO199)*AO$142)</f>
        <v>0</v>
      </c>
      <c r="AP200" s="372"/>
      <c r="AQ200" s="372"/>
      <c r="AR200" s="372"/>
      <c r="AS200" s="372"/>
      <c r="AT200" s="372"/>
      <c r="AU200" s="372"/>
      <c r="AV200" s="128"/>
      <c r="AW200" s="370">
        <f>SUM(AX200:BH200)</f>
        <v>0</v>
      </c>
      <c r="AX200" s="371"/>
      <c r="AY200" s="429">
        <f>IF(AY199="",0,(AY$132=AY199)*AY$142)</f>
        <v>0</v>
      </c>
      <c r="AZ200" s="429">
        <f>IF(AZ199="",0,(AZ$132=AZ199)*AZ$142)</f>
        <v>0</v>
      </c>
      <c r="BA200" s="429">
        <f>IF(BA199="",0,(BA$132=BA199)*BA$142)</f>
        <v>0</v>
      </c>
      <c r="BB200" s="372"/>
      <c r="BC200" s="372"/>
      <c r="BD200" s="372"/>
      <c r="BE200" s="372"/>
      <c r="BF200" s="372"/>
      <c r="BG200" s="372"/>
      <c r="BH200" s="267"/>
    </row>
    <row r="201" spans="1:60" s="2" customFormat="1" x14ac:dyDescent="0.2">
      <c r="A201" s="649"/>
      <c r="B201" s="492" t="s">
        <v>279</v>
      </c>
      <c r="C201" s="739" t="s">
        <v>113</v>
      </c>
      <c r="D201" s="753"/>
      <c r="E201" s="316" t="s">
        <v>285</v>
      </c>
      <c r="F201" s="366" t="s">
        <v>208</v>
      </c>
      <c r="G201" s="366"/>
      <c r="H201" s="430" t="s">
        <v>70</v>
      </c>
      <c r="I201" s="431"/>
      <c r="J201" s="436"/>
      <c r="K201" s="433"/>
      <c r="L201" s="433"/>
      <c r="M201" s="432"/>
      <c r="N201" s="434"/>
      <c r="O201" s="435" t="str">
        <f t="shared" ref="O201:W201" si="126">elektriciteit</f>
        <v>elektriciteit</v>
      </c>
      <c r="P201" s="435" t="str">
        <f t="shared" si="126"/>
        <v>elektriciteit</v>
      </c>
      <c r="Q201" s="435" t="str">
        <f t="shared" si="126"/>
        <v>elektriciteit</v>
      </c>
      <c r="R201" s="435" t="str">
        <f t="shared" si="126"/>
        <v>elektriciteit</v>
      </c>
      <c r="S201" s="435" t="str">
        <f t="shared" si="126"/>
        <v>elektriciteit</v>
      </c>
      <c r="T201" s="435" t="str">
        <f>aardgas</f>
        <v>aardgas</v>
      </c>
      <c r="U201" s="435" t="str">
        <f t="shared" si="126"/>
        <v>elektriciteit</v>
      </c>
      <c r="V201" s="435" t="str">
        <f t="shared" si="126"/>
        <v>elektriciteit</v>
      </c>
      <c r="W201" s="435" t="str">
        <f t="shared" si="126"/>
        <v>elektriciteit</v>
      </c>
      <c r="X201" s="133"/>
      <c r="Y201" s="432"/>
      <c r="Z201" s="434"/>
      <c r="AA201" s="435" t="str">
        <f t="shared" ref="AA201:AI201" si="127">elektriciteit</f>
        <v>elektriciteit</v>
      </c>
      <c r="AB201" s="435" t="str">
        <f t="shared" si="127"/>
        <v>elektriciteit</v>
      </c>
      <c r="AC201" s="435" t="str">
        <f t="shared" si="127"/>
        <v>elektriciteit</v>
      </c>
      <c r="AD201" s="435" t="str">
        <f t="shared" si="127"/>
        <v>elektriciteit</v>
      </c>
      <c r="AE201" s="435" t="str">
        <f t="shared" si="127"/>
        <v>elektriciteit</v>
      </c>
      <c r="AF201" s="435" t="str">
        <f>aardgas</f>
        <v>aardgas</v>
      </c>
      <c r="AG201" s="435" t="str">
        <f t="shared" si="127"/>
        <v>elektriciteit</v>
      </c>
      <c r="AH201" s="435" t="str">
        <f t="shared" si="127"/>
        <v>elektriciteit</v>
      </c>
      <c r="AI201" s="435" t="str">
        <f t="shared" si="127"/>
        <v>elektriciteit</v>
      </c>
      <c r="AJ201" s="133"/>
      <c r="AK201" s="432"/>
      <c r="AL201" s="434"/>
      <c r="AM201" s="435" t="str">
        <f t="shared" ref="AM201:AU201" si="128">elektriciteit</f>
        <v>elektriciteit</v>
      </c>
      <c r="AN201" s="435" t="str">
        <f t="shared" si="128"/>
        <v>elektriciteit</v>
      </c>
      <c r="AO201" s="435" t="str">
        <f t="shared" si="128"/>
        <v>elektriciteit</v>
      </c>
      <c r="AP201" s="435" t="str">
        <f t="shared" si="128"/>
        <v>elektriciteit</v>
      </c>
      <c r="AQ201" s="435" t="str">
        <f t="shared" si="128"/>
        <v>elektriciteit</v>
      </c>
      <c r="AR201" s="435" t="str">
        <f>aardgas</f>
        <v>aardgas</v>
      </c>
      <c r="AS201" s="435" t="str">
        <f t="shared" si="128"/>
        <v>elektriciteit</v>
      </c>
      <c r="AT201" s="435" t="str">
        <f t="shared" si="128"/>
        <v>elektriciteit</v>
      </c>
      <c r="AU201" s="435" t="str">
        <f t="shared" si="128"/>
        <v>elektriciteit</v>
      </c>
      <c r="AV201" s="133"/>
      <c r="AW201" s="432"/>
      <c r="AX201" s="434"/>
      <c r="AY201" s="435" t="str">
        <f t="shared" ref="AY201:BG201" si="129">elektriciteit</f>
        <v>elektriciteit</v>
      </c>
      <c r="AZ201" s="435" t="str">
        <f t="shared" si="129"/>
        <v>elektriciteit</v>
      </c>
      <c r="BA201" s="435" t="str">
        <f t="shared" si="129"/>
        <v>elektriciteit</v>
      </c>
      <c r="BB201" s="435" t="str">
        <f t="shared" si="129"/>
        <v>elektriciteit</v>
      </c>
      <c r="BC201" s="435" t="str">
        <f t="shared" si="129"/>
        <v>elektriciteit</v>
      </c>
      <c r="BD201" s="435" t="str">
        <f>aardgas</f>
        <v>aardgas</v>
      </c>
      <c r="BE201" s="435" t="str">
        <f t="shared" si="129"/>
        <v>elektriciteit</v>
      </c>
      <c r="BF201" s="435" t="str">
        <f t="shared" si="129"/>
        <v>elektriciteit</v>
      </c>
      <c r="BG201" s="435" t="str">
        <f t="shared" si="129"/>
        <v>elektriciteit</v>
      </c>
      <c r="BH201" s="264"/>
    </row>
    <row r="202" spans="1:60" s="2" customFormat="1" x14ac:dyDescent="0.2">
      <c r="A202" s="649"/>
      <c r="B202" s="492" t="s">
        <v>279</v>
      </c>
      <c r="C202" s="739" t="s">
        <v>113</v>
      </c>
      <c r="D202" s="753"/>
      <c r="E202" s="317" t="s">
        <v>286</v>
      </c>
      <c r="F202" s="317" t="s">
        <v>283</v>
      </c>
      <c r="G202" s="317"/>
      <c r="H202" s="427" t="s">
        <v>115</v>
      </c>
      <c r="I202" s="196"/>
      <c r="J202" s="370">
        <f>M202+Y202+AK202+AW202</f>
        <v>0</v>
      </c>
      <c r="K202" s="428"/>
      <c r="L202" s="428"/>
      <c r="M202" s="370">
        <f>SUM(N202:X202)</f>
        <v>0</v>
      </c>
      <c r="N202" s="371"/>
      <c r="O202" s="429">
        <f>IF(O201=elektriciteit,O$159-O$177,O$75*bibliotheek!$K$223)</f>
        <v>0</v>
      </c>
      <c r="P202" s="429">
        <f>IF(P201=elektriciteit,P$159-P$177,P$75*bibliotheek!$K$223)</f>
        <v>0</v>
      </c>
      <c r="Q202" s="429">
        <f>IF(Q201=elektriciteit,Q$159-Q$177,Q$75*bibliotheek!$K$223)</f>
        <v>0</v>
      </c>
      <c r="R202" s="429">
        <f>IF(R201=elektriciteit,R$159-R$177,R$75*bibliotheek!$K$223)</f>
        <v>0</v>
      </c>
      <c r="S202" s="429">
        <f>IF(S201=elektriciteit,S$159-S$177,S$75*bibliotheek!$K$223)</f>
        <v>0</v>
      </c>
      <c r="T202" s="429">
        <f>IF(T201=elektriciteit,T$159-T$177,T$75*bibliotheek!$K$223)</f>
        <v>0</v>
      </c>
      <c r="U202" s="429">
        <f>IF(U201=elektriciteit,U$159-U$177,U$75*bibliotheek!$K$223)</f>
        <v>0</v>
      </c>
      <c r="V202" s="429">
        <f>IF(V201=elektriciteit,V$159-V$177,V$75*bibliotheek!$K$223)</f>
        <v>0</v>
      </c>
      <c r="W202" s="429">
        <f>IF(W201=elektriciteit,W$159-W$177,W$75*bibliotheek!$K$223)</f>
        <v>0</v>
      </c>
      <c r="X202" s="128"/>
      <c r="Y202" s="370">
        <f>SUM(Z202:AJ202)</f>
        <v>0</v>
      </c>
      <c r="Z202" s="371"/>
      <c r="AA202" s="429">
        <f>IF(AA201=elektriciteit,AA$159-AA$177,AA$75*bibliotheek!$K$223)</f>
        <v>0</v>
      </c>
      <c r="AB202" s="429">
        <f>IF(AB201=elektriciteit,AB$159-AB$177,AB$75*bibliotheek!$K$223)</f>
        <v>0</v>
      </c>
      <c r="AC202" s="429">
        <f>IF(AC201=elektriciteit,AC$159-AC$177,AC$75*bibliotheek!$K$223)</f>
        <v>0</v>
      </c>
      <c r="AD202" s="429">
        <f>IF(AD201=elektriciteit,AD$159-AD$177,AD$75*bibliotheek!$K$223)</f>
        <v>0</v>
      </c>
      <c r="AE202" s="429">
        <f>IF(AE201=elektriciteit,AE$159-AE$177,AE$75*bibliotheek!$K$223)</f>
        <v>0</v>
      </c>
      <c r="AF202" s="429">
        <f>IF(AF201=elektriciteit,AF$159-AF$177,AF$75*bibliotheek!$K$223)</f>
        <v>0</v>
      </c>
      <c r="AG202" s="429">
        <f>IF(AG201=elektriciteit,AG$159-AG$177,AG$75*bibliotheek!$K$223)</f>
        <v>0</v>
      </c>
      <c r="AH202" s="429">
        <f>IF(AH201=elektriciteit,AH$159-AH$177,AH$75*bibliotheek!$K$223)</f>
        <v>0</v>
      </c>
      <c r="AI202" s="429">
        <f>IF(AI201=elektriciteit,AI$159-AI$177,AI$75*bibliotheek!$K$223)</f>
        <v>0</v>
      </c>
      <c r="AJ202" s="128"/>
      <c r="AK202" s="370">
        <f>SUM(AL202:AV202)</f>
        <v>0</v>
      </c>
      <c r="AL202" s="371"/>
      <c r="AM202" s="429">
        <f>IF(AM201=elektriciteit,AM$159-AM$177,AM$75*bibliotheek!$K$223)</f>
        <v>0</v>
      </c>
      <c r="AN202" s="429">
        <f>IF(AN201=elektriciteit,AN$159-AN$177,AN$75*bibliotheek!$K$223)</f>
        <v>0</v>
      </c>
      <c r="AO202" s="429">
        <f>IF(AO201=elektriciteit,AO$159-AO$177,AO$75*bibliotheek!$K$223)</f>
        <v>0</v>
      </c>
      <c r="AP202" s="429">
        <f>IF(AP201=elektriciteit,AP$159-AP$177,AP$75*bibliotheek!$K$223)</f>
        <v>0</v>
      </c>
      <c r="AQ202" s="429">
        <f>IF(AQ201=elektriciteit,AQ$159-AQ$177,AQ$75*bibliotheek!$K$223)</f>
        <v>0</v>
      </c>
      <c r="AR202" s="429">
        <f>IF(AR201=elektriciteit,AR$159-AR$177,AR$75*bibliotheek!$K$223)</f>
        <v>0</v>
      </c>
      <c r="AS202" s="429">
        <f>IF(AS201=elektriciteit,AS$159-AS$177,AS$75*bibliotheek!$K$223)</f>
        <v>0</v>
      </c>
      <c r="AT202" s="429">
        <f>IF(AT201=elektriciteit,AT$159-AT$177,AT$75*bibliotheek!$K$223)</f>
        <v>0</v>
      </c>
      <c r="AU202" s="429">
        <f>IF(AU201=elektriciteit,AU$159-AU$177,AU$75*bibliotheek!$K$223)</f>
        <v>0</v>
      </c>
      <c r="AV202" s="128"/>
      <c r="AW202" s="370">
        <f>SUM(AX202:BH202)</f>
        <v>0</v>
      </c>
      <c r="AX202" s="371"/>
      <c r="AY202" s="429">
        <f>IF(AY201=elektriciteit,AY$159-AY$177,AY$75*bibliotheek!$K$223)</f>
        <v>0</v>
      </c>
      <c r="AZ202" s="429">
        <f>IF(AZ201=elektriciteit,AZ$159-AZ$177,AZ$75*bibliotheek!$K$223)</f>
        <v>0</v>
      </c>
      <c r="BA202" s="429">
        <f>IF(BA201=elektriciteit,BA$159-BA$177,BA$75*bibliotheek!$K$223)</f>
        <v>0</v>
      </c>
      <c r="BB202" s="429">
        <f>IF(BB201=elektriciteit,BB$159-BB$177,BB$75*bibliotheek!$K$223)</f>
        <v>0</v>
      </c>
      <c r="BC202" s="429">
        <f>IF(BC201=elektriciteit,BC$159-BC$177,BC$75*bibliotheek!$K$223)</f>
        <v>0</v>
      </c>
      <c r="BD202" s="429">
        <f>IF(BD201=elektriciteit,BD$159-BD$177,BD$75*bibliotheek!$K$223)</f>
        <v>0</v>
      </c>
      <c r="BE202" s="429">
        <f>IF(BE201=elektriciteit,BE$159-BE$177,BE$75*bibliotheek!$K$223)</f>
        <v>0</v>
      </c>
      <c r="BF202" s="429">
        <f>IF(BF201=elektriciteit,BF$159-BF$177,BF$75*bibliotheek!$K$223)</f>
        <v>0</v>
      </c>
      <c r="BG202" s="429">
        <f>IF(BG201=elektriciteit,BG$159-BG$177,BG$75*bibliotheek!$K$223)</f>
        <v>0</v>
      </c>
      <c r="BH202" s="267"/>
    </row>
    <row r="203" spans="1:60" ht="18.75" x14ac:dyDescent="0.2">
      <c r="A203" s="648"/>
      <c r="B203" s="492" t="s">
        <v>279</v>
      </c>
      <c r="C203" s="739" t="s">
        <v>104</v>
      </c>
      <c r="D203" s="747"/>
      <c r="E203" s="231" t="s">
        <v>287</v>
      </c>
      <c r="F203" s="231"/>
      <c r="G203" s="231"/>
      <c r="H203" s="89"/>
      <c r="I203" s="232"/>
      <c r="J203" s="285"/>
      <c r="K203" s="285"/>
      <c r="L203" s="285"/>
      <c r="M203" s="285"/>
      <c r="N203" s="285"/>
      <c r="O203" s="285"/>
      <c r="P203" s="285"/>
      <c r="Q203" s="285"/>
      <c r="R203" s="285"/>
      <c r="S203" s="285"/>
      <c r="T203" s="285"/>
      <c r="U203" s="285"/>
      <c r="V203" s="285"/>
      <c r="W203" s="285"/>
      <c r="X203" s="285"/>
      <c r="Y203" s="285"/>
      <c r="Z203" s="285"/>
      <c r="AA203" s="285"/>
      <c r="AB203" s="285"/>
      <c r="AC203" s="285"/>
      <c r="AD203" s="285"/>
      <c r="AE203" s="285"/>
      <c r="AF203" s="285"/>
      <c r="AG203" s="285"/>
      <c r="AH203" s="285"/>
      <c r="AI203" s="285"/>
      <c r="AJ203" s="285"/>
      <c r="AK203" s="285"/>
      <c r="AL203" s="285"/>
      <c r="AM203" s="285"/>
      <c r="AN203" s="285"/>
      <c r="AO203" s="285"/>
      <c r="AP203" s="285"/>
      <c r="AQ203" s="285"/>
      <c r="AR203" s="285"/>
      <c r="AS203" s="285"/>
      <c r="AT203" s="285"/>
      <c r="AU203" s="285"/>
      <c r="AV203" s="285"/>
      <c r="AW203" s="285"/>
      <c r="AX203" s="285"/>
      <c r="AY203" s="285"/>
      <c r="AZ203" s="285"/>
      <c r="BA203" s="285"/>
      <c r="BB203" s="285"/>
      <c r="BC203" s="285"/>
      <c r="BD203" s="285"/>
      <c r="BE203" s="285"/>
      <c r="BF203" s="285"/>
      <c r="BG203" s="285"/>
      <c r="BH203" s="38"/>
    </row>
    <row r="204" spans="1:60" s="38" customFormat="1" x14ac:dyDescent="0.2">
      <c r="A204" s="648"/>
      <c r="B204" s="492" t="s">
        <v>279</v>
      </c>
      <c r="C204" s="656" t="s">
        <v>113</v>
      </c>
      <c r="D204" s="747"/>
      <c r="E204" s="182" t="s">
        <v>288</v>
      </c>
      <c r="F204" s="182" t="s">
        <v>283</v>
      </c>
      <c r="G204" s="182"/>
      <c r="H204" s="281" t="s">
        <v>115</v>
      </c>
      <c r="I204" s="235"/>
      <c r="J204" s="282">
        <f>M204+Y204+AK204+AW204</f>
        <v>0</v>
      </c>
      <c r="K204" s="283"/>
      <c r="L204" s="283"/>
      <c r="M204" s="282">
        <f>SUM(N204:X204)</f>
        <v>0</v>
      </c>
      <c r="N204" s="99"/>
      <c r="O204" s="180">
        <f>O198+O200+O202</f>
        <v>0</v>
      </c>
      <c r="P204" s="180">
        <f t="shared" ref="P204:W204" si="130">P202+IF(P198="",0,P198)+IF(P200="",0,P200)</f>
        <v>0</v>
      </c>
      <c r="Q204" s="180">
        <f t="shared" si="130"/>
        <v>0</v>
      </c>
      <c r="R204" s="180">
        <f t="shared" si="130"/>
        <v>0</v>
      </c>
      <c r="S204" s="180">
        <f t="shared" si="130"/>
        <v>0</v>
      </c>
      <c r="T204" s="180">
        <f t="shared" si="130"/>
        <v>0</v>
      </c>
      <c r="U204" s="180">
        <f t="shared" si="130"/>
        <v>0</v>
      </c>
      <c r="V204" s="180">
        <f t="shared" si="130"/>
        <v>0</v>
      </c>
      <c r="W204" s="180">
        <f t="shared" si="130"/>
        <v>0</v>
      </c>
      <c r="X204" s="284"/>
      <c r="Y204" s="282">
        <f>SUM(Z204:AJ204)</f>
        <v>0</v>
      </c>
      <c r="Z204" s="99"/>
      <c r="AA204" s="180">
        <f>AA198+AA200+AA202</f>
        <v>0</v>
      </c>
      <c r="AB204" s="180">
        <f t="shared" ref="AB204:AI204" si="131">AB202+IF(AB198="",0,AB198)+IF(AB200="",0,AB200)</f>
        <v>0</v>
      </c>
      <c r="AC204" s="180">
        <f t="shared" si="131"/>
        <v>0</v>
      </c>
      <c r="AD204" s="180">
        <f t="shared" si="131"/>
        <v>0</v>
      </c>
      <c r="AE204" s="180">
        <f t="shared" si="131"/>
        <v>0</v>
      </c>
      <c r="AF204" s="180">
        <f t="shared" si="131"/>
        <v>0</v>
      </c>
      <c r="AG204" s="180">
        <f t="shared" si="131"/>
        <v>0</v>
      </c>
      <c r="AH204" s="180">
        <f t="shared" si="131"/>
        <v>0</v>
      </c>
      <c r="AI204" s="180">
        <f t="shared" si="131"/>
        <v>0</v>
      </c>
      <c r="AJ204" s="284"/>
      <c r="AK204" s="282">
        <f>SUM(AL204:AV204)</f>
        <v>0</v>
      </c>
      <c r="AL204" s="99"/>
      <c r="AM204" s="180">
        <f>AM198+AM200+AM202</f>
        <v>0</v>
      </c>
      <c r="AN204" s="180">
        <f t="shared" ref="AN204:AU204" si="132">AN202+IF(AN198="",0,AN198)+IF(AN200="",0,AN200)</f>
        <v>0</v>
      </c>
      <c r="AO204" s="180">
        <f t="shared" si="132"/>
        <v>0</v>
      </c>
      <c r="AP204" s="180">
        <f t="shared" si="132"/>
        <v>0</v>
      </c>
      <c r="AQ204" s="180">
        <f t="shared" si="132"/>
        <v>0</v>
      </c>
      <c r="AR204" s="180">
        <f t="shared" si="132"/>
        <v>0</v>
      </c>
      <c r="AS204" s="180">
        <f t="shared" si="132"/>
        <v>0</v>
      </c>
      <c r="AT204" s="180">
        <f t="shared" si="132"/>
        <v>0</v>
      </c>
      <c r="AU204" s="180">
        <f t="shared" si="132"/>
        <v>0</v>
      </c>
      <c r="AV204" s="284"/>
      <c r="AW204" s="282">
        <f>SUM(AX204:BH204)</f>
        <v>0</v>
      </c>
      <c r="AX204" s="99"/>
      <c r="AY204" s="180">
        <f>AY198+AY200+AY202</f>
        <v>0</v>
      </c>
      <c r="AZ204" s="180">
        <f t="shared" ref="AZ204:BG204" si="133">AZ202+IF(AZ198="",0,AZ198)+IF(AZ200="",0,AZ200)</f>
        <v>0</v>
      </c>
      <c r="BA204" s="180">
        <f t="shared" si="133"/>
        <v>0</v>
      </c>
      <c r="BB204" s="180">
        <f t="shared" si="133"/>
        <v>0</v>
      </c>
      <c r="BC204" s="180">
        <f t="shared" si="133"/>
        <v>0</v>
      </c>
      <c r="BD204" s="180">
        <f t="shared" si="133"/>
        <v>0</v>
      </c>
      <c r="BE204" s="180">
        <f t="shared" si="133"/>
        <v>0</v>
      </c>
      <c r="BF204" s="180">
        <f t="shared" si="133"/>
        <v>0</v>
      </c>
      <c r="BG204" s="180">
        <f t="shared" si="133"/>
        <v>0</v>
      </c>
      <c r="BH204" s="269"/>
    </row>
    <row r="205" spans="1:60" x14ac:dyDescent="0.2">
      <c r="A205" s="648"/>
      <c r="B205" s="492" t="s">
        <v>279</v>
      </c>
      <c r="C205" s="739" t="s">
        <v>104</v>
      </c>
      <c r="D205" s="747"/>
      <c r="E205" s="90"/>
      <c r="F205" s="90"/>
      <c r="G205" s="90"/>
      <c r="H205" s="93"/>
      <c r="I205" s="138"/>
      <c r="J205" s="128"/>
      <c r="K205" s="90"/>
      <c r="L205" s="90"/>
      <c r="M205" s="128"/>
      <c r="N205" s="90"/>
      <c r="O205" s="96"/>
      <c r="P205" s="96"/>
      <c r="Q205" s="93"/>
      <c r="R205" s="93"/>
      <c r="S205" s="93"/>
      <c r="T205" s="93"/>
      <c r="U205" s="93"/>
      <c r="V205" s="93"/>
      <c r="W205" s="93"/>
      <c r="X205" s="93"/>
      <c r="Y205" s="128"/>
      <c r="Z205" s="90"/>
      <c r="AA205" s="96"/>
      <c r="AB205" s="96"/>
      <c r="AC205" s="93"/>
      <c r="AD205" s="93"/>
      <c r="AE205" s="93"/>
      <c r="AF205" s="93"/>
      <c r="AG205" s="93"/>
      <c r="AH205" s="93"/>
      <c r="AI205" s="93"/>
      <c r="AJ205" s="93"/>
      <c r="AK205" s="128"/>
      <c r="AL205" s="90"/>
      <c r="AM205" s="96"/>
      <c r="AN205" s="96"/>
      <c r="AO205" s="93"/>
      <c r="AP205" s="93"/>
      <c r="AQ205" s="93"/>
      <c r="AR205" s="93"/>
      <c r="AS205" s="93"/>
      <c r="AT205" s="93"/>
      <c r="AU205" s="93"/>
      <c r="AV205" s="93"/>
      <c r="AW205" s="128"/>
      <c r="AX205" s="90"/>
      <c r="AY205" s="93"/>
      <c r="AZ205" s="93"/>
      <c r="BA205" s="93"/>
      <c r="BB205" s="93"/>
      <c r="BC205" s="93"/>
      <c r="BD205" s="93"/>
      <c r="BE205" s="93"/>
      <c r="BF205" s="93"/>
      <c r="BG205" s="93"/>
      <c r="BH205" s="1"/>
    </row>
    <row r="206" spans="1:60" x14ac:dyDescent="0.2">
      <c r="A206" s="648"/>
      <c r="B206" s="492" t="s">
        <v>289</v>
      </c>
      <c r="C206" s="739" t="s">
        <v>104</v>
      </c>
      <c r="D206" s="747"/>
      <c r="E206" s="90"/>
      <c r="F206" s="90"/>
      <c r="G206" s="90"/>
      <c r="H206" s="96"/>
      <c r="I206" s="90"/>
      <c r="J206" s="93"/>
      <c r="K206" s="90"/>
      <c r="L206" s="90"/>
      <c r="M206" s="93"/>
      <c r="N206" s="90"/>
      <c r="O206" s="93"/>
      <c r="P206" s="93"/>
      <c r="Q206" s="93"/>
      <c r="R206" s="93"/>
      <c r="S206" s="93"/>
      <c r="T206" s="93"/>
      <c r="U206" s="93"/>
      <c r="V206" s="93"/>
      <c r="W206" s="93"/>
      <c r="X206" s="93"/>
      <c r="Y206" s="93"/>
      <c r="Z206" s="90"/>
      <c r="AA206" s="93"/>
      <c r="AB206" s="93"/>
      <c r="AC206" s="93"/>
      <c r="AD206" s="93"/>
      <c r="AE206" s="93"/>
      <c r="AF206" s="93"/>
      <c r="AG206" s="93"/>
      <c r="AH206" s="93"/>
      <c r="AI206" s="93"/>
      <c r="AJ206" s="93"/>
      <c r="AK206" s="93"/>
      <c r="AL206" s="90"/>
      <c r="AM206" s="93"/>
      <c r="AN206" s="93"/>
      <c r="AO206" s="93"/>
      <c r="AP206" s="93"/>
      <c r="AQ206" s="93"/>
      <c r="AR206" s="93"/>
      <c r="AS206" s="93"/>
      <c r="AT206" s="93"/>
      <c r="AU206" s="93"/>
      <c r="AV206" s="93"/>
      <c r="AW206" s="93"/>
      <c r="AX206" s="90"/>
      <c r="AY206" s="93"/>
      <c r="AZ206" s="93"/>
      <c r="BA206" s="93"/>
      <c r="BB206" s="93"/>
      <c r="BC206" s="93"/>
      <c r="BD206" s="93"/>
      <c r="BE206" s="93"/>
      <c r="BF206" s="93"/>
      <c r="BG206" s="93"/>
      <c r="BH206" s="1"/>
    </row>
    <row r="207" spans="1:60" ht="21" x14ac:dyDescent="0.2">
      <c r="A207" s="648"/>
      <c r="B207" s="492" t="s">
        <v>289</v>
      </c>
      <c r="C207" s="739" t="s">
        <v>104</v>
      </c>
      <c r="D207" s="752"/>
      <c r="E207" s="240" t="s">
        <v>290</v>
      </c>
      <c r="F207" s="240"/>
      <c r="G207" s="240"/>
      <c r="H207" s="240"/>
      <c r="I207" s="88"/>
      <c r="J207" s="216" t="str">
        <f>J$10</f>
        <v>totaal</v>
      </c>
      <c r="K207" s="142"/>
      <c r="L207" s="142"/>
      <c r="M207" s="216" t="str">
        <f>M$10</f>
        <v>totaal</v>
      </c>
      <c r="N207" s="222"/>
      <c r="O207" s="217" t="str">
        <f>O$10</f>
        <v>verwarming</v>
      </c>
      <c r="P207" s="217" t="str">
        <f>P$10</f>
        <v>koeling</v>
      </c>
      <c r="Q207" s="217" t="str">
        <f>Q$10</f>
        <v>tapwater</v>
      </c>
      <c r="R207" s="217"/>
      <c r="S207" s="217"/>
      <c r="T207" s="217"/>
      <c r="U207" s="217"/>
      <c r="V207" s="217"/>
      <c r="W207" s="488" t="str">
        <f>W$10</f>
        <v>zonnepanelen</v>
      </c>
      <c r="X207" s="214"/>
      <c r="Y207" s="216" t="str">
        <f>Y$10</f>
        <v>totaal</v>
      </c>
      <c r="Z207" s="222"/>
      <c r="AA207" s="217" t="str">
        <f>AA$10</f>
        <v>verwarming</v>
      </c>
      <c r="AB207" s="217" t="str">
        <f>AB$10</f>
        <v>koeling</v>
      </c>
      <c r="AC207" s="217" t="str">
        <f>AC$10</f>
        <v>tapwater</v>
      </c>
      <c r="AD207" s="217"/>
      <c r="AE207" s="217"/>
      <c r="AF207" s="217"/>
      <c r="AG207" s="217"/>
      <c r="AH207" s="217"/>
      <c r="AI207" s="488" t="str">
        <f>AI$10</f>
        <v>zonnepanelen</v>
      </c>
      <c r="AJ207" s="214"/>
      <c r="AK207" s="216" t="str">
        <f>AK$10</f>
        <v>totaal</v>
      </c>
      <c r="AL207" s="222"/>
      <c r="AM207" s="217" t="str">
        <f>AM$10</f>
        <v>verwarming</v>
      </c>
      <c r="AN207" s="217" t="str">
        <f>AN$10</f>
        <v>koeling</v>
      </c>
      <c r="AO207" s="217" t="str">
        <f>AO$10</f>
        <v>tapwater</v>
      </c>
      <c r="AP207" s="217"/>
      <c r="AQ207" s="217"/>
      <c r="AR207" s="217"/>
      <c r="AS207" s="217"/>
      <c r="AT207" s="217"/>
      <c r="AU207" s="488" t="str">
        <f>AU$10</f>
        <v>zonnepanelen</v>
      </c>
      <c r="AV207" s="214"/>
      <c r="AW207" s="216" t="str">
        <f>AW$10</f>
        <v>totaal</v>
      </c>
      <c r="AX207" s="222"/>
      <c r="AY207" s="217" t="str">
        <f>AY$10</f>
        <v>verwarming</v>
      </c>
      <c r="AZ207" s="217" t="str">
        <f>AZ$10</f>
        <v>koeling</v>
      </c>
      <c r="BA207" s="217" t="str">
        <f>BA$10</f>
        <v>tapwater</v>
      </c>
      <c r="BB207" s="217"/>
      <c r="BC207" s="217"/>
      <c r="BD207" s="217"/>
      <c r="BE207" s="217"/>
      <c r="BF207" s="217"/>
      <c r="BG207" s="488" t="str">
        <f>BG$10</f>
        <v>zonnepanelen</v>
      </c>
      <c r="BH207" s="1"/>
    </row>
    <row r="208" spans="1:60" ht="18.75" x14ac:dyDescent="0.2">
      <c r="A208" s="648"/>
      <c r="B208" s="492" t="s">
        <v>289</v>
      </c>
      <c r="C208" s="739" t="s">
        <v>104</v>
      </c>
      <c r="D208" s="747"/>
      <c r="E208" s="231" t="s">
        <v>291</v>
      </c>
      <c r="F208" s="231"/>
      <c r="G208" s="231"/>
      <c r="H208" s="89"/>
      <c r="I208" s="232"/>
      <c r="J208" s="231"/>
      <c r="K208" s="232"/>
      <c r="L208" s="232"/>
      <c r="M208" s="231"/>
      <c r="N208" s="232"/>
      <c r="O208" s="232"/>
      <c r="P208" s="232"/>
      <c r="Q208" s="232"/>
      <c r="R208" s="232"/>
      <c r="S208" s="232"/>
      <c r="T208" s="232"/>
      <c r="U208" s="232"/>
      <c r="V208" s="232"/>
      <c r="W208" s="232"/>
      <c r="X208" s="232"/>
      <c r="Y208" s="232"/>
      <c r="Z208" s="232"/>
      <c r="AA208" s="285"/>
      <c r="AB208" s="285"/>
      <c r="AC208" s="285"/>
      <c r="AD208" s="232"/>
      <c r="AE208" s="232"/>
      <c r="AF208" s="232"/>
      <c r="AG208" s="232"/>
      <c r="AH208" s="232"/>
      <c r="AI208" s="232"/>
      <c r="AJ208" s="232"/>
      <c r="AK208" s="232"/>
      <c r="AL208" s="232"/>
      <c r="AM208" s="232"/>
      <c r="AN208" s="232"/>
      <c r="AO208" s="232"/>
      <c r="AP208" s="232"/>
      <c r="AQ208" s="232"/>
      <c r="AR208" s="232"/>
      <c r="AS208" s="232"/>
      <c r="AT208" s="232"/>
      <c r="AU208" s="232"/>
      <c r="AV208" s="232"/>
      <c r="AW208" s="232"/>
      <c r="AX208" s="232"/>
      <c r="AY208" s="232"/>
      <c r="AZ208" s="232"/>
      <c r="BA208" s="232"/>
      <c r="BB208" s="232"/>
      <c r="BC208" s="232"/>
      <c r="BD208" s="232"/>
      <c r="BE208" s="232"/>
      <c r="BF208" s="232"/>
      <c r="BG208" s="232"/>
      <c r="BH208" s="38"/>
    </row>
    <row r="209" spans="1:60" x14ac:dyDescent="0.2">
      <c r="A209" s="648"/>
      <c r="B209" s="492" t="s">
        <v>289</v>
      </c>
      <c r="C209" s="656" t="s">
        <v>113</v>
      </c>
      <c r="D209" s="750" t="s">
        <v>50</v>
      </c>
      <c r="E209" s="220" t="s">
        <v>292</v>
      </c>
      <c r="F209" s="220"/>
      <c r="G209" s="220"/>
      <c r="H209" s="242" t="s">
        <v>177</v>
      </c>
      <c r="I209" s="129"/>
      <c r="J209" s="243">
        <f t="shared" ref="J209:J215" si="134">M209+Y209+AK209+AW209</f>
        <v>0</v>
      </c>
      <c r="K209" s="236"/>
      <c r="L209" s="236"/>
      <c r="M209" s="243">
        <f t="shared" ref="M209:M215" si="135">SUM(N209:X209)</f>
        <v>0</v>
      </c>
      <c r="N209" s="129"/>
      <c r="O209" s="207">
        <f>IF(OR(O$108=0,O$108=""),0,HLOOKUP(IF(O$80="",referentie_verwarming,O$80),toestellen_RV,ROWS(bibliotheek!$E$79:$E$83),FALSE)*O$107*(1-1/O$108)*f_P_renheat)</f>
        <v>0</v>
      </c>
      <c r="P209" s="207">
        <f>IF(OR(P$108=0,P$108=""),0,HLOOKUP(IF(P$80="",referentie_koeling,P$80),toestellen_KOEL,ROWS(bibliotheek!$E$170:$E$173),FALSE)*P$107*(1-1/P$108)*f_P_rencold)</f>
        <v>0</v>
      </c>
      <c r="Q209" s="207">
        <f>IF(OR(Q$108=0,Q$108=""),0,HLOOKUP(IF(Q$80="",referentie_warmtapwater,Q$80),toestellen_TAP,ROWS(bibliotheek!$E$136:$E$140),FALSE)*Q$107*(1-1/Q$108)*f_P_renheat)</f>
        <v>0</v>
      </c>
      <c r="R209" s="335"/>
      <c r="S209" s="335"/>
      <c r="T209" s="335"/>
      <c r="U209" s="335"/>
      <c r="V209" s="335"/>
      <c r="W209" s="335"/>
      <c r="X209" s="128"/>
      <c r="Y209" s="243">
        <f t="shared" ref="Y209:Y215" si="136">SUM(Z209:AJ209)</f>
        <v>0</v>
      </c>
      <c r="Z209" s="129"/>
      <c r="AA209" s="207">
        <f>IF(OR(AA$108=0,AA$108=""),0,HLOOKUP(IF(AA$80="",referentie_verwarming,AA$80),toestellen_RV,ROWS(bibliotheek!$E$79:$E$83),FALSE)*AA$107*(1-1/AA$108)*f_P_renheat)</f>
        <v>0</v>
      </c>
      <c r="AB209" s="207">
        <f>IF(OR(AB$108=0,AB$108=""),0,HLOOKUP(IF(AB$80="",referentie_koeling,AB$80),toestellen_KOEL,ROWS(bibliotheek!$E$170:$E$173),FALSE)*AB$107*(1-1/AB$108)*f_P_rencold)</f>
        <v>0</v>
      </c>
      <c r="AC209" s="207">
        <f>IF(OR(AC$108=0,AC$108=""),0,HLOOKUP(IF(AC$80="",referentie_warmtapwater,AC$80),toestellen_TAP,ROWS(bibliotheek!$E$136:$E$140),FALSE)*AC$107*(1-1/AC$108)*f_P_renheat)</f>
        <v>0</v>
      </c>
      <c r="AD209" s="335"/>
      <c r="AE209" s="335"/>
      <c r="AF209" s="335"/>
      <c r="AG209" s="335"/>
      <c r="AH209" s="335"/>
      <c r="AI209" s="335"/>
      <c r="AJ209" s="128"/>
      <c r="AK209" s="243">
        <f t="shared" ref="AK209:AK215" si="137">SUM(AL209:AV209)</f>
        <v>0</v>
      </c>
      <c r="AL209" s="129"/>
      <c r="AM209" s="207">
        <f>IF(OR(AM$108=0,AM$108=""),0,HLOOKUP(IF(AM$80="",referentie_verwarming,AM$80),toestellen_RV,ROWS(bibliotheek!$E$79:$E$83),FALSE)*AM$107*(1-1/AM$108)*f_P_renheat)</f>
        <v>0</v>
      </c>
      <c r="AN209" s="207">
        <f>IF(OR(AN$108=0,AN$108=""),0,HLOOKUP(IF(AN$80="",referentie_koeling,AN$80),toestellen_KOEL,ROWS(bibliotheek!$E$170:$E$173),FALSE)*AN$107*(1-1/AN$108)*f_P_rencold)</f>
        <v>0</v>
      </c>
      <c r="AO209" s="207">
        <f>IF(OR(AO$108=0,AO$108=""),0,HLOOKUP(IF(AO$80="",referentie_warmtapwater,AO$80),toestellen_TAP,ROWS(bibliotheek!$E$136:$E$140),FALSE)*AO$107*(1-1/AO$108)*f_P_renheat)</f>
        <v>0</v>
      </c>
      <c r="AP209" s="335"/>
      <c r="AQ209" s="335"/>
      <c r="AR209" s="335"/>
      <c r="AS209" s="335"/>
      <c r="AT209" s="335"/>
      <c r="AU209" s="335"/>
      <c r="AV209" s="128"/>
      <c r="AW209" s="243">
        <f t="shared" ref="AW209:AW215" si="138">SUM(AX209:BH209)</f>
        <v>0</v>
      </c>
      <c r="AX209" s="129"/>
      <c r="AY209" s="207">
        <f>IF(OR(AY$108=0,AY$108=""),0,HLOOKUP(IF(AY$80="",referentie_verwarming,AY$80),toestellen_RV,ROWS(bibliotheek!$E$79:$E$83),FALSE)*AY$107*(1-1/AY$108)*f_P_renheat)</f>
        <v>0</v>
      </c>
      <c r="AZ209" s="207">
        <f>IF(OR(AZ$108=0,AZ$108=""),0,HLOOKUP(IF(AZ$80="",referentie_koeling,AZ$80),toestellen_KOEL,ROWS(bibliotheek!$E$170:$E$173),FALSE)*AZ$107*(1-1/AZ$108)*f_P_rencold)</f>
        <v>0</v>
      </c>
      <c r="BA209" s="207">
        <f>IF(OR(BA$108=0,BA$108=""),0,HLOOKUP(IF(BA$80="",referentie_warmtapwater,BA$80),toestellen_TAP,ROWS(bibliotheek!$E$136:$E$140),FALSE)*BA$107*(1-1/BA$108)*f_P_renheat)</f>
        <v>0</v>
      </c>
      <c r="BB209" s="335"/>
      <c r="BC209" s="335"/>
      <c r="BD209" s="335"/>
      <c r="BE209" s="335"/>
      <c r="BF209" s="335"/>
      <c r="BG209" s="335"/>
      <c r="BH209" s="255"/>
    </row>
    <row r="210" spans="1:60" x14ac:dyDescent="0.2">
      <c r="A210" s="648"/>
      <c r="B210" s="492" t="s">
        <v>289</v>
      </c>
      <c r="C210" s="656" t="s">
        <v>113</v>
      </c>
      <c r="D210" s="750" t="s">
        <v>50</v>
      </c>
      <c r="E210" s="220" t="s">
        <v>293</v>
      </c>
      <c r="F210" s="220"/>
      <c r="G210" s="220"/>
      <c r="H210" s="242" t="s">
        <v>177</v>
      </c>
      <c r="I210" s="129"/>
      <c r="J210" s="243">
        <f t="shared" si="134"/>
        <v>0</v>
      </c>
      <c r="K210" s="236"/>
      <c r="L210" s="236"/>
      <c r="M210" s="243">
        <f t="shared" si="135"/>
        <v>0</v>
      </c>
      <c r="N210" s="129"/>
      <c r="O210" s="335"/>
      <c r="P210" s="207">
        <f>IF(OR(P$107=0,P$108&lt;=8),0,P$107*f_P_rencold*INDEX(bibliotheek!$E$175:$AC$175,MATCH(P$80,toestellen_KOEL_kopregel,0)))</f>
        <v>0</v>
      </c>
      <c r="Q210" s="335"/>
      <c r="R210" s="335"/>
      <c r="S210" s="335"/>
      <c r="T210" s="335"/>
      <c r="U210" s="335"/>
      <c r="V210" s="335"/>
      <c r="W210" s="335"/>
      <c r="X210" s="128"/>
      <c r="Y210" s="243">
        <f t="shared" si="136"/>
        <v>0</v>
      </c>
      <c r="Z210" s="129"/>
      <c r="AA210" s="335"/>
      <c r="AB210" s="207">
        <f>IF(OR(AB$107=0,AB$108&lt;=8),0,AB$107*f_P_rencold*INDEX(bibliotheek!$E$175:$AC$175,MATCH(AB$80,toestellen_KOEL_kopregel,0)))</f>
        <v>0</v>
      </c>
      <c r="AC210" s="335"/>
      <c r="AD210" s="335"/>
      <c r="AE210" s="335"/>
      <c r="AF210" s="335"/>
      <c r="AG210" s="335"/>
      <c r="AH210" s="335"/>
      <c r="AI210" s="335"/>
      <c r="AJ210" s="128"/>
      <c r="AK210" s="243">
        <f t="shared" si="137"/>
        <v>0</v>
      </c>
      <c r="AL210" s="129"/>
      <c r="AM210" s="335"/>
      <c r="AN210" s="207">
        <f>IF(OR(AN$107=0,AN$108&lt;=8),0,AN$107*f_P_rencold*INDEX(bibliotheek!$E$175:$AC$175,MATCH(AN$80,toestellen_KOEL_kopregel,0)))</f>
        <v>0</v>
      </c>
      <c r="AO210" s="335"/>
      <c r="AP210" s="335"/>
      <c r="AQ210" s="335"/>
      <c r="AR210" s="335"/>
      <c r="AS210" s="335"/>
      <c r="AT210" s="335"/>
      <c r="AU210" s="335"/>
      <c r="AV210" s="128"/>
      <c r="AW210" s="243">
        <f t="shared" si="138"/>
        <v>0</v>
      </c>
      <c r="AX210" s="129"/>
      <c r="AY210" s="335"/>
      <c r="AZ210" s="207">
        <f>IF(OR(AZ$107=0,AZ$108&lt;=8),0,AZ$107*f_P_rencold*INDEX(bibliotheek!$E$175:$AC$175,MATCH(AZ$80,toestellen_KOEL_kopregel,0)))</f>
        <v>0</v>
      </c>
      <c r="BA210" s="335"/>
      <c r="BB210" s="335"/>
      <c r="BC210" s="335"/>
      <c r="BD210" s="335"/>
      <c r="BE210" s="335"/>
      <c r="BF210" s="335"/>
      <c r="BG210" s="335"/>
      <c r="BH210" s="255"/>
    </row>
    <row r="211" spans="1:60" x14ac:dyDescent="0.2">
      <c r="A211" s="648"/>
      <c r="B211" s="492" t="s">
        <v>289</v>
      </c>
      <c r="C211" s="656" t="s">
        <v>113</v>
      </c>
      <c r="D211" s="750" t="s">
        <v>50</v>
      </c>
      <c r="E211" s="220" t="s">
        <v>294</v>
      </c>
      <c r="F211" s="220"/>
      <c r="G211" s="220"/>
      <c r="H211" s="242" t="s">
        <v>177</v>
      </c>
      <c r="I211" s="129"/>
      <c r="J211" s="243">
        <f t="shared" si="134"/>
        <v>0</v>
      </c>
      <c r="K211" s="236"/>
      <c r="L211" s="236"/>
      <c r="M211" s="243">
        <f t="shared" si="135"/>
        <v>0</v>
      </c>
      <c r="N211" s="129"/>
      <c r="O211" s="207">
        <f>IF(OR(O$107=0,LEFT(O$103,2)&lt;&gt;"bm"),0,O$107*INDEX(energiedragers_fPren,MATCH(O$102,energiedragers_namen,0)))+
IF(OR(O$135=0,LEFT(O$133,2)&lt;&gt;"bm"),0,O$135*INDEX(energiedragers_fPren,MATCH(O$132,energiedragers_namen,0)))</f>
        <v>0</v>
      </c>
      <c r="P211" s="335"/>
      <c r="Q211" s="207">
        <f>IF(OR(Q$107=0,LEFT(Q$103,2)&lt;&gt;"bm"),0,Q$107*INDEX(energiedragers_fPren,MATCH(Q$102,energiedragers_namen,0)))+
IF(OR(Q$135=0,LEFT(Q$133,2)&lt;&gt;"bm"),0,Q$135*INDEX(energiedragers_fPren,MATCH(Q$132,energiedragers_namen,0)))</f>
        <v>0</v>
      </c>
      <c r="R211" s="335"/>
      <c r="S211" s="335"/>
      <c r="T211" s="335"/>
      <c r="U211" s="335"/>
      <c r="V211" s="335"/>
      <c r="W211" s="335"/>
      <c r="X211" s="128"/>
      <c r="Y211" s="243">
        <f t="shared" si="136"/>
        <v>0</v>
      </c>
      <c r="Z211" s="129"/>
      <c r="AA211" s="207">
        <f>IF(OR(AA$107=0,LEFT(AA$103,2)&lt;&gt;"bm"),0,AA$107*INDEX(energiedragers_fPren,MATCH(AA$102,energiedragers_namen,0)))+
IF(OR(AA$135=0,LEFT(AA$133,2)&lt;&gt;"bm"),0,AA$135*INDEX(energiedragers_fPren,MATCH(AA$132,energiedragers_namen,0)))</f>
        <v>0</v>
      </c>
      <c r="AB211" s="335"/>
      <c r="AC211" s="207">
        <f>IF(OR(AC$107=0,LEFT(AC$103,2)&lt;&gt;"bm"),0,AC$107*INDEX(energiedragers_fPren,MATCH(AC$102,energiedragers_namen,0)))+
IF(OR(AC$135=0,LEFT(AC$133,2)&lt;&gt;"bm"),0,AC$135*INDEX(energiedragers_fPren,MATCH(AC$132,energiedragers_namen,0)))</f>
        <v>0</v>
      </c>
      <c r="AD211" s="335"/>
      <c r="AE211" s="335"/>
      <c r="AF211" s="335"/>
      <c r="AG211" s="335"/>
      <c r="AH211" s="335"/>
      <c r="AI211" s="335"/>
      <c r="AJ211" s="128"/>
      <c r="AK211" s="243">
        <f t="shared" si="137"/>
        <v>0</v>
      </c>
      <c r="AL211" s="129"/>
      <c r="AM211" s="207">
        <f>IF(OR(AM$107=0,LEFT(AM$103,2)&lt;&gt;"bm"),0,AM$107*INDEX(energiedragers_fPren,MATCH(AM$102,energiedragers_namen,0)))+
IF(OR(AM$135=0,LEFT(AM$133,2)&lt;&gt;"bm"),0,AM$135*INDEX(energiedragers_fPren,MATCH(AM$132,energiedragers_namen,0)))</f>
        <v>0</v>
      </c>
      <c r="AN211" s="335"/>
      <c r="AO211" s="207">
        <f>IF(OR(AO$107=0,LEFT(AO$103,2)&lt;&gt;"bm"),0,AO$107*INDEX(energiedragers_fPren,MATCH(AO$102,energiedragers_namen,0)))+
IF(OR(AO$135=0,LEFT(AO$133,2)&lt;&gt;"bm"),0,AO$135*INDEX(energiedragers_fPren,MATCH(AO$132,energiedragers_namen,0)))</f>
        <v>0</v>
      </c>
      <c r="AP211" s="335"/>
      <c r="AQ211" s="335"/>
      <c r="AR211" s="335"/>
      <c r="AS211" s="335"/>
      <c r="AT211" s="335"/>
      <c r="AU211" s="335"/>
      <c r="AV211" s="128"/>
      <c r="AW211" s="243">
        <f t="shared" si="138"/>
        <v>0</v>
      </c>
      <c r="AX211" s="129"/>
      <c r="AY211" s="207">
        <f>IF(OR(AY$107=0,LEFT(AY$103,2)&lt;&gt;"bm"),0,AY$107*INDEX(energiedragers_fPren,MATCH(AY$102,energiedragers_namen,0)))+
IF(OR(AY$135=0,LEFT(AY$133,2)&lt;&gt;"bm"),0,AY$135*INDEX(energiedragers_fPren,MATCH(AY$132,energiedragers_namen,0)))</f>
        <v>0</v>
      </c>
      <c r="AZ211" s="335"/>
      <c r="BA211" s="207">
        <f>IF(OR(BA$107=0,LEFT(BA$103,2)&lt;&gt;"bm"),0,BA$107*INDEX(energiedragers_fPren,MATCH(BA$102,energiedragers_namen,0)))+
IF(OR(BA$135=0,LEFT(BA$133,2)&lt;&gt;"bm"),0,BA$135*INDEX(energiedragers_fPren,MATCH(BA$132,energiedragers_namen,0)))</f>
        <v>0</v>
      </c>
      <c r="BB211" s="335"/>
      <c r="BC211" s="335"/>
      <c r="BD211" s="335"/>
      <c r="BE211" s="335"/>
      <c r="BF211" s="335"/>
      <c r="BG211" s="335"/>
      <c r="BH211" s="255"/>
    </row>
    <row r="212" spans="1:60" x14ac:dyDescent="0.2">
      <c r="A212" s="648"/>
      <c r="B212" s="492" t="s">
        <v>289</v>
      </c>
      <c r="C212" s="656" t="s">
        <v>113</v>
      </c>
      <c r="D212" s="750" t="s">
        <v>50</v>
      </c>
      <c r="E212" s="220" t="s">
        <v>295</v>
      </c>
      <c r="F212" s="220"/>
      <c r="G212" s="220"/>
      <c r="H212" s="242" t="s">
        <v>177</v>
      </c>
      <c r="I212" s="129"/>
      <c r="J212" s="243">
        <f t="shared" si="134"/>
        <v>0</v>
      </c>
      <c r="K212" s="236"/>
      <c r="L212" s="236"/>
      <c r="M212" s="243">
        <f t="shared" si="135"/>
        <v>0</v>
      </c>
      <c r="N212" s="129"/>
      <c r="O212" s="207">
        <f>IF(OR(O$107=0,LEFT(O$103,2)&lt;&gt;"dx"),0,O$107*INDEX(energiedragers_fPren,MATCH(O$102,energiedragers_namen,0)))+
IF(OR(O$135=0,LEFT(O$133,2)&lt;&gt;"dx"),0,O$135*INDEX(energiedragers_fPren,MATCH(O$132,energiedragers_namen,0)))</f>
        <v>0</v>
      </c>
      <c r="P212" s="207">
        <f>IF(OR(P$107=0,LEFT(P$103,2)&lt;&gt;"dx"),0,P$107*INDEX(energiedragers_fPren,MATCH(P$102,energiedragers_namen,0)))+
IF(OR(P$135=0,LEFT(P$133,2)&lt;&gt;"dx"),0,P$135*INDEX(energiedragers_fPren,MATCH(P$132,energiedragers_namen,0)))</f>
        <v>0</v>
      </c>
      <c r="Q212" s="207">
        <f>IF(OR(Q$107=0,LEFT(Q$103,2)&lt;&gt;"dx"),0,Q$107*INDEX(energiedragers_fPren,MATCH(Q$102,energiedragers_namen,0)))+
IF(OR(Q$135=0,LEFT(Q$133,2)&lt;&gt;"dx"),0,Q$135*INDEX(energiedragers_fPren,MATCH(Q$132,energiedragers_namen,0)))</f>
        <v>0</v>
      </c>
      <c r="R212" s="335"/>
      <c r="S212" s="335"/>
      <c r="T212" s="335"/>
      <c r="U212" s="335"/>
      <c r="V212" s="335"/>
      <c r="W212" s="335"/>
      <c r="X212" s="128"/>
      <c r="Y212" s="243">
        <f t="shared" si="136"/>
        <v>0</v>
      </c>
      <c r="Z212" s="129"/>
      <c r="AA212" s="207">
        <f>IF(OR(AA$107=0,LEFT(AA$103,2)&lt;&gt;"dx"),0,AA$107*INDEX(energiedragers_fPren,MATCH(AA$102,energiedragers_namen,0)))+
IF(OR(AA$135=0,LEFT(AA$133,2)&lt;&gt;"dx"),0,AA$135*INDEX(energiedragers_fPren,MATCH(AA$132,energiedragers_namen,0)))</f>
        <v>0</v>
      </c>
      <c r="AB212" s="207">
        <f>IF(OR(AB$107=0,LEFT(AB$103,2)&lt;&gt;"dx"),0,AB$107*INDEX(energiedragers_fPren,MATCH(AB$102,energiedragers_namen,0)))+
IF(OR(AB$135=0,LEFT(AB$133,2)&lt;&gt;"dx"),0,AB$135*INDEX(energiedragers_fPren,MATCH(AB$132,energiedragers_namen,0)))</f>
        <v>0</v>
      </c>
      <c r="AC212" s="207">
        <f>IF(OR(AC$107=0,LEFT(AC$103,2)&lt;&gt;"dx"),0,AC$107*INDEX(energiedragers_fPren,MATCH(AC$102,energiedragers_namen,0)))+
IF(OR(AC$135=0,LEFT(AC$133,2)&lt;&gt;"dx"),0,AC$135*INDEX(energiedragers_fPren,MATCH(AC$132,energiedragers_namen,0)))</f>
        <v>0</v>
      </c>
      <c r="AD212" s="335"/>
      <c r="AE212" s="335"/>
      <c r="AF212" s="335"/>
      <c r="AG212" s="335"/>
      <c r="AH212" s="335"/>
      <c r="AI212" s="335"/>
      <c r="AJ212" s="128"/>
      <c r="AK212" s="243">
        <f t="shared" si="137"/>
        <v>0</v>
      </c>
      <c r="AL212" s="129"/>
      <c r="AM212" s="207">
        <f>IF(OR(AM$107=0,LEFT(AM$103,2)&lt;&gt;"dx"),0,AM$107*INDEX(energiedragers_fPren,MATCH(AM$102,energiedragers_namen,0)))+
IF(OR(AM$135=0,LEFT(AM$133,2)&lt;&gt;"dx"),0,AM$135*INDEX(energiedragers_fPren,MATCH(AM$132,energiedragers_namen,0)))</f>
        <v>0</v>
      </c>
      <c r="AN212" s="207">
        <f>IF(OR(AN$107=0,LEFT(AN$103,2)&lt;&gt;"dx"),0,AN$107*INDEX(energiedragers_fPren,MATCH(AN$102,energiedragers_namen,0)))+
IF(OR(AN$135=0,LEFT(AN$133,2)&lt;&gt;"dx"),0,AN$135*INDEX(energiedragers_fPren,MATCH(AN$132,energiedragers_namen,0)))</f>
        <v>0</v>
      </c>
      <c r="AO212" s="207">
        <f>IF(OR(AO$107=0,LEFT(AO$103,2)&lt;&gt;"dx"),0,AO$107*INDEX(energiedragers_fPren,MATCH(AO$102,energiedragers_namen,0)))+
IF(OR(AO$135=0,LEFT(AO$133,2)&lt;&gt;"dx"),0,AO$135*INDEX(energiedragers_fPren,MATCH(AO$132,energiedragers_namen,0)))</f>
        <v>0</v>
      </c>
      <c r="AP212" s="335"/>
      <c r="AQ212" s="335"/>
      <c r="AR212" s="335"/>
      <c r="AS212" s="335"/>
      <c r="AT212" s="335"/>
      <c r="AU212" s="335"/>
      <c r="AV212" s="128"/>
      <c r="AW212" s="243">
        <f t="shared" si="138"/>
        <v>0</v>
      </c>
      <c r="AX212" s="129"/>
      <c r="AY212" s="207">
        <f>IF(OR(AY$107=0,LEFT(AY$103,2)&lt;&gt;"dx"),0,AY$107*INDEX(energiedragers_fPren,MATCH(AY$102,energiedragers_namen,0)))+
IF(OR(AY$135=0,LEFT(AY$133,2)&lt;&gt;"dx"),0,AY$135*INDEX(energiedragers_fPren,MATCH(AY$132,energiedragers_namen,0)))</f>
        <v>0</v>
      </c>
      <c r="AZ212" s="207">
        <f>IF(OR(AZ$107=0,LEFT(AZ$103,2)&lt;&gt;"dx"),0,AZ$107*INDEX(energiedragers_fPren,MATCH(AZ$102,energiedragers_namen,0)))+
IF(OR(AZ$135=0,LEFT(AZ$133,2)&lt;&gt;"dx"),0,AZ$135*INDEX(energiedragers_fPren,MATCH(AZ$132,energiedragers_namen,0)))</f>
        <v>0</v>
      </c>
      <c r="BA212" s="207">
        <f>IF(OR(BA$107=0,LEFT(BA$103,2)&lt;&gt;"dx"),0,BA$107*INDEX(energiedragers_fPren,MATCH(BA$102,energiedragers_namen,0)))+
IF(OR(BA$135=0,LEFT(BA$133,2)&lt;&gt;"dx"),0,BA$135*INDEX(energiedragers_fPren,MATCH(BA$132,energiedragers_namen,0)))</f>
        <v>0</v>
      </c>
      <c r="BB212" s="335"/>
      <c r="BC212" s="335"/>
      <c r="BD212" s="335"/>
      <c r="BE212" s="335"/>
      <c r="BF212" s="335"/>
      <c r="BG212" s="335"/>
      <c r="BH212" s="255"/>
    </row>
    <row r="213" spans="1:60" x14ac:dyDescent="0.2">
      <c r="A213" s="648"/>
      <c r="B213" s="492" t="s">
        <v>289</v>
      </c>
      <c r="C213" s="656" t="s">
        <v>113</v>
      </c>
      <c r="D213" s="750" t="s">
        <v>50</v>
      </c>
      <c r="E213" s="220" t="s">
        <v>296</v>
      </c>
      <c r="F213" s="220"/>
      <c r="G213" s="220"/>
      <c r="H213" s="242" t="s">
        <v>177</v>
      </c>
      <c r="I213" s="129"/>
      <c r="J213" s="243">
        <f t="shared" si="134"/>
        <v>0</v>
      </c>
      <c r="K213" s="236"/>
      <c r="L213" s="236"/>
      <c r="M213" s="243">
        <f t="shared" si="135"/>
        <v>0</v>
      </c>
      <c r="N213" s="129"/>
      <c r="O213" s="335"/>
      <c r="P213" s="207">
        <f>IF(OR(P$107=0,LEFT(P$103,2)&lt;&gt;"dx"),0,P$107*INDEX(energiedragers_fPren,MATCH(P$102,energiedragers_namen,0))+
IF(OR(P$135=0,LEFT(P$133,2)&lt;&gt;"dx"),0,P$135*INDEX(energiedragers_fPren,MATCH(P$132,energiedragers_namen,0))))</f>
        <v>0</v>
      </c>
      <c r="Q213" s="335"/>
      <c r="R213" s="335"/>
      <c r="S213" s="335"/>
      <c r="T213" s="335"/>
      <c r="U213" s="335"/>
      <c r="V213" s="335"/>
      <c r="W213" s="335"/>
      <c r="X213" s="128"/>
      <c r="Y213" s="243">
        <f t="shared" si="136"/>
        <v>0</v>
      </c>
      <c r="Z213" s="129"/>
      <c r="AA213" s="335"/>
      <c r="AB213" s="207">
        <f>IF(OR(AB$107=0,LEFT(AB$103,2)&lt;&gt;"dx"),0,AB$107*INDEX(energiedragers_fPren,MATCH(AB$102,energiedragers_namen,0))+
IF(OR(AB$135=0,LEFT(AB$133,2)&lt;&gt;"dx"),0,AB$135*INDEX(energiedragers_fPren,MATCH(AB$132,energiedragers_namen,0))))</f>
        <v>0</v>
      </c>
      <c r="AC213" s="335"/>
      <c r="AD213" s="335"/>
      <c r="AE213" s="335"/>
      <c r="AF213" s="335"/>
      <c r="AG213" s="335"/>
      <c r="AH213" s="335"/>
      <c r="AI213" s="335"/>
      <c r="AJ213" s="128"/>
      <c r="AK213" s="243">
        <f t="shared" si="137"/>
        <v>0</v>
      </c>
      <c r="AL213" s="129"/>
      <c r="AM213" s="335"/>
      <c r="AN213" s="207">
        <f>IF(OR(AN$107=0,LEFT(AN$103,2)&lt;&gt;"dx"),0,AN$107*INDEX(energiedragers_fPren,MATCH(AN$102,energiedragers_namen,0))+
IF(OR(AN$135=0,LEFT(AN$133,2)&lt;&gt;"dx"),0,AN$135*INDEX(energiedragers_fPren,MATCH(AN$132,energiedragers_namen,0))))</f>
        <v>0</v>
      </c>
      <c r="AO213" s="335"/>
      <c r="AP213" s="335"/>
      <c r="AQ213" s="335"/>
      <c r="AR213" s="335"/>
      <c r="AS213" s="335"/>
      <c r="AT213" s="335"/>
      <c r="AU213" s="335"/>
      <c r="AV213" s="128"/>
      <c r="AW213" s="243">
        <f t="shared" si="138"/>
        <v>0</v>
      </c>
      <c r="AX213" s="129"/>
      <c r="AY213" s="335"/>
      <c r="AZ213" s="207">
        <f>IF(OR(AZ$107=0,LEFT(AZ$103,2)&lt;&gt;"dx"),0,AZ$107*INDEX(energiedragers_fPren,MATCH(AZ$102,energiedragers_namen,0))+
IF(OR(AZ$135=0,LEFT(AZ$133,2)&lt;&gt;"dx"),0,AZ$135*INDEX(energiedragers_fPren,MATCH(AZ$132,energiedragers_namen,0))))</f>
        <v>0</v>
      </c>
      <c r="BA213" s="335"/>
      <c r="BB213" s="335"/>
      <c r="BC213" s="335"/>
      <c r="BD213" s="335"/>
      <c r="BE213" s="335"/>
      <c r="BF213" s="335"/>
      <c r="BG213" s="335"/>
      <c r="BH213" s="255"/>
    </row>
    <row r="214" spans="1:60" x14ac:dyDescent="0.2">
      <c r="A214" s="648"/>
      <c r="B214" s="492" t="s">
        <v>289</v>
      </c>
      <c r="C214" s="656" t="s">
        <v>113</v>
      </c>
      <c r="D214" s="750" t="s">
        <v>50</v>
      </c>
      <c r="E214" s="220" t="s">
        <v>297</v>
      </c>
      <c r="F214" s="220"/>
      <c r="G214" s="220"/>
      <c r="H214" s="242" t="s">
        <v>177</v>
      </c>
      <c r="I214" s="129"/>
      <c r="J214" s="243">
        <f t="shared" si="134"/>
        <v>0</v>
      </c>
      <c r="K214" s="236"/>
      <c r="L214" s="236"/>
      <c r="M214" s="243">
        <f t="shared" si="135"/>
        <v>0</v>
      </c>
      <c r="N214" s="129"/>
      <c r="O214" s="207">
        <f>O$88*f_P_renheat</f>
        <v>0</v>
      </c>
      <c r="P214" s="335"/>
      <c r="Q214" s="207">
        <f>Q$88*f_P_renheat</f>
        <v>0</v>
      </c>
      <c r="R214" s="335"/>
      <c r="S214" s="335"/>
      <c r="T214" s="335"/>
      <c r="U214" s="335"/>
      <c r="V214" s="335"/>
      <c r="W214" s="335"/>
      <c r="X214" s="122"/>
      <c r="Y214" s="243">
        <f t="shared" si="136"/>
        <v>0</v>
      </c>
      <c r="Z214" s="129"/>
      <c r="AA214" s="207">
        <f>AA$88*f_P_renheat</f>
        <v>0</v>
      </c>
      <c r="AB214" s="335"/>
      <c r="AC214" s="207">
        <f>AC$88*f_P_renheat</f>
        <v>0</v>
      </c>
      <c r="AD214" s="335"/>
      <c r="AE214" s="335"/>
      <c r="AF214" s="335"/>
      <c r="AG214" s="335"/>
      <c r="AH214" s="335"/>
      <c r="AI214" s="335"/>
      <c r="AJ214" s="122"/>
      <c r="AK214" s="243">
        <f t="shared" si="137"/>
        <v>0</v>
      </c>
      <c r="AL214" s="129"/>
      <c r="AM214" s="207">
        <f>AM$88*f_P_renheat</f>
        <v>0</v>
      </c>
      <c r="AN214" s="335"/>
      <c r="AO214" s="207">
        <f>AO$88*f_P_renheat</f>
        <v>0</v>
      </c>
      <c r="AP214" s="335"/>
      <c r="AQ214" s="335"/>
      <c r="AR214" s="335"/>
      <c r="AS214" s="335"/>
      <c r="AT214" s="335"/>
      <c r="AU214" s="335"/>
      <c r="AV214" s="122"/>
      <c r="AW214" s="243">
        <f t="shared" si="138"/>
        <v>0</v>
      </c>
      <c r="AX214" s="129"/>
      <c r="AY214" s="207">
        <f>AY$88*f_P_renheat</f>
        <v>0</v>
      </c>
      <c r="AZ214" s="335"/>
      <c r="BA214" s="207">
        <f>BA$88*f_P_renheat</f>
        <v>0</v>
      </c>
      <c r="BB214" s="335"/>
      <c r="BC214" s="335"/>
      <c r="BD214" s="335"/>
      <c r="BE214" s="335"/>
      <c r="BF214" s="335"/>
      <c r="BG214" s="335"/>
      <c r="BH214" s="214"/>
    </row>
    <row r="215" spans="1:60" x14ac:dyDescent="0.2">
      <c r="A215" s="648"/>
      <c r="B215" s="492" t="s">
        <v>289</v>
      </c>
      <c r="C215" s="656" t="s">
        <v>113</v>
      </c>
      <c r="D215" s="750" t="s">
        <v>50</v>
      </c>
      <c r="E215" s="220" t="s">
        <v>298</v>
      </c>
      <c r="F215" s="220"/>
      <c r="G215" s="220"/>
      <c r="H215" s="242" t="s">
        <v>177</v>
      </c>
      <c r="I215" s="129"/>
      <c r="J215" s="243">
        <f t="shared" si="134"/>
        <v>0</v>
      </c>
      <c r="K215" s="236"/>
      <c r="L215" s="236"/>
      <c r="M215" s="243">
        <f t="shared" si="135"/>
        <v>0</v>
      </c>
      <c r="N215" s="129"/>
      <c r="O215" s="335"/>
      <c r="P215" s="335"/>
      <c r="Q215" s="335"/>
      <c r="R215" s="335"/>
      <c r="S215" s="335"/>
      <c r="T215" s="335"/>
      <c r="U215" s="335"/>
      <c r="V215" s="335"/>
      <c r="W215" s="207">
        <f>M70*f_P_renelect</f>
        <v>0</v>
      </c>
      <c r="X215" s="128"/>
      <c r="Y215" s="243">
        <f t="shared" si="136"/>
        <v>0</v>
      </c>
      <c r="Z215" s="129"/>
      <c r="AA215" s="335"/>
      <c r="AB215" s="335"/>
      <c r="AC215" s="335"/>
      <c r="AD215" s="335"/>
      <c r="AE215" s="335"/>
      <c r="AF215" s="335"/>
      <c r="AG215" s="335"/>
      <c r="AH215" s="335"/>
      <c r="AI215" s="207">
        <f>Y70*f_P_renelect</f>
        <v>0</v>
      </c>
      <c r="AJ215" s="128"/>
      <c r="AK215" s="243">
        <f t="shared" si="137"/>
        <v>0</v>
      </c>
      <c r="AL215" s="129"/>
      <c r="AM215" s="335"/>
      <c r="AN215" s="335"/>
      <c r="AO215" s="335"/>
      <c r="AP215" s="335"/>
      <c r="AQ215" s="335"/>
      <c r="AR215" s="335"/>
      <c r="AS215" s="335"/>
      <c r="AT215" s="335"/>
      <c r="AU215" s="207">
        <f>AK70*f_P_renelect</f>
        <v>0</v>
      </c>
      <c r="AV215" s="128"/>
      <c r="AW215" s="243">
        <f t="shared" si="138"/>
        <v>0</v>
      </c>
      <c r="AX215" s="129"/>
      <c r="AY215" s="335"/>
      <c r="AZ215" s="335"/>
      <c r="BA215" s="335"/>
      <c r="BB215" s="335"/>
      <c r="BC215" s="335"/>
      <c r="BD215" s="335"/>
      <c r="BE215" s="335"/>
      <c r="BF215" s="335"/>
      <c r="BG215" s="207">
        <f>AW70*f_P_renelect</f>
        <v>0</v>
      </c>
      <c r="BH215" s="255"/>
    </row>
    <row r="216" spans="1:60" x14ac:dyDescent="0.2">
      <c r="A216" s="648"/>
      <c r="B216" s="492" t="s">
        <v>289</v>
      </c>
      <c r="C216" s="656" t="s">
        <v>113</v>
      </c>
      <c r="D216" s="747"/>
      <c r="E216" s="220" t="s">
        <v>258</v>
      </c>
      <c r="F216" s="220"/>
      <c r="G216" s="220"/>
      <c r="H216" s="242" t="s">
        <v>177</v>
      </c>
      <c r="I216" s="129"/>
      <c r="J216" s="243">
        <f>SUM(J209:J215)</f>
        <v>0</v>
      </c>
      <c r="K216" s="236"/>
      <c r="L216" s="236"/>
      <c r="M216" s="243">
        <f>SUM(M209:M215)</f>
        <v>0</v>
      </c>
      <c r="N216" s="129"/>
      <c r="O216" s="207">
        <f t="shared" ref="O216:W216" si="139">SUM(O209:O215)</f>
        <v>0</v>
      </c>
      <c r="P216" s="207">
        <f t="shared" si="139"/>
        <v>0</v>
      </c>
      <c r="Q216" s="207">
        <f t="shared" si="139"/>
        <v>0</v>
      </c>
      <c r="R216" s="335"/>
      <c r="S216" s="335"/>
      <c r="T216" s="335"/>
      <c r="U216" s="335"/>
      <c r="V216" s="335"/>
      <c r="W216" s="207">
        <f t="shared" si="139"/>
        <v>0</v>
      </c>
      <c r="X216" s="128"/>
      <c r="Y216" s="243">
        <f>SUM(Y209:Y215)</f>
        <v>0</v>
      </c>
      <c r="Z216" s="129"/>
      <c r="AA216" s="207">
        <f>SUM(AA209:AA215)</f>
        <v>0</v>
      </c>
      <c r="AB216" s="207">
        <f>SUM(AB209:AB215)</f>
        <v>0</v>
      </c>
      <c r="AC216" s="207">
        <f>SUM(AC209:AC215)</f>
        <v>0</v>
      </c>
      <c r="AD216" s="335"/>
      <c r="AE216" s="335"/>
      <c r="AF216" s="335"/>
      <c r="AG216" s="335"/>
      <c r="AH216" s="335"/>
      <c r="AI216" s="207">
        <f>SUM(AI209:AI215)</f>
        <v>0</v>
      </c>
      <c r="AJ216" s="128"/>
      <c r="AK216" s="243">
        <f>SUM(AK209:AK215)</f>
        <v>0</v>
      </c>
      <c r="AL216" s="129"/>
      <c r="AM216" s="207">
        <f>SUM(AM209:AM215)</f>
        <v>0</v>
      </c>
      <c r="AN216" s="207">
        <f>SUM(AN209:AN215)</f>
        <v>0</v>
      </c>
      <c r="AO216" s="207">
        <f>SUM(AO209:AO215)</f>
        <v>0</v>
      </c>
      <c r="AP216" s="335"/>
      <c r="AQ216" s="335"/>
      <c r="AR216" s="335"/>
      <c r="AS216" s="335"/>
      <c r="AT216" s="335"/>
      <c r="AU216" s="207">
        <f>SUM(AU209:AU215)</f>
        <v>0</v>
      </c>
      <c r="AV216" s="128"/>
      <c r="AW216" s="243">
        <f>SUM(AW209:AW215)</f>
        <v>0</v>
      </c>
      <c r="AX216" s="129"/>
      <c r="AY216" s="207">
        <f>SUM(AY209:AY215)</f>
        <v>0</v>
      </c>
      <c r="AZ216" s="207">
        <f>SUM(AZ209:AZ215)</f>
        <v>0</v>
      </c>
      <c r="BA216" s="207">
        <f>SUM(BA209:BA215)</f>
        <v>0</v>
      </c>
      <c r="BB216" s="335"/>
      <c r="BC216" s="335"/>
      <c r="BD216" s="335"/>
      <c r="BE216" s="335"/>
      <c r="BF216" s="335"/>
      <c r="BG216" s="207">
        <f>SUM(BG209:BG215)</f>
        <v>0</v>
      </c>
      <c r="BH216" s="255"/>
    </row>
    <row r="217" spans="1:60" x14ac:dyDescent="0.2">
      <c r="A217" s="648"/>
      <c r="B217" s="492" t="s">
        <v>289</v>
      </c>
      <c r="C217" s="739" t="s">
        <v>104</v>
      </c>
      <c r="D217" s="747"/>
      <c r="E217" s="90"/>
      <c r="F217" s="90"/>
      <c r="G217" s="90"/>
      <c r="H217" s="96"/>
      <c r="I217" s="90"/>
      <c r="J217" s="93"/>
      <c r="K217" s="90"/>
      <c r="L217" s="90"/>
      <c r="M217" s="93"/>
      <c r="N217" s="90"/>
      <c r="O217" s="93"/>
      <c r="P217" s="93"/>
      <c r="Q217" s="93"/>
      <c r="R217" s="93"/>
      <c r="S217" s="93"/>
      <c r="T217" s="93"/>
      <c r="U217" s="93"/>
      <c r="V217" s="93"/>
      <c r="W217" s="93"/>
      <c r="X217" s="93"/>
      <c r="Y217" s="93"/>
      <c r="Z217" s="90"/>
      <c r="AA217" s="93"/>
      <c r="AB217" s="93"/>
      <c r="AC217" s="93"/>
      <c r="AD217" s="93"/>
      <c r="AE217" s="93"/>
      <c r="AF217" s="93"/>
      <c r="AG217" s="93"/>
      <c r="AH217" s="93"/>
      <c r="AI217" s="93"/>
      <c r="AJ217" s="93"/>
      <c r="AK217" s="93"/>
      <c r="AL217" s="90"/>
      <c r="AM217" s="93"/>
      <c r="AN217" s="93"/>
      <c r="AO217" s="93"/>
      <c r="AP217" s="93"/>
      <c r="AQ217" s="93"/>
      <c r="AR217" s="93"/>
      <c r="AS217" s="93"/>
      <c r="AT217" s="93"/>
      <c r="AU217" s="93"/>
      <c r="AV217" s="93"/>
      <c r="AW217" s="93"/>
      <c r="AX217" s="90"/>
      <c r="AY217" s="93"/>
      <c r="AZ217" s="93"/>
      <c r="BA217" s="93"/>
      <c r="BB217" s="93"/>
      <c r="BC217" s="93"/>
      <c r="BD217" s="93"/>
      <c r="BE217" s="93"/>
      <c r="BF217" s="93"/>
      <c r="BG217" s="93"/>
      <c r="BH217" s="1"/>
    </row>
    <row r="218" spans="1:60" x14ac:dyDescent="0.2">
      <c r="A218" s="648"/>
      <c r="B218" s="492" t="s">
        <v>299</v>
      </c>
      <c r="C218" s="656" t="s">
        <v>104</v>
      </c>
      <c r="D218" s="747"/>
      <c r="E218" s="275"/>
      <c r="F218" s="90"/>
      <c r="G218" s="90"/>
      <c r="H218" s="96"/>
      <c r="I218" s="138"/>
      <c r="J218" s="93"/>
      <c r="K218" s="90"/>
      <c r="L218" s="90"/>
      <c r="M218" s="93"/>
      <c r="N218" s="90"/>
      <c r="O218" s="96"/>
      <c r="P218" s="96"/>
      <c r="Q218" s="93"/>
      <c r="R218" s="93"/>
      <c r="S218" s="93"/>
      <c r="T218" s="93"/>
      <c r="U218" s="93"/>
      <c r="V218" s="93"/>
      <c r="W218" s="93"/>
      <c r="X218" s="93"/>
      <c r="Y218" s="93"/>
      <c r="Z218" s="90"/>
      <c r="AA218" s="96"/>
      <c r="AB218" s="96"/>
      <c r="AC218" s="93"/>
      <c r="AD218" s="93"/>
      <c r="AE218" s="93"/>
      <c r="AF218" s="93"/>
      <c r="AG218" s="93"/>
      <c r="AH218" s="93"/>
      <c r="AI218" s="93"/>
      <c r="AJ218" s="93"/>
      <c r="AK218" s="93"/>
      <c r="AL218" s="90"/>
      <c r="AM218" s="96"/>
      <c r="AN218" s="96"/>
      <c r="AO218" s="93"/>
      <c r="AP218" s="93"/>
      <c r="AQ218" s="93"/>
      <c r="AR218" s="93"/>
      <c r="AS218" s="93"/>
      <c r="AT218" s="93"/>
      <c r="AU218" s="93"/>
      <c r="AV218" s="93"/>
      <c r="AW218" s="93"/>
      <c r="AX218" s="90"/>
      <c r="AY218" s="128"/>
      <c r="AZ218" s="93"/>
      <c r="BA218" s="93"/>
      <c r="BB218" s="93"/>
      <c r="BC218" s="93"/>
      <c r="BD218" s="93"/>
      <c r="BE218" s="93"/>
      <c r="BF218" s="93"/>
      <c r="BG218" s="93"/>
      <c r="BH218" s="1"/>
    </row>
    <row r="219" spans="1:60" ht="21" x14ac:dyDescent="0.2">
      <c r="A219" s="648"/>
      <c r="B219" s="492" t="s">
        <v>299</v>
      </c>
      <c r="C219" s="739" t="s">
        <v>104</v>
      </c>
      <c r="D219" s="752"/>
      <c r="E219" s="215" t="s">
        <v>300</v>
      </c>
      <c r="F219" s="240"/>
      <c r="G219" s="240"/>
      <c r="H219" s="240"/>
      <c r="I219" s="88"/>
      <c r="J219" s="241" t="str">
        <f>J$10</f>
        <v>totaal</v>
      </c>
      <c r="K219" s="142"/>
      <c r="L219" s="142"/>
      <c r="M219" s="216" t="str">
        <f>M$10</f>
        <v>totaal</v>
      </c>
      <c r="N219" s="222"/>
      <c r="O219" s="217" t="str">
        <f t="shared" ref="O219:W219" si="140">O$10</f>
        <v>verwarming</v>
      </c>
      <c r="P219" s="217" t="str">
        <f t="shared" si="140"/>
        <v>koeling</v>
      </c>
      <c r="Q219" s="217" t="str">
        <f t="shared" si="140"/>
        <v>tapwater</v>
      </c>
      <c r="R219" s="217" t="str">
        <f t="shared" si="140"/>
        <v>verlichting</v>
      </c>
      <c r="S219" s="217" t="str">
        <f t="shared" si="140"/>
        <v>ventilatoren</v>
      </c>
      <c r="T219" s="217" t="str">
        <f t="shared" si="140"/>
        <v>kookgas</v>
      </c>
      <c r="U219" s="217" t="str">
        <f t="shared" si="140"/>
        <v>overig elektra</v>
      </c>
      <c r="V219" s="217" t="str">
        <f t="shared" si="140"/>
        <v>mobiliteit</v>
      </c>
      <c r="W219" s="217" t="str">
        <f t="shared" si="140"/>
        <v>zonnepanelen</v>
      </c>
      <c r="X219" s="214"/>
      <c r="Y219" s="216" t="str">
        <f>Y$10</f>
        <v>totaal</v>
      </c>
      <c r="Z219" s="222"/>
      <c r="AA219" s="217" t="str">
        <f t="shared" ref="AA219:AI219" si="141">AA$10</f>
        <v>verwarming</v>
      </c>
      <c r="AB219" s="217" t="str">
        <f t="shared" si="141"/>
        <v>koeling</v>
      </c>
      <c r="AC219" s="217" t="str">
        <f t="shared" si="141"/>
        <v>tapwater</v>
      </c>
      <c r="AD219" s="217" t="str">
        <f t="shared" si="141"/>
        <v>verlichting</v>
      </c>
      <c r="AE219" s="217" t="str">
        <f t="shared" si="141"/>
        <v>ventilatoren</v>
      </c>
      <c r="AF219" s="217" t="str">
        <f t="shared" si="141"/>
        <v>kookgas</v>
      </c>
      <c r="AG219" s="217" t="str">
        <f t="shared" si="141"/>
        <v>overig elektra</v>
      </c>
      <c r="AH219" s="217" t="str">
        <f t="shared" si="141"/>
        <v>mobiliteit</v>
      </c>
      <c r="AI219" s="217" t="str">
        <f t="shared" si="141"/>
        <v>zonnepanelen</v>
      </c>
      <c r="AJ219" s="214"/>
      <c r="AK219" s="216" t="str">
        <f>AK$10</f>
        <v>totaal</v>
      </c>
      <c r="AL219" s="222"/>
      <c r="AM219" s="217" t="str">
        <f t="shared" ref="AM219:AU219" si="142">AM$10</f>
        <v>verwarming</v>
      </c>
      <c r="AN219" s="217" t="str">
        <f t="shared" si="142"/>
        <v>koeling</v>
      </c>
      <c r="AO219" s="217" t="str">
        <f t="shared" si="142"/>
        <v>tapwater</v>
      </c>
      <c r="AP219" s="217" t="str">
        <f t="shared" si="142"/>
        <v>verlichting</v>
      </c>
      <c r="AQ219" s="217" t="str">
        <f t="shared" si="142"/>
        <v>ventilatoren</v>
      </c>
      <c r="AR219" s="217" t="str">
        <f t="shared" si="142"/>
        <v>kookgas</v>
      </c>
      <c r="AS219" s="217" t="str">
        <f t="shared" si="142"/>
        <v>overig elektra</v>
      </c>
      <c r="AT219" s="217" t="str">
        <f t="shared" si="142"/>
        <v>mobiliteit</v>
      </c>
      <c r="AU219" s="217" t="str">
        <f t="shared" si="142"/>
        <v>zonnepanelen</v>
      </c>
      <c r="AV219" s="214"/>
      <c r="AW219" s="216" t="str">
        <f>AW$10</f>
        <v>totaal</v>
      </c>
      <c r="AX219" s="222"/>
      <c r="AY219" s="217" t="str">
        <f t="shared" ref="AY219:BG219" si="143">AY$10</f>
        <v>verwarming</v>
      </c>
      <c r="AZ219" s="217" t="str">
        <f t="shared" si="143"/>
        <v>koeling</v>
      </c>
      <c r="BA219" s="217" t="str">
        <f t="shared" si="143"/>
        <v>tapwater</v>
      </c>
      <c r="BB219" s="217" t="str">
        <f t="shared" si="143"/>
        <v>verlichting</v>
      </c>
      <c r="BC219" s="217" t="str">
        <f t="shared" si="143"/>
        <v>ventilatoren</v>
      </c>
      <c r="BD219" s="217" t="str">
        <f t="shared" si="143"/>
        <v>kookgas</v>
      </c>
      <c r="BE219" s="217" t="str">
        <f t="shared" si="143"/>
        <v>overig elektra</v>
      </c>
      <c r="BF219" s="217" t="str">
        <f t="shared" si="143"/>
        <v>mobiliteit</v>
      </c>
      <c r="BG219" s="217" t="str">
        <f t="shared" si="143"/>
        <v>zonnepanelen</v>
      </c>
      <c r="BH219" s="1"/>
    </row>
    <row r="220" spans="1:60" ht="18.75" x14ac:dyDescent="0.2">
      <c r="A220" s="648"/>
      <c r="B220" s="492" t="s">
        <v>299</v>
      </c>
      <c r="C220" s="739" t="s">
        <v>104</v>
      </c>
      <c r="D220" s="747"/>
      <c r="E220" s="231" t="s">
        <v>301</v>
      </c>
      <c r="F220" s="231"/>
      <c r="G220" s="231"/>
      <c r="H220" s="89"/>
      <c r="I220" s="232"/>
      <c r="J220" s="231"/>
      <c r="K220" s="232"/>
      <c r="L220" s="232"/>
      <c r="M220" s="231"/>
      <c r="N220" s="232"/>
      <c r="O220" s="285"/>
      <c r="P220" s="285"/>
      <c r="Q220" s="232"/>
      <c r="R220" s="232"/>
      <c r="S220" s="232"/>
      <c r="T220" s="232"/>
      <c r="U220" s="232"/>
      <c r="V220" s="232"/>
      <c r="W220" s="232"/>
      <c r="X220" s="232"/>
      <c r="Y220" s="232"/>
      <c r="Z220" s="232"/>
      <c r="AA220" s="232"/>
      <c r="AB220" s="232"/>
      <c r="AC220" s="232"/>
      <c r="AD220" s="232"/>
      <c r="AE220" s="232"/>
      <c r="AF220" s="232"/>
      <c r="AG220" s="232"/>
      <c r="AH220" s="232"/>
      <c r="AI220" s="232"/>
      <c r="AJ220" s="232"/>
      <c r="AK220" s="232"/>
      <c r="AL220" s="232"/>
      <c r="AM220" s="232"/>
      <c r="AN220" s="232"/>
      <c r="AO220" s="232"/>
      <c r="AP220" s="232"/>
      <c r="AQ220" s="232"/>
      <c r="AR220" s="232"/>
      <c r="AS220" s="232"/>
      <c r="AT220" s="232"/>
      <c r="AU220" s="232"/>
      <c r="AV220" s="232"/>
      <c r="AW220" s="232"/>
      <c r="AX220" s="232"/>
      <c r="AY220" s="232"/>
      <c r="AZ220" s="232"/>
      <c r="BA220" s="232"/>
      <c r="BB220" s="232"/>
      <c r="BC220" s="232"/>
      <c r="BD220" s="232"/>
      <c r="BE220" s="232"/>
      <c r="BF220" s="232"/>
      <c r="BG220" s="232"/>
      <c r="BH220" s="38"/>
    </row>
    <row r="221" spans="1:60" x14ac:dyDescent="0.2">
      <c r="A221" s="648"/>
      <c r="B221" s="492" t="s">
        <v>299</v>
      </c>
      <c r="C221" s="656" t="s">
        <v>113</v>
      </c>
      <c r="D221" s="747"/>
      <c r="E221" s="220" t="s">
        <v>302</v>
      </c>
      <c r="F221" s="220"/>
      <c r="G221" s="220"/>
      <c r="H221" s="242" t="s">
        <v>70</v>
      </c>
      <c r="I221" s="129"/>
      <c r="J221" s="271"/>
      <c r="K221" s="279"/>
      <c r="L221" s="279"/>
      <c r="M221" s="243" t="str">
        <f>CONCATENATE(O221,"/",Q221)</f>
        <v>gebouw/gebouw</v>
      </c>
      <c r="N221" s="100"/>
      <c r="O221" s="207" t="str">
        <f>IF(O80=geen,"-",O81)</f>
        <v>gebouw</v>
      </c>
      <c r="P221" s="207" t="str">
        <f>IF(P80=geen,"-",P81)</f>
        <v>-</v>
      </c>
      <c r="Q221" s="207" t="str">
        <f>IF(Q80=geen,"-",Q81)</f>
        <v>gebouw</v>
      </c>
      <c r="R221" s="335"/>
      <c r="S221" s="335"/>
      <c r="T221" s="335"/>
      <c r="U221" s="335"/>
      <c r="V221" s="335"/>
      <c r="W221" s="335"/>
      <c r="X221" s="128"/>
      <c r="Y221" s="243" t="str">
        <f>CONCATENATE(AA221,"/",AC221)</f>
        <v>gebouw/gebouw</v>
      </c>
      <c r="Z221" s="100"/>
      <c r="AA221" s="207" t="str">
        <f>IF(AA80=geen,"-",AA81)</f>
        <v>gebouw</v>
      </c>
      <c r="AB221" s="207" t="str">
        <f>IF(AB80=geen,"-",AB81)</f>
        <v>-</v>
      </c>
      <c r="AC221" s="207" t="str">
        <f>IF(AC80=geen,"-",AC81)</f>
        <v>gebouw</v>
      </c>
      <c r="AD221" s="335"/>
      <c r="AE221" s="335"/>
      <c r="AF221" s="335"/>
      <c r="AG221" s="335"/>
      <c r="AH221" s="335"/>
      <c r="AI221" s="335"/>
      <c r="AJ221" s="128"/>
      <c r="AK221" s="243" t="str">
        <f>CONCATENATE(AM221,"/",AO221)</f>
        <v>gebouw/gebouw</v>
      </c>
      <c r="AL221" s="100"/>
      <c r="AM221" s="207" t="str">
        <f>IF(AM80=geen,"-",AM81)</f>
        <v>gebouw</v>
      </c>
      <c r="AN221" s="207" t="str">
        <f>IF(AN80=geen,"-",AN81)</f>
        <v>-</v>
      </c>
      <c r="AO221" s="207" t="str">
        <f>IF(AO80=geen,"-",AO81)</f>
        <v>gebouw</v>
      </c>
      <c r="AP221" s="335"/>
      <c r="AQ221" s="335"/>
      <c r="AR221" s="335"/>
      <c r="AS221" s="335"/>
      <c r="AT221" s="335"/>
      <c r="AU221" s="335"/>
      <c r="AV221" s="128"/>
      <c r="AW221" s="243" t="str">
        <f>CONCATENATE(AY221,"/",BA221)</f>
        <v>gebouw/gebouw</v>
      </c>
      <c r="AX221" s="100"/>
      <c r="AY221" s="207" t="str">
        <f>IF(AY80=geen,"-",AY81)</f>
        <v>gebouw</v>
      </c>
      <c r="AZ221" s="207" t="str">
        <f>IF(AZ80=geen,"-",AZ81)</f>
        <v>-</v>
      </c>
      <c r="BA221" s="207" t="str">
        <f>IF(BA80=geen,"-",BA81)</f>
        <v>gebouw</v>
      </c>
      <c r="BB221" s="207"/>
      <c r="BC221" s="335"/>
      <c r="BD221" s="335"/>
      <c r="BE221" s="335"/>
      <c r="BF221" s="335"/>
      <c r="BG221" s="335"/>
      <c r="BH221" s="255"/>
    </row>
    <row r="222" spans="1:60" x14ac:dyDescent="0.2">
      <c r="A222" s="648"/>
      <c r="B222" s="492" t="s">
        <v>299</v>
      </c>
      <c r="C222" s="656" t="s">
        <v>113</v>
      </c>
      <c r="D222" s="747"/>
      <c r="E222" s="220" t="s">
        <v>222</v>
      </c>
      <c r="F222" s="220"/>
      <c r="G222" s="220"/>
      <c r="H222" s="242" t="s">
        <v>70</v>
      </c>
      <c r="I222" s="129"/>
      <c r="J222" s="271"/>
      <c r="K222" s="277"/>
      <c r="L222" s="277"/>
      <c r="M222" s="271" t="str">
        <f>IF(SUM(O222:Q222)=0,"",((O$221&lt;&gt;gebouw)*(O$117+O$142+O$159-O$177) + (P$221&lt;&gt;gebouw)*(P$117+P$142+P$159-P$177) + (Q$221&lt;&gt;gebouw)*(Q$117+Q$142+Q$159-Q$177) )/  ((O$221&lt;&gt;gebouw)*O$75 + AND(P$221&lt;&gt;gebouw,P$221&lt;&gt;"-")*P$75 + (Q$221&lt;&gt;gebouw)*Q$75) )</f>
        <v/>
      </c>
      <c r="N222" s="278"/>
      <c r="O222" s="272" t="str">
        <f>IF(OR(O$204=0,O$221=gebouw),"-",(O$117+O$142+O$159-O$177)/O$75)</f>
        <v>-</v>
      </c>
      <c r="P222" s="272" t="str">
        <f>IF(OR(P$204=0,P$221=gebouw),"-",(P$117+P$142+P$159-P$177)/P$75)</f>
        <v>-</v>
      </c>
      <c r="Q222" s="272" t="str">
        <f>IF(OR(Q$204=0,Q$221=gebouw),"-",(Q$117+Q$142+Q$159-Q$177)/Q$75)</f>
        <v>-</v>
      </c>
      <c r="R222" s="336"/>
      <c r="S222" s="336"/>
      <c r="T222" s="336"/>
      <c r="U222" s="336"/>
      <c r="V222" s="336"/>
      <c r="W222" s="336"/>
      <c r="X222" s="139"/>
      <c r="Y222" s="271" t="str">
        <f>IF(SUM(AA222:AC222)=0,"",((AA$221&lt;&gt;gebouw)*(AA$117+AA$142+AA$159-AA$177) + (AB$221&lt;&gt;gebouw)*(AB$117+AB$142+AB$159-AB$177) + (AC$221&lt;&gt;gebouw)*(AC$117+AC$142+AC$159-AC$177) )/  ((AA$221&lt;&gt;gebouw)*AA$75 + AND(AB$221&lt;&gt;gebouw,AB$221&lt;&gt;"-")*AB$75 + (AC$221&lt;&gt;gebouw)*AC$75) )</f>
        <v/>
      </c>
      <c r="Z222" s="278"/>
      <c r="AA222" s="272" t="str">
        <f>IF(OR(AA$204=0,AA$221=gebouw),"-",(AA$117+AA$142+AA$159-AA$177)/AA$75)</f>
        <v>-</v>
      </c>
      <c r="AB222" s="272" t="str">
        <f>IF(OR(AB$204=0,AB$221=gebouw),"-",(AB$117+AB$142+AB$159-AB$177)/AB$75)</f>
        <v>-</v>
      </c>
      <c r="AC222" s="272" t="str">
        <f>IF(OR(AC$204=0,AC$221=gebouw),"-",(AC$117+AC$142+AC$159-AC$177)/AC$75)</f>
        <v>-</v>
      </c>
      <c r="AD222" s="336"/>
      <c r="AE222" s="336"/>
      <c r="AF222" s="336"/>
      <c r="AG222" s="336"/>
      <c r="AH222" s="336"/>
      <c r="AI222" s="336"/>
      <c r="AJ222" s="139"/>
      <c r="AK222" s="271" t="str">
        <f>IF(SUM(AM222:AO222)=0,"",((AM$221&lt;&gt;gebouw)*(AM$117+AM$142+AM$159-AM$177) + (AN$221&lt;&gt;gebouw)*(AN$117+AN$142+AN$159-AN$177) + (AO$221&lt;&gt;gebouw)*(AO$117+AO$142+AO$159-AO$177) )/  ((AM$221&lt;&gt;gebouw)*AM$75 + AND(AN$221&lt;&gt;gebouw,AN$221&lt;&gt;"-")*AN$75 + (AO$221&lt;&gt;gebouw)*AO$75) )</f>
        <v/>
      </c>
      <c r="AL222" s="278"/>
      <c r="AM222" s="272" t="str">
        <f>IF(OR(AM$204=0,AM$221=gebouw),"-",(AM$117+AM$142+AM$159-AM$177)/AM$75)</f>
        <v>-</v>
      </c>
      <c r="AN222" s="272" t="str">
        <f>IF(OR(AN$204=0,AN$221=gebouw),"-",(AN$117+AN$142+AN$159-AN$177)/AN$75)</f>
        <v>-</v>
      </c>
      <c r="AO222" s="272" t="str">
        <f>IF(OR(AO$204=0,AO$221=gebouw),"-",(AO$117+AO$142+AO$159-AO$177)/AO$75)</f>
        <v>-</v>
      </c>
      <c r="AP222" s="336"/>
      <c r="AQ222" s="336"/>
      <c r="AR222" s="336"/>
      <c r="AS222" s="336"/>
      <c r="AT222" s="336"/>
      <c r="AU222" s="336"/>
      <c r="AV222" s="139"/>
      <c r="AW222" s="271" t="str">
        <f>IF(SUM(AY222:BA222)=0,"",((AY$221&lt;&gt;gebouw)*(AY$117+AY$142+AY$159-AY$177) + (AZ$221&lt;&gt;gebouw)*(AZ$117+AZ$142+AZ$159-AZ$177) + (BA$221&lt;&gt;gebouw)*(BA$117+BA$142+BA$159-BA$177) )/  ((AY$221&lt;&gt;gebouw)*AY$75 + AND(AZ$221&lt;&gt;gebouw,AZ$221&lt;&gt;"-")*AZ$75 + (BA$221&lt;&gt;gebouw)*BA$75) )</f>
        <v/>
      </c>
      <c r="AX222" s="278"/>
      <c r="AY222" s="272" t="str">
        <f>IF(OR(AY$204=0,AY$221=gebouw),"-",(AY$117+AY$142+AY$159-AY$177)/AY$75)</f>
        <v>-</v>
      </c>
      <c r="AZ222" s="272" t="str">
        <f>IF(OR(AZ$204=0,AZ$221=gebouw),"-",(AZ$117+AZ$142+AZ$159-AZ$177)/AZ$75)</f>
        <v>-</v>
      </c>
      <c r="BA222" s="272" t="str">
        <f>IF(OR(BA$204=0,BA$221=gebouw),"-",(BA$117+BA$142+BA$159-BA$177)/BA$75)</f>
        <v>-</v>
      </c>
      <c r="BB222" s="272"/>
      <c r="BC222" s="336"/>
      <c r="BD222" s="336"/>
      <c r="BE222" s="336"/>
      <c r="BF222" s="336"/>
      <c r="BG222" s="336"/>
      <c r="BH222" s="255"/>
    </row>
    <row r="223" spans="1:60" x14ac:dyDescent="0.2">
      <c r="A223" s="648"/>
      <c r="B223" s="492" t="s">
        <v>299</v>
      </c>
      <c r="C223" s="739" t="s">
        <v>104</v>
      </c>
      <c r="D223" s="747"/>
      <c r="E223" s="90"/>
      <c r="F223" s="90"/>
      <c r="G223" s="90"/>
      <c r="H223" s="96"/>
      <c r="I223" s="90"/>
      <c r="J223" s="93"/>
      <c r="K223" s="90"/>
      <c r="L223" s="90"/>
      <c r="M223" s="690"/>
      <c r="N223" s="90"/>
      <c r="O223" s="93"/>
      <c r="P223" s="93"/>
      <c r="Q223" s="93"/>
      <c r="R223" s="93"/>
      <c r="S223" s="93"/>
      <c r="T223" s="93"/>
      <c r="U223" s="93"/>
      <c r="V223" s="93"/>
      <c r="W223" s="93"/>
      <c r="X223" s="93"/>
      <c r="Y223" s="139"/>
      <c r="Z223" s="90"/>
      <c r="AA223" s="93"/>
      <c r="AB223" s="93"/>
      <c r="AC223" s="93"/>
      <c r="AD223" s="93"/>
      <c r="AE223" s="93"/>
      <c r="AF223" s="93"/>
      <c r="AG223" s="93"/>
      <c r="AH223" s="93"/>
      <c r="AI223" s="93"/>
      <c r="AJ223" s="93"/>
      <c r="AK223" s="93"/>
      <c r="AL223" s="90"/>
      <c r="AM223" s="93"/>
      <c r="AN223" s="93"/>
      <c r="AO223" s="93"/>
      <c r="AP223" s="93"/>
      <c r="AQ223" s="93"/>
      <c r="AR223" s="93"/>
      <c r="AS223" s="93"/>
      <c r="AT223" s="93"/>
      <c r="AU223" s="93"/>
      <c r="AV223" s="93"/>
      <c r="AW223" s="93"/>
      <c r="AX223" s="90"/>
      <c r="AY223" s="90"/>
      <c r="AZ223" s="93"/>
      <c r="BA223" s="93"/>
      <c r="BB223" s="93"/>
      <c r="BC223" s="93"/>
      <c r="BD223" s="93"/>
      <c r="BE223" s="93"/>
      <c r="BF223" s="93"/>
      <c r="BG223" s="93"/>
      <c r="BH223" s="1"/>
    </row>
    <row r="224" spans="1:60" x14ac:dyDescent="0.2">
      <c r="A224" s="648"/>
      <c r="B224" s="492" t="s">
        <v>303</v>
      </c>
      <c r="C224" s="656" t="s">
        <v>104</v>
      </c>
      <c r="D224" s="747"/>
      <c r="E224" s="90"/>
      <c r="F224" s="90"/>
      <c r="G224" s="90"/>
      <c r="H224" s="96"/>
      <c r="I224" s="90"/>
      <c r="J224" s="93"/>
      <c r="K224" s="90"/>
      <c r="L224" s="90"/>
      <c r="M224" s="93"/>
      <c r="N224" s="90"/>
      <c r="O224" s="93"/>
      <c r="P224" s="93"/>
      <c r="Q224" s="93"/>
      <c r="R224" s="93"/>
      <c r="S224" s="93"/>
      <c r="T224" s="93"/>
      <c r="U224" s="93"/>
      <c r="V224" s="93"/>
      <c r="W224" s="93"/>
      <c r="X224" s="93"/>
      <c r="Y224" s="93"/>
      <c r="Z224" s="90"/>
      <c r="AA224" s="93"/>
      <c r="AB224" s="93"/>
      <c r="AC224" s="93"/>
      <c r="AD224" s="93"/>
      <c r="AE224" s="93"/>
      <c r="AF224" s="93"/>
      <c r="AG224" s="93"/>
      <c r="AH224" s="93"/>
      <c r="AI224" s="93"/>
      <c r="AJ224" s="93"/>
      <c r="AK224" s="93"/>
      <c r="AL224" s="90"/>
      <c r="AM224" s="93"/>
      <c r="AN224" s="93"/>
      <c r="AO224" s="93"/>
      <c r="AP224" s="93"/>
      <c r="AQ224" s="93"/>
      <c r="AR224" s="93"/>
      <c r="AS224" s="93"/>
      <c r="AT224" s="93"/>
      <c r="AU224" s="93"/>
      <c r="AV224" s="93"/>
      <c r="AW224" s="93"/>
      <c r="AX224" s="90"/>
      <c r="AY224" s="93"/>
      <c r="AZ224" s="93"/>
      <c r="BA224" s="93"/>
      <c r="BB224" s="93"/>
      <c r="BC224" s="93"/>
      <c r="BD224" s="93"/>
      <c r="BE224" s="93"/>
      <c r="BF224" s="93"/>
      <c r="BG224" s="93"/>
      <c r="BH224" s="1"/>
    </row>
    <row r="225" spans="1:60" s="2" customFormat="1" ht="21" x14ac:dyDescent="0.2">
      <c r="A225" s="649"/>
      <c r="B225" s="492" t="s">
        <v>303</v>
      </c>
      <c r="C225" s="739" t="s">
        <v>104</v>
      </c>
      <c r="D225" s="749" t="s">
        <v>50</v>
      </c>
      <c r="E225" s="253" t="s">
        <v>304</v>
      </c>
      <c r="F225" s="253"/>
      <c r="G225" s="253"/>
      <c r="H225" s="253"/>
      <c r="I225" s="146"/>
      <c r="J225" s="318"/>
      <c r="K225" s="142"/>
      <c r="L225" s="142"/>
      <c r="M225" s="318"/>
      <c r="N225" s="222"/>
      <c r="O225" s="320" t="str">
        <f t="shared" ref="O225:W225" si="144">O$17</f>
        <v/>
      </c>
      <c r="P225" s="320" t="str">
        <f t="shared" si="144"/>
        <v/>
      </c>
      <c r="Q225" s="320" t="str">
        <f t="shared" si="144"/>
        <v/>
      </c>
      <c r="R225" s="320" t="str">
        <f t="shared" si="144"/>
        <v/>
      </c>
      <c r="S225" s="320" t="str">
        <f t="shared" si="144"/>
        <v/>
      </c>
      <c r="T225" s="320" t="str">
        <f t="shared" si="144"/>
        <v/>
      </c>
      <c r="U225" s="320" t="str">
        <f t="shared" si="144"/>
        <v/>
      </c>
      <c r="V225" s="320" t="str">
        <f t="shared" si="144"/>
        <v/>
      </c>
      <c r="W225" s="320" t="str">
        <f t="shared" si="144"/>
        <v/>
      </c>
      <c r="X225" s="214"/>
      <c r="Y225" s="318"/>
      <c r="Z225" s="222"/>
      <c r="AA225" s="320" t="str">
        <f t="shared" ref="AA225:AI225" si="145">AA$17</f>
        <v/>
      </c>
      <c r="AB225" s="320" t="str">
        <f t="shared" si="145"/>
        <v/>
      </c>
      <c r="AC225" s="320" t="str">
        <f t="shared" si="145"/>
        <v/>
      </c>
      <c r="AD225" s="320" t="str">
        <f t="shared" si="145"/>
        <v/>
      </c>
      <c r="AE225" s="320" t="str">
        <f t="shared" si="145"/>
        <v/>
      </c>
      <c r="AF225" s="320" t="str">
        <f t="shared" si="145"/>
        <v/>
      </c>
      <c r="AG225" s="320" t="str">
        <f t="shared" si="145"/>
        <v/>
      </c>
      <c r="AH225" s="320" t="str">
        <f t="shared" si="145"/>
        <v/>
      </c>
      <c r="AI225" s="320" t="str">
        <f t="shared" si="145"/>
        <v/>
      </c>
      <c r="AJ225" s="214"/>
      <c r="AK225" s="318"/>
      <c r="AL225" s="222"/>
      <c r="AM225" s="320" t="str">
        <f>AM$17</f>
        <v/>
      </c>
      <c r="AN225" s="320" t="str">
        <f t="shared" ref="AN225:AU225" si="146">AN$17</f>
        <v/>
      </c>
      <c r="AO225" s="320" t="str">
        <f t="shared" si="146"/>
        <v/>
      </c>
      <c r="AP225" s="320" t="str">
        <f t="shared" si="146"/>
        <v/>
      </c>
      <c r="AQ225" s="320" t="str">
        <f t="shared" si="146"/>
        <v/>
      </c>
      <c r="AR225" s="320" t="str">
        <f t="shared" si="146"/>
        <v/>
      </c>
      <c r="AS225" s="320" t="str">
        <f t="shared" si="146"/>
        <v/>
      </c>
      <c r="AT225" s="320" t="str">
        <f t="shared" si="146"/>
        <v/>
      </c>
      <c r="AU225" s="320" t="str">
        <f t="shared" si="146"/>
        <v/>
      </c>
      <c r="AV225" s="214"/>
      <c r="AW225" s="318"/>
      <c r="AX225" s="222"/>
      <c r="AY225" s="374" t="str">
        <f>AY$17</f>
        <v/>
      </c>
      <c r="AZ225" s="374" t="str">
        <f t="shared" ref="AZ225:BG225" si="147">AZ$17</f>
        <v/>
      </c>
      <c r="BA225" s="374" t="str">
        <f t="shared" si="147"/>
        <v/>
      </c>
      <c r="BB225" s="374" t="str">
        <f t="shared" si="147"/>
        <v/>
      </c>
      <c r="BC225" s="374" t="str">
        <f t="shared" si="147"/>
        <v/>
      </c>
      <c r="BD225" s="374" t="str">
        <f t="shared" si="147"/>
        <v/>
      </c>
      <c r="BE225" s="374" t="str">
        <f t="shared" si="147"/>
        <v/>
      </c>
      <c r="BF225" s="374" t="str">
        <f t="shared" si="147"/>
        <v/>
      </c>
      <c r="BG225" s="374" t="str">
        <f t="shared" si="147"/>
        <v/>
      </c>
      <c r="BH225" s="1"/>
    </row>
    <row r="226" spans="1:60" ht="18.75" x14ac:dyDescent="0.2">
      <c r="A226" s="648"/>
      <c r="B226" s="492" t="s">
        <v>303</v>
      </c>
      <c r="C226" s="739" t="s">
        <v>104</v>
      </c>
      <c r="D226" s="747"/>
      <c r="E226" s="236" t="s">
        <v>305</v>
      </c>
      <c r="F226" s="236"/>
      <c r="G226" s="236"/>
      <c r="H226" s="89"/>
      <c r="I226" s="236"/>
      <c r="J226" s="236"/>
      <c r="K226" s="236"/>
      <c r="L226" s="236"/>
      <c r="M226" s="236"/>
      <c r="N226" s="236"/>
      <c r="O226" s="236"/>
      <c r="P226" s="236"/>
      <c r="Q226" s="236"/>
      <c r="R226" s="236"/>
      <c r="S226" s="236"/>
      <c r="T226" s="236"/>
      <c r="U226" s="236"/>
      <c r="V226" s="236"/>
      <c r="W226" s="236"/>
      <c r="X226" s="236"/>
      <c r="Y226" s="236"/>
      <c r="Z226" s="236"/>
      <c r="AA226" s="236"/>
      <c r="AB226" s="236"/>
      <c r="AC226" s="236"/>
      <c r="AD226" s="236"/>
      <c r="AE226" s="236"/>
      <c r="AF226" s="236"/>
      <c r="AG226" s="236"/>
      <c r="AH226" s="236"/>
      <c r="AI226" s="236"/>
      <c r="AJ226" s="236"/>
      <c r="AK226" s="236"/>
      <c r="AL226" s="236"/>
      <c r="AM226" s="236"/>
      <c r="AN226" s="236"/>
      <c r="AO226" s="236"/>
      <c r="AP226" s="236"/>
      <c r="AQ226" s="236"/>
      <c r="AR226" s="236"/>
      <c r="AS226" s="236"/>
      <c r="AT226" s="236"/>
      <c r="AU226" s="236"/>
      <c r="AV226" s="236"/>
      <c r="AW226" s="236"/>
      <c r="AX226" s="236"/>
      <c r="AY226" s="236"/>
      <c r="AZ226" s="236"/>
      <c r="BA226" s="236"/>
      <c r="BB226" s="236"/>
      <c r="BC226" s="236"/>
      <c r="BD226" s="236"/>
      <c r="BE226" s="236"/>
      <c r="BF226" s="236"/>
      <c r="BG226" s="236"/>
      <c r="BH226" s="38"/>
    </row>
    <row r="227" spans="1:60" x14ac:dyDescent="0.2">
      <c r="A227" s="648"/>
      <c r="B227" s="492" t="s">
        <v>303</v>
      </c>
      <c r="C227" s="656" t="s">
        <v>113</v>
      </c>
      <c r="D227" s="750"/>
      <c r="E227" s="220" t="s">
        <v>306</v>
      </c>
      <c r="F227" s="220"/>
      <c r="G227" s="220"/>
      <c r="H227" s="242" t="s">
        <v>169</v>
      </c>
      <c r="I227" s="129"/>
      <c r="J227" s="243"/>
      <c r="K227" s="279"/>
      <c r="L227" s="279"/>
      <c r="M227" s="243"/>
      <c r="N227" s="100"/>
      <c r="O227" s="207" t="str">
        <f t="shared" ref="O227:W227" si="148">IF(O$19="","",O60)</f>
        <v/>
      </c>
      <c r="P227" s="207" t="str">
        <f t="shared" si="148"/>
        <v/>
      </c>
      <c r="Q227" s="207" t="str">
        <f t="shared" si="148"/>
        <v/>
      </c>
      <c r="R227" s="207" t="str">
        <f t="shared" si="148"/>
        <v/>
      </c>
      <c r="S227" s="207" t="str">
        <f t="shared" si="148"/>
        <v/>
      </c>
      <c r="T227" s="207" t="str">
        <f t="shared" si="148"/>
        <v/>
      </c>
      <c r="U227" s="207" t="str">
        <f t="shared" si="148"/>
        <v/>
      </c>
      <c r="V227" s="207" t="str">
        <f t="shared" si="148"/>
        <v/>
      </c>
      <c r="W227" s="207" t="str">
        <f t="shared" si="148"/>
        <v/>
      </c>
      <c r="X227" s="128"/>
      <c r="Y227" s="243"/>
      <c r="Z227" s="100"/>
      <c r="AA227" s="207" t="str">
        <f t="shared" ref="AA227:AI227" si="149">IF(AA$19="","",AA60)</f>
        <v/>
      </c>
      <c r="AB227" s="207" t="str">
        <f t="shared" si="149"/>
        <v/>
      </c>
      <c r="AC227" s="207" t="str">
        <f t="shared" si="149"/>
        <v/>
      </c>
      <c r="AD227" s="207" t="str">
        <f t="shared" si="149"/>
        <v/>
      </c>
      <c r="AE227" s="207" t="str">
        <f t="shared" si="149"/>
        <v/>
      </c>
      <c r="AF227" s="207" t="str">
        <f t="shared" si="149"/>
        <v/>
      </c>
      <c r="AG227" s="207" t="str">
        <f t="shared" si="149"/>
        <v/>
      </c>
      <c r="AH227" s="207" t="str">
        <f t="shared" si="149"/>
        <v/>
      </c>
      <c r="AI227" s="207" t="str">
        <f t="shared" si="149"/>
        <v/>
      </c>
      <c r="AJ227" s="128"/>
      <c r="AK227" s="243"/>
      <c r="AL227" s="100"/>
      <c r="AM227" s="207" t="str">
        <f t="shared" ref="AM227:AU227" si="150">IF(AM$19="","",AM60)</f>
        <v/>
      </c>
      <c r="AN227" s="207" t="str">
        <f t="shared" si="150"/>
        <v/>
      </c>
      <c r="AO227" s="207" t="str">
        <f t="shared" si="150"/>
        <v/>
      </c>
      <c r="AP227" s="207" t="str">
        <f t="shared" si="150"/>
        <v/>
      </c>
      <c r="AQ227" s="207" t="str">
        <f t="shared" si="150"/>
        <v/>
      </c>
      <c r="AR227" s="207" t="str">
        <f t="shared" si="150"/>
        <v/>
      </c>
      <c r="AS227" s="207" t="str">
        <f t="shared" si="150"/>
        <v/>
      </c>
      <c r="AT227" s="207" t="str">
        <f t="shared" si="150"/>
        <v/>
      </c>
      <c r="AU227" s="207" t="str">
        <f t="shared" si="150"/>
        <v/>
      </c>
      <c r="AV227" s="128"/>
      <c r="AW227" s="243"/>
      <c r="AX227" s="100"/>
      <c r="AY227" s="207" t="str">
        <f t="shared" ref="AY227:BG227" si="151">IF(AY$19="","",AY60)</f>
        <v/>
      </c>
      <c r="AZ227" s="207" t="str">
        <f t="shared" si="151"/>
        <v/>
      </c>
      <c r="BA227" s="207" t="str">
        <f t="shared" si="151"/>
        <v/>
      </c>
      <c r="BB227" s="207" t="str">
        <f t="shared" si="151"/>
        <v/>
      </c>
      <c r="BC227" s="207" t="str">
        <f t="shared" si="151"/>
        <v/>
      </c>
      <c r="BD227" s="207" t="str">
        <f t="shared" si="151"/>
        <v/>
      </c>
      <c r="BE227" s="207" t="str">
        <f t="shared" si="151"/>
        <v/>
      </c>
      <c r="BF227" s="207" t="str">
        <f t="shared" si="151"/>
        <v/>
      </c>
      <c r="BG227" s="207" t="str">
        <f t="shared" si="151"/>
        <v/>
      </c>
      <c r="BH227" s="255"/>
    </row>
    <row r="228" spans="1:60" ht="18.75" x14ac:dyDescent="0.2">
      <c r="A228" s="648"/>
      <c r="B228" s="492" t="s">
        <v>303</v>
      </c>
      <c r="C228" s="739" t="s">
        <v>104</v>
      </c>
      <c r="D228" s="747"/>
      <c r="E228" s="236" t="s">
        <v>307</v>
      </c>
      <c r="F228" s="236"/>
      <c r="G228" s="236"/>
      <c r="H228" s="89"/>
      <c r="I228" s="236"/>
      <c r="J228" s="236"/>
      <c r="K228" s="236"/>
      <c r="L228" s="236"/>
      <c r="M228" s="236"/>
      <c r="N228" s="236"/>
      <c r="O228" s="236"/>
      <c r="P228" s="236"/>
      <c r="Q228" s="236"/>
      <c r="R228" s="236"/>
      <c r="S228" s="236"/>
      <c r="T228" s="236"/>
      <c r="U228" s="236"/>
      <c r="V228" s="236"/>
      <c r="W228" s="236"/>
      <c r="X228" s="236"/>
      <c r="Y228" s="236"/>
      <c r="Z228" s="236"/>
      <c r="AA228" s="236"/>
      <c r="AB228" s="236"/>
      <c r="AC228" s="236"/>
      <c r="AD228" s="236"/>
      <c r="AE228" s="236"/>
      <c r="AF228" s="236"/>
      <c r="AG228" s="236"/>
      <c r="AH228" s="236"/>
      <c r="AI228" s="236"/>
      <c r="AJ228" s="236"/>
      <c r="AK228" s="236"/>
      <c r="AL228" s="236"/>
      <c r="AM228" s="236"/>
      <c r="AN228" s="236"/>
      <c r="AO228" s="236"/>
      <c r="AP228" s="236"/>
      <c r="AQ228" s="236"/>
      <c r="AR228" s="236"/>
      <c r="AS228" s="236"/>
      <c r="AT228" s="236"/>
      <c r="AU228" s="236"/>
      <c r="AV228" s="236"/>
      <c r="AW228" s="236"/>
      <c r="AX228" s="236"/>
      <c r="AY228" s="236"/>
      <c r="AZ228" s="236"/>
      <c r="BA228" s="236"/>
      <c r="BB228" s="236"/>
      <c r="BC228" s="236"/>
      <c r="BD228" s="236"/>
      <c r="BE228" s="236"/>
      <c r="BF228" s="236"/>
      <c r="BG228" s="236"/>
      <c r="BH228" s="38"/>
    </row>
    <row r="229" spans="1:60" x14ac:dyDescent="0.2">
      <c r="A229" s="648"/>
      <c r="B229" s="492" t="s">
        <v>303</v>
      </c>
      <c r="C229" s="656" t="s">
        <v>113</v>
      </c>
      <c r="D229" s="750"/>
      <c r="E229" s="220" t="s">
        <v>306</v>
      </c>
      <c r="F229" s="220"/>
      <c r="G229" s="220"/>
      <c r="H229" s="242" t="s">
        <v>169</v>
      </c>
      <c r="I229" s="129"/>
      <c r="J229" s="243"/>
      <c r="K229" s="279"/>
      <c r="L229" s="279"/>
      <c r="M229" s="243"/>
      <c r="N229" s="100"/>
      <c r="O229" s="207" t="str">
        <f t="shared" ref="O229:W229" si="152">IF(O$19="","-",O61)</f>
        <v>-</v>
      </c>
      <c r="P229" s="207" t="str">
        <f t="shared" si="152"/>
        <v>-</v>
      </c>
      <c r="Q229" s="207" t="str">
        <f t="shared" si="152"/>
        <v>-</v>
      </c>
      <c r="R229" s="207" t="str">
        <f t="shared" si="152"/>
        <v>-</v>
      </c>
      <c r="S229" s="207" t="str">
        <f t="shared" si="152"/>
        <v>-</v>
      </c>
      <c r="T229" s="207" t="str">
        <f t="shared" si="152"/>
        <v>-</v>
      </c>
      <c r="U229" s="207" t="str">
        <f t="shared" si="152"/>
        <v>-</v>
      </c>
      <c r="V229" s="207" t="str">
        <f t="shared" si="152"/>
        <v>-</v>
      </c>
      <c r="W229" s="207" t="str">
        <f t="shared" si="152"/>
        <v>-</v>
      </c>
      <c r="X229" s="128"/>
      <c r="Y229" s="243"/>
      <c r="Z229" s="100"/>
      <c r="AA229" s="207" t="str">
        <f t="shared" ref="AA229:AI229" si="153">IF(AA$19="","-",AA61)</f>
        <v>-</v>
      </c>
      <c r="AB229" s="207" t="str">
        <f t="shared" si="153"/>
        <v>-</v>
      </c>
      <c r="AC229" s="207" t="str">
        <f t="shared" si="153"/>
        <v>-</v>
      </c>
      <c r="AD229" s="207" t="str">
        <f t="shared" si="153"/>
        <v>-</v>
      </c>
      <c r="AE229" s="207" t="str">
        <f t="shared" si="153"/>
        <v>-</v>
      </c>
      <c r="AF229" s="207" t="str">
        <f t="shared" si="153"/>
        <v>-</v>
      </c>
      <c r="AG229" s="207" t="str">
        <f t="shared" si="153"/>
        <v>-</v>
      </c>
      <c r="AH229" s="207" t="str">
        <f t="shared" si="153"/>
        <v>-</v>
      </c>
      <c r="AI229" s="207" t="str">
        <f t="shared" si="153"/>
        <v>-</v>
      </c>
      <c r="AJ229" s="128"/>
      <c r="AK229" s="243"/>
      <c r="AL229" s="100"/>
      <c r="AM229" s="207" t="str">
        <f t="shared" ref="AM229:AU229" si="154">IF(AM$19="","-",AM61)</f>
        <v>-</v>
      </c>
      <c r="AN229" s="207" t="str">
        <f t="shared" si="154"/>
        <v>-</v>
      </c>
      <c r="AO229" s="207" t="str">
        <f t="shared" si="154"/>
        <v>-</v>
      </c>
      <c r="AP229" s="207" t="str">
        <f t="shared" si="154"/>
        <v>-</v>
      </c>
      <c r="AQ229" s="207" t="str">
        <f t="shared" si="154"/>
        <v>-</v>
      </c>
      <c r="AR229" s="207" t="str">
        <f t="shared" si="154"/>
        <v>-</v>
      </c>
      <c r="AS229" s="207" t="str">
        <f t="shared" si="154"/>
        <v>-</v>
      </c>
      <c r="AT229" s="207" t="str">
        <f t="shared" si="154"/>
        <v>-</v>
      </c>
      <c r="AU229" s="207" t="str">
        <f t="shared" si="154"/>
        <v>-</v>
      </c>
      <c r="AV229" s="128"/>
      <c r="AW229" s="243"/>
      <c r="AX229" s="100"/>
      <c r="AY229" s="207" t="str">
        <f t="shared" ref="AY229:BG229" si="155">IF(AY$19="","-",AY61)</f>
        <v>-</v>
      </c>
      <c r="AZ229" s="207" t="str">
        <f t="shared" si="155"/>
        <v>-</v>
      </c>
      <c r="BA229" s="207" t="str">
        <f t="shared" si="155"/>
        <v>-</v>
      </c>
      <c r="BB229" s="207" t="str">
        <f t="shared" si="155"/>
        <v>-</v>
      </c>
      <c r="BC229" s="207" t="str">
        <f t="shared" si="155"/>
        <v>-</v>
      </c>
      <c r="BD229" s="207" t="str">
        <f t="shared" si="155"/>
        <v>-</v>
      </c>
      <c r="BE229" s="207" t="str">
        <f t="shared" si="155"/>
        <v>-</v>
      </c>
      <c r="BF229" s="207" t="str">
        <f t="shared" si="155"/>
        <v>-</v>
      </c>
      <c r="BG229" s="207" t="str">
        <f t="shared" si="155"/>
        <v>-</v>
      </c>
      <c r="BH229" s="255"/>
    </row>
    <row r="230" spans="1:60" x14ac:dyDescent="0.2">
      <c r="A230" s="648"/>
      <c r="B230" s="492" t="s">
        <v>303</v>
      </c>
      <c r="C230" s="739" t="s">
        <v>104</v>
      </c>
      <c r="D230" s="747"/>
      <c r="E230" s="90"/>
      <c r="F230" s="90"/>
      <c r="G230" s="90"/>
      <c r="H230" s="96"/>
      <c r="I230" s="90"/>
      <c r="J230" s="93"/>
      <c r="K230" s="90"/>
      <c r="L230" s="90"/>
      <c r="M230" s="93"/>
      <c r="N230" s="90"/>
      <c r="O230" s="92"/>
      <c r="P230" s="93"/>
      <c r="Q230" s="93"/>
      <c r="R230" s="93"/>
      <c r="S230" s="93"/>
      <c r="T230" s="93"/>
      <c r="U230" s="93"/>
      <c r="V230" s="93"/>
      <c r="W230" s="93"/>
      <c r="X230" s="93"/>
      <c r="Y230" s="93"/>
      <c r="Z230" s="90"/>
      <c r="AA230" s="93"/>
      <c r="AB230" s="93"/>
      <c r="AC230" s="93"/>
      <c r="AD230" s="93"/>
      <c r="AE230" s="93"/>
      <c r="AF230" s="93"/>
      <c r="AG230" s="93"/>
      <c r="AH230" s="93"/>
      <c r="AI230" s="93"/>
      <c r="AJ230" s="93"/>
      <c r="AK230" s="93"/>
      <c r="AL230" s="90"/>
      <c r="AM230" s="93"/>
      <c r="AN230" s="93"/>
      <c r="AO230" s="93"/>
      <c r="AP230" s="93"/>
      <c r="AQ230" s="93"/>
      <c r="AR230" s="93"/>
      <c r="AS230" s="93"/>
      <c r="AT230" s="93"/>
      <c r="AU230" s="93"/>
      <c r="AV230" s="93"/>
      <c r="AW230" s="93"/>
      <c r="AX230" s="90"/>
      <c r="AY230" s="93"/>
      <c r="AZ230" s="93"/>
      <c r="BA230" s="93"/>
      <c r="BB230" s="93"/>
      <c r="BC230" s="93"/>
      <c r="BD230" s="93"/>
      <c r="BE230" s="93"/>
      <c r="BF230" s="93"/>
      <c r="BG230" s="93"/>
      <c r="BH230" s="1"/>
    </row>
    <row r="231" spans="1:60" hidden="1" x14ac:dyDescent="0.2">
      <c r="A231" s="648"/>
      <c r="B231" s="492" t="s">
        <v>308</v>
      </c>
      <c r="C231" s="739" t="s">
        <v>309</v>
      </c>
      <c r="D231" s="747"/>
      <c r="E231" s="90"/>
      <c r="F231" s="90"/>
      <c r="G231" s="90"/>
      <c r="H231" s="96"/>
      <c r="I231" s="90"/>
      <c r="J231" s="93"/>
      <c r="K231" s="90"/>
      <c r="L231" s="90"/>
      <c r="M231" s="93"/>
      <c r="N231" s="90"/>
      <c r="O231" s="93"/>
      <c r="P231" s="93"/>
      <c r="Q231" s="93"/>
      <c r="R231" s="93"/>
      <c r="S231" s="93"/>
      <c r="T231" s="93"/>
      <c r="U231" s="93"/>
      <c r="V231" s="93"/>
      <c r="W231" s="93"/>
      <c r="X231" s="93"/>
      <c r="Y231" s="93"/>
      <c r="Z231" s="90"/>
      <c r="AA231" s="93"/>
      <c r="AB231" s="93"/>
      <c r="AC231" s="93"/>
      <c r="AD231" s="93"/>
      <c r="AE231" s="93"/>
      <c r="AF231" s="93"/>
      <c r="AG231" s="93"/>
      <c r="AH231" s="93"/>
      <c r="AI231" s="93"/>
      <c r="AJ231" s="93"/>
      <c r="AK231" s="93"/>
      <c r="AL231" s="90"/>
      <c r="AM231" s="93"/>
      <c r="AN231" s="93"/>
      <c r="AO231" s="93"/>
      <c r="AP231" s="93"/>
      <c r="AQ231" s="93"/>
      <c r="AR231" s="93"/>
      <c r="AS231" s="93"/>
      <c r="AT231" s="93"/>
      <c r="AU231" s="93"/>
      <c r="AV231" s="93"/>
      <c r="AW231" s="93"/>
      <c r="AX231" s="90"/>
      <c r="AY231" s="93"/>
      <c r="AZ231" s="93"/>
      <c r="BA231" s="93"/>
      <c r="BB231" s="93"/>
      <c r="BC231" s="93"/>
      <c r="BD231" s="93"/>
      <c r="BE231" s="93"/>
      <c r="BF231" s="93"/>
      <c r="BG231" s="93"/>
      <c r="BH231" s="1"/>
    </row>
    <row r="232" spans="1:60" s="2" customFormat="1" ht="21" hidden="1" x14ac:dyDescent="0.2">
      <c r="A232" s="649"/>
      <c r="B232" s="492" t="s">
        <v>308</v>
      </c>
      <c r="C232" s="739" t="s">
        <v>309</v>
      </c>
      <c r="D232" s="749"/>
      <c r="E232" s="253" t="s">
        <v>310</v>
      </c>
      <c r="F232" s="253"/>
      <c r="G232" s="253"/>
      <c r="H232" s="253"/>
      <c r="I232" s="146"/>
      <c r="J232" s="318" t="str">
        <f>J$10</f>
        <v>totaal</v>
      </c>
      <c r="K232" s="142"/>
      <c r="L232" s="142"/>
      <c r="M232" s="318" t="str">
        <f>M$10</f>
        <v>totaal</v>
      </c>
      <c r="N232" s="222"/>
      <c r="O232" s="320" t="str">
        <f t="shared" ref="O232:W232" si="156">O$17</f>
        <v/>
      </c>
      <c r="P232" s="320" t="str">
        <f t="shared" si="156"/>
        <v/>
      </c>
      <c r="Q232" s="320" t="str">
        <f t="shared" si="156"/>
        <v/>
      </c>
      <c r="R232" s="320" t="str">
        <f t="shared" si="156"/>
        <v/>
      </c>
      <c r="S232" s="320" t="str">
        <f t="shared" si="156"/>
        <v/>
      </c>
      <c r="T232" s="320" t="str">
        <f t="shared" si="156"/>
        <v/>
      </c>
      <c r="U232" s="320" t="str">
        <f t="shared" si="156"/>
        <v/>
      </c>
      <c r="V232" s="320" t="str">
        <f t="shared" si="156"/>
        <v/>
      </c>
      <c r="W232" s="320" t="str">
        <f t="shared" si="156"/>
        <v/>
      </c>
      <c r="X232" s="214"/>
      <c r="Y232" s="318" t="str">
        <f>Y$10</f>
        <v>totaal</v>
      </c>
      <c r="Z232" s="222"/>
      <c r="AA232" s="320" t="str">
        <f t="shared" ref="AA232:AI232" si="157">AA$17</f>
        <v/>
      </c>
      <c r="AB232" s="320" t="str">
        <f t="shared" si="157"/>
        <v/>
      </c>
      <c r="AC232" s="320" t="str">
        <f t="shared" si="157"/>
        <v/>
      </c>
      <c r="AD232" s="320" t="str">
        <f t="shared" si="157"/>
        <v/>
      </c>
      <c r="AE232" s="320" t="str">
        <f t="shared" si="157"/>
        <v/>
      </c>
      <c r="AF232" s="320" t="str">
        <f t="shared" si="157"/>
        <v/>
      </c>
      <c r="AG232" s="320" t="str">
        <f t="shared" si="157"/>
        <v/>
      </c>
      <c r="AH232" s="320" t="str">
        <f t="shared" si="157"/>
        <v/>
      </c>
      <c r="AI232" s="320" t="str">
        <f t="shared" si="157"/>
        <v/>
      </c>
      <c r="AJ232" s="214"/>
      <c r="AK232" s="318" t="str">
        <f>AK$10</f>
        <v>totaal</v>
      </c>
      <c r="AL232" s="222"/>
      <c r="AM232" s="320" t="str">
        <f>AM$17</f>
        <v/>
      </c>
      <c r="AN232" s="320" t="str">
        <f t="shared" ref="AN232:AU232" si="158">AN$17</f>
        <v/>
      </c>
      <c r="AO232" s="320" t="str">
        <f t="shared" si="158"/>
        <v/>
      </c>
      <c r="AP232" s="320" t="str">
        <f t="shared" si="158"/>
        <v/>
      </c>
      <c r="AQ232" s="320" t="str">
        <f t="shared" si="158"/>
        <v/>
      </c>
      <c r="AR232" s="320" t="str">
        <f t="shared" si="158"/>
        <v/>
      </c>
      <c r="AS232" s="320" t="str">
        <f t="shared" si="158"/>
        <v/>
      </c>
      <c r="AT232" s="320" t="str">
        <f t="shared" si="158"/>
        <v/>
      </c>
      <c r="AU232" s="320" t="str">
        <f t="shared" si="158"/>
        <v/>
      </c>
      <c r="AV232" s="214"/>
      <c r="AW232" s="318" t="str">
        <f>AW$10</f>
        <v>totaal</v>
      </c>
      <c r="AX232" s="222"/>
      <c r="AY232" s="320" t="str">
        <f>AY$17</f>
        <v/>
      </c>
      <c r="AZ232" s="320" t="str">
        <f t="shared" ref="AZ232:BG232" si="159">AZ$17</f>
        <v/>
      </c>
      <c r="BA232" s="320" t="str">
        <f t="shared" si="159"/>
        <v/>
      </c>
      <c r="BB232" s="320" t="str">
        <f t="shared" si="159"/>
        <v/>
      </c>
      <c r="BC232" s="320" t="str">
        <f t="shared" si="159"/>
        <v/>
      </c>
      <c r="BD232" s="320" t="str">
        <f t="shared" si="159"/>
        <v/>
      </c>
      <c r="BE232" s="320" t="str">
        <f t="shared" si="159"/>
        <v/>
      </c>
      <c r="BF232" s="320" t="str">
        <f t="shared" si="159"/>
        <v/>
      </c>
      <c r="BG232" s="320" t="str">
        <f t="shared" si="159"/>
        <v/>
      </c>
      <c r="BH232" s="1"/>
    </row>
    <row r="233" spans="1:60" ht="18.75" hidden="1" x14ac:dyDescent="0.2">
      <c r="A233" s="648"/>
      <c r="B233" s="492" t="s">
        <v>308</v>
      </c>
      <c r="C233" s="739" t="s">
        <v>309</v>
      </c>
      <c r="D233" s="747"/>
      <c r="E233" s="236" t="s">
        <v>311</v>
      </c>
      <c r="F233" s="236"/>
      <c r="G233" s="236"/>
      <c r="H233" s="89"/>
      <c r="I233" s="236"/>
      <c r="J233" s="236"/>
      <c r="K233" s="236"/>
      <c r="L233" s="236"/>
      <c r="M233" s="236"/>
      <c r="N233" s="236"/>
      <c r="O233" s="236"/>
      <c r="P233" s="236"/>
      <c r="Q233" s="236"/>
      <c r="R233" s="236"/>
      <c r="S233" s="236"/>
      <c r="T233" s="236"/>
      <c r="U233" s="236"/>
      <c r="V233" s="236"/>
      <c r="W233" s="236"/>
      <c r="X233" s="236"/>
      <c r="Y233" s="236"/>
      <c r="Z233" s="236"/>
      <c r="AA233" s="236"/>
      <c r="AB233" s="236"/>
      <c r="AC233" s="236"/>
      <c r="AD233" s="236"/>
      <c r="AE233" s="236"/>
      <c r="AF233" s="236"/>
      <c r="AG233" s="236"/>
      <c r="AH233" s="236"/>
      <c r="AI233" s="236"/>
      <c r="AJ233" s="236"/>
      <c r="AK233" s="236"/>
      <c r="AL233" s="236"/>
      <c r="AM233" s="236"/>
      <c r="AN233" s="236"/>
      <c r="AO233" s="236"/>
      <c r="AP233" s="236"/>
      <c r="AQ233" s="236"/>
      <c r="AR233" s="236"/>
      <c r="AS233" s="236"/>
      <c r="AT233" s="236"/>
      <c r="AU233" s="236"/>
      <c r="AV233" s="236"/>
      <c r="AW233" s="236"/>
      <c r="AX233" s="236"/>
      <c r="AY233" s="236"/>
      <c r="AZ233" s="236"/>
      <c r="BA233" s="236"/>
      <c r="BB233" s="236"/>
      <c r="BC233" s="236"/>
      <c r="BD233" s="236"/>
      <c r="BE233" s="236"/>
      <c r="BF233" s="236"/>
      <c r="BG233" s="236"/>
      <c r="BH233" s="38"/>
    </row>
    <row r="234" spans="1:60" hidden="1" x14ac:dyDescent="0.2">
      <c r="A234" s="648"/>
      <c r="B234" s="492" t="s">
        <v>308</v>
      </c>
      <c r="C234" s="739" t="s">
        <v>309</v>
      </c>
      <c r="D234" s="750" t="s">
        <v>50</v>
      </c>
      <c r="E234" s="220" t="s">
        <v>312</v>
      </c>
      <c r="F234" s="220"/>
      <c r="G234" s="220"/>
      <c r="H234" s="242" t="s">
        <v>70</v>
      </c>
      <c r="I234" s="129"/>
      <c r="J234" s="230"/>
      <c r="K234" s="236"/>
      <c r="L234" s="236"/>
      <c r="M234" s="423">
        <f>SUM(N234:X234)</f>
        <v>0</v>
      </c>
      <c r="N234" s="424"/>
      <c r="O234" s="273">
        <f t="shared" ref="O234:W235" si="160">IF(OR(O$19="",$M60=0),0,O$32*O60/$M60/1000)</f>
        <v>0</v>
      </c>
      <c r="P234" s="273">
        <f t="shared" si="160"/>
        <v>0</v>
      </c>
      <c r="Q234" s="273">
        <f t="shared" si="160"/>
        <v>0</v>
      </c>
      <c r="R234" s="273">
        <f t="shared" si="160"/>
        <v>0</v>
      </c>
      <c r="S234" s="273">
        <f t="shared" si="160"/>
        <v>0</v>
      </c>
      <c r="T234" s="273">
        <f t="shared" si="160"/>
        <v>0</v>
      </c>
      <c r="U234" s="273">
        <f t="shared" si="160"/>
        <v>0</v>
      </c>
      <c r="V234" s="273">
        <f t="shared" si="160"/>
        <v>0</v>
      </c>
      <c r="W234" s="273">
        <f t="shared" si="160"/>
        <v>0</v>
      </c>
      <c r="X234" s="422"/>
      <c r="Y234" s="423">
        <f>SUM(Z234:AJ234)</f>
        <v>0</v>
      </c>
      <c r="Z234" s="424"/>
      <c r="AA234" s="273">
        <f t="shared" ref="AA234:AI235" si="161">IF(OR(AA$19="",$Y60=0),0,AA$32*AA60/$Y60/1000)</f>
        <v>0</v>
      </c>
      <c r="AB234" s="273">
        <f t="shared" si="161"/>
        <v>0</v>
      </c>
      <c r="AC234" s="273">
        <f t="shared" si="161"/>
        <v>0</v>
      </c>
      <c r="AD234" s="273">
        <f t="shared" si="161"/>
        <v>0</v>
      </c>
      <c r="AE234" s="273">
        <f t="shared" si="161"/>
        <v>0</v>
      </c>
      <c r="AF234" s="273">
        <f t="shared" si="161"/>
        <v>0</v>
      </c>
      <c r="AG234" s="273">
        <f t="shared" si="161"/>
        <v>0</v>
      </c>
      <c r="AH234" s="273">
        <f t="shared" si="161"/>
        <v>0</v>
      </c>
      <c r="AI234" s="273">
        <f t="shared" si="161"/>
        <v>0</v>
      </c>
      <c r="AJ234" s="422"/>
      <c r="AK234" s="423">
        <f>SUM(AL234:AV234)</f>
        <v>0</v>
      </c>
      <c r="AL234" s="424"/>
      <c r="AM234" s="273">
        <f t="shared" ref="AM234:AU235" si="162">IF(OR(AM$19="",$AK60=0),0,AM$32*AM60/$AK60/1000)</f>
        <v>0</v>
      </c>
      <c r="AN234" s="273">
        <f t="shared" si="162"/>
        <v>0</v>
      </c>
      <c r="AO234" s="273">
        <f t="shared" si="162"/>
        <v>0</v>
      </c>
      <c r="AP234" s="273">
        <f t="shared" si="162"/>
        <v>0</v>
      </c>
      <c r="AQ234" s="273">
        <f t="shared" si="162"/>
        <v>0</v>
      </c>
      <c r="AR234" s="273">
        <f t="shared" si="162"/>
        <v>0</v>
      </c>
      <c r="AS234" s="273">
        <f t="shared" si="162"/>
        <v>0</v>
      </c>
      <c r="AT234" s="273">
        <f t="shared" si="162"/>
        <v>0</v>
      </c>
      <c r="AU234" s="273">
        <f t="shared" si="162"/>
        <v>0</v>
      </c>
      <c r="AV234" s="422"/>
      <c r="AW234" s="423">
        <f>SUM(AX234:BH234)</f>
        <v>0</v>
      </c>
      <c r="AX234" s="424"/>
      <c r="AY234" s="273">
        <f t="shared" ref="AY234:BG235" si="163">IF(OR(AY$19="",$AW60=0),0,AY$32*AY60/$AW60/1000)</f>
        <v>0</v>
      </c>
      <c r="AZ234" s="273">
        <f t="shared" si="163"/>
        <v>0</v>
      </c>
      <c r="BA234" s="273">
        <f t="shared" si="163"/>
        <v>0</v>
      </c>
      <c r="BB234" s="273">
        <f t="shared" si="163"/>
        <v>0</v>
      </c>
      <c r="BC234" s="273">
        <f t="shared" si="163"/>
        <v>0</v>
      </c>
      <c r="BD234" s="273">
        <f t="shared" si="163"/>
        <v>0</v>
      </c>
      <c r="BE234" s="273">
        <f t="shared" si="163"/>
        <v>0</v>
      </c>
      <c r="BF234" s="273">
        <f t="shared" si="163"/>
        <v>0</v>
      </c>
      <c r="BG234" s="273">
        <f t="shared" si="163"/>
        <v>0</v>
      </c>
      <c r="BH234" s="255"/>
    </row>
    <row r="235" spans="1:60" hidden="1" x14ac:dyDescent="0.2">
      <c r="A235" s="648"/>
      <c r="B235" s="492" t="s">
        <v>308</v>
      </c>
      <c r="C235" s="739" t="s">
        <v>309</v>
      </c>
      <c r="D235" s="747"/>
      <c r="E235" s="220" t="s">
        <v>313</v>
      </c>
      <c r="F235" s="220"/>
      <c r="G235" s="220"/>
      <c r="H235" s="242" t="s">
        <v>70</v>
      </c>
      <c r="I235" s="129"/>
      <c r="J235" s="230"/>
      <c r="K235" s="236"/>
      <c r="L235" s="236"/>
      <c r="M235" s="423">
        <f>SUM(N235:X235)</f>
        <v>0</v>
      </c>
      <c r="N235" s="424"/>
      <c r="O235" s="273">
        <f t="shared" si="160"/>
        <v>0</v>
      </c>
      <c r="P235" s="273">
        <f t="shared" si="160"/>
        <v>0</v>
      </c>
      <c r="Q235" s="273">
        <f t="shared" si="160"/>
        <v>0</v>
      </c>
      <c r="R235" s="273">
        <f t="shared" si="160"/>
        <v>0</v>
      </c>
      <c r="S235" s="273">
        <f t="shared" si="160"/>
        <v>0</v>
      </c>
      <c r="T235" s="273">
        <f t="shared" si="160"/>
        <v>0</v>
      </c>
      <c r="U235" s="273">
        <f t="shared" si="160"/>
        <v>0</v>
      </c>
      <c r="V235" s="273">
        <f t="shared" si="160"/>
        <v>0</v>
      </c>
      <c r="W235" s="273">
        <f t="shared" si="160"/>
        <v>0</v>
      </c>
      <c r="X235" s="422"/>
      <c r="Y235" s="423">
        <f>SUM(Z235:AJ235)</f>
        <v>0</v>
      </c>
      <c r="Z235" s="424"/>
      <c r="AA235" s="273">
        <f t="shared" si="161"/>
        <v>0</v>
      </c>
      <c r="AB235" s="273">
        <f t="shared" si="161"/>
        <v>0</v>
      </c>
      <c r="AC235" s="273">
        <f t="shared" si="161"/>
        <v>0</v>
      </c>
      <c r="AD235" s="273">
        <f t="shared" si="161"/>
        <v>0</v>
      </c>
      <c r="AE235" s="273">
        <f t="shared" si="161"/>
        <v>0</v>
      </c>
      <c r="AF235" s="273">
        <f t="shared" si="161"/>
        <v>0</v>
      </c>
      <c r="AG235" s="273">
        <f t="shared" si="161"/>
        <v>0</v>
      </c>
      <c r="AH235" s="273">
        <f t="shared" si="161"/>
        <v>0</v>
      </c>
      <c r="AI235" s="273">
        <f t="shared" si="161"/>
        <v>0</v>
      </c>
      <c r="AJ235" s="422"/>
      <c r="AK235" s="423">
        <f>SUM(AL235:AV235)</f>
        <v>0</v>
      </c>
      <c r="AL235" s="424"/>
      <c r="AM235" s="273">
        <f t="shared" si="162"/>
        <v>0</v>
      </c>
      <c r="AN235" s="273">
        <f t="shared" si="162"/>
        <v>0</v>
      </c>
      <c r="AO235" s="273">
        <f t="shared" si="162"/>
        <v>0</v>
      </c>
      <c r="AP235" s="273">
        <f t="shared" si="162"/>
        <v>0</v>
      </c>
      <c r="AQ235" s="273">
        <f t="shared" si="162"/>
        <v>0</v>
      </c>
      <c r="AR235" s="273">
        <f t="shared" si="162"/>
        <v>0</v>
      </c>
      <c r="AS235" s="273">
        <f t="shared" si="162"/>
        <v>0</v>
      </c>
      <c r="AT235" s="273">
        <f t="shared" si="162"/>
        <v>0</v>
      </c>
      <c r="AU235" s="273">
        <f t="shared" si="162"/>
        <v>0</v>
      </c>
      <c r="AV235" s="422"/>
      <c r="AW235" s="423">
        <f>SUM(AX235:BH235)</f>
        <v>0</v>
      </c>
      <c r="AX235" s="424"/>
      <c r="AY235" s="273">
        <f t="shared" si="163"/>
        <v>0</v>
      </c>
      <c r="AZ235" s="273">
        <f t="shared" si="163"/>
        <v>0</v>
      </c>
      <c r="BA235" s="273">
        <f t="shared" si="163"/>
        <v>0</v>
      </c>
      <c r="BB235" s="273">
        <f t="shared" si="163"/>
        <v>0</v>
      </c>
      <c r="BC235" s="273">
        <f t="shared" si="163"/>
        <v>0</v>
      </c>
      <c r="BD235" s="273">
        <f t="shared" si="163"/>
        <v>0</v>
      </c>
      <c r="BE235" s="273">
        <f t="shared" si="163"/>
        <v>0</v>
      </c>
      <c r="BF235" s="273">
        <f t="shared" si="163"/>
        <v>0</v>
      </c>
      <c r="BG235" s="273">
        <f t="shared" si="163"/>
        <v>0</v>
      </c>
      <c r="BH235" s="255"/>
    </row>
    <row r="236" spans="1:60" hidden="1" x14ac:dyDescent="0.2">
      <c r="A236" s="648"/>
      <c r="B236" s="492" t="s">
        <v>308</v>
      </c>
      <c r="C236" s="739" t="s">
        <v>309</v>
      </c>
      <c r="D236" s="747"/>
      <c r="E236" s="220" t="s">
        <v>314</v>
      </c>
      <c r="F236" s="220"/>
      <c r="G236" s="220"/>
      <c r="H236" s="242" t="s">
        <v>70</v>
      </c>
      <c r="I236" s="129"/>
      <c r="J236" s="230"/>
      <c r="K236" s="236"/>
      <c r="L236" s="236"/>
      <c r="M236" s="423">
        <f>SUM(N236:X236)</f>
        <v>0</v>
      </c>
      <c r="N236" s="424"/>
      <c r="O236" s="273">
        <f t="shared" ref="O236:W236" si="164">IF(OR(O$19="",$M$62=0),0,O$32*O62/$M62/1000)</f>
        <v>0</v>
      </c>
      <c r="P236" s="273">
        <f t="shared" si="164"/>
        <v>0</v>
      </c>
      <c r="Q236" s="273">
        <f t="shared" si="164"/>
        <v>0</v>
      </c>
      <c r="R236" s="273">
        <f t="shared" si="164"/>
        <v>0</v>
      </c>
      <c r="S236" s="273">
        <f t="shared" si="164"/>
        <v>0</v>
      </c>
      <c r="T236" s="273">
        <f t="shared" si="164"/>
        <v>0</v>
      </c>
      <c r="U236" s="273">
        <f t="shared" si="164"/>
        <v>0</v>
      </c>
      <c r="V236" s="273">
        <f t="shared" si="164"/>
        <v>0</v>
      </c>
      <c r="W236" s="273">
        <f t="shared" si="164"/>
        <v>0</v>
      </c>
      <c r="X236" s="422"/>
      <c r="Y236" s="423">
        <f>SUM(Z236:AJ236)</f>
        <v>0</v>
      </c>
      <c r="Z236" s="424"/>
      <c r="AA236" s="273">
        <f t="shared" ref="AA236:AI236" si="165">IF(OR(AA$19="",$Y$62=0),0,AA$32*AA62/$Y62/1000)</f>
        <v>0</v>
      </c>
      <c r="AB236" s="273">
        <f t="shared" si="165"/>
        <v>0</v>
      </c>
      <c r="AC236" s="273">
        <f t="shared" si="165"/>
        <v>0</v>
      </c>
      <c r="AD236" s="273">
        <f t="shared" si="165"/>
        <v>0</v>
      </c>
      <c r="AE236" s="273">
        <f t="shared" si="165"/>
        <v>0</v>
      </c>
      <c r="AF236" s="273">
        <f t="shared" si="165"/>
        <v>0</v>
      </c>
      <c r="AG236" s="273">
        <f t="shared" si="165"/>
        <v>0</v>
      </c>
      <c r="AH236" s="273">
        <f t="shared" si="165"/>
        <v>0</v>
      </c>
      <c r="AI236" s="273">
        <f t="shared" si="165"/>
        <v>0</v>
      </c>
      <c r="AJ236" s="422"/>
      <c r="AK236" s="423">
        <f>SUM(AL236:AV236)</f>
        <v>0</v>
      </c>
      <c r="AL236" s="424"/>
      <c r="AM236" s="273">
        <f t="shared" ref="AM236:AU236" si="166">IF(OR(AM$19="",$AK$62=0),0,AM$32*AM62/$AK62/1000)</f>
        <v>0</v>
      </c>
      <c r="AN236" s="273">
        <f t="shared" si="166"/>
        <v>0</v>
      </c>
      <c r="AO236" s="273">
        <f t="shared" si="166"/>
        <v>0</v>
      </c>
      <c r="AP236" s="273">
        <f t="shared" si="166"/>
        <v>0</v>
      </c>
      <c r="AQ236" s="273">
        <f t="shared" si="166"/>
        <v>0</v>
      </c>
      <c r="AR236" s="273">
        <f t="shared" si="166"/>
        <v>0</v>
      </c>
      <c r="AS236" s="273">
        <f t="shared" si="166"/>
        <v>0</v>
      </c>
      <c r="AT236" s="273">
        <f t="shared" si="166"/>
        <v>0</v>
      </c>
      <c r="AU236" s="273">
        <f t="shared" si="166"/>
        <v>0</v>
      </c>
      <c r="AV236" s="422"/>
      <c r="AW236" s="423">
        <f>SUM(AX236:BH236)</f>
        <v>0</v>
      </c>
      <c r="AX236" s="424"/>
      <c r="AY236" s="273">
        <f t="shared" ref="AY236:BG236" si="167">IF(OR(AY$19="",$AW$62=0),0,AY$32*AY62/$AW62/1000)</f>
        <v>0</v>
      </c>
      <c r="AZ236" s="273">
        <f t="shared" si="167"/>
        <v>0</v>
      </c>
      <c r="BA236" s="273">
        <f t="shared" si="167"/>
        <v>0</v>
      </c>
      <c r="BB236" s="273">
        <f t="shared" si="167"/>
        <v>0</v>
      </c>
      <c r="BC236" s="273">
        <f t="shared" si="167"/>
        <v>0</v>
      </c>
      <c r="BD236" s="273">
        <f t="shared" si="167"/>
        <v>0</v>
      </c>
      <c r="BE236" s="273">
        <f t="shared" si="167"/>
        <v>0</v>
      </c>
      <c r="BF236" s="273">
        <f t="shared" si="167"/>
        <v>0</v>
      </c>
      <c r="BG236" s="273">
        <f t="shared" si="167"/>
        <v>0</v>
      </c>
      <c r="BH236" s="255"/>
    </row>
    <row r="237" spans="1:60" hidden="1" x14ac:dyDescent="0.2">
      <c r="A237" s="648"/>
      <c r="B237" s="492" t="s">
        <v>308</v>
      </c>
      <c r="C237" s="739" t="s">
        <v>309</v>
      </c>
      <c r="D237" s="747"/>
      <c r="E237" s="90"/>
      <c r="F237" s="90"/>
      <c r="G237" s="90"/>
      <c r="H237" s="96"/>
      <c r="I237" s="90"/>
      <c r="J237" s="93"/>
      <c r="K237" s="90"/>
      <c r="L237" s="90"/>
      <c r="M237" s="93"/>
      <c r="N237" s="90"/>
      <c r="O237" s="92"/>
      <c r="P237" s="93"/>
      <c r="Q237" s="93"/>
      <c r="R237" s="93"/>
      <c r="S237" s="93"/>
      <c r="T237" s="93"/>
      <c r="U237" s="93"/>
      <c r="V237" s="93"/>
      <c r="W237" s="93"/>
      <c r="X237" s="93"/>
      <c r="Y237" s="93"/>
      <c r="Z237" s="90"/>
      <c r="AA237" s="93"/>
      <c r="AB237" s="93"/>
      <c r="AC237" s="93"/>
      <c r="AD237" s="93"/>
      <c r="AE237" s="93"/>
      <c r="AF237" s="93"/>
      <c r="AG237" s="93"/>
      <c r="AH237" s="93"/>
      <c r="AI237" s="93"/>
      <c r="AJ237" s="93"/>
      <c r="AK237" s="93"/>
      <c r="AL237" s="90"/>
      <c r="AM237" s="93"/>
      <c r="AN237" s="93"/>
      <c r="AO237" s="93"/>
      <c r="AP237" s="93"/>
      <c r="AQ237" s="93"/>
      <c r="AR237" s="93"/>
      <c r="AS237" s="93"/>
      <c r="AT237" s="93"/>
      <c r="AU237" s="93"/>
      <c r="AV237" s="93"/>
      <c r="AW237" s="93"/>
      <c r="AX237" s="90"/>
      <c r="AY237" s="93"/>
      <c r="AZ237" s="93"/>
      <c r="BA237" s="93"/>
      <c r="BB237" s="93"/>
      <c r="BC237" s="93"/>
      <c r="BD237" s="93"/>
      <c r="BE237" s="93"/>
      <c r="BF237" s="93"/>
      <c r="BG237" s="93"/>
      <c r="BH237" s="1"/>
    </row>
    <row r="238" spans="1:60" x14ac:dyDescent="0.2">
      <c r="A238" s="648"/>
      <c r="B238" s="492" t="s">
        <v>315</v>
      </c>
      <c r="C238" s="656" t="s">
        <v>104</v>
      </c>
      <c r="D238" s="747"/>
      <c r="E238" s="90"/>
      <c r="F238" s="90"/>
      <c r="G238" s="90"/>
      <c r="H238" s="96"/>
      <c r="I238" s="90"/>
      <c r="J238" s="93"/>
      <c r="K238" s="90"/>
      <c r="L238" s="90"/>
      <c r="M238" s="93"/>
      <c r="N238" s="90"/>
      <c r="O238" s="93"/>
      <c r="P238" s="93"/>
      <c r="Q238" s="93"/>
      <c r="R238" s="93"/>
      <c r="S238" s="93"/>
      <c r="T238" s="93"/>
      <c r="U238" s="93"/>
      <c r="V238" s="93"/>
      <c r="W238" s="93"/>
      <c r="X238" s="93"/>
      <c r="Y238" s="93"/>
      <c r="Z238" s="90"/>
      <c r="AA238" s="93"/>
      <c r="AB238" s="93"/>
      <c r="AC238" s="93"/>
      <c r="AD238" s="93"/>
      <c r="AE238" s="93"/>
      <c r="AF238" s="93"/>
      <c r="AG238" s="93"/>
      <c r="AH238" s="93"/>
      <c r="AI238" s="93"/>
      <c r="AJ238" s="93"/>
      <c r="AK238" s="93"/>
      <c r="AL238" s="90"/>
      <c r="AM238" s="93"/>
      <c r="AN238" s="93"/>
      <c r="AO238" s="93"/>
      <c r="AP238" s="93"/>
      <c r="AQ238" s="93"/>
      <c r="AR238" s="93"/>
      <c r="AS238" s="93"/>
      <c r="AT238" s="93"/>
      <c r="AU238" s="93"/>
      <c r="AV238" s="93"/>
      <c r="AW238" s="93"/>
      <c r="AX238" s="90"/>
      <c r="AY238" s="93"/>
      <c r="AZ238" s="93"/>
      <c r="BA238" s="93"/>
      <c r="BB238" s="93"/>
      <c r="BC238" s="93"/>
      <c r="BD238" s="93"/>
      <c r="BE238" s="93"/>
      <c r="BF238" s="93"/>
      <c r="BG238" s="93"/>
      <c r="BH238" s="1"/>
    </row>
    <row r="239" spans="1:60" s="2" customFormat="1" ht="21" x14ac:dyDescent="0.2">
      <c r="A239" s="649"/>
      <c r="B239" s="492" t="s">
        <v>315</v>
      </c>
      <c r="C239" s="739" t="s">
        <v>104</v>
      </c>
      <c r="D239" s="749" t="s">
        <v>50</v>
      </c>
      <c r="E239" s="253" t="s">
        <v>114</v>
      </c>
      <c r="F239" s="253"/>
      <c r="G239" s="253"/>
      <c r="H239" s="253"/>
      <c r="I239" s="146"/>
      <c r="J239" s="318" t="str">
        <f>J$10&amp;" MWh"</f>
        <v>totaal MWh</v>
      </c>
      <c r="K239" s="142"/>
      <c r="L239" s="142"/>
      <c r="M239" s="318" t="str">
        <f>M$10&amp;" MWh"</f>
        <v>totaal MWh</v>
      </c>
      <c r="N239" s="222"/>
      <c r="O239" s="320" t="str">
        <f t="shared" ref="O239:W239" si="168">O$17</f>
        <v/>
      </c>
      <c r="P239" s="320" t="str">
        <f t="shared" si="168"/>
        <v/>
      </c>
      <c r="Q239" s="320" t="str">
        <f t="shared" si="168"/>
        <v/>
      </c>
      <c r="R239" s="320" t="str">
        <f t="shared" si="168"/>
        <v/>
      </c>
      <c r="S239" s="320" t="str">
        <f t="shared" si="168"/>
        <v/>
      </c>
      <c r="T239" s="320" t="str">
        <f t="shared" si="168"/>
        <v/>
      </c>
      <c r="U239" s="320" t="str">
        <f t="shared" si="168"/>
        <v/>
      </c>
      <c r="V239" s="320" t="str">
        <f t="shared" si="168"/>
        <v/>
      </c>
      <c r="W239" s="320" t="str">
        <f t="shared" si="168"/>
        <v/>
      </c>
      <c r="X239" s="214"/>
      <c r="Y239" s="318" t="str">
        <f>Y$10&amp;" MWh"</f>
        <v>totaal MWh</v>
      </c>
      <c r="Z239" s="222"/>
      <c r="AA239" s="320" t="str">
        <f t="shared" ref="AA239:AI239" si="169">AA$17</f>
        <v/>
      </c>
      <c r="AB239" s="320" t="str">
        <f t="shared" si="169"/>
        <v/>
      </c>
      <c r="AC239" s="320" t="str">
        <f t="shared" si="169"/>
        <v/>
      </c>
      <c r="AD239" s="320" t="str">
        <f t="shared" si="169"/>
        <v/>
      </c>
      <c r="AE239" s="320" t="str">
        <f t="shared" si="169"/>
        <v/>
      </c>
      <c r="AF239" s="320" t="str">
        <f t="shared" si="169"/>
        <v/>
      </c>
      <c r="AG239" s="320" t="str">
        <f t="shared" si="169"/>
        <v/>
      </c>
      <c r="AH239" s="320" t="str">
        <f t="shared" si="169"/>
        <v/>
      </c>
      <c r="AI239" s="320" t="str">
        <f t="shared" si="169"/>
        <v/>
      </c>
      <c r="AJ239" s="214"/>
      <c r="AK239" s="318" t="str">
        <f>AK$10&amp;" MWh"</f>
        <v>totaal MWh</v>
      </c>
      <c r="AL239" s="222"/>
      <c r="AM239" s="320" t="str">
        <f>AM$17</f>
        <v/>
      </c>
      <c r="AN239" s="320" t="str">
        <f t="shared" ref="AN239:AU239" si="170">AN$17</f>
        <v/>
      </c>
      <c r="AO239" s="320" t="str">
        <f t="shared" si="170"/>
        <v/>
      </c>
      <c r="AP239" s="320" t="str">
        <f t="shared" si="170"/>
        <v/>
      </c>
      <c r="AQ239" s="320" t="str">
        <f t="shared" si="170"/>
        <v/>
      </c>
      <c r="AR239" s="320" t="str">
        <f t="shared" si="170"/>
        <v/>
      </c>
      <c r="AS239" s="320" t="str">
        <f t="shared" si="170"/>
        <v/>
      </c>
      <c r="AT239" s="320" t="str">
        <f t="shared" si="170"/>
        <v/>
      </c>
      <c r="AU239" s="320" t="str">
        <f t="shared" si="170"/>
        <v/>
      </c>
      <c r="AV239" s="214"/>
      <c r="AW239" s="318" t="str">
        <f>AW$10&amp;" MWh"</f>
        <v>totaal MWh</v>
      </c>
      <c r="AX239" s="222"/>
      <c r="AY239" s="320" t="str">
        <f>AY$17</f>
        <v/>
      </c>
      <c r="AZ239" s="320" t="str">
        <f t="shared" ref="AZ239:BG239" si="171">AZ$17</f>
        <v/>
      </c>
      <c r="BA239" s="320" t="str">
        <f t="shared" si="171"/>
        <v/>
      </c>
      <c r="BB239" s="320" t="str">
        <f t="shared" si="171"/>
        <v/>
      </c>
      <c r="BC239" s="320" t="str">
        <f t="shared" si="171"/>
        <v/>
      </c>
      <c r="BD239" s="320" t="str">
        <f t="shared" si="171"/>
        <v/>
      </c>
      <c r="BE239" s="320" t="str">
        <f t="shared" si="171"/>
        <v/>
      </c>
      <c r="BF239" s="320" t="str">
        <f t="shared" si="171"/>
        <v/>
      </c>
      <c r="BG239" s="320" t="str">
        <f t="shared" si="171"/>
        <v/>
      </c>
      <c r="BH239" s="1"/>
    </row>
    <row r="240" spans="1:60" ht="18.75" x14ac:dyDescent="0.2">
      <c r="A240" s="648"/>
      <c r="B240" s="492" t="s">
        <v>315</v>
      </c>
      <c r="C240" s="739" t="s">
        <v>104</v>
      </c>
      <c r="D240" s="747"/>
      <c r="E240" s="236" t="s">
        <v>316</v>
      </c>
      <c r="F240" s="236"/>
      <c r="G240" s="236"/>
      <c r="H240" s="89"/>
      <c r="I240" s="236"/>
      <c r="J240" s="236"/>
      <c r="K240" s="236"/>
      <c r="L240" s="236"/>
      <c r="M240" s="236"/>
      <c r="N240" s="236"/>
      <c r="O240" s="236"/>
      <c r="P240" s="236"/>
      <c r="Q240" s="236"/>
      <c r="R240" s="236"/>
      <c r="S240" s="236"/>
      <c r="T240" s="236"/>
      <c r="U240" s="236"/>
      <c r="V240" s="236"/>
      <c r="W240" s="236"/>
      <c r="X240" s="236"/>
      <c r="Y240" s="236"/>
      <c r="Z240" s="236"/>
      <c r="AA240" s="236"/>
      <c r="AB240" s="236"/>
      <c r="AC240" s="236"/>
      <c r="AD240" s="236"/>
      <c r="AE240" s="236"/>
      <c r="AF240" s="236"/>
      <c r="AG240" s="236"/>
      <c r="AH240" s="236"/>
      <c r="AI240" s="236"/>
      <c r="AJ240" s="236"/>
      <c r="AK240" s="236"/>
      <c r="AL240" s="236"/>
      <c r="AM240" s="236"/>
      <c r="AN240" s="236"/>
      <c r="AO240" s="236"/>
      <c r="AP240" s="236"/>
      <c r="AQ240" s="236"/>
      <c r="AR240" s="236"/>
      <c r="AS240" s="236"/>
      <c r="AT240" s="236"/>
      <c r="AU240" s="236"/>
      <c r="AV240" s="236"/>
      <c r="AW240" s="236"/>
      <c r="AX240" s="236"/>
      <c r="AY240" s="236"/>
      <c r="AZ240" s="236"/>
      <c r="BA240" s="236"/>
      <c r="BB240" s="236"/>
      <c r="BC240" s="236"/>
      <c r="BD240" s="236"/>
      <c r="BE240" s="236"/>
      <c r="BF240" s="236"/>
      <c r="BG240" s="236"/>
      <c r="BH240" s="38"/>
    </row>
    <row r="241" spans="1:60" x14ac:dyDescent="0.2">
      <c r="A241" s="648"/>
      <c r="B241" s="492" t="s">
        <v>315</v>
      </c>
      <c r="C241" s="656" t="s">
        <v>113</v>
      </c>
      <c r="D241" s="750"/>
      <c r="E241" s="367" t="str">
        <f>$O$73</f>
        <v>verwarming</v>
      </c>
      <c r="F241" s="220"/>
      <c r="G241" s="220"/>
      <c r="H241" s="242" t="s">
        <v>317</v>
      </c>
      <c r="I241" s="129"/>
      <c r="J241" s="243">
        <f t="shared" ref="J241:J249" si="172">M241+Y241+AK241+AW241</f>
        <v>0</v>
      </c>
      <c r="K241" s="236"/>
      <c r="L241" s="236"/>
      <c r="M241" s="243">
        <f t="shared" ref="M241:M248" si="173">SUMPRODUCT(N241:X241,N$24:X$24,N$31:X$31)/1000</f>
        <v>0</v>
      </c>
      <c r="N241" s="129"/>
      <c r="O241" s="207">
        <f t="shared" ref="O241:W241" si="174">IF(OR(O$24=0,$O$75=0),0,
(($O$117+$O$142+$O$159)/$O$75)*O60)</f>
        <v>0</v>
      </c>
      <c r="P241" s="207">
        <f t="shared" si="174"/>
        <v>0</v>
      </c>
      <c r="Q241" s="207">
        <f t="shared" si="174"/>
        <v>0</v>
      </c>
      <c r="R241" s="207">
        <f t="shared" si="174"/>
        <v>0</v>
      </c>
      <c r="S241" s="207">
        <f t="shared" si="174"/>
        <v>0</v>
      </c>
      <c r="T241" s="207">
        <f t="shared" si="174"/>
        <v>0</v>
      </c>
      <c r="U241" s="207">
        <f t="shared" si="174"/>
        <v>0</v>
      </c>
      <c r="V241" s="207">
        <f t="shared" si="174"/>
        <v>0</v>
      </c>
      <c r="W241" s="207">
        <f t="shared" si="174"/>
        <v>0</v>
      </c>
      <c r="X241" s="128"/>
      <c r="Y241" s="243">
        <f t="shared" ref="Y241:Y248" si="175">SUMPRODUCT(Z241:AJ241,Z$24:AJ$24,Z$31:AJ$31)/1000</f>
        <v>0</v>
      </c>
      <c r="Z241" s="129"/>
      <c r="AA241" s="207">
        <f t="shared" ref="AA241:AI241" si="176">IF(AA$24=0,0,
(($AA$117+$AA$142+$AA$159)/$AA$75)*AA60)</f>
        <v>0</v>
      </c>
      <c r="AB241" s="207">
        <f t="shared" si="176"/>
        <v>0</v>
      </c>
      <c r="AC241" s="207">
        <f t="shared" si="176"/>
        <v>0</v>
      </c>
      <c r="AD241" s="207">
        <f t="shared" si="176"/>
        <v>0</v>
      </c>
      <c r="AE241" s="207">
        <f t="shared" si="176"/>
        <v>0</v>
      </c>
      <c r="AF241" s="207">
        <f t="shared" si="176"/>
        <v>0</v>
      </c>
      <c r="AG241" s="207">
        <f t="shared" si="176"/>
        <v>0</v>
      </c>
      <c r="AH241" s="207">
        <f t="shared" si="176"/>
        <v>0</v>
      </c>
      <c r="AI241" s="207">
        <f t="shared" si="176"/>
        <v>0</v>
      </c>
      <c r="AJ241" s="128"/>
      <c r="AK241" s="243">
        <f t="shared" ref="AK241:AK248" si="177">SUMPRODUCT(AL241:AV241,AL$24:AV$24,AL$31:AV$31)/1000</f>
        <v>0</v>
      </c>
      <c r="AL241" s="129"/>
      <c r="AM241" s="207">
        <f t="shared" ref="AM241:AU241" si="178">IF(AM$24=0,0,
(($AM$117+$AM$142+$AM$159)/$AM$75)*AM60)</f>
        <v>0</v>
      </c>
      <c r="AN241" s="207">
        <f t="shared" si="178"/>
        <v>0</v>
      </c>
      <c r="AO241" s="207">
        <f t="shared" si="178"/>
        <v>0</v>
      </c>
      <c r="AP241" s="207">
        <f t="shared" si="178"/>
        <v>0</v>
      </c>
      <c r="AQ241" s="207">
        <f t="shared" si="178"/>
        <v>0</v>
      </c>
      <c r="AR241" s="207">
        <f t="shared" si="178"/>
        <v>0</v>
      </c>
      <c r="AS241" s="207">
        <f t="shared" si="178"/>
        <v>0</v>
      </c>
      <c r="AT241" s="207">
        <f t="shared" si="178"/>
        <v>0</v>
      </c>
      <c r="AU241" s="207">
        <f t="shared" si="178"/>
        <v>0</v>
      </c>
      <c r="AV241" s="128"/>
      <c r="AW241" s="243">
        <f t="shared" ref="AW241:AW248" si="179">SUMPRODUCT(AX241:BH241,AX$24:BH$24,AX$31:BH$31)/1000</f>
        <v>0</v>
      </c>
      <c r="AX241" s="129"/>
      <c r="AY241" s="207">
        <f t="shared" ref="AY241:BG241" si="180">IF(AY$24=0,0,
(($AY$117+$AY$142+$AY$159)/$AY$75)*AY60)</f>
        <v>0</v>
      </c>
      <c r="AZ241" s="207">
        <f t="shared" si="180"/>
        <v>0</v>
      </c>
      <c r="BA241" s="207">
        <f t="shared" si="180"/>
        <v>0</v>
      </c>
      <c r="BB241" s="207">
        <f t="shared" si="180"/>
        <v>0</v>
      </c>
      <c r="BC241" s="207">
        <f t="shared" si="180"/>
        <v>0</v>
      </c>
      <c r="BD241" s="207">
        <f t="shared" si="180"/>
        <v>0</v>
      </c>
      <c r="BE241" s="207">
        <f t="shared" si="180"/>
        <v>0</v>
      </c>
      <c r="BF241" s="207">
        <f t="shared" si="180"/>
        <v>0</v>
      </c>
      <c r="BG241" s="207">
        <f t="shared" si="180"/>
        <v>0</v>
      </c>
      <c r="BH241" s="255"/>
    </row>
    <row r="242" spans="1:60" x14ac:dyDescent="0.2">
      <c r="A242" s="648"/>
      <c r="B242" s="492" t="s">
        <v>315</v>
      </c>
      <c r="C242" s="656" t="s">
        <v>113</v>
      </c>
      <c r="D242" s="750"/>
      <c r="E242" s="367" t="str">
        <f>$P$73</f>
        <v>koeling</v>
      </c>
      <c r="F242" s="220"/>
      <c r="G242" s="220"/>
      <c r="H242" s="242" t="s">
        <v>317</v>
      </c>
      <c r="I242" s="129"/>
      <c r="J242" s="243">
        <f t="shared" si="172"/>
        <v>0</v>
      </c>
      <c r="K242" s="236"/>
      <c r="L242" s="236"/>
      <c r="M242" s="243">
        <f t="shared" si="173"/>
        <v>0</v>
      </c>
      <c r="N242" s="129"/>
      <c r="O242" s="207">
        <f t="shared" ref="O242:W242" si="181">IF(OR(O$24=0,$P$75=0),0,
(($P$117+$P$142+$P$159)/$P$75)*O61)</f>
        <v>0</v>
      </c>
      <c r="P242" s="207">
        <f t="shared" si="181"/>
        <v>0</v>
      </c>
      <c r="Q242" s="207">
        <f t="shared" si="181"/>
        <v>0</v>
      </c>
      <c r="R242" s="207">
        <f t="shared" si="181"/>
        <v>0</v>
      </c>
      <c r="S242" s="207">
        <f t="shared" si="181"/>
        <v>0</v>
      </c>
      <c r="T242" s="207">
        <f t="shared" si="181"/>
        <v>0</v>
      </c>
      <c r="U242" s="207">
        <f t="shared" si="181"/>
        <v>0</v>
      </c>
      <c r="V242" s="207">
        <f t="shared" si="181"/>
        <v>0</v>
      </c>
      <c r="W242" s="207">
        <f t="shared" si="181"/>
        <v>0</v>
      </c>
      <c r="X242" s="128"/>
      <c r="Y242" s="243">
        <f t="shared" si="175"/>
        <v>0</v>
      </c>
      <c r="Z242" s="129"/>
      <c r="AA242" s="207">
        <f t="shared" ref="AA242:AI242" si="182">IF(OR(AA$24=0,$AB$75=0),0,
(($AB$117+$AB$142+$AB$159)/$AB$75)*AA61)</f>
        <v>0</v>
      </c>
      <c r="AB242" s="207">
        <f t="shared" si="182"/>
        <v>0</v>
      </c>
      <c r="AC242" s="207">
        <f t="shared" si="182"/>
        <v>0</v>
      </c>
      <c r="AD242" s="207">
        <f t="shared" si="182"/>
        <v>0</v>
      </c>
      <c r="AE242" s="207">
        <f t="shared" si="182"/>
        <v>0</v>
      </c>
      <c r="AF242" s="207">
        <f t="shared" si="182"/>
        <v>0</v>
      </c>
      <c r="AG242" s="207">
        <f t="shared" si="182"/>
        <v>0</v>
      </c>
      <c r="AH242" s="207">
        <f t="shared" si="182"/>
        <v>0</v>
      </c>
      <c r="AI242" s="207">
        <f t="shared" si="182"/>
        <v>0</v>
      </c>
      <c r="AJ242" s="128"/>
      <c r="AK242" s="243">
        <f t="shared" si="177"/>
        <v>0</v>
      </c>
      <c r="AL242" s="129"/>
      <c r="AM242" s="207">
        <f t="shared" ref="AM242:AU242" si="183">IF(OR(AM$24=0,$AN$75=0),0,
(($AN$117+$AN$142+$AN$159)/$AN$75)*AM61)</f>
        <v>0</v>
      </c>
      <c r="AN242" s="207">
        <f t="shared" si="183"/>
        <v>0</v>
      </c>
      <c r="AO242" s="207">
        <f t="shared" si="183"/>
        <v>0</v>
      </c>
      <c r="AP242" s="207">
        <f t="shared" si="183"/>
        <v>0</v>
      </c>
      <c r="AQ242" s="207">
        <f t="shared" si="183"/>
        <v>0</v>
      </c>
      <c r="AR242" s="207">
        <f t="shared" si="183"/>
        <v>0</v>
      </c>
      <c r="AS242" s="207">
        <f t="shared" si="183"/>
        <v>0</v>
      </c>
      <c r="AT242" s="207">
        <f t="shared" si="183"/>
        <v>0</v>
      </c>
      <c r="AU242" s="207">
        <f t="shared" si="183"/>
        <v>0</v>
      </c>
      <c r="AV242" s="128"/>
      <c r="AW242" s="243">
        <f t="shared" si="179"/>
        <v>0</v>
      </c>
      <c r="AX242" s="129"/>
      <c r="AY242" s="207">
        <f t="shared" ref="AY242:BG242" si="184">IF(OR(AY$24=0,$AZ$75=0),0,
(($AZ$117+$AZ$142+$AZ$159)/$AZ$75)*AY61)</f>
        <v>0</v>
      </c>
      <c r="AZ242" s="207">
        <f t="shared" si="184"/>
        <v>0</v>
      </c>
      <c r="BA242" s="207">
        <f t="shared" si="184"/>
        <v>0</v>
      </c>
      <c r="BB242" s="207">
        <f t="shared" si="184"/>
        <v>0</v>
      </c>
      <c r="BC242" s="207">
        <f t="shared" si="184"/>
        <v>0</v>
      </c>
      <c r="BD242" s="207">
        <f t="shared" si="184"/>
        <v>0</v>
      </c>
      <c r="BE242" s="207">
        <f t="shared" si="184"/>
        <v>0</v>
      </c>
      <c r="BF242" s="207">
        <f t="shared" si="184"/>
        <v>0</v>
      </c>
      <c r="BG242" s="207">
        <f t="shared" si="184"/>
        <v>0</v>
      </c>
      <c r="BH242" s="255"/>
    </row>
    <row r="243" spans="1:60" x14ac:dyDescent="0.2">
      <c r="A243" s="648"/>
      <c r="B243" s="492" t="s">
        <v>315</v>
      </c>
      <c r="C243" s="656" t="s">
        <v>113</v>
      </c>
      <c r="D243" s="750"/>
      <c r="E243" s="367" t="str">
        <f>$Q$73</f>
        <v>tapwater</v>
      </c>
      <c r="F243" s="220"/>
      <c r="G243" s="220"/>
      <c r="H243" s="242" t="s">
        <v>317</v>
      </c>
      <c r="I243" s="129"/>
      <c r="J243" s="243">
        <f t="shared" si="172"/>
        <v>0</v>
      </c>
      <c r="K243" s="236"/>
      <c r="L243" s="236"/>
      <c r="M243" s="243">
        <f t="shared" si="173"/>
        <v>0</v>
      </c>
      <c r="N243" s="129"/>
      <c r="O243" s="207">
        <f t="shared" ref="O243:W243" si="185">IF(O$24=0,0,
(($Q$117+$Q$142+$Q$159)/$Q$75)*O62)</f>
        <v>0</v>
      </c>
      <c r="P243" s="207">
        <f t="shared" si="185"/>
        <v>0</v>
      </c>
      <c r="Q243" s="207">
        <f t="shared" si="185"/>
        <v>0</v>
      </c>
      <c r="R243" s="207">
        <f t="shared" si="185"/>
        <v>0</v>
      </c>
      <c r="S243" s="207">
        <f t="shared" si="185"/>
        <v>0</v>
      </c>
      <c r="T243" s="207">
        <f t="shared" si="185"/>
        <v>0</v>
      </c>
      <c r="U243" s="207">
        <f t="shared" si="185"/>
        <v>0</v>
      </c>
      <c r="V243" s="207">
        <f t="shared" si="185"/>
        <v>0</v>
      </c>
      <c r="W243" s="207">
        <f t="shared" si="185"/>
        <v>0</v>
      </c>
      <c r="X243" s="128"/>
      <c r="Y243" s="243">
        <f t="shared" si="175"/>
        <v>0</v>
      </c>
      <c r="Z243" s="129"/>
      <c r="AA243" s="207">
        <f t="shared" ref="AA243:AI243" si="186">IF(AA$24=0,0,
(($AC$117+$AC$142+$AC$159)/$AC$75)*AA62)</f>
        <v>0</v>
      </c>
      <c r="AB243" s="207">
        <f t="shared" si="186"/>
        <v>0</v>
      </c>
      <c r="AC243" s="207">
        <f t="shared" si="186"/>
        <v>0</v>
      </c>
      <c r="AD243" s="207">
        <f t="shared" si="186"/>
        <v>0</v>
      </c>
      <c r="AE243" s="207">
        <f t="shared" si="186"/>
        <v>0</v>
      </c>
      <c r="AF243" s="207">
        <f t="shared" si="186"/>
        <v>0</v>
      </c>
      <c r="AG243" s="207">
        <f t="shared" si="186"/>
        <v>0</v>
      </c>
      <c r="AH243" s="207">
        <f t="shared" si="186"/>
        <v>0</v>
      </c>
      <c r="AI243" s="207">
        <f t="shared" si="186"/>
        <v>0</v>
      </c>
      <c r="AJ243" s="128"/>
      <c r="AK243" s="243">
        <f t="shared" si="177"/>
        <v>0</v>
      </c>
      <c r="AL243" s="129"/>
      <c r="AM243" s="207">
        <f t="shared" ref="AM243:AU243" si="187">IF(AM$24=0,0,
(($AO$117+$AO$142+$AO$159)/$AO$75)*AM62)</f>
        <v>0</v>
      </c>
      <c r="AN243" s="207">
        <f t="shared" si="187"/>
        <v>0</v>
      </c>
      <c r="AO243" s="207">
        <f t="shared" si="187"/>
        <v>0</v>
      </c>
      <c r="AP243" s="207">
        <f t="shared" si="187"/>
        <v>0</v>
      </c>
      <c r="AQ243" s="207">
        <f t="shared" si="187"/>
        <v>0</v>
      </c>
      <c r="AR243" s="207">
        <f t="shared" si="187"/>
        <v>0</v>
      </c>
      <c r="AS243" s="207">
        <f t="shared" si="187"/>
        <v>0</v>
      </c>
      <c r="AT243" s="207">
        <f t="shared" si="187"/>
        <v>0</v>
      </c>
      <c r="AU243" s="207">
        <f t="shared" si="187"/>
        <v>0</v>
      </c>
      <c r="AV243" s="128"/>
      <c r="AW243" s="243">
        <f t="shared" si="179"/>
        <v>0</v>
      </c>
      <c r="AX243" s="129"/>
      <c r="AY243" s="207">
        <f t="shared" ref="AY243:BG243" si="188">IF(AY$24=0,0,
(($BA$117+$BA$142+$BA$159)/$BA$75)*AY62)</f>
        <v>0</v>
      </c>
      <c r="AZ243" s="207">
        <f t="shared" si="188"/>
        <v>0</v>
      </c>
      <c r="BA243" s="207">
        <f t="shared" si="188"/>
        <v>0</v>
      </c>
      <c r="BB243" s="207">
        <f t="shared" si="188"/>
        <v>0</v>
      </c>
      <c r="BC243" s="207">
        <f t="shared" si="188"/>
        <v>0</v>
      </c>
      <c r="BD243" s="207">
        <f t="shared" si="188"/>
        <v>0</v>
      </c>
      <c r="BE243" s="207">
        <f t="shared" si="188"/>
        <v>0</v>
      </c>
      <c r="BF243" s="207">
        <f t="shared" si="188"/>
        <v>0</v>
      </c>
      <c r="BG243" s="207">
        <f t="shared" si="188"/>
        <v>0</v>
      </c>
      <c r="BH243" s="255"/>
    </row>
    <row r="244" spans="1:60" x14ac:dyDescent="0.2">
      <c r="A244" s="648"/>
      <c r="B244" s="492" t="s">
        <v>315</v>
      </c>
      <c r="C244" s="656" t="s">
        <v>113</v>
      </c>
      <c r="D244" s="750"/>
      <c r="E244" s="367" t="str">
        <f>$R$73</f>
        <v>verlichting</v>
      </c>
      <c r="F244" s="220"/>
      <c r="G244" s="220"/>
      <c r="H244" s="242" t="s">
        <v>317</v>
      </c>
      <c r="I244" s="129"/>
      <c r="J244" s="243">
        <f t="shared" si="172"/>
        <v>0</v>
      </c>
      <c r="K244" s="236"/>
      <c r="L244" s="236"/>
      <c r="M244" s="243">
        <f t="shared" si="173"/>
        <v>0</v>
      </c>
      <c r="N244" s="129"/>
      <c r="O244" s="207">
        <f t="shared" ref="O244:W244" si="189">IF(O$24=0,0,$R$159/$R$75*O63)</f>
        <v>0</v>
      </c>
      <c r="P244" s="207">
        <f t="shared" si="189"/>
        <v>0</v>
      </c>
      <c r="Q244" s="207">
        <f t="shared" si="189"/>
        <v>0</v>
      </c>
      <c r="R244" s="207">
        <f t="shared" si="189"/>
        <v>0</v>
      </c>
      <c r="S244" s="207">
        <f t="shared" si="189"/>
        <v>0</v>
      </c>
      <c r="T244" s="207">
        <f t="shared" si="189"/>
        <v>0</v>
      </c>
      <c r="U244" s="207">
        <f t="shared" si="189"/>
        <v>0</v>
      </c>
      <c r="V244" s="207">
        <f t="shared" si="189"/>
        <v>0</v>
      </c>
      <c r="W244" s="207">
        <f t="shared" si="189"/>
        <v>0</v>
      </c>
      <c r="X244" s="128"/>
      <c r="Y244" s="243">
        <f t="shared" si="175"/>
        <v>0</v>
      </c>
      <c r="Z244" s="129"/>
      <c r="AA244" s="207">
        <f t="shared" ref="AA244:AI244" si="190">IF(AA$24=0,0,$AD$159/$AD$75*AA63)</f>
        <v>0</v>
      </c>
      <c r="AB244" s="207">
        <f t="shared" si="190"/>
        <v>0</v>
      </c>
      <c r="AC244" s="207">
        <f t="shared" si="190"/>
        <v>0</v>
      </c>
      <c r="AD244" s="207">
        <f t="shared" si="190"/>
        <v>0</v>
      </c>
      <c r="AE244" s="207">
        <f t="shared" si="190"/>
        <v>0</v>
      </c>
      <c r="AF244" s="207">
        <f t="shared" si="190"/>
        <v>0</v>
      </c>
      <c r="AG244" s="207">
        <f t="shared" si="190"/>
        <v>0</v>
      </c>
      <c r="AH244" s="207">
        <f t="shared" si="190"/>
        <v>0</v>
      </c>
      <c r="AI244" s="207">
        <f t="shared" si="190"/>
        <v>0</v>
      </c>
      <c r="AJ244" s="128"/>
      <c r="AK244" s="243">
        <f t="shared" si="177"/>
        <v>0</v>
      </c>
      <c r="AL244" s="129"/>
      <c r="AM244" s="207">
        <f t="shared" ref="AM244:AU244" si="191">IF(AM$24=0,0,$AP$159/$AP$75*AM63)</f>
        <v>0</v>
      </c>
      <c r="AN244" s="207">
        <f t="shared" si="191"/>
        <v>0</v>
      </c>
      <c r="AO244" s="207">
        <f t="shared" si="191"/>
        <v>0</v>
      </c>
      <c r="AP244" s="207">
        <f t="shared" si="191"/>
        <v>0</v>
      </c>
      <c r="AQ244" s="207">
        <f t="shared" si="191"/>
        <v>0</v>
      </c>
      <c r="AR244" s="207">
        <f t="shared" si="191"/>
        <v>0</v>
      </c>
      <c r="AS244" s="207">
        <f t="shared" si="191"/>
        <v>0</v>
      </c>
      <c r="AT244" s="207">
        <f t="shared" si="191"/>
        <v>0</v>
      </c>
      <c r="AU244" s="207">
        <f t="shared" si="191"/>
        <v>0</v>
      </c>
      <c r="AV244" s="128"/>
      <c r="AW244" s="243">
        <f t="shared" si="179"/>
        <v>0</v>
      </c>
      <c r="AX244" s="129"/>
      <c r="AY244" s="207">
        <f t="shared" ref="AY244:BG244" si="192">IF(AY$24=0,0,$BB$159/$BB$75*AY63)</f>
        <v>0</v>
      </c>
      <c r="AZ244" s="207">
        <f t="shared" si="192"/>
        <v>0</v>
      </c>
      <c r="BA244" s="207">
        <f t="shared" si="192"/>
        <v>0</v>
      </c>
      <c r="BB244" s="207">
        <f t="shared" si="192"/>
        <v>0</v>
      </c>
      <c r="BC244" s="207">
        <f t="shared" si="192"/>
        <v>0</v>
      </c>
      <c r="BD244" s="207">
        <f t="shared" si="192"/>
        <v>0</v>
      </c>
      <c r="BE244" s="207">
        <f t="shared" si="192"/>
        <v>0</v>
      </c>
      <c r="BF244" s="207">
        <f t="shared" si="192"/>
        <v>0</v>
      </c>
      <c r="BG244" s="207">
        <f t="shared" si="192"/>
        <v>0</v>
      </c>
      <c r="BH244" s="255"/>
    </row>
    <row r="245" spans="1:60" x14ac:dyDescent="0.2">
      <c r="A245" s="648"/>
      <c r="B245" s="492" t="s">
        <v>315</v>
      </c>
      <c r="C245" s="656" t="s">
        <v>113</v>
      </c>
      <c r="D245" s="750"/>
      <c r="E245" s="367" t="str">
        <f>$S$73</f>
        <v>ventilatoren</v>
      </c>
      <c r="F245" s="220"/>
      <c r="G245" s="220"/>
      <c r="H245" s="242" t="s">
        <v>317</v>
      </c>
      <c r="I245" s="129"/>
      <c r="J245" s="243">
        <f t="shared" si="172"/>
        <v>0</v>
      </c>
      <c r="K245" s="236"/>
      <c r="L245" s="236"/>
      <c r="M245" s="243">
        <f t="shared" si="173"/>
        <v>0</v>
      </c>
      <c r="N245" s="129"/>
      <c r="O245" s="207">
        <f t="shared" ref="O245:W245" si="193">IF(OR(O$24=0,$S$75=0),0,$S$159/$S$75*O64)</f>
        <v>0</v>
      </c>
      <c r="P245" s="207">
        <f t="shared" si="193"/>
        <v>0</v>
      </c>
      <c r="Q245" s="207">
        <f t="shared" si="193"/>
        <v>0</v>
      </c>
      <c r="R245" s="207">
        <f t="shared" si="193"/>
        <v>0</v>
      </c>
      <c r="S245" s="207">
        <f t="shared" si="193"/>
        <v>0</v>
      </c>
      <c r="T245" s="207">
        <f t="shared" si="193"/>
        <v>0</v>
      </c>
      <c r="U245" s="207">
        <f t="shared" si="193"/>
        <v>0</v>
      </c>
      <c r="V245" s="207">
        <f t="shared" si="193"/>
        <v>0</v>
      </c>
      <c r="W245" s="207">
        <f t="shared" si="193"/>
        <v>0</v>
      </c>
      <c r="X245" s="128"/>
      <c r="Y245" s="243">
        <f t="shared" si="175"/>
        <v>0</v>
      </c>
      <c r="Z245" s="129"/>
      <c r="AA245" s="207">
        <f t="shared" ref="AA245:AI245" si="194">IF(OR(AA$24=0,$AE$75=0),0,$AE$159/$AE$75*AA64)</f>
        <v>0</v>
      </c>
      <c r="AB245" s="207">
        <f t="shared" si="194"/>
        <v>0</v>
      </c>
      <c r="AC245" s="207">
        <f t="shared" si="194"/>
        <v>0</v>
      </c>
      <c r="AD245" s="207">
        <f t="shared" si="194"/>
        <v>0</v>
      </c>
      <c r="AE245" s="207">
        <f t="shared" si="194"/>
        <v>0</v>
      </c>
      <c r="AF245" s="207">
        <f t="shared" si="194"/>
        <v>0</v>
      </c>
      <c r="AG245" s="207">
        <f t="shared" si="194"/>
        <v>0</v>
      </c>
      <c r="AH245" s="207">
        <f t="shared" si="194"/>
        <v>0</v>
      </c>
      <c r="AI245" s="207">
        <f t="shared" si="194"/>
        <v>0</v>
      </c>
      <c r="AJ245" s="128"/>
      <c r="AK245" s="243">
        <f t="shared" si="177"/>
        <v>0</v>
      </c>
      <c r="AL245" s="129"/>
      <c r="AM245" s="207">
        <f t="shared" ref="AM245:AU245" si="195">IF(OR(AM$24=0,$AQ$75=0),0,$AQ$159/$AQ$75*AM64)</f>
        <v>0</v>
      </c>
      <c r="AN245" s="207">
        <f t="shared" si="195"/>
        <v>0</v>
      </c>
      <c r="AO245" s="207">
        <f t="shared" si="195"/>
        <v>0</v>
      </c>
      <c r="AP245" s="207">
        <f t="shared" si="195"/>
        <v>0</v>
      </c>
      <c r="AQ245" s="207">
        <f t="shared" si="195"/>
        <v>0</v>
      </c>
      <c r="AR245" s="207">
        <f t="shared" si="195"/>
        <v>0</v>
      </c>
      <c r="AS245" s="207">
        <f t="shared" si="195"/>
        <v>0</v>
      </c>
      <c r="AT245" s="207">
        <f t="shared" si="195"/>
        <v>0</v>
      </c>
      <c r="AU245" s="207">
        <f t="shared" si="195"/>
        <v>0</v>
      </c>
      <c r="AV245" s="128"/>
      <c r="AW245" s="243">
        <f t="shared" si="179"/>
        <v>0</v>
      </c>
      <c r="AX245" s="129"/>
      <c r="AY245" s="207">
        <f t="shared" ref="AY245:BG245" si="196">IF(OR(AY$24=0,$BC$75=0),0,$BC$159/$BC$75*AY64)</f>
        <v>0</v>
      </c>
      <c r="AZ245" s="207">
        <f t="shared" si="196"/>
        <v>0</v>
      </c>
      <c r="BA245" s="207">
        <f t="shared" si="196"/>
        <v>0</v>
      </c>
      <c r="BB245" s="207">
        <f t="shared" si="196"/>
        <v>0</v>
      </c>
      <c r="BC245" s="207">
        <f t="shared" si="196"/>
        <v>0</v>
      </c>
      <c r="BD245" s="207">
        <f t="shared" si="196"/>
        <v>0</v>
      </c>
      <c r="BE245" s="207">
        <f t="shared" si="196"/>
        <v>0</v>
      </c>
      <c r="BF245" s="207">
        <f t="shared" si="196"/>
        <v>0</v>
      </c>
      <c r="BG245" s="207">
        <f t="shared" si="196"/>
        <v>0</v>
      </c>
      <c r="BH245" s="255"/>
    </row>
    <row r="246" spans="1:60" x14ac:dyDescent="0.2">
      <c r="A246" s="648"/>
      <c r="B246" s="492" t="s">
        <v>315</v>
      </c>
      <c r="C246" s="656" t="s">
        <v>113</v>
      </c>
      <c r="D246" s="750"/>
      <c r="E246" s="367" t="str">
        <f>$T$73</f>
        <v>kookgas</v>
      </c>
      <c r="F246" s="220"/>
      <c r="G246" s="220"/>
      <c r="H246" s="242" t="s">
        <v>317</v>
      </c>
      <c r="I246" s="129"/>
      <c r="J246" s="243">
        <f t="shared" si="172"/>
        <v>0</v>
      </c>
      <c r="K246" s="236"/>
      <c r="L246" s="236"/>
      <c r="M246" s="243">
        <f t="shared" si="173"/>
        <v>0</v>
      </c>
      <c r="N246" s="129"/>
      <c r="O246" s="207">
        <f t="shared" ref="O246:W246" si="197">IF(OR(O$24=0,$T$75=0),0,$T$204/$T$75*O65)</f>
        <v>0</v>
      </c>
      <c r="P246" s="207">
        <f t="shared" si="197"/>
        <v>0</v>
      </c>
      <c r="Q246" s="207">
        <f t="shared" si="197"/>
        <v>0</v>
      </c>
      <c r="R246" s="207">
        <f t="shared" si="197"/>
        <v>0</v>
      </c>
      <c r="S246" s="207">
        <f t="shared" si="197"/>
        <v>0</v>
      </c>
      <c r="T246" s="207">
        <f t="shared" si="197"/>
        <v>0</v>
      </c>
      <c r="U246" s="207">
        <f t="shared" si="197"/>
        <v>0</v>
      </c>
      <c r="V246" s="207">
        <f t="shared" si="197"/>
        <v>0</v>
      </c>
      <c r="W246" s="207">
        <f t="shared" si="197"/>
        <v>0</v>
      </c>
      <c r="X246" s="128"/>
      <c r="Y246" s="243">
        <f t="shared" si="175"/>
        <v>0</v>
      </c>
      <c r="Z246" s="129"/>
      <c r="AA246" s="207">
        <f t="shared" ref="AA246:AI246" si="198">IF(OR(AA$24=0,$AF$75=0),0,$AF$204/$AF$75*AA65)</f>
        <v>0</v>
      </c>
      <c r="AB246" s="207">
        <f t="shared" si="198"/>
        <v>0</v>
      </c>
      <c r="AC246" s="207">
        <f t="shared" si="198"/>
        <v>0</v>
      </c>
      <c r="AD246" s="207">
        <f t="shared" si="198"/>
        <v>0</v>
      </c>
      <c r="AE246" s="207">
        <f t="shared" si="198"/>
        <v>0</v>
      </c>
      <c r="AF246" s="207">
        <f t="shared" si="198"/>
        <v>0</v>
      </c>
      <c r="AG246" s="207">
        <f t="shared" si="198"/>
        <v>0</v>
      </c>
      <c r="AH246" s="207">
        <f t="shared" si="198"/>
        <v>0</v>
      </c>
      <c r="AI246" s="207">
        <f t="shared" si="198"/>
        <v>0</v>
      </c>
      <c r="AJ246" s="128"/>
      <c r="AK246" s="243">
        <f t="shared" si="177"/>
        <v>0</v>
      </c>
      <c r="AL246" s="129"/>
      <c r="AM246" s="207">
        <f t="shared" ref="AM246:AU246" si="199">IF(OR(AM$24=0,$AR$75=0),0,$AR$204/$AR$75*AM65)</f>
        <v>0</v>
      </c>
      <c r="AN246" s="207">
        <f t="shared" si="199"/>
        <v>0</v>
      </c>
      <c r="AO246" s="207">
        <f t="shared" si="199"/>
        <v>0</v>
      </c>
      <c r="AP246" s="207">
        <f t="shared" si="199"/>
        <v>0</v>
      </c>
      <c r="AQ246" s="207">
        <f t="shared" si="199"/>
        <v>0</v>
      </c>
      <c r="AR246" s="207">
        <f t="shared" si="199"/>
        <v>0</v>
      </c>
      <c r="AS246" s="207">
        <f t="shared" si="199"/>
        <v>0</v>
      </c>
      <c r="AT246" s="207">
        <f t="shared" si="199"/>
        <v>0</v>
      </c>
      <c r="AU246" s="207">
        <f t="shared" si="199"/>
        <v>0</v>
      </c>
      <c r="AV246" s="128"/>
      <c r="AW246" s="243">
        <f t="shared" si="179"/>
        <v>0</v>
      </c>
      <c r="AX246" s="129">
        <f>IF(AX$24=0,0,$BD$204/$BD$75*AX65)</f>
        <v>0</v>
      </c>
      <c r="AY246" s="207">
        <f t="shared" ref="AY246:BG246" si="200">IF(OR(AY$24=0,$BD$75=0),0,$BD$204/$BD$75*AY65)</f>
        <v>0</v>
      </c>
      <c r="AZ246" s="207">
        <f t="shared" si="200"/>
        <v>0</v>
      </c>
      <c r="BA246" s="207">
        <f t="shared" si="200"/>
        <v>0</v>
      </c>
      <c r="BB246" s="207">
        <f t="shared" si="200"/>
        <v>0</v>
      </c>
      <c r="BC246" s="207">
        <f t="shared" si="200"/>
        <v>0</v>
      </c>
      <c r="BD246" s="207">
        <f t="shared" si="200"/>
        <v>0</v>
      </c>
      <c r="BE246" s="207">
        <f t="shared" si="200"/>
        <v>0</v>
      </c>
      <c r="BF246" s="207">
        <f t="shared" si="200"/>
        <v>0</v>
      </c>
      <c r="BG246" s="207">
        <f t="shared" si="200"/>
        <v>0</v>
      </c>
      <c r="BH246" s="255"/>
    </row>
    <row r="247" spans="1:60" x14ac:dyDescent="0.2">
      <c r="A247" s="648"/>
      <c r="B247" s="492" t="s">
        <v>315</v>
      </c>
      <c r="C247" s="656" t="s">
        <v>113</v>
      </c>
      <c r="D247" s="750"/>
      <c r="E247" s="367" t="str">
        <f>$U$73</f>
        <v>overig elektra</v>
      </c>
      <c r="F247" s="220"/>
      <c r="G247" s="220"/>
      <c r="H247" s="242" t="s">
        <v>317</v>
      </c>
      <c r="I247" s="129"/>
      <c r="J247" s="243">
        <f t="shared" si="172"/>
        <v>0</v>
      </c>
      <c r="K247" s="236"/>
      <c r="L247" s="236"/>
      <c r="M247" s="243">
        <f t="shared" si="173"/>
        <v>0</v>
      </c>
      <c r="N247" s="129"/>
      <c r="O247" s="207">
        <f t="shared" ref="O247:W247" si="201">IF(OR(O$24=0,$U$75=0),0,$U$159/$U$75*O66)</f>
        <v>0</v>
      </c>
      <c r="P247" s="207">
        <f t="shared" si="201"/>
        <v>0</v>
      </c>
      <c r="Q247" s="207">
        <f t="shared" si="201"/>
        <v>0</v>
      </c>
      <c r="R247" s="207">
        <f t="shared" si="201"/>
        <v>0</v>
      </c>
      <c r="S247" s="207">
        <f t="shared" si="201"/>
        <v>0</v>
      </c>
      <c r="T247" s="207">
        <f t="shared" si="201"/>
        <v>0</v>
      </c>
      <c r="U247" s="207">
        <f t="shared" si="201"/>
        <v>0</v>
      </c>
      <c r="V247" s="207">
        <f t="shared" si="201"/>
        <v>0</v>
      </c>
      <c r="W247" s="207">
        <f t="shared" si="201"/>
        <v>0</v>
      </c>
      <c r="X247" s="128"/>
      <c r="Y247" s="243">
        <f t="shared" si="175"/>
        <v>0</v>
      </c>
      <c r="Z247" s="129"/>
      <c r="AA247" s="207">
        <f t="shared" ref="AA247:AI247" si="202">IF(OR(AA$24=0,$U$75=0),0,$AG$159/$U$75*AA66)</f>
        <v>0</v>
      </c>
      <c r="AB247" s="207">
        <f t="shared" si="202"/>
        <v>0</v>
      </c>
      <c r="AC247" s="207">
        <f t="shared" si="202"/>
        <v>0</v>
      </c>
      <c r="AD247" s="207">
        <f t="shared" si="202"/>
        <v>0</v>
      </c>
      <c r="AE247" s="207">
        <f t="shared" si="202"/>
        <v>0</v>
      </c>
      <c r="AF247" s="207">
        <f t="shared" si="202"/>
        <v>0</v>
      </c>
      <c r="AG247" s="207">
        <f t="shared" si="202"/>
        <v>0</v>
      </c>
      <c r="AH247" s="207">
        <f t="shared" si="202"/>
        <v>0</v>
      </c>
      <c r="AI247" s="207">
        <f t="shared" si="202"/>
        <v>0</v>
      </c>
      <c r="AJ247" s="128"/>
      <c r="AK247" s="243">
        <f t="shared" si="177"/>
        <v>0</v>
      </c>
      <c r="AL247" s="129"/>
      <c r="AM247" s="207">
        <f t="shared" ref="AM247:AU247" si="203">IF(OR(AM$24=0,$U$75=0),0,$AS$159/$U$75*AM66)</f>
        <v>0</v>
      </c>
      <c r="AN247" s="207">
        <f t="shared" si="203"/>
        <v>0</v>
      </c>
      <c r="AO247" s="207">
        <f t="shared" si="203"/>
        <v>0</v>
      </c>
      <c r="AP247" s="207">
        <f t="shared" si="203"/>
        <v>0</v>
      </c>
      <c r="AQ247" s="207">
        <f t="shared" si="203"/>
        <v>0</v>
      </c>
      <c r="AR247" s="207">
        <f t="shared" si="203"/>
        <v>0</v>
      </c>
      <c r="AS247" s="207">
        <f t="shared" si="203"/>
        <v>0</v>
      </c>
      <c r="AT247" s="207">
        <f t="shared" si="203"/>
        <v>0</v>
      </c>
      <c r="AU247" s="207">
        <f t="shared" si="203"/>
        <v>0</v>
      </c>
      <c r="AV247" s="128"/>
      <c r="AW247" s="243">
        <f t="shared" si="179"/>
        <v>0</v>
      </c>
      <c r="AX247" s="129"/>
      <c r="AY247" s="207">
        <f t="shared" ref="AY247:BG247" si="204">IF(OR(AY$24=0,$U$75=0),0,$BE$159/$U$75*AY66)</f>
        <v>0</v>
      </c>
      <c r="AZ247" s="207">
        <f t="shared" si="204"/>
        <v>0</v>
      </c>
      <c r="BA247" s="207">
        <f t="shared" si="204"/>
        <v>0</v>
      </c>
      <c r="BB247" s="207">
        <f t="shared" si="204"/>
        <v>0</v>
      </c>
      <c r="BC247" s="207">
        <f t="shared" si="204"/>
        <v>0</v>
      </c>
      <c r="BD247" s="207">
        <f t="shared" si="204"/>
        <v>0</v>
      </c>
      <c r="BE247" s="207">
        <f t="shared" si="204"/>
        <v>0</v>
      </c>
      <c r="BF247" s="207">
        <f t="shared" si="204"/>
        <v>0</v>
      </c>
      <c r="BG247" s="207">
        <f t="shared" si="204"/>
        <v>0</v>
      </c>
      <c r="BH247" s="255"/>
    </row>
    <row r="248" spans="1:60" x14ac:dyDescent="0.2">
      <c r="A248" s="648"/>
      <c r="B248" s="492" t="s">
        <v>315</v>
      </c>
      <c r="C248" s="656" t="s">
        <v>113</v>
      </c>
      <c r="D248" s="750"/>
      <c r="E248" s="367" t="str">
        <f>$V$73</f>
        <v>mobiliteit</v>
      </c>
      <c r="F248" s="220"/>
      <c r="G248" s="220"/>
      <c r="H248" s="242" t="s">
        <v>317</v>
      </c>
      <c r="I248" s="129"/>
      <c r="J248" s="243">
        <f t="shared" si="172"/>
        <v>0</v>
      </c>
      <c r="K248" s="236"/>
      <c r="L248" s="236"/>
      <c r="M248" s="243">
        <f t="shared" si="173"/>
        <v>0</v>
      </c>
      <c r="N248" s="129"/>
      <c r="O248" s="207">
        <f t="shared" ref="O248:W248" si="205">IF(OR($V$154=0,O$31=0),0,$V$159/$V$154*O$68/O$31)</f>
        <v>0</v>
      </c>
      <c r="P248" s="207">
        <f t="shared" si="205"/>
        <v>0</v>
      </c>
      <c r="Q248" s="207">
        <f t="shared" si="205"/>
        <v>0</v>
      </c>
      <c r="R248" s="207">
        <f t="shared" si="205"/>
        <v>0</v>
      </c>
      <c r="S248" s="207">
        <f t="shared" si="205"/>
        <v>0</v>
      </c>
      <c r="T248" s="207">
        <f t="shared" si="205"/>
        <v>0</v>
      </c>
      <c r="U248" s="207">
        <f t="shared" si="205"/>
        <v>0</v>
      </c>
      <c r="V248" s="207">
        <f t="shared" si="205"/>
        <v>0</v>
      </c>
      <c r="W248" s="207">
        <f t="shared" si="205"/>
        <v>0</v>
      </c>
      <c r="X248" s="128"/>
      <c r="Y248" s="243">
        <f t="shared" si="175"/>
        <v>0</v>
      </c>
      <c r="Z248" s="129"/>
      <c r="AA248" s="207">
        <f t="shared" ref="AA248:AI248" si="206">IF(OR($AH$154=0,AA$31=0),0,$AH$159/$AH$154*AA$68/AA$31)</f>
        <v>0</v>
      </c>
      <c r="AB248" s="207">
        <f t="shared" si="206"/>
        <v>0</v>
      </c>
      <c r="AC248" s="207">
        <f t="shared" si="206"/>
        <v>0</v>
      </c>
      <c r="AD248" s="207">
        <f t="shared" si="206"/>
        <v>0</v>
      </c>
      <c r="AE248" s="207">
        <f t="shared" si="206"/>
        <v>0</v>
      </c>
      <c r="AF248" s="207">
        <f t="shared" si="206"/>
        <v>0</v>
      </c>
      <c r="AG248" s="207">
        <f t="shared" si="206"/>
        <v>0</v>
      </c>
      <c r="AH248" s="207">
        <f t="shared" si="206"/>
        <v>0</v>
      </c>
      <c r="AI248" s="207">
        <f t="shared" si="206"/>
        <v>0</v>
      </c>
      <c r="AJ248" s="128"/>
      <c r="AK248" s="243">
        <f t="shared" si="177"/>
        <v>0</v>
      </c>
      <c r="AL248" s="129"/>
      <c r="AM248" s="207">
        <f t="shared" ref="AM248:AU248" si="207">IF(OR($AT$154=0,AM$31=0),0,$AT$159/$AT$154*AM$68/AM$31)</f>
        <v>0</v>
      </c>
      <c r="AN248" s="207">
        <f t="shared" si="207"/>
        <v>0</v>
      </c>
      <c r="AO248" s="207">
        <f t="shared" si="207"/>
        <v>0</v>
      </c>
      <c r="AP248" s="207">
        <f t="shared" si="207"/>
        <v>0</v>
      </c>
      <c r="AQ248" s="207">
        <f t="shared" si="207"/>
        <v>0</v>
      </c>
      <c r="AR248" s="207">
        <f t="shared" si="207"/>
        <v>0</v>
      </c>
      <c r="AS248" s="207">
        <f t="shared" si="207"/>
        <v>0</v>
      </c>
      <c r="AT248" s="207">
        <f t="shared" si="207"/>
        <v>0</v>
      </c>
      <c r="AU248" s="207">
        <f t="shared" si="207"/>
        <v>0</v>
      </c>
      <c r="AV248" s="128"/>
      <c r="AW248" s="243">
        <f t="shared" si="179"/>
        <v>0</v>
      </c>
      <c r="AX248" s="129"/>
      <c r="AY248" s="207">
        <f>IF(OR($BF$154=0,AY$24=0),0,$BF$159/$BF$154*AY$68/AY$31)</f>
        <v>0</v>
      </c>
      <c r="AZ248" s="207">
        <f t="shared" ref="AZ248:BG248" si="208">IF(OR($BF$154=0,AZ$31=0),0,$BF$159/$BF$154*AZ$68/AZ$31)</f>
        <v>0</v>
      </c>
      <c r="BA248" s="207">
        <f t="shared" si="208"/>
        <v>0</v>
      </c>
      <c r="BB248" s="207">
        <f t="shared" si="208"/>
        <v>0</v>
      </c>
      <c r="BC248" s="207">
        <f t="shared" si="208"/>
        <v>0</v>
      </c>
      <c r="BD248" s="207">
        <f t="shared" si="208"/>
        <v>0</v>
      </c>
      <c r="BE248" s="207">
        <f t="shared" si="208"/>
        <v>0</v>
      </c>
      <c r="BF248" s="207">
        <f t="shared" si="208"/>
        <v>0</v>
      </c>
      <c r="BG248" s="207">
        <f t="shared" si="208"/>
        <v>0</v>
      </c>
      <c r="BH248" s="255"/>
    </row>
    <row r="249" spans="1:60" x14ac:dyDescent="0.2">
      <c r="A249" s="648"/>
      <c r="B249" s="492" t="s">
        <v>315</v>
      </c>
      <c r="C249" s="656" t="s">
        <v>113</v>
      </c>
      <c r="D249" s="750"/>
      <c r="E249" s="220" t="s">
        <v>318</v>
      </c>
      <c r="F249" s="220"/>
      <c r="G249" s="220"/>
      <c r="H249" s="242" t="s">
        <v>317</v>
      </c>
      <c r="I249" s="129"/>
      <c r="J249" s="243">
        <f t="shared" si="172"/>
        <v>0</v>
      </c>
      <c r="K249" s="236"/>
      <c r="L249" s="236"/>
      <c r="M249" s="243">
        <f>SUM(M241:M248)</f>
        <v>0</v>
      </c>
      <c r="N249" s="129"/>
      <c r="O249" s="207">
        <f t="shared" ref="O249:W249" si="209">SUM(O241:O248)</f>
        <v>0</v>
      </c>
      <c r="P249" s="207">
        <f t="shared" si="209"/>
        <v>0</v>
      </c>
      <c r="Q249" s="207">
        <f t="shared" si="209"/>
        <v>0</v>
      </c>
      <c r="R249" s="207">
        <f t="shared" si="209"/>
        <v>0</v>
      </c>
      <c r="S249" s="207">
        <f t="shared" si="209"/>
        <v>0</v>
      </c>
      <c r="T249" s="207">
        <f>SUM(T241:T248)</f>
        <v>0</v>
      </c>
      <c r="U249" s="207">
        <f t="shared" si="209"/>
        <v>0</v>
      </c>
      <c r="V249" s="207">
        <f t="shared" si="209"/>
        <v>0</v>
      </c>
      <c r="W249" s="207">
        <f t="shared" si="209"/>
        <v>0</v>
      </c>
      <c r="X249" s="128"/>
      <c r="Y249" s="243">
        <f>SUM(Y241:Y248)</f>
        <v>0</v>
      </c>
      <c r="Z249" s="129"/>
      <c r="AA249" s="207">
        <f t="shared" ref="AA249:AI249" si="210">SUM(AA241:AA248)</f>
        <v>0</v>
      </c>
      <c r="AB249" s="207">
        <f t="shared" si="210"/>
        <v>0</v>
      </c>
      <c r="AC249" s="207">
        <f t="shared" si="210"/>
        <v>0</v>
      </c>
      <c r="AD249" s="207">
        <f t="shared" si="210"/>
        <v>0</v>
      </c>
      <c r="AE249" s="207">
        <f t="shared" si="210"/>
        <v>0</v>
      </c>
      <c r="AF249" s="207">
        <f>SUM(AF241:AF248)</f>
        <v>0</v>
      </c>
      <c r="AG249" s="207">
        <f t="shared" si="210"/>
        <v>0</v>
      </c>
      <c r="AH249" s="207">
        <f t="shared" si="210"/>
        <v>0</v>
      </c>
      <c r="AI249" s="207">
        <f t="shared" si="210"/>
        <v>0</v>
      </c>
      <c r="AJ249" s="128"/>
      <c r="AK249" s="243">
        <f t="shared" ref="AK249:AU249" si="211">SUM(AK241:AK248)</f>
        <v>0</v>
      </c>
      <c r="AL249" s="129"/>
      <c r="AM249" s="207">
        <f t="shared" si="211"/>
        <v>0</v>
      </c>
      <c r="AN249" s="207">
        <f t="shared" si="211"/>
        <v>0</v>
      </c>
      <c r="AO249" s="207">
        <f t="shared" si="211"/>
        <v>0</v>
      </c>
      <c r="AP249" s="207">
        <f t="shared" si="211"/>
        <v>0</v>
      </c>
      <c r="AQ249" s="207">
        <f t="shared" si="211"/>
        <v>0</v>
      </c>
      <c r="AR249" s="207">
        <f>SUM(AR241:AR248)</f>
        <v>0</v>
      </c>
      <c r="AS249" s="207">
        <f t="shared" si="211"/>
        <v>0</v>
      </c>
      <c r="AT249" s="207">
        <f t="shared" si="211"/>
        <v>0</v>
      </c>
      <c r="AU249" s="207">
        <f t="shared" si="211"/>
        <v>0</v>
      </c>
      <c r="AV249" s="128"/>
      <c r="AW249" s="243">
        <f>SUM(AW241:AW248)</f>
        <v>0</v>
      </c>
      <c r="AX249" s="129"/>
      <c r="AY249" s="207">
        <f t="shared" ref="AY249:BG249" si="212">SUM(AY241:AY248)</f>
        <v>0</v>
      </c>
      <c r="AZ249" s="207">
        <f t="shared" si="212"/>
        <v>0</v>
      </c>
      <c r="BA249" s="207">
        <f t="shared" si="212"/>
        <v>0</v>
      </c>
      <c r="BB249" s="207">
        <f t="shared" si="212"/>
        <v>0</v>
      </c>
      <c r="BC249" s="207">
        <f t="shared" si="212"/>
        <v>0</v>
      </c>
      <c r="BD249" s="207">
        <f>SUM(BD241:BD248)</f>
        <v>0</v>
      </c>
      <c r="BE249" s="207">
        <f t="shared" si="212"/>
        <v>0</v>
      </c>
      <c r="BF249" s="207">
        <f t="shared" si="212"/>
        <v>0</v>
      </c>
      <c r="BG249" s="207">
        <f t="shared" si="212"/>
        <v>0</v>
      </c>
      <c r="BH249" s="255"/>
    </row>
    <row r="250" spans="1:60" ht="18.75" x14ac:dyDescent="0.2">
      <c r="A250" s="648"/>
      <c r="B250" s="492" t="s">
        <v>315</v>
      </c>
      <c r="C250" s="739" t="s">
        <v>104</v>
      </c>
      <c r="D250" s="747"/>
      <c r="E250" s="236" t="s">
        <v>319</v>
      </c>
      <c r="F250" s="236"/>
      <c r="G250" s="236"/>
      <c r="H250" s="89"/>
      <c r="I250" s="236"/>
      <c r="J250" s="279"/>
      <c r="K250" s="236"/>
      <c r="L250" s="236"/>
      <c r="M250" s="279"/>
      <c r="N250" s="236"/>
      <c r="O250" s="236"/>
      <c r="P250" s="236"/>
      <c r="Q250" s="236"/>
      <c r="R250" s="236"/>
      <c r="S250" s="236"/>
      <c r="T250" s="236"/>
      <c r="U250" s="236"/>
      <c r="V250" s="236"/>
      <c r="W250" s="236"/>
      <c r="X250" s="236"/>
      <c r="Y250" s="279"/>
      <c r="Z250" s="236"/>
      <c r="AA250" s="236"/>
      <c r="AB250" s="236"/>
      <c r="AC250" s="236"/>
      <c r="AD250" s="236"/>
      <c r="AE250" s="236"/>
      <c r="AF250" s="236"/>
      <c r="AG250" s="236"/>
      <c r="AH250" s="236"/>
      <c r="AI250" s="236"/>
      <c r="AJ250" s="236"/>
      <c r="AK250" s="279"/>
      <c r="AL250" s="236"/>
      <c r="AM250" s="236"/>
      <c r="AN250" s="236"/>
      <c r="AO250" s="236"/>
      <c r="AP250" s="236"/>
      <c r="AQ250" s="236"/>
      <c r="AR250" s="236"/>
      <c r="AS250" s="236"/>
      <c r="AT250" s="236"/>
      <c r="AU250" s="236"/>
      <c r="AV250" s="236"/>
      <c r="AW250" s="279"/>
      <c r="AX250" s="236"/>
      <c r="AY250" s="236"/>
      <c r="AZ250" s="236"/>
      <c r="BA250" s="236"/>
      <c r="BB250" s="236"/>
      <c r="BC250" s="236"/>
      <c r="BD250" s="236"/>
      <c r="BE250" s="236"/>
      <c r="BF250" s="236"/>
      <c r="BG250" s="236"/>
      <c r="BH250" s="38"/>
    </row>
    <row r="251" spans="1:60" x14ac:dyDescent="0.2">
      <c r="A251" s="648"/>
      <c r="B251" s="492" t="s">
        <v>315</v>
      </c>
      <c r="C251" s="656" t="s">
        <v>113</v>
      </c>
      <c r="D251" s="750"/>
      <c r="E251" s="220" t="s">
        <v>320</v>
      </c>
      <c r="F251" s="220"/>
      <c r="G251" s="220"/>
      <c r="H251" s="242" t="s">
        <v>317</v>
      </c>
      <c r="I251" s="129"/>
      <c r="J251" s="243">
        <f>M251+Y251+AK251+AW251</f>
        <v>0</v>
      </c>
      <c r="K251" s="236"/>
      <c r="L251" s="236"/>
      <c r="M251" s="243">
        <f>SUMPRODUCT(N251:X251,N$24:X$24,N$31:X$31)/1000</f>
        <v>0</v>
      </c>
      <c r="N251" s="129"/>
      <c r="O251" s="207">
        <f t="shared" ref="O251:W251" si="213">IF(OR(O$24=0,O$31=0,$M$167+$M$168=0),0,
-(O234*($M$167/($M$167+$M$168))*$M$177*1000)/(O24*O31))</f>
        <v>0</v>
      </c>
      <c r="P251" s="207">
        <f t="shared" si="213"/>
        <v>0</v>
      </c>
      <c r="Q251" s="207">
        <f t="shared" si="213"/>
        <v>0</v>
      </c>
      <c r="R251" s="207">
        <f t="shared" si="213"/>
        <v>0</v>
      </c>
      <c r="S251" s="207">
        <f t="shared" si="213"/>
        <v>0</v>
      </c>
      <c r="T251" s="207">
        <f t="shared" si="213"/>
        <v>0</v>
      </c>
      <c r="U251" s="207">
        <f t="shared" si="213"/>
        <v>0</v>
      </c>
      <c r="V251" s="207">
        <f t="shared" si="213"/>
        <v>0</v>
      </c>
      <c r="W251" s="207">
        <f t="shared" si="213"/>
        <v>0</v>
      </c>
      <c r="X251" s="128"/>
      <c r="Y251" s="243">
        <f>SUMPRODUCT(Z251:AJ251,Z$24:AJ$24,Z$31:AJ$31)/1000</f>
        <v>0</v>
      </c>
      <c r="Z251" s="129"/>
      <c r="AA251" s="207">
        <f t="shared" ref="AA251:AI251" si="214">IF(OR(AA$19="-",AA$24=0,AA$31=0,$Y$167+$Y$168=0),0,
-(AA234*($Y$167/($Y$167+$Y$168))*$Y$177*1000)/(AA24*AA31))</f>
        <v>0</v>
      </c>
      <c r="AB251" s="207">
        <f t="shared" si="214"/>
        <v>0</v>
      </c>
      <c r="AC251" s="207">
        <f t="shared" si="214"/>
        <v>0</v>
      </c>
      <c r="AD251" s="207">
        <f t="shared" si="214"/>
        <v>0</v>
      </c>
      <c r="AE251" s="207">
        <f t="shared" si="214"/>
        <v>0</v>
      </c>
      <c r="AF251" s="207">
        <f t="shared" si="214"/>
        <v>0</v>
      </c>
      <c r="AG251" s="207">
        <f t="shared" si="214"/>
        <v>0</v>
      </c>
      <c r="AH251" s="207">
        <f t="shared" si="214"/>
        <v>0</v>
      </c>
      <c r="AI251" s="207">
        <f t="shared" si="214"/>
        <v>0</v>
      </c>
      <c r="AJ251" s="128"/>
      <c r="AK251" s="243">
        <f>SUMPRODUCT(AL251:AV251,AL$24:AV$24,AL$31:AV$31)/1000</f>
        <v>0</v>
      </c>
      <c r="AL251" s="129"/>
      <c r="AM251" s="207">
        <f t="shared" ref="AM251:AU251" si="215">IF(OR(AM$24=0,AM$31=0,$AK$167+$AK$168=0),0,
-AM234*($AK$167/($AK$167+$AK$168))*$AK$177*1000/(AM24*AM31))</f>
        <v>0</v>
      </c>
      <c r="AN251" s="207">
        <f t="shared" si="215"/>
        <v>0</v>
      </c>
      <c r="AO251" s="207">
        <f t="shared" si="215"/>
        <v>0</v>
      </c>
      <c r="AP251" s="207">
        <f t="shared" si="215"/>
        <v>0</v>
      </c>
      <c r="AQ251" s="207">
        <f t="shared" si="215"/>
        <v>0</v>
      </c>
      <c r="AR251" s="207">
        <f t="shared" si="215"/>
        <v>0</v>
      </c>
      <c r="AS251" s="207">
        <f t="shared" si="215"/>
        <v>0</v>
      </c>
      <c r="AT251" s="207">
        <f t="shared" si="215"/>
        <v>0</v>
      </c>
      <c r="AU251" s="207">
        <f t="shared" si="215"/>
        <v>0</v>
      </c>
      <c r="AV251" s="128"/>
      <c r="AW251" s="243">
        <f>SUMPRODUCT(AX251:BH251,AX$24:BH$24,AX$31:BH$31)/1000</f>
        <v>0</v>
      </c>
      <c r="AX251" s="129"/>
      <c r="AY251" s="207">
        <f t="shared" ref="AY251:BG251" si="216">IF(OR(AY$24=0,AY$31=0,$AW$167+$AW$168=0),0,
-AY234*($AW$167/($AW$167+$AW$168))*$AW$177*1000/(AY24*AY31))</f>
        <v>0</v>
      </c>
      <c r="AZ251" s="207">
        <f t="shared" si="216"/>
        <v>0</v>
      </c>
      <c r="BA251" s="207">
        <f t="shared" si="216"/>
        <v>0</v>
      </c>
      <c r="BB251" s="207">
        <f t="shared" si="216"/>
        <v>0</v>
      </c>
      <c r="BC251" s="207">
        <f t="shared" si="216"/>
        <v>0</v>
      </c>
      <c r="BD251" s="207">
        <f t="shared" si="216"/>
        <v>0</v>
      </c>
      <c r="BE251" s="207">
        <f t="shared" si="216"/>
        <v>0</v>
      </c>
      <c r="BF251" s="207">
        <f t="shared" si="216"/>
        <v>0</v>
      </c>
      <c r="BG251" s="207">
        <f t="shared" si="216"/>
        <v>0</v>
      </c>
      <c r="BH251" s="255"/>
    </row>
    <row r="252" spans="1:60" x14ac:dyDescent="0.2">
      <c r="A252" s="648"/>
      <c r="B252" s="492" t="s">
        <v>315</v>
      </c>
      <c r="C252" s="656" t="s">
        <v>113</v>
      </c>
      <c r="D252" s="750"/>
      <c r="E252" s="220" t="s">
        <v>321</v>
      </c>
      <c r="F252" s="220"/>
      <c r="G252" s="220"/>
      <c r="H252" s="242" t="s">
        <v>317</v>
      </c>
      <c r="I252" s="129"/>
      <c r="J252" s="243">
        <f>M252+Y252+AK252+AW252</f>
        <v>0</v>
      </c>
      <c r="K252" s="236"/>
      <c r="L252" s="236"/>
      <c r="M252" s="243">
        <f>SUMPRODUCT(N252:X252,N$24:X$24,N$31:X$31)/1000</f>
        <v>0</v>
      </c>
      <c r="N252" s="129"/>
      <c r="O252" s="207">
        <f t="shared" ref="O252:W252" si="217">IF(OR(O$24=0,O$31=0,$M$167+$M$168=0),0,
-O70*($M$177/($M$167+$M$168))/O31)</f>
        <v>0</v>
      </c>
      <c r="P252" s="207">
        <f t="shared" si="217"/>
        <v>0</v>
      </c>
      <c r="Q252" s="207">
        <f t="shared" si="217"/>
        <v>0</v>
      </c>
      <c r="R252" s="207">
        <f t="shared" si="217"/>
        <v>0</v>
      </c>
      <c r="S252" s="207">
        <f t="shared" si="217"/>
        <v>0</v>
      </c>
      <c r="T252" s="207">
        <f t="shared" si="217"/>
        <v>0</v>
      </c>
      <c r="U252" s="207">
        <f t="shared" si="217"/>
        <v>0</v>
      </c>
      <c r="V252" s="207">
        <f t="shared" si="217"/>
        <v>0</v>
      </c>
      <c r="W252" s="207">
        <f t="shared" si="217"/>
        <v>0</v>
      </c>
      <c r="X252" s="128"/>
      <c r="Y252" s="243">
        <f>SUMPRODUCT(Z252:AJ252,Z$24:AJ$24,Z$31:AJ$31)/1000</f>
        <v>0</v>
      </c>
      <c r="Z252" s="129"/>
      <c r="AA252" s="207">
        <f t="shared" ref="AA252:AI252" si="218">IF(OR(AA$24=0,AA$31=0,$Y$167+$Y$168=0),0,
-AA70*($Y$177/($Y$167+$Y$168))/AA31)</f>
        <v>0</v>
      </c>
      <c r="AB252" s="207">
        <f t="shared" si="218"/>
        <v>0</v>
      </c>
      <c r="AC252" s="207">
        <f t="shared" si="218"/>
        <v>0</v>
      </c>
      <c r="AD252" s="207">
        <f t="shared" si="218"/>
        <v>0</v>
      </c>
      <c r="AE252" s="207">
        <f t="shared" si="218"/>
        <v>0</v>
      </c>
      <c r="AF252" s="207">
        <f t="shared" si="218"/>
        <v>0</v>
      </c>
      <c r="AG252" s="207">
        <f t="shared" si="218"/>
        <v>0</v>
      </c>
      <c r="AH252" s="207">
        <f t="shared" si="218"/>
        <v>0</v>
      </c>
      <c r="AI252" s="207">
        <f t="shared" si="218"/>
        <v>0</v>
      </c>
      <c r="AJ252" s="128"/>
      <c r="AK252" s="243">
        <f>SUMPRODUCT(AL252:AV252,AL$24:AV$24,AL$31:AV$31)/1000</f>
        <v>0</v>
      </c>
      <c r="AL252" s="129"/>
      <c r="AM252" s="207">
        <f t="shared" ref="AM252:AU252" si="219">IF(OR(AM$24=0,AM$31=0,$AK$167+$AK$168=0),0,
-AM70*($AK$177/($AK$167+$AK$168))/AM31)</f>
        <v>0</v>
      </c>
      <c r="AN252" s="207">
        <f t="shared" si="219"/>
        <v>0</v>
      </c>
      <c r="AO252" s="207">
        <f t="shared" si="219"/>
        <v>0</v>
      </c>
      <c r="AP252" s="207">
        <f t="shared" si="219"/>
        <v>0</v>
      </c>
      <c r="AQ252" s="207">
        <f t="shared" si="219"/>
        <v>0</v>
      </c>
      <c r="AR252" s="207">
        <f t="shared" si="219"/>
        <v>0</v>
      </c>
      <c r="AS252" s="207">
        <f t="shared" si="219"/>
        <v>0</v>
      </c>
      <c r="AT252" s="207">
        <f t="shared" si="219"/>
        <v>0</v>
      </c>
      <c r="AU252" s="207">
        <f t="shared" si="219"/>
        <v>0</v>
      </c>
      <c r="AV252" s="128"/>
      <c r="AW252" s="243">
        <f>SUMPRODUCT(AX252:BH252,AX$24:BH$24,AX$31:BH$31)/1000</f>
        <v>0</v>
      </c>
      <c r="AX252" s="129"/>
      <c r="AY252" s="207">
        <f t="shared" ref="AY252:BG252" si="220">IF(OR(AY$24=0,AY$31=0,$AW$167+$AW$168=0),0,
-AY70*($AW$177/($AW$167+$AW$168))/AY31)</f>
        <v>0</v>
      </c>
      <c r="AZ252" s="207">
        <f t="shared" si="220"/>
        <v>0</v>
      </c>
      <c r="BA252" s="207">
        <f t="shared" si="220"/>
        <v>0</v>
      </c>
      <c r="BB252" s="207">
        <f t="shared" si="220"/>
        <v>0</v>
      </c>
      <c r="BC252" s="207">
        <f t="shared" si="220"/>
        <v>0</v>
      </c>
      <c r="BD252" s="207">
        <f t="shared" si="220"/>
        <v>0</v>
      </c>
      <c r="BE252" s="207">
        <f t="shared" si="220"/>
        <v>0</v>
      </c>
      <c r="BF252" s="207">
        <f t="shared" si="220"/>
        <v>0</v>
      </c>
      <c r="BG252" s="207">
        <f t="shared" si="220"/>
        <v>0</v>
      </c>
      <c r="BH252" s="255"/>
    </row>
    <row r="253" spans="1:60" x14ac:dyDescent="0.2">
      <c r="A253" s="648"/>
      <c r="B253" s="492" t="s">
        <v>315</v>
      </c>
      <c r="C253" s="656" t="s">
        <v>113</v>
      </c>
      <c r="D253" s="750"/>
      <c r="E253" s="220" t="s">
        <v>322</v>
      </c>
      <c r="F253" s="220"/>
      <c r="G253" s="220"/>
      <c r="H253" s="242" t="s">
        <v>317</v>
      </c>
      <c r="I253" s="129"/>
      <c r="J253" s="243">
        <f>M253+Y253+AK253+AW253</f>
        <v>0</v>
      </c>
      <c r="K253" s="236"/>
      <c r="L253" s="236"/>
      <c r="M253" s="243">
        <f>M251+M252</f>
        <v>0</v>
      </c>
      <c r="N253" s="129"/>
      <c r="O253" s="207">
        <f>O251+O252</f>
        <v>0</v>
      </c>
      <c r="P253" s="207">
        <f t="shared" ref="P253:W253" si="221">P251+P252</f>
        <v>0</v>
      </c>
      <c r="Q253" s="207">
        <f t="shared" si="221"/>
        <v>0</v>
      </c>
      <c r="R253" s="207">
        <f t="shared" si="221"/>
        <v>0</v>
      </c>
      <c r="S253" s="207">
        <f t="shared" si="221"/>
        <v>0</v>
      </c>
      <c r="T253" s="207">
        <f>T251+T252</f>
        <v>0</v>
      </c>
      <c r="U253" s="207">
        <f t="shared" si="221"/>
        <v>0</v>
      </c>
      <c r="V253" s="207">
        <f t="shared" si="221"/>
        <v>0</v>
      </c>
      <c r="W253" s="207">
        <f t="shared" si="221"/>
        <v>0</v>
      </c>
      <c r="X253" s="128"/>
      <c r="Y253" s="243">
        <f>Y251+Y252</f>
        <v>0</v>
      </c>
      <c r="Z253" s="129"/>
      <c r="AA253" s="207">
        <f>AA251+AA252</f>
        <v>0</v>
      </c>
      <c r="AB253" s="207">
        <f t="shared" ref="AB253:AI253" si="222">AB251+AB252</f>
        <v>0</v>
      </c>
      <c r="AC253" s="207">
        <f t="shared" si="222"/>
        <v>0</v>
      </c>
      <c r="AD253" s="207">
        <f t="shared" si="222"/>
        <v>0</v>
      </c>
      <c r="AE253" s="207">
        <f t="shared" si="222"/>
        <v>0</v>
      </c>
      <c r="AF253" s="207">
        <f>AF251+AF252</f>
        <v>0</v>
      </c>
      <c r="AG253" s="207">
        <f t="shared" si="222"/>
        <v>0</v>
      </c>
      <c r="AH253" s="207">
        <f t="shared" si="222"/>
        <v>0</v>
      </c>
      <c r="AI253" s="207">
        <f t="shared" si="222"/>
        <v>0</v>
      </c>
      <c r="AJ253" s="128"/>
      <c r="AK253" s="243">
        <f>AK251+AK252</f>
        <v>0</v>
      </c>
      <c r="AL253" s="129"/>
      <c r="AM253" s="207">
        <f>AM251+AM252</f>
        <v>0</v>
      </c>
      <c r="AN253" s="207">
        <f t="shared" ref="AN253:AU253" si="223">AN251+AN252</f>
        <v>0</v>
      </c>
      <c r="AO253" s="207">
        <f t="shared" si="223"/>
        <v>0</v>
      </c>
      <c r="AP253" s="207">
        <f t="shared" si="223"/>
        <v>0</v>
      </c>
      <c r="AQ253" s="207">
        <f t="shared" si="223"/>
        <v>0</v>
      </c>
      <c r="AR253" s="207">
        <f>AR251+AR252</f>
        <v>0</v>
      </c>
      <c r="AS253" s="207">
        <f t="shared" si="223"/>
        <v>0</v>
      </c>
      <c r="AT253" s="207">
        <f t="shared" si="223"/>
        <v>0</v>
      </c>
      <c r="AU253" s="207">
        <f t="shared" si="223"/>
        <v>0</v>
      </c>
      <c r="AV253" s="128"/>
      <c r="AW253" s="243">
        <f>AW251+AW252</f>
        <v>0</v>
      </c>
      <c r="AX253" s="129"/>
      <c r="AY253" s="207">
        <f>AY251+AY252</f>
        <v>0</v>
      </c>
      <c r="AZ253" s="207">
        <f t="shared" ref="AZ253:BG253" si="224">AZ251+AZ252</f>
        <v>0</v>
      </c>
      <c r="BA253" s="207">
        <f t="shared" si="224"/>
        <v>0</v>
      </c>
      <c r="BB253" s="207">
        <f t="shared" si="224"/>
        <v>0</v>
      </c>
      <c r="BC253" s="207">
        <f t="shared" si="224"/>
        <v>0</v>
      </c>
      <c r="BD253" s="207">
        <f>BD251+BD252</f>
        <v>0</v>
      </c>
      <c r="BE253" s="207">
        <f t="shared" si="224"/>
        <v>0</v>
      </c>
      <c r="BF253" s="207">
        <f t="shared" si="224"/>
        <v>0</v>
      </c>
      <c r="BG253" s="207">
        <f t="shared" si="224"/>
        <v>0</v>
      </c>
      <c r="BH253" s="255"/>
    </row>
    <row r="254" spans="1:60" ht="18.75" x14ac:dyDescent="0.2">
      <c r="A254" s="648"/>
      <c r="B254" s="492" t="s">
        <v>315</v>
      </c>
      <c r="C254" s="739" t="s">
        <v>104</v>
      </c>
      <c r="D254" s="747"/>
      <c r="E254" s="236" t="s">
        <v>287</v>
      </c>
      <c r="F254" s="236"/>
      <c r="G254" s="236"/>
      <c r="H254" s="89"/>
      <c r="I254" s="236"/>
      <c r="J254" s="279"/>
      <c r="K254" s="236"/>
      <c r="L254" s="236"/>
      <c r="M254" s="279"/>
      <c r="N254" s="236"/>
      <c r="O254" s="236"/>
      <c r="P254" s="236"/>
      <c r="Q254" s="236"/>
      <c r="R254" s="236"/>
      <c r="S254" s="236"/>
      <c r="T254" s="236"/>
      <c r="U254" s="236"/>
      <c r="V254" s="236"/>
      <c r="W254" s="236"/>
      <c r="X254" s="236"/>
      <c r="Y254" s="279"/>
      <c r="Z254" s="236"/>
      <c r="AA254" s="236"/>
      <c r="AB254" s="236"/>
      <c r="AC254" s="236"/>
      <c r="AD254" s="236"/>
      <c r="AE254" s="236"/>
      <c r="AF254" s="236"/>
      <c r="AG254" s="236"/>
      <c r="AH254" s="236"/>
      <c r="AI254" s="236"/>
      <c r="AJ254" s="236"/>
      <c r="AK254" s="279"/>
      <c r="AL254" s="236"/>
      <c r="AM254" s="236"/>
      <c r="AN254" s="236"/>
      <c r="AO254" s="236"/>
      <c r="AP254" s="236"/>
      <c r="AQ254" s="236"/>
      <c r="AR254" s="236"/>
      <c r="AS254" s="236"/>
      <c r="AT254" s="236"/>
      <c r="AU254" s="236"/>
      <c r="AV254" s="236"/>
      <c r="AW254" s="279"/>
      <c r="AX254" s="236"/>
      <c r="AY254" s="236"/>
      <c r="AZ254" s="236"/>
      <c r="BA254" s="236"/>
      <c r="BB254" s="236"/>
      <c r="BC254" s="236"/>
      <c r="BD254" s="236"/>
      <c r="BE254" s="236"/>
      <c r="BF254" s="236"/>
      <c r="BG254" s="236"/>
      <c r="BH254" s="38"/>
    </row>
    <row r="255" spans="1:60" x14ac:dyDescent="0.2">
      <c r="A255" s="648"/>
      <c r="B255" s="492" t="s">
        <v>315</v>
      </c>
      <c r="C255" s="656" t="s">
        <v>113</v>
      </c>
      <c r="D255" s="750"/>
      <c r="E255" s="220" t="s">
        <v>258</v>
      </c>
      <c r="F255" s="220"/>
      <c r="G255" s="220"/>
      <c r="H255" s="242" t="s">
        <v>317</v>
      </c>
      <c r="I255" s="129"/>
      <c r="J255" s="243">
        <f>M255+Y255+AK255+AW255</f>
        <v>0</v>
      </c>
      <c r="K255" s="236"/>
      <c r="L255" s="236"/>
      <c r="M255" s="243">
        <f>M249+M253</f>
        <v>0</v>
      </c>
      <c r="N255" s="129"/>
      <c r="O255" s="207">
        <f>O249+O253</f>
        <v>0</v>
      </c>
      <c r="P255" s="207">
        <f t="shared" ref="P255:W255" si="225">P249+P253</f>
        <v>0</v>
      </c>
      <c r="Q255" s="207">
        <f t="shared" si="225"/>
        <v>0</v>
      </c>
      <c r="R255" s="207">
        <f t="shared" si="225"/>
        <v>0</v>
      </c>
      <c r="S255" s="207">
        <f t="shared" si="225"/>
        <v>0</v>
      </c>
      <c r="T255" s="207">
        <f>T249+T253</f>
        <v>0</v>
      </c>
      <c r="U255" s="207">
        <f t="shared" si="225"/>
        <v>0</v>
      </c>
      <c r="V255" s="207">
        <f t="shared" si="225"/>
        <v>0</v>
      </c>
      <c r="W255" s="207">
        <f t="shared" si="225"/>
        <v>0</v>
      </c>
      <c r="X255" s="128"/>
      <c r="Y255" s="243">
        <f>Y249+Y253</f>
        <v>0</v>
      </c>
      <c r="Z255" s="129"/>
      <c r="AA255" s="207">
        <f>AA249+AA253</f>
        <v>0</v>
      </c>
      <c r="AB255" s="207">
        <f t="shared" ref="AB255:AI255" si="226">AB249+AB253</f>
        <v>0</v>
      </c>
      <c r="AC255" s="207">
        <f t="shared" si="226"/>
        <v>0</v>
      </c>
      <c r="AD255" s="207">
        <f t="shared" si="226"/>
        <v>0</v>
      </c>
      <c r="AE255" s="207">
        <f t="shared" si="226"/>
        <v>0</v>
      </c>
      <c r="AF255" s="207">
        <f>AF249+AF253</f>
        <v>0</v>
      </c>
      <c r="AG255" s="207">
        <f t="shared" si="226"/>
        <v>0</v>
      </c>
      <c r="AH255" s="207">
        <f t="shared" si="226"/>
        <v>0</v>
      </c>
      <c r="AI255" s="207">
        <f t="shared" si="226"/>
        <v>0</v>
      </c>
      <c r="AJ255" s="128"/>
      <c r="AK255" s="243">
        <f>AK249+AK253</f>
        <v>0</v>
      </c>
      <c r="AL255" s="129"/>
      <c r="AM255" s="207">
        <f>AM249+AM253</f>
        <v>0</v>
      </c>
      <c r="AN255" s="207">
        <f t="shared" ref="AN255:AU255" si="227">AN249+AN253</f>
        <v>0</v>
      </c>
      <c r="AO255" s="207">
        <f t="shared" si="227"/>
        <v>0</v>
      </c>
      <c r="AP255" s="207">
        <f t="shared" si="227"/>
        <v>0</v>
      </c>
      <c r="AQ255" s="207">
        <f t="shared" si="227"/>
        <v>0</v>
      </c>
      <c r="AR255" s="207">
        <f>AR249+AR253</f>
        <v>0</v>
      </c>
      <c r="AS255" s="207">
        <f t="shared" si="227"/>
        <v>0</v>
      </c>
      <c r="AT255" s="207">
        <f t="shared" si="227"/>
        <v>0</v>
      </c>
      <c r="AU255" s="207">
        <f t="shared" si="227"/>
        <v>0</v>
      </c>
      <c r="AV255" s="128"/>
      <c r="AW255" s="243">
        <f>AW249+AW253</f>
        <v>0</v>
      </c>
      <c r="AX255" s="129"/>
      <c r="AY255" s="207">
        <f>AY249+AY253</f>
        <v>0</v>
      </c>
      <c r="AZ255" s="207">
        <f t="shared" ref="AZ255:BG255" si="228">AZ249+AZ253</f>
        <v>0</v>
      </c>
      <c r="BA255" s="207">
        <f t="shared" si="228"/>
        <v>0</v>
      </c>
      <c r="BB255" s="207">
        <f t="shared" si="228"/>
        <v>0</v>
      </c>
      <c r="BC255" s="207">
        <f t="shared" si="228"/>
        <v>0</v>
      </c>
      <c r="BD255" s="207">
        <f>BD249+BD253</f>
        <v>0</v>
      </c>
      <c r="BE255" s="207">
        <f t="shared" si="228"/>
        <v>0</v>
      </c>
      <c r="BF255" s="207">
        <f t="shared" si="228"/>
        <v>0</v>
      </c>
      <c r="BG255" s="207">
        <f t="shared" si="228"/>
        <v>0</v>
      </c>
      <c r="BH255" s="255"/>
    </row>
    <row r="256" spans="1:60" ht="18.75" x14ac:dyDescent="0.2">
      <c r="A256" s="648"/>
      <c r="B256" s="492" t="s">
        <v>315</v>
      </c>
      <c r="C256" s="739" t="s">
        <v>104</v>
      </c>
      <c r="D256" s="747"/>
      <c r="E256" s="236" t="s">
        <v>323</v>
      </c>
      <c r="F256" s="236"/>
      <c r="G256" s="236"/>
      <c r="H256" s="89"/>
      <c r="I256" s="236"/>
      <c r="J256" s="279"/>
      <c r="K256" s="236"/>
      <c r="L256" s="236"/>
      <c r="M256" s="279"/>
      <c r="N256" s="236"/>
      <c r="O256" s="236"/>
      <c r="P256" s="236"/>
      <c r="Q256" s="236"/>
      <c r="R256" s="236"/>
      <c r="S256" s="236"/>
      <c r="T256" s="236"/>
      <c r="U256" s="236"/>
      <c r="V256" s="236"/>
      <c r="W256" s="236"/>
      <c r="X256" s="236"/>
      <c r="Y256" s="279"/>
      <c r="Z256" s="236"/>
      <c r="AA256" s="236"/>
      <c r="AB256" s="236"/>
      <c r="AC256" s="236"/>
      <c r="AD256" s="236"/>
      <c r="AE256" s="236"/>
      <c r="AF256" s="236"/>
      <c r="AG256" s="236"/>
      <c r="AH256" s="236"/>
      <c r="AI256" s="236"/>
      <c r="AJ256" s="236"/>
      <c r="AK256" s="279"/>
      <c r="AL256" s="236"/>
      <c r="AM256" s="236"/>
      <c r="AN256" s="236"/>
      <c r="AO256" s="236"/>
      <c r="AP256" s="236"/>
      <c r="AQ256" s="236"/>
      <c r="AR256" s="236"/>
      <c r="AS256" s="236"/>
      <c r="AT256" s="236"/>
      <c r="AU256" s="236"/>
      <c r="AV256" s="236"/>
      <c r="AW256" s="279"/>
      <c r="AX256" s="236"/>
      <c r="AY256" s="236"/>
      <c r="AZ256" s="236"/>
      <c r="BA256" s="236"/>
      <c r="BB256" s="236"/>
      <c r="BC256" s="236"/>
      <c r="BD256" s="236"/>
      <c r="BE256" s="236"/>
      <c r="BF256" s="236"/>
      <c r="BG256" s="236"/>
      <c r="BH256" s="38"/>
    </row>
    <row r="257" spans="1:60" x14ac:dyDescent="0.2">
      <c r="A257" s="648"/>
      <c r="B257" s="492" t="s">
        <v>315</v>
      </c>
      <c r="C257" s="656" t="s">
        <v>113</v>
      </c>
      <c r="D257" s="750"/>
      <c r="E257" s="220" t="s">
        <v>258</v>
      </c>
      <c r="F257" s="220"/>
      <c r="G257" s="220"/>
      <c r="H257" s="242" t="s">
        <v>317</v>
      </c>
      <c r="I257" s="129"/>
      <c r="J257" s="243">
        <f>M257+Y257+AK257+AW257</f>
        <v>0</v>
      </c>
      <c r="K257" s="236"/>
      <c r="L257" s="236"/>
      <c r="M257" s="375">
        <f>SUMPRODUCT(N257:X257,N$24:X$24,N$31:X$31)/1000</f>
        <v>0</v>
      </c>
      <c r="N257" s="129"/>
      <c r="O257" s="207">
        <f t="shared" ref="O257:W257" si="229">O255+(O241+O251)*($M$53-1)</f>
        <v>0</v>
      </c>
      <c r="P257" s="207">
        <f t="shared" si="229"/>
        <v>0</v>
      </c>
      <c r="Q257" s="207">
        <f t="shared" si="229"/>
        <v>0</v>
      </c>
      <c r="R257" s="207">
        <f t="shared" si="229"/>
        <v>0</v>
      </c>
      <c r="S257" s="207">
        <f t="shared" si="229"/>
        <v>0</v>
      </c>
      <c r="T257" s="207">
        <f t="shared" si="229"/>
        <v>0</v>
      </c>
      <c r="U257" s="207">
        <f t="shared" si="229"/>
        <v>0</v>
      </c>
      <c r="V257" s="207">
        <f t="shared" si="229"/>
        <v>0</v>
      </c>
      <c r="W257" s="207">
        <f t="shared" si="229"/>
        <v>0</v>
      </c>
      <c r="X257" s="128"/>
      <c r="Y257" s="375">
        <f>SUMPRODUCT(Z257:AJ257,Z$24:AJ$24,Z$31:AJ$31)/1000</f>
        <v>0</v>
      </c>
      <c r="Z257" s="129"/>
      <c r="AA257" s="207">
        <f t="shared" ref="AA257:AI257" si="230">AA255+(AA241+AA251)*($Y$53-1)</f>
        <v>0</v>
      </c>
      <c r="AB257" s="207">
        <f t="shared" si="230"/>
        <v>0</v>
      </c>
      <c r="AC257" s="207">
        <f t="shared" si="230"/>
        <v>0</v>
      </c>
      <c r="AD257" s="207">
        <f t="shared" si="230"/>
        <v>0</v>
      </c>
      <c r="AE257" s="207">
        <f t="shared" si="230"/>
        <v>0</v>
      </c>
      <c r="AF257" s="207">
        <f t="shared" si="230"/>
        <v>0</v>
      </c>
      <c r="AG257" s="207">
        <f t="shared" si="230"/>
        <v>0</v>
      </c>
      <c r="AH257" s="207">
        <f t="shared" si="230"/>
        <v>0</v>
      </c>
      <c r="AI257" s="207">
        <f t="shared" si="230"/>
        <v>0</v>
      </c>
      <c r="AJ257" s="128"/>
      <c r="AK257" s="375">
        <f>SUMPRODUCT(AL257:AV257,AL$24:AV$24,AL$31:AV$31)/1000</f>
        <v>0</v>
      </c>
      <c r="AL257" s="129"/>
      <c r="AM257" s="207">
        <f t="shared" ref="AM257:AU257" si="231">AM255+(AM241+AM251)*($AK$53-1)</f>
        <v>0</v>
      </c>
      <c r="AN257" s="207">
        <f t="shared" si="231"/>
        <v>0</v>
      </c>
      <c r="AO257" s="207">
        <f t="shared" si="231"/>
        <v>0</v>
      </c>
      <c r="AP257" s="207">
        <f t="shared" si="231"/>
        <v>0</v>
      </c>
      <c r="AQ257" s="207">
        <f t="shared" si="231"/>
        <v>0</v>
      </c>
      <c r="AR257" s="207">
        <f t="shared" si="231"/>
        <v>0</v>
      </c>
      <c r="AS257" s="207">
        <f t="shared" si="231"/>
        <v>0</v>
      </c>
      <c r="AT257" s="207">
        <f t="shared" si="231"/>
        <v>0</v>
      </c>
      <c r="AU257" s="207">
        <f t="shared" si="231"/>
        <v>0</v>
      </c>
      <c r="AV257" s="128"/>
      <c r="AW257" s="375">
        <f>SUMPRODUCT(AX257:BH257,AX$24:BH$24,AX$31:BH$31)/1000</f>
        <v>0</v>
      </c>
      <c r="AX257" s="129"/>
      <c r="AY257" s="207">
        <f t="shared" ref="AY257:BG257" si="232">AY255+(AY241+AY251)*($AW$53-1)</f>
        <v>0</v>
      </c>
      <c r="AZ257" s="207">
        <f t="shared" si="232"/>
        <v>0</v>
      </c>
      <c r="BA257" s="207">
        <f t="shared" si="232"/>
        <v>0</v>
      </c>
      <c r="BB257" s="207">
        <f t="shared" si="232"/>
        <v>0</v>
      </c>
      <c r="BC257" s="207">
        <f t="shared" si="232"/>
        <v>0</v>
      </c>
      <c r="BD257" s="207">
        <f t="shared" si="232"/>
        <v>0</v>
      </c>
      <c r="BE257" s="207">
        <f t="shared" si="232"/>
        <v>0</v>
      </c>
      <c r="BF257" s="207">
        <f t="shared" si="232"/>
        <v>0</v>
      </c>
      <c r="BG257" s="207">
        <f t="shared" si="232"/>
        <v>0</v>
      </c>
      <c r="BH257" s="255"/>
    </row>
    <row r="258" spans="1:60" x14ac:dyDescent="0.2">
      <c r="A258" s="648"/>
      <c r="B258" s="492" t="s">
        <v>315</v>
      </c>
      <c r="C258" s="739" t="s">
        <v>104</v>
      </c>
      <c r="D258" s="747"/>
      <c r="E258" s="90"/>
      <c r="F258" s="90"/>
      <c r="G258" s="90"/>
      <c r="H258" s="96"/>
      <c r="I258" s="90"/>
      <c r="J258" s="93"/>
      <c r="K258" s="90"/>
      <c r="L258" s="90"/>
      <c r="M258" s="93"/>
      <c r="N258" s="90"/>
      <c r="O258" s="92"/>
      <c r="P258" s="93"/>
      <c r="Q258" s="93"/>
      <c r="R258" s="93"/>
      <c r="S258" s="93"/>
      <c r="T258" s="93"/>
      <c r="U258" s="93"/>
      <c r="V258" s="93"/>
      <c r="W258" s="93"/>
      <c r="X258" s="93"/>
      <c r="Y258" s="93"/>
      <c r="Z258" s="90"/>
      <c r="AA258" s="93"/>
      <c r="AB258" s="93"/>
      <c r="AC258" s="93"/>
      <c r="AD258" s="93"/>
      <c r="AE258" s="93"/>
      <c r="AF258" s="93"/>
      <c r="AG258" s="93"/>
      <c r="AH258" s="93"/>
      <c r="AI258" s="93"/>
      <c r="AJ258" s="93"/>
      <c r="AK258" s="128"/>
      <c r="AL258" s="90"/>
      <c r="AM258" s="93"/>
      <c r="AN258" s="93"/>
      <c r="AO258" s="93"/>
      <c r="AP258" s="93"/>
      <c r="AQ258" s="93"/>
      <c r="AR258" s="93"/>
      <c r="AS258" s="93"/>
      <c r="AT258" s="93"/>
      <c r="AU258" s="93"/>
      <c r="AV258" s="93"/>
      <c r="AW258" s="93"/>
      <c r="AX258" s="90"/>
      <c r="AY258" s="93"/>
      <c r="AZ258" s="93"/>
      <c r="BA258" s="93"/>
      <c r="BB258" s="93"/>
      <c r="BC258" s="93"/>
      <c r="BD258" s="93"/>
      <c r="BE258" s="93"/>
      <c r="BF258" s="93"/>
      <c r="BG258" s="93"/>
      <c r="BH258" s="1"/>
    </row>
    <row r="259" spans="1:60" x14ac:dyDescent="0.2">
      <c r="A259" s="648"/>
      <c r="B259" s="492" t="s">
        <v>324</v>
      </c>
      <c r="C259" s="656" t="s">
        <v>104</v>
      </c>
      <c r="D259" s="747"/>
      <c r="E259" s="90"/>
      <c r="F259" s="90"/>
      <c r="G259" s="90"/>
      <c r="H259" s="96"/>
      <c r="I259" s="90"/>
      <c r="J259" s="93"/>
      <c r="K259" s="90"/>
      <c r="L259" s="90"/>
      <c r="M259" s="93"/>
      <c r="N259" s="90"/>
      <c r="O259" s="93"/>
      <c r="P259" s="93"/>
      <c r="Q259" s="93"/>
      <c r="R259" s="93"/>
      <c r="S259" s="93"/>
      <c r="T259" s="93"/>
      <c r="U259" s="93"/>
      <c r="V259" s="93"/>
      <c r="W259" s="93"/>
      <c r="X259" s="93"/>
      <c r="Y259" s="93"/>
      <c r="Z259" s="90"/>
      <c r="AA259" s="93"/>
      <c r="AB259" s="128"/>
      <c r="AC259" s="93"/>
      <c r="AD259" s="93"/>
      <c r="AE259" s="93"/>
      <c r="AF259" s="93"/>
      <c r="AG259" s="93"/>
      <c r="AH259" s="93"/>
      <c r="AI259" s="93"/>
      <c r="AJ259" s="93"/>
      <c r="AK259" s="93"/>
      <c r="AL259" s="90"/>
      <c r="AM259" s="93"/>
      <c r="AN259" s="93"/>
      <c r="AO259" s="93"/>
      <c r="AP259" s="93"/>
      <c r="AQ259" s="93"/>
      <c r="AR259" s="93"/>
      <c r="AS259" s="93"/>
      <c r="AT259" s="93"/>
      <c r="AU259" s="93"/>
      <c r="AV259" s="93"/>
      <c r="AW259" s="93"/>
      <c r="AX259" s="90"/>
      <c r="AY259" s="93"/>
      <c r="AZ259" s="93"/>
      <c r="BA259" s="93"/>
      <c r="BB259" s="93"/>
      <c r="BC259" s="93"/>
      <c r="BD259" s="93"/>
      <c r="BE259" s="93"/>
      <c r="BF259" s="93"/>
      <c r="BG259" s="93"/>
      <c r="BH259" s="1"/>
    </row>
    <row r="260" spans="1:60" s="2" customFormat="1" ht="21" x14ac:dyDescent="0.2">
      <c r="A260" s="649"/>
      <c r="B260" s="492" t="s">
        <v>324</v>
      </c>
      <c r="C260" s="739" t="s">
        <v>104</v>
      </c>
      <c r="D260" s="750" t="s">
        <v>50</v>
      </c>
      <c r="E260" s="253" t="s">
        <v>325</v>
      </c>
      <c r="F260" s="253"/>
      <c r="G260" s="253"/>
      <c r="H260" s="253"/>
      <c r="I260" s="146"/>
      <c r="J260" s="318" t="str">
        <f>J$10&amp;" MWh"</f>
        <v>totaal MWh</v>
      </c>
      <c r="K260" s="142"/>
      <c r="L260" s="142"/>
      <c r="M260" s="318" t="str">
        <f>M$10&amp;" MWh"</f>
        <v>totaal MWh</v>
      </c>
      <c r="N260" s="222"/>
      <c r="O260" s="320" t="str">
        <f t="shared" ref="O260:W260" si="233">O$17</f>
        <v/>
      </c>
      <c r="P260" s="320" t="str">
        <f t="shared" si="233"/>
        <v/>
      </c>
      <c r="Q260" s="320" t="str">
        <f t="shared" si="233"/>
        <v/>
      </c>
      <c r="R260" s="320" t="str">
        <f t="shared" si="233"/>
        <v/>
      </c>
      <c r="S260" s="320" t="str">
        <f t="shared" si="233"/>
        <v/>
      </c>
      <c r="T260" s="320" t="str">
        <f t="shared" si="233"/>
        <v/>
      </c>
      <c r="U260" s="320" t="str">
        <f t="shared" si="233"/>
        <v/>
      </c>
      <c r="V260" s="320" t="str">
        <f t="shared" si="233"/>
        <v/>
      </c>
      <c r="W260" s="320" t="str">
        <f t="shared" si="233"/>
        <v/>
      </c>
      <c r="X260" s="214"/>
      <c r="Y260" s="318"/>
      <c r="Z260" s="222"/>
      <c r="AA260" s="320" t="str">
        <f t="shared" ref="AA260:AI260" si="234">AA$17</f>
        <v/>
      </c>
      <c r="AB260" s="320" t="str">
        <f t="shared" si="234"/>
        <v/>
      </c>
      <c r="AC260" s="320" t="str">
        <f t="shared" si="234"/>
        <v/>
      </c>
      <c r="AD260" s="320" t="str">
        <f t="shared" si="234"/>
        <v/>
      </c>
      <c r="AE260" s="320" t="str">
        <f t="shared" si="234"/>
        <v/>
      </c>
      <c r="AF260" s="320" t="str">
        <f t="shared" si="234"/>
        <v/>
      </c>
      <c r="AG260" s="320" t="str">
        <f t="shared" si="234"/>
        <v/>
      </c>
      <c r="AH260" s="320" t="str">
        <f t="shared" si="234"/>
        <v/>
      </c>
      <c r="AI260" s="320" t="str">
        <f t="shared" si="234"/>
        <v/>
      </c>
      <c r="AJ260" s="214"/>
      <c r="AK260" s="318"/>
      <c r="AL260" s="222"/>
      <c r="AM260" s="320" t="str">
        <f>AM$17</f>
        <v/>
      </c>
      <c r="AN260" s="320" t="str">
        <f t="shared" ref="AN260:AU260" si="235">AN$17</f>
        <v/>
      </c>
      <c r="AO260" s="320" t="str">
        <f t="shared" si="235"/>
        <v/>
      </c>
      <c r="AP260" s="320" t="str">
        <f t="shared" si="235"/>
        <v/>
      </c>
      <c r="AQ260" s="320" t="str">
        <f t="shared" si="235"/>
        <v/>
      </c>
      <c r="AR260" s="320" t="str">
        <f t="shared" si="235"/>
        <v/>
      </c>
      <c r="AS260" s="320" t="str">
        <f t="shared" si="235"/>
        <v/>
      </c>
      <c r="AT260" s="320" t="str">
        <f t="shared" si="235"/>
        <v/>
      </c>
      <c r="AU260" s="320" t="str">
        <f t="shared" si="235"/>
        <v/>
      </c>
      <c r="AV260" s="214"/>
      <c r="AW260" s="318"/>
      <c r="AX260" s="222"/>
      <c r="AY260" s="320" t="str">
        <f>AY$17</f>
        <v/>
      </c>
      <c r="AZ260" s="320" t="str">
        <f t="shared" ref="AZ260:BG260" si="236">AZ$17</f>
        <v/>
      </c>
      <c r="BA260" s="320" t="str">
        <f t="shared" si="236"/>
        <v/>
      </c>
      <c r="BB260" s="320" t="str">
        <f t="shared" si="236"/>
        <v/>
      </c>
      <c r="BC260" s="320" t="str">
        <f t="shared" si="236"/>
        <v/>
      </c>
      <c r="BD260" s="320" t="str">
        <f t="shared" si="236"/>
        <v/>
      </c>
      <c r="BE260" s="320" t="str">
        <f t="shared" si="236"/>
        <v/>
      </c>
      <c r="BF260" s="320" t="str">
        <f t="shared" si="236"/>
        <v/>
      </c>
      <c r="BG260" s="320" t="str">
        <f t="shared" si="236"/>
        <v/>
      </c>
      <c r="BH260" s="1"/>
    </row>
    <row r="261" spans="1:60" ht="18.75" x14ac:dyDescent="0.2">
      <c r="A261" s="648"/>
      <c r="B261" s="492" t="s">
        <v>324</v>
      </c>
      <c r="C261" s="739" t="s">
        <v>104</v>
      </c>
      <c r="D261" s="747"/>
      <c r="E261" s="236" t="s">
        <v>326</v>
      </c>
      <c r="F261" s="236"/>
      <c r="G261" s="236"/>
      <c r="H261" s="89"/>
      <c r="I261" s="236"/>
      <c r="J261" s="236"/>
      <c r="K261" s="236"/>
      <c r="L261" s="236"/>
      <c r="M261" s="236"/>
      <c r="N261" s="236"/>
      <c r="O261" s="236"/>
      <c r="P261" s="236"/>
      <c r="Q261" s="236"/>
      <c r="R261" s="236"/>
      <c r="S261" s="236"/>
      <c r="T261" s="236"/>
      <c r="U261" s="236"/>
      <c r="V261" s="236"/>
      <c r="W261" s="236"/>
      <c r="X261" s="236"/>
      <c r="Y261" s="236"/>
      <c r="Z261" s="236"/>
      <c r="AA261" s="236"/>
      <c r="AB261" s="279"/>
      <c r="AC261" s="236"/>
      <c r="AD261" s="236"/>
      <c r="AE261" s="236"/>
      <c r="AF261" s="236"/>
      <c r="AG261" s="236"/>
      <c r="AH261" s="236"/>
      <c r="AI261" s="236"/>
      <c r="AJ261" s="236"/>
      <c r="AK261" s="236"/>
      <c r="AL261" s="236"/>
      <c r="AM261" s="236"/>
      <c r="AN261" s="236"/>
      <c r="AO261" s="279"/>
      <c r="AP261" s="236"/>
      <c r="AQ261" s="236"/>
      <c r="AR261" s="236"/>
      <c r="AS261" s="236"/>
      <c r="AT261" s="236"/>
      <c r="AU261" s="236"/>
      <c r="AV261" s="236"/>
      <c r="AW261" s="236"/>
      <c r="AX261" s="236"/>
      <c r="AY261" s="236"/>
      <c r="AZ261" s="236"/>
      <c r="BA261" s="236"/>
      <c r="BB261" s="236"/>
      <c r="BC261" s="236"/>
      <c r="BD261" s="236"/>
      <c r="BE261" s="236"/>
      <c r="BF261" s="236"/>
      <c r="BG261" s="236"/>
      <c r="BH261" s="38"/>
    </row>
    <row r="262" spans="1:60" x14ac:dyDescent="0.2">
      <c r="A262" s="648"/>
      <c r="B262" s="492" t="s">
        <v>324</v>
      </c>
      <c r="C262" s="656" t="s">
        <v>113</v>
      </c>
      <c r="D262" s="750" t="s">
        <v>50</v>
      </c>
      <c r="E262" s="220" t="s">
        <v>327</v>
      </c>
      <c r="F262" s="220"/>
      <c r="G262" s="220"/>
      <c r="H262" s="242" t="s">
        <v>317</v>
      </c>
      <c r="I262" s="129"/>
      <c r="J262" s="243">
        <f>M262+Y262+AK262+AW262</f>
        <v>0</v>
      </c>
      <c r="K262" s="236"/>
      <c r="L262" s="236"/>
      <c r="M262" s="243">
        <f>SUMPRODUCT(N262:X262,N$32:X$32)/1000</f>
        <v>0</v>
      </c>
      <c r="N262" s="129"/>
      <c r="O262" s="207" t="str">
        <f t="shared" ref="O262:W262" si="237">IF(OR(O$19="",O$24=0,O$31=0),"",O$255-O$248-O$247-IF(OR(O$21=woning,O$21=woongebouw),O244,0))</f>
        <v/>
      </c>
      <c r="P262" s="207" t="str">
        <f t="shared" si="237"/>
        <v/>
      </c>
      <c r="Q262" s="207" t="str">
        <f t="shared" si="237"/>
        <v/>
      </c>
      <c r="R262" s="207" t="str">
        <f t="shared" si="237"/>
        <v/>
      </c>
      <c r="S262" s="207" t="str">
        <f t="shared" si="237"/>
        <v/>
      </c>
      <c r="T262" s="207" t="str">
        <f t="shared" si="237"/>
        <v/>
      </c>
      <c r="U262" s="207" t="str">
        <f t="shared" si="237"/>
        <v/>
      </c>
      <c r="V262" s="207" t="str">
        <f t="shared" si="237"/>
        <v/>
      </c>
      <c r="W262" s="207" t="str">
        <f t="shared" si="237"/>
        <v/>
      </c>
      <c r="X262" s="128"/>
      <c r="Y262" s="243">
        <f>SUMPRODUCT(Z262:AJ262,Z$32:AJ$32)/1000</f>
        <v>0</v>
      </c>
      <c r="Z262" s="129"/>
      <c r="AA262" s="207" t="str">
        <f t="shared" ref="AA262:AI262" si="238">IF(OR(AA$19="",AA$24=0,AA$31=0),"",AA$255-AA$248-AA$247-IF(OR(AA$21=woning,AA$21=woongebouw),AA244,0))</f>
        <v/>
      </c>
      <c r="AB262" s="207" t="str">
        <f t="shared" si="238"/>
        <v/>
      </c>
      <c r="AC262" s="207" t="str">
        <f t="shared" si="238"/>
        <v/>
      </c>
      <c r="AD262" s="207" t="str">
        <f t="shared" si="238"/>
        <v/>
      </c>
      <c r="AE262" s="207" t="str">
        <f t="shared" si="238"/>
        <v/>
      </c>
      <c r="AF262" s="207" t="str">
        <f t="shared" si="238"/>
        <v/>
      </c>
      <c r="AG262" s="207" t="str">
        <f t="shared" si="238"/>
        <v/>
      </c>
      <c r="AH262" s="207" t="str">
        <f t="shared" si="238"/>
        <v/>
      </c>
      <c r="AI262" s="207" t="str">
        <f t="shared" si="238"/>
        <v/>
      </c>
      <c r="AJ262" s="128"/>
      <c r="AK262" s="243">
        <f>SUMPRODUCT(AL262:AV262,AL$32:AV$32)/1000</f>
        <v>0</v>
      </c>
      <c r="AL262" s="129"/>
      <c r="AM262" s="207" t="str">
        <f t="shared" ref="AM262:AU262" si="239">IF(OR(AM$19="",AM$24=0,AM$31=0),"",AM$255-AM$248-AM$247-IF(OR(AM$21=woning,AM$21=woongebouw),AM244,0))</f>
        <v/>
      </c>
      <c r="AN262" s="207" t="str">
        <f t="shared" si="239"/>
        <v/>
      </c>
      <c r="AO262" s="207" t="str">
        <f t="shared" si="239"/>
        <v/>
      </c>
      <c r="AP262" s="207" t="str">
        <f t="shared" si="239"/>
        <v/>
      </c>
      <c r="AQ262" s="207" t="str">
        <f t="shared" si="239"/>
        <v/>
      </c>
      <c r="AR262" s="207" t="str">
        <f t="shared" si="239"/>
        <v/>
      </c>
      <c r="AS262" s="207" t="str">
        <f t="shared" si="239"/>
        <v/>
      </c>
      <c r="AT262" s="207" t="str">
        <f t="shared" si="239"/>
        <v/>
      </c>
      <c r="AU262" s="207" t="str">
        <f t="shared" si="239"/>
        <v/>
      </c>
      <c r="AV262" s="128"/>
      <c r="AW262" s="243">
        <f>SUMPRODUCT(AX262:BH262,AX$32:BH$32)/1000</f>
        <v>0</v>
      </c>
      <c r="AX262" s="129"/>
      <c r="AY262" s="207" t="str">
        <f t="shared" ref="AY262:BG262" si="240">IF(OR(AY$19="",AY$24=0,AY$31=0),"",AY$255-AY$248-AY$247-IF(OR(AY$21=woning,AY$21=woongebouw),AY244,0))</f>
        <v/>
      </c>
      <c r="AZ262" s="207" t="str">
        <f t="shared" si="240"/>
        <v/>
      </c>
      <c r="BA262" s="207" t="str">
        <f t="shared" si="240"/>
        <v/>
      </c>
      <c r="BB262" s="207" t="str">
        <f t="shared" si="240"/>
        <v/>
      </c>
      <c r="BC262" s="207" t="str">
        <f t="shared" si="240"/>
        <v/>
      </c>
      <c r="BD262" s="207" t="str">
        <f t="shared" si="240"/>
        <v/>
      </c>
      <c r="BE262" s="207" t="str">
        <f t="shared" si="240"/>
        <v/>
      </c>
      <c r="BF262" s="207" t="str">
        <f t="shared" si="240"/>
        <v/>
      </c>
      <c r="BG262" s="207" t="str">
        <f t="shared" si="240"/>
        <v/>
      </c>
      <c r="BH262" s="255"/>
    </row>
    <row r="263" spans="1:60" ht="18.75" x14ac:dyDescent="0.2">
      <c r="A263" s="648"/>
      <c r="B263" s="492" t="s">
        <v>324</v>
      </c>
      <c r="C263" s="739" t="s">
        <v>104</v>
      </c>
      <c r="D263" s="747"/>
      <c r="E263" s="236" t="s">
        <v>328</v>
      </c>
      <c r="F263" s="236"/>
      <c r="G263" s="236"/>
      <c r="H263" s="89"/>
      <c r="I263" s="236"/>
      <c r="J263" s="236"/>
      <c r="K263" s="236"/>
      <c r="L263" s="236"/>
      <c r="M263" s="236"/>
      <c r="N263" s="236"/>
      <c r="O263" s="236"/>
      <c r="P263" s="236"/>
      <c r="Q263" s="236"/>
      <c r="R263" s="236"/>
      <c r="S263" s="236"/>
      <c r="T263" s="236"/>
      <c r="U263" s="236"/>
      <c r="V263" s="236"/>
      <c r="W263" s="236"/>
      <c r="X263" s="236"/>
      <c r="Y263" s="236"/>
      <c r="Z263" s="236"/>
      <c r="AA263" s="236"/>
      <c r="AB263" s="236"/>
      <c r="AC263" s="236"/>
      <c r="AD263" s="236"/>
      <c r="AE263" s="236"/>
      <c r="AF263" s="236"/>
      <c r="AG263" s="236"/>
      <c r="AH263" s="236"/>
      <c r="AI263" s="236"/>
      <c r="AJ263" s="236"/>
      <c r="AK263" s="236"/>
      <c r="AL263" s="236"/>
      <c r="AM263" s="236"/>
      <c r="AN263" s="236"/>
      <c r="AO263" s="236"/>
      <c r="AP263" s="236"/>
      <c r="AQ263" s="236"/>
      <c r="AR263" s="236"/>
      <c r="AS263" s="236"/>
      <c r="AT263" s="236"/>
      <c r="AU263" s="236"/>
      <c r="AV263" s="236"/>
      <c r="AW263" s="236"/>
      <c r="AX263" s="236"/>
      <c r="AY263" s="236"/>
      <c r="AZ263" s="236"/>
      <c r="BA263" s="236"/>
      <c r="BB263" s="236"/>
      <c r="BC263" s="236"/>
      <c r="BD263" s="236"/>
      <c r="BE263" s="236"/>
      <c r="BF263" s="236"/>
      <c r="BG263" s="236"/>
      <c r="BH263" s="38"/>
    </row>
    <row r="264" spans="1:60" x14ac:dyDescent="0.2">
      <c r="A264" s="648"/>
      <c r="B264" s="492" t="s">
        <v>324</v>
      </c>
      <c r="C264" s="656" t="s">
        <v>113</v>
      </c>
      <c r="D264" s="750" t="s">
        <v>50</v>
      </c>
      <c r="E264" s="220" t="s">
        <v>329</v>
      </c>
      <c r="F264" s="220"/>
      <c r="G264" s="220"/>
      <c r="H264" s="242" t="s">
        <v>317</v>
      </c>
      <c r="I264" s="129"/>
      <c r="J264" s="243">
        <f t="shared" ref="J264:J269" si="241">M264+Y264+AK264+AW264</f>
        <v>0</v>
      </c>
      <c r="K264" s="236"/>
      <c r="L264" s="236"/>
      <c r="M264" s="243">
        <f t="shared" ref="M264:M269" si="242">SUMPRODUCT(N264:X264,N$32:X$32)/1000</f>
        <v>0</v>
      </c>
      <c r="N264" s="129"/>
      <c r="O264" s="207" t="str">
        <f t="shared" ref="O264:W264" si="243">IF(OR(O$19="",O$24=0,O$31=0),"",
(O$234*$O209+O$235*$P209+O$236*$Q209)*1000/(O$24*O$31))</f>
        <v/>
      </c>
      <c r="P264" s="207" t="str">
        <f t="shared" si="243"/>
        <v/>
      </c>
      <c r="Q264" s="207" t="str">
        <f t="shared" si="243"/>
        <v/>
      </c>
      <c r="R264" s="207" t="str">
        <f t="shared" si="243"/>
        <v/>
      </c>
      <c r="S264" s="207" t="str">
        <f t="shared" si="243"/>
        <v/>
      </c>
      <c r="T264" s="207" t="str">
        <f t="shared" si="243"/>
        <v/>
      </c>
      <c r="U264" s="207" t="str">
        <f t="shared" si="243"/>
        <v/>
      </c>
      <c r="V264" s="207" t="str">
        <f t="shared" si="243"/>
        <v/>
      </c>
      <c r="W264" s="207" t="str">
        <f t="shared" si="243"/>
        <v/>
      </c>
      <c r="X264" s="128"/>
      <c r="Y264" s="243">
        <f t="shared" ref="Y264:Y269" si="244">SUMPRODUCT(Z264:AJ264,Z$32:AJ$32)/1000</f>
        <v>0</v>
      </c>
      <c r="Z264" s="129"/>
      <c r="AA264" s="207" t="str">
        <f t="shared" ref="AA264:AI264" si="245">IF(OR(AA$19="",AA$24=0,AA$31=0),"",
(AA$234*$AA209+AA$235*$AB209+AA$236*$AC209)*1000/(AA$24*AA$31))</f>
        <v/>
      </c>
      <c r="AB264" s="207" t="str">
        <f t="shared" si="245"/>
        <v/>
      </c>
      <c r="AC264" s="207" t="str">
        <f t="shared" si="245"/>
        <v/>
      </c>
      <c r="AD264" s="207" t="str">
        <f t="shared" si="245"/>
        <v/>
      </c>
      <c r="AE264" s="207" t="str">
        <f t="shared" si="245"/>
        <v/>
      </c>
      <c r="AF264" s="207" t="str">
        <f t="shared" si="245"/>
        <v/>
      </c>
      <c r="AG264" s="207" t="str">
        <f t="shared" si="245"/>
        <v/>
      </c>
      <c r="AH264" s="207" t="str">
        <f t="shared" si="245"/>
        <v/>
      </c>
      <c r="AI264" s="207" t="str">
        <f t="shared" si="245"/>
        <v/>
      </c>
      <c r="AJ264" s="128"/>
      <c r="AK264" s="243">
        <f t="shared" ref="AK264:AK269" si="246">SUMPRODUCT(AL264:AV264,AL$32:AV$32)/1000</f>
        <v>0</v>
      </c>
      <c r="AL264" s="129"/>
      <c r="AM264" s="207" t="str">
        <f t="shared" ref="AM264:AU264" si="247">IF(OR(AM$19="",AM$24=0,AM$31=0),"",
(AM$234*$AM209+AM$235*$AN209+AM$236*$AO209)*1000/(AM$24*AM$31))</f>
        <v/>
      </c>
      <c r="AN264" s="207" t="str">
        <f t="shared" si="247"/>
        <v/>
      </c>
      <c r="AO264" s="207" t="str">
        <f t="shared" si="247"/>
        <v/>
      </c>
      <c r="AP264" s="207" t="str">
        <f t="shared" si="247"/>
        <v/>
      </c>
      <c r="AQ264" s="207" t="str">
        <f t="shared" si="247"/>
        <v/>
      </c>
      <c r="AR264" s="207" t="str">
        <f t="shared" si="247"/>
        <v/>
      </c>
      <c r="AS264" s="207" t="str">
        <f t="shared" si="247"/>
        <v/>
      </c>
      <c r="AT264" s="207" t="str">
        <f t="shared" si="247"/>
        <v/>
      </c>
      <c r="AU264" s="207" t="str">
        <f t="shared" si="247"/>
        <v/>
      </c>
      <c r="AV264" s="128"/>
      <c r="AW264" s="243">
        <f t="shared" ref="AW264:AW269" si="248">SUMPRODUCT(AX264:BH264,AX$32:BH$32)/1000</f>
        <v>0</v>
      </c>
      <c r="AX264" s="129"/>
      <c r="AY264" s="207" t="str">
        <f t="shared" ref="AY264:BG264" si="249">IF(OR(AY$19="",AY$24=0,AY$31=0),"",
(AY$234*$AY209+AY$235*$AZ209+AY$236*$BA209)*1000/(AY$24*AY$31))</f>
        <v/>
      </c>
      <c r="AZ264" s="207" t="str">
        <f t="shared" si="249"/>
        <v/>
      </c>
      <c r="BA264" s="207" t="str">
        <f t="shared" si="249"/>
        <v/>
      </c>
      <c r="BB264" s="207" t="str">
        <f t="shared" si="249"/>
        <v/>
      </c>
      <c r="BC264" s="207" t="str">
        <f t="shared" si="249"/>
        <v/>
      </c>
      <c r="BD264" s="207" t="str">
        <f t="shared" si="249"/>
        <v/>
      </c>
      <c r="BE264" s="207" t="str">
        <f t="shared" si="249"/>
        <v/>
      </c>
      <c r="BF264" s="207" t="str">
        <f t="shared" si="249"/>
        <v/>
      </c>
      <c r="BG264" s="207" t="str">
        <f t="shared" si="249"/>
        <v/>
      </c>
      <c r="BH264" s="255"/>
    </row>
    <row r="265" spans="1:60" x14ac:dyDescent="0.2">
      <c r="A265" s="648"/>
      <c r="B265" s="492" t="s">
        <v>324</v>
      </c>
      <c r="C265" s="656" t="s">
        <v>113</v>
      </c>
      <c r="D265" s="750" t="s">
        <v>50</v>
      </c>
      <c r="E265" s="220" t="s">
        <v>330</v>
      </c>
      <c r="F265" s="220"/>
      <c r="G265" s="220"/>
      <c r="H265" s="242" t="s">
        <v>317</v>
      </c>
      <c r="I265" s="129"/>
      <c r="J265" s="243">
        <f t="shared" si="241"/>
        <v>0</v>
      </c>
      <c r="K265" s="236"/>
      <c r="L265" s="236"/>
      <c r="M265" s="243">
        <f t="shared" si="242"/>
        <v>0</v>
      </c>
      <c r="N265" s="129"/>
      <c r="O265" s="207" t="str">
        <f t="shared" ref="O265:W265" si="250">IF(OR(O$19="",O$24=0,O$31=0),"",
(O$235*$P210)*1000/(O$24*O$31))</f>
        <v/>
      </c>
      <c r="P265" s="207" t="str">
        <f t="shared" si="250"/>
        <v/>
      </c>
      <c r="Q265" s="207" t="str">
        <f t="shared" si="250"/>
        <v/>
      </c>
      <c r="R265" s="207" t="str">
        <f t="shared" si="250"/>
        <v/>
      </c>
      <c r="S265" s="207" t="str">
        <f t="shared" si="250"/>
        <v/>
      </c>
      <c r="T265" s="207" t="str">
        <f t="shared" si="250"/>
        <v/>
      </c>
      <c r="U265" s="207" t="str">
        <f t="shared" si="250"/>
        <v/>
      </c>
      <c r="V265" s="207" t="str">
        <f t="shared" si="250"/>
        <v/>
      </c>
      <c r="W265" s="207" t="str">
        <f t="shared" si="250"/>
        <v/>
      </c>
      <c r="X265" s="128"/>
      <c r="Y265" s="243">
        <f t="shared" si="244"/>
        <v>0</v>
      </c>
      <c r="Z265" s="129"/>
      <c r="AA265" s="207" t="str">
        <f t="shared" ref="AA265:AI265" si="251">IF(OR(AA$19="",AA$24=0,AA$31=0),"",
(AA$235*$AB210)*1000/(AA$24*AA$31))</f>
        <v/>
      </c>
      <c r="AB265" s="207" t="str">
        <f t="shared" si="251"/>
        <v/>
      </c>
      <c r="AC265" s="207" t="str">
        <f t="shared" si="251"/>
        <v/>
      </c>
      <c r="AD265" s="207" t="str">
        <f t="shared" si="251"/>
        <v/>
      </c>
      <c r="AE265" s="207" t="str">
        <f t="shared" si="251"/>
        <v/>
      </c>
      <c r="AF265" s="207" t="str">
        <f t="shared" si="251"/>
        <v/>
      </c>
      <c r="AG265" s="207" t="str">
        <f t="shared" si="251"/>
        <v/>
      </c>
      <c r="AH265" s="207" t="str">
        <f t="shared" si="251"/>
        <v/>
      </c>
      <c r="AI265" s="207" t="str">
        <f t="shared" si="251"/>
        <v/>
      </c>
      <c r="AJ265" s="128"/>
      <c r="AK265" s="243">
        <f t="shared" si="246"/>
        <v>0</v>
      </c>
      <c r="AL265" s="129"/>
      <c r="AM265" s="207" t="str">
        <f t="shared" ref="AM265:AU265" si="252">IF(OR(AM$19="",AM$24=0,AM$31=0),"",
(AM$235*$AN210)*1000/(AM$24*AM$31))</f>
        <v/>
      </c>
      <c r="AN265" s="207" t="str">
        <f t="shared" si="252"/>
        <v/>
      </c>
      <c r="AO265" s="207" t="str">
        <f t="shared" si="252"/>
        <v/>
      </c>
      <c r="AP265" s="207" t="str">
        <f t="shared" si="252"/>
        <v/>
      </c>
      <c r="AQ265" s="207" t="str">
        <f t="shared" si="252"/>
        <v/>
      </c>
      <c r="AR265" s="207" t="str">
        <f t="shared" si="252"/>
        <v/>
      </c>
      <c r="AS265" s="207" t="str">
        <f t="shared" si="252"/>
        <v/>
      </c>
      <c r="AT265" s="207" t="str">
        <f t="shared" si="252"/>
        <v/>
      </c>
      <c r="AU265" s="207" t="str">
        <f t="shared" si="252"/>
        <v/>
      </c>
      <c r="AV265" s="128"/>
      <c r="AW265" s="243">
        <f t="shared" si="248"/>
        <v>0</v>
      </c>
      <c r="AX265" s="129"/>
      <c r="AY265" s="207" t="str">
        <f t="shared" ref="AY265:BG265" si="253">IF(OR(AY$19="",AY$24=0,AY$31=0),"",
(AY$235*$AZ210)*1000/(AY$24*AY$31))</f>
        <v/>
      </c>
      <c r="AZ265" s="207" t="str">
        <f t="shared" si="253"/>
        <v/>
      </c>
      <c r="BA265" s="207" t="str">
        <f t="shared" si="253"/>
        <v/>
      </c>
      <c r="BB265" s="207" t="str">
        <f t="shared" si="253"/>
        <v/>
      </c>
      <c r="BC265" s="207" t="str">
        <f t="shared" si="253"/>
        <v/>
      </c>
      <c r="BD265" s="207" t="str">
        <f t="shared" si="253"/>
        <v/>
      </c>
      <c r="BE265" s="207" t="str">
        <f t="shared" si="253"/>
        <v/>
      </c>
      <c r="BF265" s="207" t="str">
        <f t="shared" si="253"/>
        <v/>
      </c>
      <c r="BG265" s="207" t="str">
        <f t="shared" si="253"/>
        <v/>
      </c>
      <c r="BH265" s="255"/>
    </row>
    <row r="266" spans="1:60" x14ac:dyDescent="0.2">
      <c r="A266" s="648"/>
      <c r="B266" s="492" t="s">
        <v>324</v>
      </c>
      <c r="C266" s="656" t="s">
        <v>113</v>
      </c>
      <c r="D266" s="750" t="s">
        <v>50</v>
      </c>
      <c r="E266" s="220" t="s">
        <v>294</v>
      </c>
      <c r="F266" s="220"/>
      <c r="G266" s="220"/>
      <c r="H266" s="242" t="s">
        <v>317</v>
      </c>
      <c r="I266" s="129"/>
      <c r="J266" s="243">
        <f t="shared" si="241"/>
        <v>0</v>
      </c>
      <c r="K266" s="236"/>
      <c r="L266" s="236"/>
      <c r="M266" s="243">
        <f t="shared" si="242"/>
        <v>0</v>
      </c>
      <c r="N266" s="129"/>
      <c r="O266" s="207" t="str">
        <f t="shared" ref="O266:W266" si="254">IF(OR(O$19="",O$24=0,O$31=0),"",
(O$234*$O211+O$236*$Q211)*1000/(O$24*O$31))</f>
        <v/>
      </c>
      <c r="P266" s="207" t="str">
        <f t="shared" si="254"/>
        <v/>
      </c>
      <c r="Q266" s="207" t="str">
        <f t="shared" si="254"/>
        <v/>
      </c>
      <c r="R266" s="207" t="str">
        <f t="shared" si="254"/>
        <v/>
      </c>
      <c r="S266" s="207" t="str">
        <f t="shared" si="254"/>
        <v/>
      </c>
      <c r="T266" s="207" t="str">
        <f t="shared" si="254"/>
        <v/>
      </c>
      <c r="U266" s="207" t="str">
        <f t="shared" si="254"/>
        <v/>
      </c>
      <c r="V266" s="207" t="str">
        <f t="shared" si="254"/>
        <v/>
      </c>
      <c r="W266" s="207" t="str">
        <f t="shared" si="254"/>
        <v/>
      </c>
      <c r="X266" s="128"/>
      <c r="Y266" s="243">
        <f t="shared" si="244"/>
        <v>0</v>
      </c>
      <c r="Z266" s="129"/>
      <c r="AA266" s="207" t="str">
        <f t="shared" ref="AA266:AI266" si="255">IF(OR(AA$19="",AA$24=0,AA$31=0),"",
(AA$234*$AA211+AA$236*$AC211)*1000/(AA$24*AA$31))</f>
        <v/>
      </c>
      <c r="AB266" s="207" t="str">
        <f t="shared" si="255"/>
        <v/>
      </c>
      <c r="AC266" s="207" t="str">
        <f t="shared" si="255"/>
        <v/>
      </c>
      <c r="AD266" s="207" t="str">
        <f t="shared" si="255"/>
        <v/>
      </c>
      <c r="AE266" s="207" t="str">
        <f t="shared" si="255"/>
        <v/>
      </c>
      <c r="AF266" s="207" t="str">
        <f t="shared" si="255"/>
        <v/>
      </c>
      <c r="AG266" s="207" t="str">
        <f t="shared" si="255"/>
        <v/>
      </c>
      <c r="AH266" s="207" t="str">
        <f t="shared" si="255"/>
        <v/>
      </c>
      <c r="AI266" s="207" t="str">
        <f t="shared" si="255"/>
        <v/>
      </c>
      <c r="AJ266" s="128"/>
      <c r="AK266" s="243">
        <f t="shared" si="246"/>
        <v>0</v>
      </c>
      <c r="AL266" s="129"/>
      <c r="AM266" s="207" t="str">
        <f t="shared" ref="AM266:AU266" si="256">IF(OR(AM$19="",AM$24=0,AM$31=0),"",
(AM$234*$AM211+AM$236*$AO211)*1000/(AM$24*AM$31))</f>
        <v/>
      </c>
      <c r="AN266" s="207" t="str">
        <f t="shared" si="256"/>
        <v/>
      </c>
      <c r="AO266" s="207" t="str">
        <f t="shared" si="256"/>
        <v/>
      </c>
      <c r="AP266" s="207" t="str">
        <f t="shared" si="256"/>
        <v/>
      </c>
      <c r="AQ266" s="207" t="str">
        <f t="shared" si="256"/>
        <v/>
      </c>
      <c r="AR266" s="207" t="str">
        <f t="shared" si="256"/>
        <v/>
      </c>
      <c r="AS266" s="207" t="str">
        <f t="shared" si="256"/>
        <v/>
      </c>
      <c r="AT266" s="207" t="str">
        <f t="shared" si="256"/>
        <v/>
      </c>
      <c r="AU266" s="207" t="str">
        <f t="shared" si="256"/>
        <v/>
      </c>
      <c r="AV266" s="128"/>
      <c r="AW266" s="243">
        <f t="shared" si="248"/>
        <v>0</v>
      </c>
      <c r="AX266" s="129"/>
      <c r="AY266" s="207" t="str">
        <f t="shared" ref="AY266:BG266" si="257">IF(OR(AY$19="",AY$24=0,AY$31=0),"",
(AY$234*$AY211+AY$236*$BA211)*1000/(AY$24*AY$31))</f>
        <v/>
      </c>
      <c r="AZ266" s="207" t="str">
        <f t="shared" si="257"/>
        <v/>
      </c>
      <c r="BA266" s="207" t="str">
        <f t="shared" si="257"/>
        <v/>
      </c>
      <c r="BB266" s="207" t="str">
        <f t="shared" si="257"/>
        <v/>
      </c>
      <c r="BC266" s="207" t="str">
        <f t="shared" si="257"/>
        <v/>
      </c>
      <c r="BD266" s="207" t="str">
        <f t="shared" si="257"/>
        <v/>
      </c>
      <c r="BE266" s="207" t="str">
        <f t="shared" si="257"/>
        <v/>
      </c>
      <c r="BF266" s="207" t="str">
        <f t="shared" si="257"/>
        <v/>
      </c>
      <c r="BG266" s="207" t="str">
        <f t="shared" si="257"/>
        <v/>
      </c>
      <c r="BH266" s="255"/>
    </row>
    <row r="267" spans="1:60" x14ac:dyDescent="0.2">
      <c r="A267" s="648"/>
      <c r="B267" s="492" t="s">
        <v>324</v>
      </c>
      <c r="C267" s="656" t="s">
        <v>113</v>
      </c>
      <c r="D267" s="750" t="s">
        <v>50</v>
      </c>
      <c r="E267" s="220" t="s">
        <v>295</v>
      </c>
      <c r="F267" s="220"/>
      <c r="G267" s="220"/>
      <c r="H267" s="242" t="s">
        <v>317</v>
      </c>
      <c r="I267" s="129"/>
      <c r="J267" s="243">
        <f t="shared" si="241"/>
        <v>0</v>
      </c>
      <c r="K267" s="236"/>
      <c r="L267" s="236"/>
      <c r="M267" s="243">
        <f t="shared" si="242"/>
        <v>0</v>
      </c>
      <c r="N267" s="129"/>
      <c r="O267" s="207" t="str">
        <f t="shared" ref="O267:W267" si="258">IF(OR(O$19="",O$24=0,O$31=0),"",
(O$234*$O212+O$235*$P212+O$236*$Q212)*1000/(O$24*O$31))</f>
        <v/>
      </c>
      <c r="P267" s="207" t="str">
        <f t="shared" si="258"/>
        <v/>
      </c>
      <c r="Q267" s="207" t="str">
        <f t="shared" si="258"/>
        <v/>
      </c>
      <c r="R267" s="207" t="str">
        <f t="shared" si="258"/>
        <v/>
      </c>
      <c r="S267" s="207" t="str">
        <f t="shared" si="258"/>
        <v/>
      </c>
      <c r="T267" s="207" t="str">
        <f t="shared" si="258"/>
        <v/>
      </c>
      <c r="U267" s="207" t="str">
        <f t="shared" si="258"/>
        <v/>
      </c>
      <c r="V267" s="207" t="str">
        <f t="shared" si="258"/>
        <v/>
      </c>
      <c r="W267" s="207" t="str">
        <f t="shared" si="258"/>
        <v/>
      </c>
      <c r="X267" s="128"/>
      <c r="Y267" s="243">
        <f t="shared" si="244"/>
        <v>0</v>
      </c>
      <c r="Z267" s="129"/>
      <c r="AA267" s="207" t="str">
        <f t="shared" ref="AA267:AI267" si="259">IF(OR(AA$19="",AA$24=0,AA$31=0),"",
(AA$234*$AA212+AA$235*$AB212+AA$236*$AC212)*1000/(AA$24*AA$31))</f>
        <v/>
      </c>
      <c r="AB267" s="207" t="str">
        <f t="shared" si="259"/>
        <v/>
      </c>
      <c r="AC267" s="207" t="str">
        <f t="shared" si="259"/>
        <v/>
      </c>
      <c r="AD267" s="207" t="str">
        <f t="shared" si="259"/>
        <v/>
      </c>
      <c r="AE267" s="207" t="str">
        <f t="shared" si="259"/>
        <v/>
      </c>
      <c r="AF267" s="207" t="str">
        <f t="shared" si="259"/>
        <v/>
      </c>
      <c r="AG267" s="207" t="str">
        <f t="shared" si="259"/>
        <v/>
      </c>
      <c r="AH267" s="207" t="str">
        <f t="shared" si="259"/>
        <v/>
      </c>
      <c r="AI267" s="207" t="str">
        <f t="shared" si="259"/>
        <v/>
      </c>
      <c r="AJ267" s="128"/>
      <c r="AK267" s="243">
        <f t="shared" si="246"/>
        <v>0</v>
      </c>
      <c r="AL267" s="129"/>
      <c r="AM267" s="207" t="str">
        <f t="shared" ref="AM267:AU267" si="260">IF(OR(AM$19="",AM$24=0,AM$31=0),"",
(AM$234*$AM212+AM$235*$AN212+AM$236*$AO212)*1000/(AM$24*AM$31))</f>
        <v/>
      </c>
      <c r="AN267" s="207" t="str">
        <f t="shared" si="260"/>
        <v/>
      </c>
      <c r="AO267" s="207" t="str">
        <f t="shared" si="260"/>
        <v/>
      </c>
      <c r="AP267" s="207" t="str">
        <f t="shared" si="260"/>
        <v/>
      </c>
      <c r="AQ267" s="207" t="str">
        <f t="shared" si="260"/>
        <v/>
      </c>
      <c r="AR267" s="207" t="str">
        <f t="shared" si="260"/>
        <v/>
      </c>
      <c r="AS267" s="207" t="str">
        <f t="shared" si="260"/>
        <v/>
      </c>
      <c r="AT267" s="207" t="str">
        <f t="shared" si="260"/>
        <v/>
      </c>
      <c r="AU267" s="207" t="str">
        <f t="shared" si="260"/>
        <v/>
      </c>
      <c r="AV267" s="128"/>
      <c r="AW267" s="243">
        <f t="shared" si="248"/>
        <v>0</v>
      </c>
      <c r="AX267" s="129"/>
      <c r="AY267" s="207" t="str">
        <f t="shared" ref="AY267:BG267" si="261">IF(OR(AY$19="",AY$24=0,AY$31=0),"",
(AY$234*$AY212+AY$235*$AZ212+AY$236*$BA212)*1000/(AY$24*AY$31))</f>
        <v/>
      </c>
      <c r="AZ267" s="207" t="str">
        <f t="shared" si="261"/>
        <v/>
      </c>
      <c r="BA267" s="207" t="str">
        <f t="shared" si="261"/>
        <v/>
      </c>
      <c r="BB267" s="207" t="str">
        <f t="shared" si="261"/>
        <v/>
      </c>
      <c r="BC267" s="207" t="str">
        <f t="shared" si="261"/>
        <v/>
      </c>
      <c r="BD267" s="207" t="str">
        <f t="shared" si="261"/>
        <v/>
      </c>
      <c r="BE267" s="207" t="str">
        <f t="shared" si="261"/>
        <v/>
      </c>
      <c r="BF267" s="207" t="str">
        <f t="shared" si="261"/>
        <v/>
      </c>
      <c r="BG267" s="207" t="str">
        <f t="shared" si="261"/>
        <v/>
      </c>
      <c r="BH267" s="255"/>
    </row>
    <row r="268" spans="1:60" x14ac:dyDescent="0.2">
      <c r="A268" s="648"/>
      <c r="B268" s="492" t="s">
        <v>324</v>
      </c>
      <c r="C268" s="656" t="s">
        <v>113</v>
      </c>
      <c r="D268" s="750" t="s">
        <v>50</v>
      </c>
      <c r="E268" s="220" t="s">
        <v>296</v>
      </c>
      <c r="F268" s="220"/>
      <c r="G268" s="220"/>
      <c r="H268" s="242" t="s">
        <v>317</v>
      </c>
      <c r="I268" s="129"/>
      <c r="J268" s="243">
        <f t="shared" si="241"/>
        <v>0</v>
      </c>
      <c r="K268" s="236"/>
      <c r="L268" s="236"/>
      <c r="M268" s="243">
        <f t="shared" si="242"/>
        <v>0</v>
      </c>
      <c r="N268" s="129"/>
      <c r="O268" s="207" t="str">
        <f t="shared" ref="O268:W268" si="262">IF(OR(O$19="",O$24=0,O$31=0),"",
(O$235*$P213)*1000/(O$24*O$31))</f>
        <v/>
      </c>
      <c r="P268" s="207" t="str">
        <f t="shared" si="262"/>
        <v/>
      </c>
      <c r="Q268" s="207" t="str">
        <f t="shared" si="262"/>
        <v/>
      </c>
      <c r="R268" s="207" t="str">
        <f t="shared" si="262"/>
        <v/>
      </c>
      <c r="S268" s="207" t="str">
        <f t="shared" si="262"/>
        <v/>
      </c>
      <c r="T268" s="207" t="str">
        <f t="shared" si="262"/>
        <v/>
      </c>
      <c r="U268" s="207" t="str">
        <f t="shared" si="262"/>
        <v/>
      </c>
      <c r="V268" s="207" t="str">
        <f t="shared" si="262"/>
        <v/>
      </c>
      <c r="W268" s="207" t="str">
        <f t="shared" si="262"/>
        <v/>
      </c>
      <c r="X268" s="128"/>
      <c r="Y268" s="243">
        <f t="shared" si="244"/>
        <v>0</v>
      </c>
      <c r="Z268" s="129"/>
      <c r="AA268" s="207" t="str">
        <f t="shared" ref="AA268:AI268" si="263">IF(OR(AA$19="",AA$24=0,AA$31=0),"",
(AA$235*$AB213)*1000/(AA$24*AA$31))</f>
        <v/>
      </c>
      <c r="AB268" s="207" t="str">
        <f t="shared" si="263"/>
        <v/>
      </c>
      <c r="AC268" s="207" t="str">
        <f t="shared" si="263"/>
        <v/>
      </c>
      <c r="AD268" s="207" t="str">
        <f t="shared" si="263"/>
        <v/>
      </c>
      <c r="AE268" s="207" t="str">
        <f t="shared" si="263"/>
        <v/>
      </c>
      <c r="AF268" s="207" t="str">
        <f t="shared" si="263"/>
        <v/>
      </c>
      <c r="AG268" s="207" t="str">
        <f t="shared" si="263"/>
        <v/>
      </c>
      <c r="AH268" s="207" t="str">
        <f t="shared" si="263"/>
        <v/>
      </c>
      <c r="AI268" s="207" t="str">
        <f t="shared" si="263"/>
        <v/>
      </c>
      <c r="AJ268" s="128"/>
      <c r="AK268" s="243">
        <f t="shared" si="246"/>
        <v>0</v>
      </c>
      <c r="AL268" s="129"/>
      <c r="AM268" s="207" t="str">
        <f t="shared" ref="AM268:AU268" si="264">IF(OR(AM$19="",AM$24=0,AM$31=0),"",
(AM$235*$AN213)*1000/(AM$24*AM$31))</f>
        <v/>
      </c>
      <c r="AN268" s="207" t="str">
        <f t="shared" si="264"/>
        <v/>
      </c>
      <c r="AO268" s="207" t="str">
        <f t="shared" si="264"/>
        <v/>
      </c>
      <c r="AP268" s="207" t="str">
        <f t="shared" si="264"/>
        <v/>
      </c>
      <c r="AQ268" s="207" t="str">
        <f t="shared" si="264"/>
        <v/>
      </c>
      <c r="AR268" s="207" t="str">
        <f t="shared" si="264"/>
        <v/>
      </c>
      <c r="AS268" s="207" t="str">
        <f t="shared" si="264"/>
        <v/>
      </c>
      <c r="AT268" s="207" t="str">
        <f t="shared" si="264"/>
        <v/>
      </c>
      <c r="AU268" s="207" t="str">
        <f t="shared" si="264"/>
        <v/>
      </c>
      <c r="AV268" s="128"/>
      <c r="AW268" s="243">
        <f t="shared" si="248"/>
        <v>0</v>
      </c>
      <c r="AX268" s="129"/>
      <c r="AY268" s="207" t="str">
        <f t="shared" ref="AY268:BG268" si="265">IF(OR(AY$19="",AY$24=0,AY$31=0),"",
(AY$235*$AZ213)*1000/(AY$24*AY$31))</f>
        <v/>
      </c>
      <c r="AZ268" s="207" t="str">
        <f t="shared" si="265"/>
        <v/>
      </c>
      <c r="BA268" s="207" t="str">
        <f t="shared" si="265"/>
        <v/>
      </c>
      <c r="BB268" s="207" t="str">
        <f t="shared" si="265"/>
        <v/>
      </c>
      <c r="BC268" s="207" t="str">
        <f t="shared" si="265"/>
        <v/>
      </c>
      <c r="BD268" s="207" t="str">
        <f t="shared" si="265"/>
        <v/>
      </c>
      <c r="BE268" s="207" t="str">
        <f t="shared" si="265"/>
        <v/>
      </c>
      <c r="BF268" s="207" t="str">
        <f t="shared" si="265"/>
        <v/>
      </c>
      <c r="BG268" s="207" t="str">
        <f t="shared" si="265"/>
        <v/>
      </c>
      <c r="BH268" s="255"/>
    </row>
    <row r="269" spans="1:60" x14ac:dyDescent="0.2">
      <c r="A269" s="648"/>
      <c r="B269" s="492" t="s">
        <v>324</v>
      </c>
      <c r="C269" s="656" t="s">
        <v>113</v>
      </c>
      <c r="D269" s="750" t="s">
        <v>50</v>
      </c>
      <c r="E269" s="220" t="s">
        <v>297</v>
      </c>
      <c r="F269" s="220"/>
      <c r="G269" s="220"/>
      <c r="H269" s="242" t="s">
        <v>317</v>
      </c>
      <c r="I269" s="129"/>
      <c r="J269" s="243">
        <f t="shared" si="241"/>
        <v>0</v>
      </c>
      <c r="K269" s="236"/>
      <c r="L269" s="236"/>
      <c r="M269" s="243">
        <f t="shared" si="242"/>
        <v>0</v>
      </c>
      <c r="N269" s="129"/>
      <c r="O269" s="207" t="str">
        <f t="shared" ref="O269:W269" si="266">IF(OR(O$19="",O$24=0,O$31=0),"",
(O$234*$O214+O$236*$Q214)*1000/(O$24*O$31))</f>
        <v/>
      </c>
      <c r="P269" s="207" t="str">
        <f t="shared" si="266"/>
        <v/>
      </c>
      <c r="Q269" s="207" t="str">
        <f t="shared" si="266"/>
        <v/>
      </c>
      <c r="R269" s="207" t="str">
        <f t="shared" si="266"/>
        <v/>
      </c>
      <c r="S269" s="207" t="str">
        <f t="shared" si="266"/>
        <v/>
      </c>
      <c r="T269" s="207" t="str">
        <f t="shared" si="266"/>
        <v/>
      </c>
      <c r="U269" s="207" t="str">
        <f t="shared" si="266"/>
        <v/>
      </c>
      <c r="V269" s="207" t="str">
        <f t="shared" si="266"/>
        <v/>
      </c>
      <c r="W269" s="207" t="str">
        <f t="shared" si="266"/>
        <v/>
      </c>
      <c r="X269" s="122"/>
      <c r="Y269" s="243">
        <f t="shared" si="244"/>
        <v>0</v>
      </c>
      <c r="Z269" s="129"/>
      <c r="AA269" s="207" t="str">
        <f t="shared" ref="AA269:AI269" si="267">IF(OR(AA$19="",AA$24=0,AA$31=0),"",
(AA$234*$AA214+AA$236*$AC214)*1000/(AA$24*AA$31))</f>
        <v/>
      </c>
      <c r="AB269" s="207" t="str">
        <f t="shared" si="267"/>
        <v/>
      </c>
      <c r="AC269" s="207" t="str">
        <f t="shared" si="267"/>
        <v/>
      </c>
      <c r="AD269" s="207" t="str">
        <f t="shared" si="267"/>
        <v/>
      </c>
      <c r="AE269" s="207" t="str">
        <f t="shared" si="267"/>
        <v/>
      </c>
      <c r="AF269" s="207" t="str">
        <f t="shared" si="267"/>
        <v/>
      </c>
      <c r="AG269" s="207" t="str">
        <f t="shared" si="267"/>
        <v/>
      </c>
      <c r="AH269" s="207" t="str">
        <f t="shared" si="267"/>
        <v/>
      </c>
      <c r="AI269" s="207" t="str">
        <f t="shared" si="267"/>
        <v/>
      </c>
      <c r="AJ269" s="122"/>
      <c r="AK269" s="243">
        <f t="shared" si="246"/>
        <v>0</v>
      </c>
      <c r="AL269" s="129"/>
      <c r="AM269" s="207" t="str">
        <f t="shared" ref="AM269:AU269" si="268">IF(OR(AM$19="",AM$24=0,AM$31=0),"",
(AM$234*$AM214+AM$236*$AO214)*1000/(AM$24*AM$31))</f>
        <v/>
      </c>
      <c r="AN269" s="207" t="str">
        <f t="shared" si="268"/>
        <v/>
      </c>
      <c r="AO269" s="207" t="str">
        <f t="shared" si="268"/>
        <v/>
      </c>
      <c r="AP269" s="207" t="str">
        <f t="shared" si="268"/>
        <v/>
      </c>
      <c r="AQ269" s="207" t="str">
        <f t="shared" si="268"/>
        <v/>
      </c>
      <c r="AR269" s="207" t="str">
        <f t="shared" si="268"/>
        <v/>
      </c>
      <c r="AS269" s="207" t="str">
        <f t="shared" si="268"/>
        <v/>
      </c>
      <c r="AT269" s="207" t="str">
        <f t="shared" si="268"/>
        <v/>
      </c>
      <c r="AU269" s="207" t="str">
        <f t="shared" si="268"/>
        <v/>
      </c>
      <c r="AV269" s="122"/>
      <c r="AW269" s="243">
        <f t="shared" si="248"/>
        <v>0</v>
      </c>
      <c r="AX269" s="129"/>
      <c r="AY269" s="207" t="str">
        <f t="shared" ref="AY269:BG269" si="269">IF(OR(AY$19="",AY$24=0,AY$31=0),"",
(AY$234*$AY214+AY$236*$BA214)*1000/(AY$24*AY$31))</f>
        <v/>
      </c>
      <c r="AZ269" s="207" t="str">
        <f t="shared" si="269"/>
        <v/>
      </c>
      <c r="BA269" s="207" t="str">
        <f t="shared" si="269"/>
        <v/>
      </c>
      <c r="BB269" s="207" t="str">
        <f t="shared" si="269"/>
        <v/>
      </c>
      <c r="BC269" s="207" t="str">
        <f t="shared" si="269"/>
        <v/>
      </c>
      <c r="BD269" s="207" t="str">
        <f t="shared" si="269"/>
        <v/>
      </c>
      <c r="BE269" s="207" t="str">
        <f t="shared" si="269"/>
        <v/>
      </c>
      <c r="BF269" s="207" t="str">
        <f t="shared" si="269"/>
        <v/>
      </c>
      <c r="BG269" s="207" t="str">
        <f t="shared" si="269"/>
        <v/>
      </c>
      <c r="BH269" s="214"/>
    </row>
    <row r="270" spans="1:60" ht="18.75" x14ac:dyDescent="0.2">
      <c r="A270" s="648"/>
      <c r="B270" s="492" t="s">
        <v>324</v>
      </c>
      <c r="C270" s="739" t="s">
        <v>104</v>
      </c>
      <c r="D270" s="747"/>
      <c r="E270" s="236" t="s">
        <v>331</v>
      </c>
      <c r="F270" s="236"/>
      <c r="G270" s="236"/>
      <c r="H270" s="89"/>
      <c r="I270" s="236"/>
      <c r="J270" s="236"/>
      <c r="K270" s="236"/>
      <c r="L270" s="236"/>
      <c r="M270" s="236"/>
      <c r="N270" s="236"/>
      <c r="O270" s="236"/>
      <c r="P270" s="236"/>
      <c r="Q270" s="236"/>
      <c r="R270" s="236"/>
      <c r="S270" s="236"/>
      <c r="T270" s="236"/>
      <c r="U270" s="236"/>
      <c r="V270" s="236"/>
      <c r="W270" s="236"/>
      <c r="X270" s="236"/>
      <c r="Y270" s="236"/>
      <c r="Z270" s="236"/>
      <c r="AA270" s="236"/>
      <c r="AB270" s="236"/>
      <c r="AC270" s="236"/>
      <c r="AD270" s="236"/>
      <c r="AE270" s="236"/>
      <c r="AF270" s="236"/>
      <c r="AG270" s="236"/>
      <c r="AH270" s="236"/>
      <c r="AI270" s="236"/>
      <c r="AJ270" s="236"/>
      <c r="AK270" s="236"/>
      <c r="AL270" s="236"/>
      <c r="AM270" s="236"/>
      <c r="AN270" s="236"/>
      <c r="AO270" s="236"/>
      <c r="AP270" s="236"/>
      <c r="AQ270" s="236"/>
      <c r="AR270" s="236"/>
      <c r="AS270" s="236"/>
      <c r="AT270" s="236"/>
      <c r="AU270" s="236"/>
      <c r="AV270" s="236"/>
      <c r="AW270" s="236"/>
      <c r="AX270" s="236"/>
      <c r="AY270" s="236"/>
      <c r="AZ270" s="236"/>
      <c r="BA270" s="236"/>
      <c r="BB270" s="236"/>
      <c r="BC270" s="236"/>
      <c r="BD270" s="236"/>
      <c r="BE270" s="236"/>
      <c r="BF270" s="236"/>
      <c r="BG270" s="236"/>
      <c r="BH270" s="38"/>
    </row>
    <row r="271" spans="1:60" x14ac:dyDescent="0.2">
      <c r="A271" s="648"/>
      <c r="B271" s="492" t="s">
        <v>324</v>
      </c>
      <c r="C271" s="656" t="s">
        <v>113</v>
      </c>
      <c r="D271" s="750" t="s">
        <v>50</v>
      </c>
      <c r="E271" s="220" t="s">
        <v>298</v>
      </c>
      <c r="F271" s="220"/>
      <c r="G271" s="220"/>
      <c r="H271" s="242" t="s">
        <v>317</v>
      </c>
      <c r="I271" s="129"/>
      <c r="J271" s="243">
        <f>M271+Y271+AK271+AW271</f>
        <v>0</v>
      </c>
      <c r="K271" s="236"/>
      <c r="L271" s="236"/>
      <c r="M271" s="243">
        <f>SUMPRODUCT(N271:X271,N$32:X$32)/1000</f>
        <v>0</v>
      </c>
      <c r="N271" s="129"/>
      <c r="O271" s="207" t="str">
        <f t="shared" ref="O271:W271" si="270">IF(OR(O$19="",O$24=0,O$31=0),"",
O$70/O$31*f_P_renelect)</f>
        <v/>
      </c>
      <c r="P271" s="207" t="str">
        <f t="shared" si="270"/>
        <v/>
      </c>
      <c r="Q271" s="207" t="str">
        <f t="shared" si="270"/>
        <v/>
      </c>
      <c r="R271" s="207" t="str">
        <f t="shared" si="270"/>
        <v/>
      </c>
      <c r="S271" s="207" t="str">
        <f t="shared" si="270"/>
        <v/>
      </c>
      <c r="T271" s="207" t="str">
        <f t="shared" si="270"/>
        <v/>
      </c>
      <c r="U271" s="207" t="str">
        <f t="shared" si="270"/>
        <v/>
      </c>
      <c r="V271" s="207" t="str">
        <f t="shared" si="270"/>
        <v/>
      </c>
      <c r="W271" s="207" t="str">
        <f t="shared" si="270"/>
        <v/>
      </c>
      <c r="X271" s="128"/>
      <c r="Y271" s="243">
        <f>SUMPRODUCT(Z271:AJ271,Z$32:AJ$32)/1000</f>
        <v>0</v>
      </c>
      <c r="Z271" s="129"/>
      <c r="AA271" s="207" t="str">
        <f t="shared" ref="AA271:AI271" si="271">IF(OR(AA$19="",AA$24=0,AA$31=0),"",
AA$70/AA$31*f_P_renelect)</f>
        <v/>
      </c>
      <c r="AB271" s="207" t="str">
        <f t="shared" si="271"/>
        <v/>
      </c>
      <c r="AC271" s="207" t="str">
        <f t="shared" si="271"/>
        <v/>
      </c>
      <c r="AD271" s="207" t="str">
        <f t="shared" si="271"/>
        <v/>
      </c>
      <c r="AE271" s="207" t="str">
        <f t="shared" si="271"/>
        <v/>
      </c>
      <c r="AF271" s="207" t="str">
        <f t="shared" si="271"/>
        <v/>
      </c>
      <c r="AG271" s="207" t="str">
        <f t="shared" si="271"/>
        <v/>
      </c>
      <c r="AH271" s="207" t="str">
        <f t="shared" si="271"/>
        <v/>
      </c>
      <c r="AI271" s="207" t="str">
        <f t="shared" si="271"/>
        <v/>
      </c>
      <c r="AJ271" s="128"/>
      <c r="AK271" s="243">
        <f>SUMPRODUCT(AL271:AV271,AL$32:AV$32)/1000</f>
        <v>0</v>
      </c>
      <c r="AL271" s="129"/>
      <c r="AM271" s="207" t="str">
        <f t="shared" ref="AM271:AU271" si="272">IF(OR(AM$19="",AM$24=0,AM$31=0),"",
AM$70/AM$31*f_P_renelect)</f>
        <v/>
      </c>
      <c r="AN271" s="207" t="str">
        <f t="shared" si="272"/>
        <v/>
      </c>
      <c r="AO271" s="207" t="str">
        <f t="shared" si="272"/>
        <v/>
      </c>
      <c r="AP271" s="207" t="str">
        <f t="shared" si="272"/>
        <v/>
      </c>
      <c r="AQ271" s="207" t="str">
        <f t="shared" si="272"/>
        <v/>
      </c>
      <c r="AR271" s="207" t="str">
        <f t="shared" si="272"/>
        <v/>
      </c>
      <c r="AS271" s="207" t="str">
        <f t="shared" si="272"/>
        <v/>
      </c>
      <c r="AT271" s="207" t="str">
        <f t="shared" si="272"/>
        <v/>
      </c>
      <c r="AU271" s="207" t="str">
        <f t="shared" si="272"/>
        <v/>
      </c>
      <c r="AV271" s="128"/>
      <c r="AW271" s="243">
        <f>SUMPRODUCT(AX271:BH271,AX$32:BH$32)/1000</f>
        <v>0</v>
      </c>
      <c r="AX271" s="129"/>
      <c r="AY271" s="207" t="str">
        <f t="shared" ref="AY271:BG271" si="273">IF(OR(AY$19="",AY$24=0,AY$31=0),"",
AY$70/AY$31*f_P_renelect)</f>
        <v/>
      </c>
      <c r="AZ271" s="207" t="str">
        <f t="shared" si="273"/>
        <v/>
      </c>
      <c r="BA271" s="207" t="str">
        <f t="shared" si="273"/>
        <v/>
      </c>
      <c r="BB271" s="207" t="str">
        <f t="shared" si="273"/>
        <v/>
      </c>
      <c r="BC271" s="207" t="str">
        <f t="shared" si="273"/>
        <v/>
      </c>
      <c r="BD271" s="207" t="str">
        <f t="shared" si="273"/>
        <v/>
      </c>
      <c r="BE271" s="207" t="str">
        <f t="shared" si="273"/>
        <v/>
      </c>
      <c r="BF271" s="207" t="str">
        <f t="shared" si="273"/>
        <v/>
      </c>
      <c r="BG271" s="207" t="str">
        <f t="shared" si="273"/>
        <v/>
      </c>
      <c r="BH271" s="255"/>
    </row>
    <row r="272" spans="1:60" ht="18.75" x14ac:dyDescent="0.2">
      <c r="A272" s="648"/>
      <c r="B272" s="492" t="s">
        <v>324</v>
      </c>
      <c r="C272" s="739" t="s">
        <v>104</v>
      </c>
      <c r="D272" s="747"/>
      <c r="E272" s="236" t="s">
        <v>258</v>
      </c>
      <c r="F272" s="236"/>
      <c r="G272" s="236"/>
      <c r="H272" s="89"/>
      <c r="I272" s="236"/>
      <c r="J272" s="236"/>
      <c r="K272" s="236"/>
      <c r="L272" s="236"/>
      <c r="M272" s="236"/>
      <c r="N272" s="236"/>
      <c r="O272" s="236"/>
      <c r="P272" s="236"/>
      <c r="Q272" s="236"/>
      <c r="R272" s="236"/>
      <c r="S272" s="236"/>
      <c r="T272" s="236"/>
      <c r="U272" s="236"/>
      <c r="V272" s="236"/>
      <c r="W272" s="236"/>
      <c r="X272" s="236"/>
      <c r="Y272" s="236"/>
      <c r="Z272" s="236"/>
      <c r="AA272" s="236"/>
      <c r="AB272" s="279"/>
      <c r="AC272" s="236"/>
      <c r="AD272" s="236"/>
      <c r="AE272" s="236"/>
      <c r="AF272" s="236"/>
      <c r="AG272" s="236"/>
      <c r="AH272" s="236"/>
      <c r="AI272" s="236"/>
      <c r="AJ272" s="236"/>
      <c r="AK272" s="236"/>
      <c r="AL272" s="236"/>
      <c r="AM272" s="236"/>
      <c r="AN272" s="236"/>
      <c r="AO272" s="236"/>
      <c r="AP272" s="236"/>
      <c r="AQ272" s="236"/>
      <c r="AR272" s="236"/>
      <c r="AS272" s="236"/>
      <c r="AT272" s="236"/>
      <c r="AU272" s="236"/>
      <c r="AV272" s="236"/>
      <c r="AW272" s="236"/>
      <c r="AX272" s="236"/>
      <c r="AY272" s="236"/>
      <c r="AZ272" s="236"/>
      <c r="BA272" s="236"/>
      <c r="BB272" s="236"/>
      <c r="BC272" s="236"/>
      <c r="BD272" s="236"/>
      <c r="BE272" s="236"/>
      <c r="BF272" s="236"/>
      <c r="BG272" s="236"/>
      <c r="BH272" s="38"/>
    </row>
    <row r="273" spans="1:60" x14ac:dyDescent="0.2">
      <c r="A273" s="648"/>
      <c r="B273" s="492" t="s">
        <v>324</v>
      </c>
      <c r="C273" s="656" t="s">
        <v>113</v>
      </c>
      <c r="D273" s="750" t="s">
        <v>50</v>
      </c>
      <c r="E273" s="220" t="s">
        <v>332</v>
      </c>
      <c r="F273" s="220"/>
      <c r="G273" s="220"/>
      <c r="H273" s="242" t="s">
        <v>317</v>
      </c>
      <c r="I273" s="129"/>
      <c r="J273" s="243">
        <f>M273+Y273+AK273+AW273</f>
        <v>0</v>
      </c>
      <c r="K273" s="236"/>
      <c r="L273" s="236"/>
      <c r="M273" s="243">
        <f>SUMPRODUCT(N273:X273,N$32:X$32)/1000</f>
        <v>0</v>
      </c>
      <c r="N273" s="129"/>
      <c r="O273" s="207" t="str">
        <f t="shared" ref="O273:W273" si="274">IF(OR(O$19="",O$24=0,O$31=0),"",SUM(O264:O269)+O271)</f>
        <v/>
      </c>
      <c r="P273" s="207" t="str">
        <f t="shared" si="274"/>
        <v/>
      </c>
      <c r="Q273" s="207" t="str">
        <f t="shared" si="274"/>
        <v/>
      </c>
      <c r="R273" s="207" t="str">
        <f t="shared" si="274"/>
        <v/>
      </c>
      <c r="S273" s="207" t="str">
        <f t="shared" si="274"/>
        <v/>
      </c>
      <c r="T273" s="207" t="str">
        <f t="shared" si="274"/>
        <v/>
      </c>
      <c r="U273" s="207" t="str">
        <f t="shared" si="274"/>
        <v/>
      </c>
      <c r="V273" s="207" t="str">
        <f t="shared" si="274"/>
        <v/>
      </c>
      <c r="W273" s="207" t="str">
        <f t="shared" si="274"/>
        <v/>
      </c>
      <c r="X273" s="128"/>
      <c r="Y273" s="243">
        <f>SUMPRODUCT(Z273:AJ273,Z$32:AJ$32)/1000</f>
        <v>0</v>
      </c>
      <c r="Z273" s="129"/>
      <c r="AA273" s="207" t="str">
        <f t="shared" ref="AA273:AI273" si="275">IF(OR(AA$19="",AA$24=0,AA$31=0),"",SUM(AA264:AA269)+AA271)</f>
        <v/>
      </c>
      <c r="AB273" s="207" t="str">
        <f t="shared" si="275"/>
        <v/>
      </c>
      <c r="AC273" s="207" t="str">
        <f t="shared" si="275"/>
        <v/>
      </c>
      <c r="AD273" s="207" t="str">
        <f t="shared" si="275"/>
        <v/>
      </c>
      <c r="AE273" s="207" t="str">
        <f t="shared" si="275"/>
        <v/>
      </c>
      <c r="AF273" s="207" t="str">
        <f t="shared" si="275"/>
        <v/>
      </c>
      <c r="AG273" s="207" t="str">
        <f t="shared" si="275"/>
        <v/>
      </c>
      <c r="AH273" s="207" t="str">
        <f t="shared" si="275"/>
        <v/>
      </c>
      <c r="AI273" s="207" t="str">
        <f t="shared" si="275"/>
        <v/>
      </c>
      <c r="AJ273" s="128"/>
      <c r="AK273" s="243">
        <f>SUMPRODUCT(AL273:AV273,AL$32:AV$32)/1000</f>
        <v>0</v>
      </c>
      <c r="AL273" s="129"/>
      <c r="AM273" s="207" t="str">
        <f>IF(OR(AM$19="",AM$24=0,AM$31=0),"",SUM(AM264:AM269)+AM271)</f>
        <v/>
      </c>
      <c r="AN273" s="207" t="str">
        <f t="shared" ref="AN273:AU273" si="276">IF(OR(AN$19="",AN$24=0,AN$31=0),"",SUM(AN264:AN269)+AN271)</f>
        <v/>
      </c>
      <c r="AO273" s="207" t="str">
        <f t="shared" si="276"/>
        <v/>
      </c>
      <c r="AP273" s="207" t="str">
        <f t="shared" si="276"/>
        <v/>
      </c>
      <c r="AQ273" s="207" t="str">
        <f t="shared" si="276"/>
        <v/>
      </c>
      <c r="AR273" s="207" t="str">
        <f t="shared" si="276"/>
        <v/>
      </c>
      <c r="AS273" s="207" t="str">
        <f t="shared" si="276"/>
        <v/>
      </c>
      <c r="AT273" s="207" t="str">
        <f t="shared" si="276"/>
        <v/>
      </c>
      <c r="AU273" s="207" t="str">
        <f t="shared" si="276"/>
        <v/>
      </c>
      <c r="AV273" s="128"/>
      <c r="AW273" s="243">
        <f>SUMPRODUCT(AX273:BH273,AX$32:BH$32)/1000</f>
        <v>0</v>
      </c>
      <c r="AX273" s="129"/>
      <c r="AY273" s="207" t="str">
        <f>IF(OR(AY$19="",AY$24=0,AY$31=0),"",SUM(AY264:AY269)+AY271)</f>
        <v/>
      </c>
      <c r="AZ273" s="207" t="str">
        <f t="shared" ref="AZ273:BG273" si="277">IF(OR(AZ$19="",AZ$24=0,AZ$31=0),"",SUM(AZ264:AZ269)+AZ271)</f>
        <v/>
      </c>
      <c r="BA273" s="207" t="str">
        <f t="shared" si="277"/>
        <v/>
      </c>
      <c r="BB273" s="207" t="str">
        <f t="shared" si="277"/>
        <v/>
      </c>
      <c r="BC273" s="207" t="str">
        <f t="shared" si="277"/>
        <v/>
      </c>
      <c r="BD273" s="207" t="str">
        <f t="shared" si="277"/>
        <v/>
      </c>
      <c r="BE273" s="207" t="str">
        <f t="shared" si="277"/>
        <v/>
      </c>
      <c r="BF273" s="207" t="str">
        <f t="shared" si="277"/>
        <v/>
      </c>
      <c r="BG273" s="207" t="str">
        <f t="shared" si="277"/>
        <v/>
      </c>
      <c r="BH273" s="255"/>
    </row>
    <row r="274" spans="1:60" ht="18.75" x14ac:dyDescent="0.2">
      <c r="A274" s="648"/>
      <c r="B274" s="492" t="s">
        <v>324</v>
      </c>
      <c r="C274" s="739" t="s">
        <v>104</v>
      </c>
      <c r="D274" s="747"/>
      <c r="E274" s="236" t="s">
        <v>333</v>
      </c>
      <c r="F274" s="236"/>
      <c r="G274" s="236"/>
      <c r="H274" s="89"/>
      <c r="I274" s="236"/>
      <c r="J274" s="236"/>
      <c r="K274" s="236"/>
      <c r="L274" s="236"/>
      <c r="M274" s="236"/>
      <c r="N274" s="236"/>
      <c r="O274" s="236"/>
      <c r="P274" s="236"/>
      <c r="Q274" s="236"/>
      <c r="R274" s="236"/>
      <c r="S274" s="236"/>
      <c r="T274" s="236"/>
      <c r="U274" s="236"/>
      <c r="V274" s="236"/>
      <c r="W274" s="236"/>
      <c r="X274" s="236"/>
      <c r="Y274" s="236"/>
      <c r="Z274" s="236"/>
      <c r="AA274" s="236"/>
      <c r="AB274" s="236"/>
      <c r="AC274" s="236"/>
      <c r="AD274" s="236"/>
      <c r="AE274" s="236"/>
      <c r="AF274" s="236"/>
      <c r="AG274" s="236"/>
      <c r="AH274" s="236"/>
      <c r="AI274" s="236"/>
      <c r="AJ274" s="236"/>
      <c r="AK274" s="236"/>
      <c r="AL274" s="236"/>
      <c r="AM274" s="236"/>
      <c r="AN274" s="236"/>
      <c r="AO274" s="236"/>
      <c r="AP274" s="236"/>
      <c r="AQ274" s="236"/>
      <c r="AR274" s="236"/>
      <c r="AS274" s="236"/>
      <c r="AT274" s="236"/>
      <c r="AU274" s="236"/>
      <c r="AV274" s="236"/>
      <c r="AW274" s="236"/>
      <c r="AX274" s="236"/>
      <c r="AY274" s="236"/>
      <c r="AZ274" s="236"/>
      <c r="BA274" s="236"/>
      <c r="BB274" s="236"/>
      <c r="BC274" s="236"/>
      <c r="BD274" s="236"/>
      <c r="BE274" s="236"/>
      <c r="BF274" s="236"/>
      <c r="BG274" s="236"/>
      <c r="BH274" s="38"/>
    </row>
    <row r="275" spans="1:60" x14ac:dyDescent="0.2">
      <c r="A275" s="648"/>
      <c r="B275" s="492" t="s">
        <v>324</v>
      </c>
      <c r="C275" s="656" t="s">
        <v>113</v>
      </c>
      <c r="D275" s="750" t="s">
        <v>50</v>
      </c>
      <c r="E275" s="220" t="s">
        <v>334</v>
      </c>
      <c r="F275" s="220"/>
      <c r="G275" s="220"/>
      <c r="H275" s="242" t="s">
        <v>150</v>
      </c>
      <c r="I275" s="129"/>
      <c r="J275" s="244" t="str">
        <f>IF(J$24=0,"",
IF(J262+J273=0,0,J273/(J262+J273)))</f>
        <v/>
      </c>
      <c r="K275" s="236"/>
      <c r="L275" s="236"/>
      <c r="M275" s="244" t="str">
        <f>IF(M$24=0,"",
IF(M262+M273=0,0,M273/(M262+M273)))</f>
        <v/>
      </c>
      <c r="N275" s="129"/>
      <c r="O275" s="245" t="str">
        <f t="shared" ref="O275:W275" si="278">IF(OR(O$19="",O$24=0,O$31=0),"",
IF(O262+O273=0,0,O273/(O262+O273)))</f>
        <v/>
      </c>
      <c r="P275" s="245" t="str">
        <f t="shared" si="278"/>
        <v/>
      </c>
      <c r="Q275" s="245" t="str">
        <f t="shared" si="278"/>
        <v/>
      </c>
      <c r="R275" s="245" t="str">
        <f t="shared" si="278"/>
        <v/>
      </c>
      <c r="S275" s="245" t="str">
        <f t="shared" si="278"/>
        <v/>
      </c>
      <c r="T275" s="245" t="str">
        <f t="shared" si="278"/>
        <v/>
      </c>
      <c r="U275" s="245" t="str">
        <f t="shared" si="278"/>
        <v/>
      </c>
      <c r="V275" s="245" t="str">
        <f t="shared" si="278"/>
        <v/>
      </c>
      <c r="W275" s="245" t="str">
        <f t="shared" si="278"/>
        <v/>
      </c>
      <c r="X275" s="140"/>
      <c r="Y275" s="244" t="str">
        <f>IF(Y$24=0,"",
IF(Y262+Y273=0,0,Y273/(Y262+Y273)))</f>
        <v/>
      </c>
      <c r="Z275" s="129"/>
      <c r="AA275" s="245" t="str">
        <f t="shared" ref="AA275:AI275" si="279">IF(OR(AA$19="",AA$24=0,AA$31=0),"",
IF(AA262+AA273=0,0,AA273/(AA262+AA273)))</f>
        <v/>
      </c>
      <c r="AB275" s="245" t="str">
        <f t="shared" si="279"/>
        <v/>
      </c>
      <c r="AC275" s="245" t="str">
        <f t="shared" si="279"/>
        <v/>
      </c>
      <c r="AD275" s="245" t="str">
        <f t="shared" si="279"/>
        <v/>
      </c>
      <c r="AE275" s="245" t="str">
        <f t="shared" si="279"/>
        <v/>
      </c>
      <c r="AF275" s="245" t="str">
        <f t="shared" si="279"/>
        <v/>
      </c>
      <c r="AG275" s="245" t="str">
        <f t="shared" si="279"/>
        <v/>
      </c>
      <c r="AH275" s="245" t="str">
        <f t="shared" si="279"/>
        <v/>
      </c>
      <c r="AI275" s="245" t="str">
        <f t="shared" si="279"/>
        <v/>
      </c>
      <c r="AJ275" s="140"/>
      <c r="AK275" s="244" t="str">
        <f>IF(AK$24=0,"",
IF(AK262+AK273=0,0,AK273/(AK262+AK273)))</f>
        <v/>
      </c>
      <c r="AL275" s="129"/>
      <c r="AM275" s="245" t="str">
        <f>IF(OR(AM$19="",AM$24=0,AM$31=0),"",
IF(AM262+AM273=0,0,AM273/(AM262+AM273)))</f>
        <v/>
      </c>
      <c r="AN275" s="245" t="str">
        <f t="shared" ref="AN275:AU275" si="280">IF(OR(AN$19="",AN$24=0,AN$31=0),"",
IF(AN262+AN273=0,0,AN273/(AN262+AN273)))</f>
        <v/>
      </c>
      <c r="AO275" s="245" t="str">
        <f>IF(OR(AO$19="",AO$24=0,AO$31=0),"",
IF(AO262+AO273=0,0,AO273/(AO262+AO273)))</f>
        <v/>
      </c>
      <c r="AP275" s="245" t="str">
        <f t="shared" si="280"/>
        <v/>
      </c>
      <c r="AQ275" s="245" t="str">
        <f t="shared" si="280"/>
        <v/>
      </c>
      <c r="AR275" s="245" t="str">
        <f t="shared" si="280"/>
        <v/>
      </c>
      <c r="AS275" s="245" t="str">
        <f t="shared" si="280"/>
        <v/>
      </c>
      <c r="AT275" s="245" t="str">
        <f t="shared" si="280"/>
        <v/>
      </c>
      <c r="AU275" s="245" t="str">
        <f t="shared" si="280"/>
        <v/>
      </c>
      <c r="AV275" s="140"/>
      <c r="AW275" s="244" t="str">
        <f>IF(AW$24=0,"",
IF(AW262+AW273=0,0,AW273/(AW262+AW273)))</f>
        <v/>
      </c>
      <c r="AX275" s="129"/>
      <c r="AY275" s="245" t="str">
        <f>IF(OR(AY$19="",AY$24=0,AY$31=0),"",
IF(AY262+AY273=0,0,AY273/(AY262+AY273)))</f>
        <v/>
      </c>
      <c r="AZ275" s="245" t="str">
        <f t="shared" ref="AZ275:BG275" si="281">IF(OR(AZ$19="",AZ$24=0,AZ$31=0),"",
IF(AZ262+AZ273=0,0,AZ273/(AZ262+AZ273)))</f>
        <v/>
      </c>
      <c r="BA275" s="245" t="str">
        <f t="shared" si="281"/>
        <v/>
      </c>
      <c r="BB275" s="245" t="str">
        <f t="shared" si="281"/>
        <v/>
      </c>
      <c r="BC275" s="245" t="str">
        <f t="shared" si="281"/>
        <v/>
      </c>
      <c r="BD275" s="245" t="str">
        <f t="shared" si="281"/>
        <v/>
      </c>
      <c r="BE275" s="245" t="str">
        <f t="shared" si="281"/>
        <v/>
      </c>
      <c r="BF275" s="245" t="str">
        <f t="shared" si="281"/>
        <v/>
      </c>
      <c r="BG275" s="245" t="str">
        <f t="shared" si="281"/>
        <v/>
      </c>
      <c r="BH275" s="257"/>
    </row>
    <row r="276" spans="1:60" x14ac:dyDescent="0.2">
      <c r="A276" s="648"/>
      <c r="B276" s="492" t="s">
        <v>324</v>
      </c>
      <c r="C276" s="739" t="s">
        <v>104</v>
      </c>
      <c r="D276" s="747"/>
      <c r="E276" s="90"/>
      <c r="F276" s="90"/>
      <c r="G276" s="90"/>
      <c r="H276" s="96"/>
      <c r="I276" s="90"/>
      <c r="J276" s="93"/>
      <c r="K276" s="236"/>
      <c r="L276" s="236"/>
      <c r="M276" s="93"/>
      <c r="N276" s="90"/>
      <c r="O276" s="122"/>
      <c r="P276" s="122"/>
      <c r="Q276" s="122"/>
      <c r="R276" s="122"/>
      <c r="S276" s="122"/>
      <c r="T276" s="122"/>
      <c r="U276" s="122"/>
      <c r="V276" s="122"/>
      <c r="W276" s="122"/>
      <c r="X276" s="93"/>
      <c r="Y276" s="93"/>
      <c r="Z276" s="90"/>
      <c r="AA276" s="122"/>
      <c r="AB276" s="122"/>
      <c r="AC276" s="122"/>
      <c r="AD276" s="122"/>
      <c r="AE276" s="122"/>
      <c r="AF276" s="122"/>
      <c r="AG276" s="122"/>
      <c r="AH276" s="122"/>
      <c r="AI276" s="122"/>
      <c r="AJ276" s="93"/>
      <c r="AK276" s="93"/>
      <c r="AL276" s="90"/>
      <c r="AM276" s="122"/>
      <c r="AN276" s="122"/>
      <c r="AO276" s="122"/>
      <c r="AP276" s="122"/>
      <c r="AQ276" s="122"/>
      <c r="AR276" s="122"/>
      <c r="AS276" s="122"/>
      <c r="AT276" s="122"/>
      <c r="AU276" s="122"/>
      <c r="AV276" s="93"/>
      <c r="AW276" s="93"/>
      <c r="AX276" s="90"/>
      <c r="AY276" s="122"/>
      <c r="AZ276" s="122"/>
      <c r="BA276" s="122"/>
      <c r="BB276" s="122"/>
      <c r="BC276" s="122"/>
      <c r="BD276" s="122"/>
      <c r="BE276" s="122"/>
      <c r="BF276" s="122"/>
      <c r="BG276" s="122"/>
      <c r="BH276" s="1"/>
    </row>
    <row r="277" spans="1:60" x14ac:dyDescent="0.2">
      <c r="A277" s="648"/>
      <c r="B277" s="492" t="s">
        <v>335</v>
      </c>
      <c r="C277" s="656" t="s">
        <v>104</v>
      </c>
      <c r="D277" s="747"/>
      <c r="E277" s="90"/>
      <c r="F277" s="90"/>
      <c r="G277" s="90"/>
      <c r="H277" s="96"/>
      <c r="I277" s="90"/>
      <c r="J277" s="93"/>
      <c r="K277" s="90"/>
      <c r="L277" s="90"/>
      <c r="M277" s="93"/>
      <c r="N277" s="90"/>
      <c r="O277" s="93"/>
      <c r="P277" s="93"/>
      <c r="Q277" s="93"/>
      <c r="R277" s="93"/>
      <c r="S277" s="93"/>
      <c r="T277" s="93"/>
      <c r="U277" s="93"/>
      <c r="V277" s="93"/>
      <c r="W277" s="93"/>
      <c r="X277" s="93"/>
      <c r="Y277" s="93"/>
      <c r="Z277" s="90"/>
      <c r="AA277" s="93"/>
      <c r="AB277" s="93"/>
      <c r="AC277" s="93"/>
      <c r="AD277" s="93"/>
      <c r="AE277" s="93"/>
      <c r="AF277" s="93"/>
      <c r="AG277" s="93"/>
      <c r="AH277" s="93"/>
      <c r="AI277" s="93"/>
      <c r="AJ277" s="93"/>
      <c r="AK277" s="93"/>
      <c r="AL277" s="90"/>
      <c r="AM277" s="93"/>
      <c r="AN277" s="93"/>
      <c r="AO277" s="93"/>
      <c r="AP277" s="93"/>
      <c r="AQ277" s="93"/>
      <c r="AR277" s="93"/>
      <c r="AS277" s="93"/>
      <c r="AT277" s="93"/>
      <c r="AU277" s="93"/>
      <c r="AV277" s="93"/>
      <c r="AW277" s="93"/>
      <c r="AX277" s="90"/>
      <c r="AY277" s="93"/>
      <c r="AZ277" s="93"/>
      <c r="BA277" s="93"/>
      <c r="BB277" s="93"/>
      <c r="BC277" s="93"/>
      <c r="BD277" s="93"/>
      <c r="BE277" s="93"/>
      <c r="BF277" s="93"/>
      <c r="BG277" s="93"/>
      <c r="BH277" s="1"/>
    </row>
    <row r="278" spans="1:60" s="2" customFormat="1" ht="21" x14ac:dyDescent="0.2">
      <c r="A278" s="649"/>
      <c r="B278" s="492" t="s">
        <v>335</v>
      </c>
      <c r="C278" s="739" t="s">
        <v>104</v>
      </c>
      <c r="D278" s="749" t="s">
        <v>50</v>
      </c>
      <c r="E278" s="253" t="str">
        <f>"energieprestatie indicatoren"&amp;IF($G$6=TRUE," niet correct: warmtebehoefte RV gecorrigeerd","")</f>
        <v>energieprestatie indicatoren</v>
      </c>
      <c r="F278" s="253"/>
      <c r="G278" s="253"/>
      <c r="H278" s="253"/>
      <c r="I278" s="146"/>
      <c r="J278" s="318"/>
      <c r="K278" s="142"/>
      <c r="L278" s="142"/>
      <c r="M278" s="318"/>
      <c r="N278" s="222"/>
      <c r="O278" s="320" t="str">
        <f t="shared" ref="O278:W278" si="282">O$17</f>
        <v/>
      </c>
      <c r="P278" s="320" t="str">
        <f t="shared" si="282"/>
        <v/>
      </c>
      <c r="Q278" s="320" t="str">
        <f t="shared" si="282"/>
        <v/>
      </c>
      <c r="R278" s="320" t="str">
        <f t="shared" si="282"/>
        <v/>
      </c>
      <c r="S278" s="320" t="str">
        <f t="shared" si="282"/>
        <v/>
      </c>
      <c r="T278" s="320" t="str">
        <f t="shared" si="282"/>
        <v/>
      </c>
      <c r="U278" s="320" t="str">
        <f t="shared" si="282"/>
        <v/>
      </c>
      <c r="V278" s="320" t="str">
        <f t="shared" si="282"/>
        <v/>
      </c>
      <c r="W278" s="320" t="str">
        <f t="shared" si="282"/>
        <v/>
      </c>
      <c r="X278" s="214"/>
      <c r="Y278" s="318"/>
      <c r="Z278" s="222"/>
      <c r="AA278" s="320" t="str">
        <f t="shared" ref="AA278:AI278" si="283">AA$17</f>
        <v/>
      </c>
      <c r="AB278" s="320" t="str">
        <f t="shared" si="283"/>
        <v/>
      </c>
      <c r="AC278" s="320" t="str">
        <f t="shared" si="283"/>
        <v/>
      </c>
      <c r="AD278" s="320" t="str">
        <f t="shared" si="283"/>
        <v/>
      </c>
      <c r="AE278" s="320" t="str">
        <f t="shared" si="283"/>
        <v/>
      </c>
      <c r="AF278" s="320" t="str">
        <f t="shared" si="283"/>
        <v/>
      </c>
      <c r="AG278" s="320" t="str">
        <f t="shared" si="283"/>
        <v/>
      </c>
      <c r="AH278" s="320" t="str">
        <f t="shared" si="283"/>
        <v/>
      </c>
      <c r="AI278" s="320" t="str">
        <f t="shared" si="283"/>
        <v/>
      </c>
      <c r="AJ278" s="214"/>
      <c r="AK278" s="318"/>
      <c r="AL278" s="222"/>
      <c r="AM278" s="320" t="str">
        <f>AM$17</f>
        <v/>
      </c>
      <c r="AN278" s="320" t="str">
        <f t="shared" ref="AN278:AU278" si="284">AN$17</f>
        <v/>
      </c>
      <c r="AO278" s="320" t="str">
        <f t="shared" si="284"/>
        <v/>
      </c>
      <c r="AP278" s="320" t="str">
        <f t="shared" si="284"/>
        <v/>
      </c>
      <c r="AQ278" s="320" t="str">
        <f t="shared" si="284"/>
        <v/>
      </c>
      <c r="AR278" s="320" t="str">
        <f t="shared" si="284"/>
        <v/>
      </c>
      <c r="AS278" s="320" t="str">
        <f t="shared" si="284"/>
        <v/>
      </c>
      <c r="AT278" s="320" t="str">
        <f t="shared" si="284"/>
        <v/>
      </c>
      <c r="AU278" s="320" t="str">
        <f t="shared" si="284"/>
        <v/>
      </c>
      <c r="AV278" s="214"/>
      <c r="AW278" s="318"/>
      <c r="AX278" s="222"/>
      <c r="AY278" s="320" t="str">
        <f>AY$17</f>
        <v/>
      </c>
      <c r="AZ278" s="320" t="str">
        <f t="shared" ref="AZ278:BG278" si="285">AZ$17</f>
        <v/>
      </c>
      <c r="BA278" s="320" t="str">
        <f t="shared" si="285"/>
        <v/>
      </c>
      <c r="BB278" s="320" t="str">
        <f t="shared" si="285"/>
        <v/>
      </c>
      <c r="BC278" s="320" t="str">
        <f t="shared" si="285"/>
        <v/>
      </c>
      <c r="BD278" s="320" t="str">
        <f t="shared" si="285"/>
        <v/>
      </c>
      <c r="BE278" s="320" t="str">
        <f t="shared" si="285"/>
        <v/>
      </c>
      <c r="BF278" s="320" t="str">
        <f t="shared" si="285"/>
        <v/>
      </c>
      <c r="BG278" s="320" t="str">
        <f t="shared" si="285"/>
        <v/>
      </c>
      <c r="BH278" s="1"/>
    </row>
    <row r="279" spans="1:60" ht="18.75" hidden="1" x14ac:dyDescent="0.2">
      <c r="A279" s="648"/>
      <c r="B279" s="492" t="s">
        <v>335</v>
      </c>
      <c r="C279" s="739" t="s">
        <v>309</v>
      </c>
      <c r="D279" s="750"/>
      <c r="E279" s="236" t="s">
        <v>336</v>
      </c>
      <c r="F279" s="236"/>
      <c r="G279" s="236"/>
      <c r="H279" s="89"/>
      <c r="I279" s="236"/>
      <c r="J279" s="236"/>
      <c r="K279" s="236"/>
      <c r="L279" s="236"/>
      <c r="M279" s="236"/>
      <c r="N279" s="236"/>
      <c r="O279" s="236"/>
      <c r="P279" s="236"/>
      <c r="Q279" s="236"/>
      <c r="R279" s="236"/>
      <c r="S279" s="236"/>
      <c r="T279" s="236"/>
      <c r="U279" s="236"/>
      <c r="V279" s="236"/>
      <c r="W279" s="236"/>
      <c r="X279" s="236"/>
      <c r="Y279" s="236"/>
      <c r="Z279" s="236"/>
      <c r="AA279" s="236"/>
      <c r="AB279" s="236"/>
      <c r="AC279" s="236"/>
      <c r="AD279" s="236"/>
      <c r="AE279" s="236"/>
      <c r="AF279" s="236"/>
      <c r="AG279" s="236"/>
      <c r="AH279" s="236"/>
      <c r="AI279" s="236"/>
      <c r="AJ279" s="236"/>
      <c r="AK279" s="236"/>
      <c r="AL279" s="236"/>
      <c r="AM279" s="236"/>
      <c r="AN279" s="236"/>
      <c r="AO279" s="236"/>
      <c r="AP279" s="236"/>
      <c r="AQ279" s="236"/>
      <c r="AR279" s="236"/>
      <c r="AS279" s="236"/>
      <c r="AT279" s="236"/>
      <c r="AU279" s="236"/>
      <c r="AV279" s="236"/>
      <c r="AW279" s="236"/>
      <c r="AX279" s="236"/>
      <c r="AY279" s="236"/>
      <c r="AZ279" s="236"/>
      <c r="BA279" s="236"/>
      <c r="BB279" s="236"/>
      <c r="BC279" s="236"/>
      <c r="BD279" s="236"/>
      <c r="BE279" s="236"/>
      <c r="BF279" s="236"/>
      <c r="BG279" s="236"/>
      <c r="BH279" s="38"/>
    </row>
    <row r="280" spans="1:60" hidden="1" x14ac:dyDescent="0.2">
      <c r="A280" s="648"/>
      <c r="B280" s="492" t="s">
        <v>335</v>
      </c>
      <c r="C280" s="739" t="s">
        <v>309</v>
      </c>
      <c r="D280" s="750"/>
      <c r="E280" s="246" t="s">
        <v>337</v>
      </c>
      <c r="F280" s="246"/>
      <c r="G280" s="246"/>
      <c r="H280" s="247" t="s">
        <v>70</v>
      </c>
      <c r="I280" s="248"/>
      <c r="J280" s="249"/>
      <c r="K280" s="90"/>
      <c r="L280" s="90"/>
      <c r="M280" s="249"/>
      <c r="N280" s="248"/>
      <c r="O280" s="250" t="str">
        <f t="shared" ref="O280:W280" si="286">IF(OR(O$19="",O$24=0,O$31=0),"",MATCH(O$21,BENG_gebruiksfuncties,0))</f>
        <v/>
      </c>
      <c r="P280" s="250" t="str">
        <f t="shared" si="286"/>
        <v/>
      </c>
      <c r="Q280" s="250" t="str">
        <f t="shared" si="286"/>
        <v/>
      </c>
      <c r="R280" s="250" t="str">
        <f t="shared" si="286"/>
        <v/>
      </c>
      <c r="S280" s="250" t="str">
        <f t="shared" si="286"/>
        <v/>
      </c>
      <c r="T280" s="250" t="str">
        <f t="shared" si="286"/>
        <v/>
      </c>
      <c r="U280" s="250" t="str">
        <f t="shared" si="286"/>
        <v/>
      </c>
      <c r="V280" s="250" t="str">
        <f t="shared" si="286"/>
        <v/>
      </c>
      <c r="W280" s="250" t="str">
        <f t="shared" si="286"/>
        <v/>
      </c>
      <c r="X280" s="122"/>
      <c r="Y280" s="249"/>
      <c r="Z280" s="248"/>
      <c r="AA280" s="250" t="str">
        <f t="shared" ref="AA280:AI280" si="287">IF(OR(AA$19="",AA$24=0,AA$31=0),"",MATCH(AA$21,BENG_gebruiksfuncties,0))</f>
        <v/>
      </c>
      <c r="AB280" s="250" t="str">
        <f t="shared" si="287"/>
        <v/>
      </c>
      <c r="AC280" s="250" t="str">
        <f t="shared" si="287"/>
        <v/>
      </c>
      <c r="AD280" s="250" t="str">
        <f t="shared" si="287"/>
        <v/>
      </c>
      <c r="AE280" s="250" t="str">
        <f t="shared" si="287"/>
        <v/>
      </c>
      <c r="AF280" s="250" t="str">
        <f t="shared" si="287"/>
        <v/>
      </c>
      <c r="AG280" s="250" t="str">
        <f t="shared" si="287"/>
        <v/>
      </c>
      <c r="AH280" s="250" t="str">
        <f t="shared" si="287"/>
        <v/>
      </c>
      <c r="AI280" s="250" t="str">
        <f t="shared" si="287"/>
        <v/>
      </c>
      <c r="AJ280" s="122"/>
      <c r="AK280" s="249"/>
      <c r="AL280" s="248"/>
      <c r="AM280" s="250" t="str">
        <f>IF(OR(AM$19="",AM$24=0,AM$31=0),"",MATCH(AM$21,BENG_gebruiksfuncties,0))</f>
        <v/>
      </c>
      <c r="AN280" s="250" t="str">
        <f t="shared" ref="AN280:AU280" si="288">IF(OR(AN$19="",AN$24=0,AN$31=0),"",MATCH(AN$21,BENG_gebruiksfuncties,0))</f>
        <v/>
      </c>
      <c r="AO280" s="250" t="str">
        <f t="shared" si="288"/>
        <v/>
      </c>
      <c r="AP280" s="250" t="str">
        <f t="shared" si="288"/>
        <v/>
      </c>
      <c r="AQ280" s="250" t="str">
        <f t="shared" si="288"/>
        <v/>
      </c>
      <c r="AR280" s="250" t="str">
        <f t="shared" si="288"/>
        <v/>
      </c>
      <c r="AS280" s="250" t="str">
        <f t="shared" si="288"/>
        <v/>
      </c>
      <c r="AT280" s="250" t="str">
        <f t="shared" si="288"/>
        <v/>
      </c>
      <c r="AU280" s="250" t="str">
        <f t="shared" si="288"/>
        <v/>
      </c>
      <c r="AV280" s="122"/>
      <c r="AW280" s="249"/>
      <c r="AX280" s="248"/>
      <c r="AY280" s="250" t="str">
        <f t="shared" ref="AY280:BG280" si="289">IF(OR(AY$19="",AY$24=0,AY$31=0),"",MATCH(AY$21,BENG_gebruiksfuncties,0))</f>
        <v/>
      </c>
      <c r="AZ280" s="250" t="str">
        <f t="shared" si="289"/>
        <v/>
      </c>
      <c r="BA280" s="250" t="str">
        <f t="shared" si="289"/>
        <v/>
      </c>
      <c r="BB280" s="250" t="str">
        <f t="shared" si="289"/>
        <v/>
      </c>
      <c r="BC280" s="250" t="str">
        <f t="shared" si="289"/>
        <v/>
      </c>
      <c r="BD280" s="250" t="str">
        <f t="shared" si="289"/>
        <v/>
      </c>
      <c r="BE280" s="250" t="str">
        <f t="shared" si="289"/>
        <v/>
      </c>
      <c r="BF280" s="250" t="str">
        <f t="shared" si="289"/>
        <v/>
      </c>
      <c r="BG280" s="250" t="str">
        <f t="shared" si="289"/>
        <v/>
      </c>
      <c r="BH280" s="255"/>
    </row>
    <row r="281" spans="1:60" ht="18.75" x14ac:dyDescent="0.2">
      <c r="A281" s="648"/>
      <c r="B281" s="492" t="s">
        <v>335</v>
      </c>
      <c r="C281" s="739" t="s">
        <v>104</v>
      </c>
      <c r="D281" s="749" t="s">
        <v>50</v>
      </c>
      <c r="E281" s="236" t="s">
        <v>338</v>
      </c>
      <c r="F281" s="236"/>
      <c r="G281" s="236"/>
      <c r="H281" s="89"/>
      <c r="I281" s="236"/>
      <c r="J281" s="236"/>
      <c r="K281" s="236"/>
      <c r="L281" s="236"/>
      <c r="M281" s="236"/>
      <c r="N281" s="236"/>
      <c r="O281" s="236"/>
      <c r="P281" s="236"/>
      <c r="Q281" s="236"/>
      <c r="R281" s="236"/>
      <c r="S281" s="236"/>
      <c r="T281" s="236"/>
      <c r="U281" s="236"/>
      <c r="V281" s="236"/>
      <c r="W281" s="236"/>
      <c r="X281" s="236"/>
      <c r="Y281" s="236"/>
      <c r="Z281" s="236"/>
      <c r="AA281" s="236"/>
      <c r="AB281" s="236"/>
      <c r="AC281" s="236"/>
      <c r="AD281" s="236"/>
      <c r="AE281" s="236"/>
      <c r="AF281" s="236"/>
      <c r="AG281" s="236"/>
      <c r="AH281" s="236"/>
      <c r="AI281" s="236"/>
      <c r="AJ281" s="236"/>
      <c r="AK281" s="236"/>
      <c r="AL281" s="236"/>
      <c r="AM281" s="236"/>
      <c r="AN281" s="236"/>
      <c r="AO281" s="236"/>
      <c r="AP281" s="236"/>
      <c r="AQ281" s="236"/>
      <c r="AR281" s="236"/>
      <c r="AS281" s="236"/>
      <c r="AT281" s="236"/>
      <c r="AU281" s="236"/>
      <c r="AV281" s="236"/>
      <c r="AW281" s="236"/>
      <c r="AX281" s="236"/>
      <c r="AY281" s="236"/>
      <c r="AZ281" s="236"/>
      <c r="BA281" s="236"/>
      <c r="BB281" s="236"/>
      <c r="BC281" s="236"/>
      <c r="BD281" s="236"/>
      <c r="BE281" s="236"/>
      <c r="BF281" s="236"/>
      <c r="BG281" s="236"/>
      <c r="BH281" s="38"/>
    </row>
    <row r="282" spans="1:60" x14ac:dyDescent="0.2">
      <c r="A282" s="648"/>
      <c r="B282" s="492" t="s">
        <v>335</v>
      </c>
      <c r="C282" s="656" t="s">
        <v>113</v>
      </c>
      <c r="D282" s="750"/>
      <c r="E282" s="246" t="s">
        <v>339</v>
      </c>
      <c r="F282" s="246"/>
      <c r="G282" s="246"/>
      <c r="H282" s="247" t="s">
        <v>169</v>
      </c>
      <c r="I282" s="248"/>
      <c r="J282" s="249"/>
      <c r="K282" s="90"/>
      <c r="L282" s="90"/>
      <c r="M282" s="249"/>
      <c r="N282" s="248"/>
      <c r="O282" s="251" t="str" cm="1">
        <f t="array" ref="O282">IF(OR(O$19="",O$40="",O$42="",O$280=""),"",
IF(O$34&lt;=INDEX(BENG1_eis_grenswaarde_1,O$280),
      INDEX(BENG1_eis_Als_deeldoor_Ag_kleiner_dan_grenswaarde_1,O$280),
IF(O$34&lt;=INDEX(BENG1_eis_grenswaarde_2,O$280),
      INDEX(BENG1_eis_C1,O$280) + INDEX(BENG1_eis_C2,O$280) * (O$34 - INDEX(BENG1_eis_C3,O$280) ),
      INDEX(BENG1_eis_C4,O$280)  + INDEX(BENG1_eis_C5,O$280) * (O$34 - INDEX(BENG1_eis_C6,O$280) ))))</f>
        <v/>
      </c>
      <c r="P282" s="251" t="str" cm="1">
        <f t="array" ref="P282">IF(OR(P$19="",P$40="",P$42="",P$280=""),"",
IF(P$34&lt;=INDEX(BENG1_eis_grenswaarde_1,P$280),
      INDEX(BENG1_eis_Als_deeldoor_Ag_kleiner_dan_grenswaarde_1,P$280),
IF(P$34&lt;=INDEX(BENG1_eis_grenswaarde_2,P$280),
      INDEX(BENG1_eis_C1,P$280) + INDEX(BENG1_eis_C2,P$280) * (P$34 - INDEX(BENG1_eis_C3,P$280) ),
      INDEX(BENG1_eis_C4,P$280)  + INDEX(BENG1_eis_C5,P$280) * (P$34 - INDEX(BENG1_eis_C6,P$280) ))))</f>
        <v/>
      </c>
      <c r="Q282" s="251" t="str" cm="1">
        <f t="array" ref="Q282">IF(OR(Q$19="",Q$40="",Q$42="",Q$280=""),"",
IF(Q$34&lt;=INDEX(BENG1_eis_grenswaarde_1,Q$280),
      INDEX(BENG1_eis_Als_deeldoor_Ag_kleiner_dan_grenswaarde_1,Q$280),
IF(Q$34&lt;=INDEX(BENG1_eis_grenswaarde_2,Q$280),
      INDEX(BENG1_eis_C1,Q$280) + INDEX(BENG1_eis_C2,Q$280) * (Q$34 - INDEX(BENG1_eis_C3,Q$280) ),
      INDEX(BENG1_eis_C4,Q$280)  + INDEX(BENG1_eis_C5,Q$280) * (Q$34 - INDEX(BENG1_eis_C6,Q$280) ))))</f>
        <v/>
      </c>
      <c r="R282" s="251" t="str" cm="1">
        <f t="array" ref="R282">IF(OR(R$19="",R$40="",R$42="",R$280=""),"",
IF(R$34&lt;=INDEX(BENG1_eis_grenswaarde_1,R$280),
      INDEX(BENG1_eis_Als_deeldoor_Ag_kleiner_dan_grenswaarde_1,R$280),
IF(R$34&lt;=INDEX(BENG1_eis_grenswaarde_2,R$280),
      INDEX(BENG1_eis_C1,R$280) + INDEX(BENG1_eis_C2,R$280) * (R$34 - INDEX(BENG1_eis_C3,R$280) ),
      INDEX(BENG1_eis_C4,R$280)  + INDEX(BENG1_eis_C5,R$280) * (R$34 - INDEX(BENG1_eis_C6,R$280) ))))</f>
        <v/>
      </c>
      <c r="S282" s="251" t="str" cm="1">
        <f t="array" ref="S282">IF(OR(S$19="",S$40="",S$42="",S$280=""),"",
IF(S$34&lt;=INDEX(BENG1_eis_grenswaarde_1,S$280),
      INDEX(BENG1_eis_Als_deeldoor_Ag_kleiner_dan_grenswaarde_1,S$280),
IF(S$34&lt;=INDEX(BENG1_eis_grenswaarde_2,S$280),
      INDEX(BENG1_eis_C1,S$280) + INDEX(BENG1_eis_C2,S$280) * (S$34 - INDEX(BENG1_eis_C3,S$280) ),
      INDEX(BENG1_eis_C4,S$280)  + INDEX(BENG1_eis_C5,S$280) * (S$34 - INDEX(BENG1_eis_C6,S$280) ))))</f>
        <v/>
      </c>
      <c r="T282" s="251" t="str" cm="1">
        <f t="array" ref="T282">IF(OR(T$19="",T$40="",T$42="",T$280=""),"",
IF(T$34&lt;=INDEX(BENG1_eis_grenswaarde_1,T$280),
      INDEX(BENG1_eis_Als_deeldoor_Ag_kleiner_dan_grenswaarde_1,T$280),
IF(T$34&lt;=INDEX(BENG1_eis_grenswaarde_2,T$280),
      INDEX(BENG1_eis_C1,T$280) + INDEX(BENG1_eis_C2,T$280) * (T$34 - INDEX(BENG1_eis_C3,T$280) ),
      INDEX(BENG1_eis_C4,T$280)  + INDEX(BENG1_eis_C5,T$280) * (T$34 - INDEX(BENG1_eis_C6,T$280) ))))</f>
        <v/>
      </c>
      <c r="U282" s="251" t="str" cm="1">
        <f t="array" ref="U282">IF(OR(U$19="",U$40="",U$42="",U$280=""),"",
IF(U$34&lt;=INDEX(BENG1_eis_grenswaarde_1,U$280),
      INDEX(BENG1_eis_Als_deeldoor_Ag_kleiner_dan_grenswaarde_1,U$280),
IF(U$34&lt;=INDEX(BENG1_eis_grenswaarde_2,U$280),
      INDEX(BENG1_eis_C1,U$280) + INDEX(BENG1_eis_C2,U$280) * (U$34 - INDEX(BENG1_eis_C3,U$280) ),
      INDEX(BENG1_eis_C4,U$280)  + INDEX(BENG1_eis_C5,U$280) * (U$34 - INDEX(BENG1_eis_C6,U$280) ))))</f>
        <v/>
      </c>
      <c r="V282" s="251" t="str" cm="1">
        <f t="array" ref="V282">IF(OR(V$19="",V$40="",V$42="",V$280=""),"",
IF(V$34&lt;=INDEX(BENG1_eis_grenswaarde_1,V$280),
      INDEX(BENG1_eis_Als_deeldoor_Ag_kleiner_dan_grenswaarde_1,V$280),
IF(V$34&lt;=INDEX(BENG1_eis_grenswaarde_2,V$280),
      INDEX(BENG1_eis_C1,V$280) + INDEX(BENG1_eis_C2,V$280) * (V$34 - INDEX(BENG1_eis_C3,V$280) ),
      INDEX(BENG1_eis_C4,V$280)  + INDEX(BENG1_eis_C5,V$280) * (V$34 - INDEX(BENG1_eis_C6,V$280) ))))</f>
        <v/>
      </c>
      <c r="W282" s="251" t="str" cm="1">
        <f t="array" ref="W282">IF(OR(W$19="",W$40="",W$42="",W$280=""),"",
IF(W$34&lt;=INDEX(BENG1_eis_grenswaarde_1,W$280),
      INDEX(BENG1_eis_Als_deeldoor_Ag_kleiner_dan_grenswaarde_1,W$280),
IF(W$34&lt;=INDEX(BENG1_eis_grenswaarde_2,W$280),
      INDEX(BENG1_eis_C1,W$280) + INDEX(BENG1_eis_C2,W$280) * (W$34 - INDEX(BENG1_eis_C3,W$280) ),
      INDEX(BENG1_eis_C4,W$280)  + INDEX(BENG1_eis_C5,W$280) * (W$34 - INDEX(BENG1_eis_C6,W$280) ))))</f>
        <v/>
      </c>
      <c r="X282" s="122"/>
      <c r="Y282" s="249"/>
      <c r="Z282" s="248"/>
      <c r="AA282" s="251" t="str" cm="1">
        <f t="array" ref="AA282">IF(OR(AA$19="",AA$40="",AA$42="",AA$280=""),"",
IF(AA$34&lt;=INDEX(BENG1_eis_grenswaarde_1,AA$280),
      INDEX(BENG1_eis_Als_deeldoor_Ag_kleiner_dan_grenswaarde_1,AA$280),
IF(AA$34&lt;=INDEX(BENG1_eis_grenswaarde_2,AA$280),
      INDEX(BENG1_eis_C1,AA$280) + INDEX(BENG1_eis_C2,AA$280) * (AA$34 - INDEX(BENG1_eis_C3,AA$280) ),
      INDEX(BENG1_eis_C4,AA$280)  + INDEX(BENG1_eis_C5,AA$280) * (AA$34 - INDEX(BENG1_eis_C6,AA$280) ))))</f>
        <v/>
      </c>
      <c r="AB282" s="251" t="str" cm="1">
        <f t="array" ref="AB282">IF(OR(AB$19="",AB$40="",AB$42="",AB$280=""),"",
IF(AB$34&lt;=INDEX(BENG1_eis_grenswaarde_1,AB$280),
      INDEX(BENG1_eis_Als_deeldoor_Ag_kleiner_dan_grenswaarde_1,AB$280),
IF(AB$34&lt;=INDEX(BENG1_eis_grenswaarde_2,AB$280),
      INDEX(BENG1_eis_C1,AB$280) + INDEX(BENG1_eis_C2,AB$280) * (AB$34 - INDEX(BENG1_eis_C3,AB$280) ),
      INDEX(BENG1_eis_C4,AB$280)  + INDEX(BENG1_eis_C5,AB$280) * (AB$34 - INDEX(BENG1_eis_C6,AB$280) ))))</f>
        <v/>
      </c>
      <c r="AC282" s="251" t="str" cm="1">
        <f t="array" ref="AC282">IF(OR(AC$19="",AC$40="",AC$42="",AC$280=""),"",
IF(AC$34&lt;=INDEX(BENG1_eis_grenswaarde_1,AC$280),
      INDEX(BENG1_eis_Als_deeldoor_Ag_kleiner_dan_grenswaarde_1,AC$280),
IF(AC$34&lt;=INDEX(BENG1_eis_grenswaarde_2,AC$280),
      INDEX(BENG1_eis_C1,AC$280) + INDEX(BENG1_eis_C2,AC$280) * (AC$34 - INDEX(BENG1_eis_C3,AC$280) ),
      INDEX(BENG1_eis_C4,AC$280)  + INDEX(BENG1_eis_C5,AC$280) * (AC$34 - INDEX(BENG1_eis_C6,AC$280) ))))</f>
        <v/>
      </c>
      <c r="AD282" s="251" t="str" cm="1">
        <f t="array" ref="AD282">IF(OR(AD$19="",AD$40="",AD$42="",AD$280=""),"",
IF(AD$34&lt;=INDEX(BENG1_eis_grenswaarde_1,AD$280),
      INDEX(BENG1_eis_Als_deeldoor_Ag_kleiner_dan_grenswaarde_1,AD$280),
IF(AD$34&lt;=INDEX(BENG1_eis_grenswaarde_2,AD$280),
      INDEX(BENG1_eis_C1,AD$280) + INDEX(BENG1_eis_C2,AD$280) * (AD$34 - INDEX(BENG1_eis_C3,AD$280) ),
      INDEX(BENG1_eis_C4,AD$280)  + INDEX(BENG1_eis_C5,AD$280) * (AD$34 - INDEX(BENG1_eis_C6,AD$280) ))))</f>
        <v/>
      </c>
      <c r="AE282" s="251" t="str" cm="1">
        <f t="array" ref="AE282">IF(OR(AE$19="",AE$40="",AE$42="",AE$280=""),"",
IF(AE$34&lt;=INDEX(BENG1_eis_grenswaarde_1,AE$280),
      INDEX(BENG1_eis_Als_deeldoor_Ag_kleiner_dan_grenswaarde_1,AE$280),
IF(AE$34&lt;=INDEX(BENG1_eis_grenswaarde_2,AE$280),
      INDEX(BENG1_eis_C1,AE$280) + INDEX(BENG1_eis_C2,AE$280) * (AE$34 - INDEX(BENG1_eis_C3,AE$280) ),
      INDEX(BENG1_eis_C4,AE$280)  + INDEX(BENG1_eis_C5,AE$280) * (AE$34 - INDEX(BENG1_eis_C6,AE$280) ))))</f>
        <v/>
      </c>
      <c r="AF282" s="251" t="str" cm="1">
        <f t="array" ref="AF282">IF(OR(AF$19="",AF$40="",AF$42="",AF$280=""),"",
IF(AF$34&lt;=INDEX(BENG1_eis_grenswaarde_1,AF$280),
      INDEX(BENG1_eis_Als_deeldoor_Ag_kleiner_dan_grenswaarde_1,AF$280),
IF(AF$34&lt;=INDEX(BENG1_eis_grenswaarde_2,AF$280),
      INDEX(BENG1_eis_C1,AF$280) + INDEX(BENG1_eis_C2,AF$280) * (AF$34 - INDEX(BENG1_eis_C3,AF$280) ),
      INDEX(BENG1_eis_C4,AF$280)  + INDEX(BENG1_eis_C5,AF$280) * (AF$34 - INDEX(BENG1_eis_C6,AF$280) ))))</f>
        <v/>
      </c>
      <c r="AG282" s="251" t="str" cm="1">
        <f t="array" ref="AG282">IF(OR(AG$19="",AG$40="",AG$42="",AG$280=""),"",
IF(AG$34&lt;=INDEX(BENG1_eis_grenswaarde_1,AG$280),
      INDEX(BENG1_eis_Als_deeldoor_Ag_kleiner_dan_grenswaarde_1,AG$280),
IF(AG$34&lt;=INDEX(BENG1_eis_grenswaarde_2,AG$280),
      INDEX(BENG1_eis_C1,AG$280) + INDEX(BENG1_eis_C2,AG$280) * (AG$34 - INDEX(BENG1_eis_C3,AG$280) ),
      INDEX(BENG1_eis_C4,AG$280)  + INDEX(BENG1_eis_C5,AG$280) * (AG$34 - INDEX(BENG1_eis_C6,AG$280) ))))</f>
        <v/>
      </c>
      <c r="AH282" s="251" t="str" cm="1">
        <f t="array" ref="AH282">IF(OR(AH$19="",AH$40="",AH$42="",AH$280=""),"",
IF(AH$34&lt;=INDEX(BENG1_eis_grenswaarde_1,AH$280),
      INDEX(BENG1_eis_Als_deeldoor_Ag_kleiner_dan_grenswaarde_1,AH$280),
IF(AH$34&lt;=INDEX(BENG1_eis_grenswaarde_2,AH$280),
      INDEX(BENG1_eis_C1,AH$280) + INDEX(BENG1_eis_C2,AH$280) * (AH$34 - INDEX(BENG1_eis_C3,AH$280) ),
      INDEX(BENG1_eis_C4,AH$280)  + INDEX(BENG1_eis_C5,AH$280) * (AH$34 - INDEX(BENG1_eis_C6,AH$280) ))))</f>
        <v/>
      </c>
      <c r="AI282" s="251" t="str" cm="1">
        <f t="array" ref="AI282">IF(OR(AI$19="",AI$40="",AI$42="",AI$280=""),"",
IF(AI$34&lt;=INDEX(BENG1_eis_grenswaarde_1,AI$280),
      INDEX(BENG1_eis_Als_deeldoor_Ag_kleiner_dan_grenswaarde_1,AI$280),
IF(AI$34&lt;=INDEX(BENG1_eis_grenswaarde_2,AI$280),
      INDEX(BENG1_eis_C1,AI$280) + INDEX(BENG1_eis_C2,AI$280) * (AI$34 - INDEX(BENG1_eis_C3,AI$280) ),
      INDEX(BENG1_eis_C4,AI$280)  + INDEX(BENG1_eis_C5,AI$280) * (AI$34 - INDEX(BENG1_eis_C6,AI$280) ))))</f>
        <v/>
      </c>
      <c r="AJ282" s="122"/>
      <c r="AK282" s="249"/>
      <c r="AL282" s="248"/>
      <c r="AM282" s="251" t="str" cm="1">
        <f t="array" ref="AM282">IF(OR(AM$19="",AM$40="",AM$42="",AM$280=""),"",
IF(AM$34&lt;=INDEX(BENG1_eis_grenswaarde_1,AM$280),
      INDEX(BENG1_eis_Als_deeldoor_Ag_kleiner_dan_grenswaarde_1,AM$280),
IF(AM$34&lt;=INDEX(BENG1_eis_grenswaarde_2,AM$280),
      INDEX(BENG1_eis_C1,AM$280) + INDEX(BENG1_eis_C2,AM$280) * (AM$34 - INDEX(BENG1_eis_C3,AM$280) ),
      INDEX(BENG1_eis_C4,AM$280)  + INDEX(BENG1_eis_C5,AM$280) * (AM$34 - INDEX(BENG1_eis_C6,AM$280) ))))</f>
        <v/>
      </c>
      <c r="AN282" s="251" t="str" cm="1">
        <f t="array" ref="AN282">IF(OR(AN$19="",AN$40="",AN$42="",AN$280=""),"",
IF(AN$34&lt;=INDEX(BENG1_eis_grenswaarde_1,AN$280),
      INDEX(BENG1_eis_Als_deeldoor_Ag_kleiner_dan_grenswaarde_1,AN$280),
IF(AN$34&lt;=INDEX(BENG1_eis_grenswaarde_2,AN$280),
      INDEX(BENG1_eis_C1,AN$280) + INDEX(BENG1_eis_C2,AN$280) * (AN$34 - INDEX(BENG1_eis_C3,AN$280) ),
      INDEX(BENG1_eis_C4,AN$280)  + INDEX(BENG1_eis_C5,AN$280) * (AN$34 - INDEX(BENG1_eis_C6,AN$280) ))))</f>
        <v/>
      </c>
      <c r="AO282" s="251" t="str" cm="1">
        <f t="array" ref="AO282">IF(OR(AO$19="",AO$40="",AO$42="",AO$280=""),"",
IF(AO$34&lt;=INDEX(BENG1_eis_grenswaarde_1,AO$280),
      INDEX(BENG1_eis_Als_deeldoor_Ag_kleiner_dan_grenswaarde_1,AO$280),
IF(AO$34&lt;=INDEX(BENG1_eis_grenswaarde_2,AO$280),
      INDEX(BENG1_eis_C1,AO$280) + INDEX(BENG1_eis_C2,AO$280) * (AO$34 - INDEX(BENG1_eis_C3,AO$280) ),
      INDEX(BENG1_eis_C4,AO$280)  + INDEX(BENG1_eis_C5,AO$280) * (AO$34 - INDEX(BENG1_eis_C6,AO$280) ))))</f>
        <v/>
      </c>
      <c r="AP282" s="251" t="str" cm="1">
        <f t="array" ref="AP282">IF(OR(AP$19="",AP$40="",AP$42="",AP$280=""),"",
IF(AP$34&lt;=INDEX(BENG1_eis_grenswaarde_1,AP$280),
      INDEX(BENG1_eis_Als_deeldoor_Ag_kleiner_dan_grenswaarde_1,AP$280),
IF(AP$34&lt;=INDEX(BENG1_eis_grenswaarde_2,AP$280),
      INDEX(BENG1_eis_C1,AP$280) + INDEX(BENG1_eis_C2,AP$280) * (AP$34 - INDEX(BENG1_eis_C3,AP$280) ),
      INDEX(BENG1_eis_C4,AP$280)  + INDEX(BENG1_eis_C5,AP$280) * (AP$34 - INDEX(BENG1_eis_C6,AP$280) ))))</f>
        <v/>
      </c>
      <c r="AQ282" s="251" t="str" cm="1">
        <f t="array" ref="AQ282">IF(OR(AQ$19="",AQ$40="",AQ$42="",AQ$280=""),"",
IF(AQ$34&lt;=INDEX(BENG1_eis_grenswaarde_1,AQ$280),
      INDEX(BENG1_eis_Als_deeldoor_Ag_kleiner_dan_grenswaarde_1,AQ$280),
IF(AQ$34&lt;=INDEX(BENG1_eis_grenswaarde_2,AQ$280),
      INDEX(BENG1_eis_C1,AQ$280) + INDEX(BENG1_eis_C2,AQ$280) * (AQ$34 - INDEX(BENG1_eis_C3,AQ$280) ),
      INDEX(BENG1_eis_C4,AQ$280)  + INDEX(BENG1_eis_C5,AQ$280) * (AQ$34 - INDEX(BENG1_eis_C6,AQ$280) ))))</f>
        <v/>
      </c>
      <c r="AR282" s="251" t="str" cm="1">
        <f t="array" ref="AR282">IF(OR(AR$19="",AR$40="",AR$42="",AR$280=""),"",
IF(AR$34&lt;=INDEX(BENG1_eis_grenswaarde_1,AR$280),
      INDEX(BENG1_eis_Als_deeldoor_Ag_kleiner_dan_grenswaarde_1,AR$280),
IF(AR$34&lt;=INDEX(BENG1_eis_grenswaarde_2,AR$280),
      INDEX(BENG1_eis_C1,AR$280) + INDEX(BENG1_eis_C2,AR$280) * (AR$34 - INDEX(BENG1_eis_C3,AR$280) ),
      INDEX(BENG1_eis_C4,AR$280)  + INDEX(BENG1_eis_C5,AR$280) * (AR$34 - INDEX(BENG1_eis_C6,AR$280) ))))</f>
        <v/>
      </c>
      <c r="AS282" s="251" t="str" cm="1">
        <f t="array" ref="AS282">IF(OR(AS$19="",AS$40="",AS$42="",AS$280=""),"",
IF(AS$34&lt;=INDEX(BENG1_eis_grenswaarde_1,AS$280),
      INDEX(BENG1_eis_Als_deeldoor_Ag_kleiner_dan_grenswaarde_1,AS$280),
IF(AS$34&lt;=INDEX(BENG1_eis_grenswaarde_2,AS$280),
      INDEX(BENG1_eis_C1,AS$280) + INDEX(BENG1_eis_C2,AS$280) * (AS$34 - INDEX(BENG1_eis_C3,AS$280) ),
      INDEX(BENG1_eis_C4,AS$280)  + INDEX(BENG1_eis_C5,AS$280) * (AS$34 - INDEX(BENG1_eis_C6,AS$280) ))))</f>
        <v/>
      </c>
      <c r="AT282" s="251" t="str" cm="1">
        <f t="array" ref="AT282">IF(OR(AT$19="",AT$40="",AT$42="",AT$280=""),"",
IF(AT$34&lt;=INDEX(BENG1_eis_grenswaarde_1,AT$280),
      INDEX(BENG1_eis_Als_deeldoor_Ag_kleiner_dan_grenswaarde_1,AT$280),
IF(AT$34&lt;=INDEX(BENG1_eis_grenswaarde_2,AT$280),
      INDEX(BENG1_eis_C1,AT$280) + INDEX(BENG1_eis_C2,AT$280) * (AT$34 - INDEX(BENG1_eis_C3,AT$280) ),
      INDEX(BENG1_eis_C4,AT$280)  + INDEX(BENG1_eis_C5,AT$280) * (AT$34 - INDEX(BENG1_eis_C6,AT$280) ))))</f>
        <v/>
      </c>
      <c r="AU282" s="251" t="str" cm="1">
        <f t="array" ref="AU282">IF(OR(AU$19="",AU$40="",AU$42="",AU$280=""),"",
IF(AU$34&lt;=INDEX(BENG1_eis_grenswaarde_1,AU$280),
      INDEX(BENG1_eis_Als_deeldoor_Ag_kleiner_dan_grenswaarde_1,AU$280),
IF(AU$34&lt;=INDEX(BENG1_eis_grenswaarde_2,AU$280),
      INDEX(BENG1_eis_C1,AU$280) + INDEX(BENG1_eis_C2,AU$280) * (AU$34 - INDEX(BENG1_eis_C3,AU$280) ),
      INDEX(BENG1_eis_C4,AU$280)  + INDEX(BENG1_eis_C5,AU$280) * (AU$34 - INDEX(BENG1_eis_C6,AU$280) ))))</f>
        <v/>
      </c>
      <c r="AV282" s="122"/>
      <c r="AW282" s="249"/>
      <c r="AX282" s="248"/>
      <c r="AY282" s="251" t="str" cm="1">
        <f t="array" ref="AY282">IF(OR(AY$19="",AY$40="",AY$42="",AY$280=""),"",
IF(AY$34&lt;=INDEX(BENG1_eis_grenswaarde_1,AY$280),
      INDEX(BENG1_eis_Als_deeldoor_Ag_kleiner_dan_grenswaarde_1,AY$280),
IF(AY$34&lt;=INDEX(BENG1_eis_grenswaarde_2,AY$280),
      INDEX(BENG1_eis_C1,AY$280) + INDEX(BENG1_eis_C2,AY$280) * (AY$34 - INDEX(BENG1_eis_C3,AY$280) ),
      INDEX(BENG1_eis_C4,AY$280)  + INDEX(BENG1_eis_C5,AY$280) * (AY$34 - INDEX(BENG1_eis_C6,AY$280) ))))</f>
        <v/>
      </c>
      <c r="AZ282" s="251" t="str" cm="1">
        <f t="array" ref="AZ282">IF(OR(AZ$19="",AZ$40="",AZ$42="",AZ$280=""),"",
IF(AZ$34&lt;=INDEX(BENG1_eis_grenswaarde_1,AZ$280),
      INDEX(BENG1_eis_Als_deeldoor_Ag_kleiner_dan_grenswaarde_1,AZ$280),
IF(AZ$34&lt;=INDEX(BENG1_eis_grenswaarde_2,AZ$280),
      INDEX(BENG1_eis_C1,AZ$280) + INDEX(BENG1_eis_C2,AZ$280) * (AZ$34 - INDEX(BENG1_eis_C3,AZ$280) ),
      INDEX(BENG1_eis_C4,AZ$280)  + INDEX(BENG1_eis_C5,AZ$280) * (AZ$34 - INDEX(BENG1_eis_C6,AZ$280) ))))</f>
        <v/>
      </c>
      <c r="BA282" s="251" t="str" cm="1">
        <f t="array" ref="BA282">IF(OR(BA$19="",BA$40="",BA$42="",BA$280=""),"",
IF(BA$34&lt;=INDEX(BENG1_eis_grenswaarde_1,BA$280),
      INDEX(BENG1_eis_Als_deeldoor_Ag_kleiner_dan_grenswaarde_1,BA$280),
IF(BA$34&lt;=INDEX(BENG1_eis_grenswaarde_2,BA$280),
      INDEX(BENG1_eis_C1,BA$280) + INDEX(BENG1_eis_C2,BA$280) * (BA$34 - INDEX(BENG1_eis_C3,BA$280) ),
      INDEX(BENG1_eis_C4,BA$280)  + INDEX(BENG1_eis_C5,BA$280) * (BA$34 - INDEX(BENG1_eis_C6,BA$280) ))))</f>
        <v/>
      </c>
      <c r="BB282" s="251" t="str" cm="1">
        <f t="array" ref="BB282">IF(OR(BB$19="",BB$40="",BB$42="",BB$280=""),"",
IF(BB$34&lt;=INDEX(BENG1_eis_grenswaarde_1,BB$280),
      INDEX(BENG1_eis_Als_deeldoor_Ag_kleiner_dan_grenswaarde_1,BB$280),
IF(BB$34&lt;=INDEX(BENG1_eis_grenswaarde_2,BB$280),
      INDEX(BENG1_eis_C1,BB$280) + INDEX(BENG1_eis_C2,BB$280) * (BB$34 - INDEX(BENG1_eis_C3,BB$280) ),
      INDEX(BENG1_eis_C4,BB$280)  + INDEX(BENG1_eis_C5,BB$280) * (BB$34 - INDEX(BENG1_eis_C6,BB$280) ))))</f>
        <v/>
      </c>
      <c r="BC282" s="251" t="str" cm="1">
        <f t="array" ref="BC282">IF(OR(BC$19="",BC$40="",BC$42="",BC$280=""),"",
IF(BC$34&lt;=INDEX(BENG1_eis_grenswaarde_1,BC$280),
      INDEX(BENG1_eis_Als_deeldoor_Ag_kleiner_dan_grenswaarde_1,BC$280),
IF(BC$34&lt;=INDEX(BENG1_eis_grenswaarde_2,BC$280),
      INDEX(BENG1_eis_C1,BC$280) + INDEX(BENG1_eis_C2,BC$280) * (BC$34 - INDEX(BENG1_eis_C3,BC$280) ),
      INDEX(BENG1_eis_C4,BC$280)  + INDEX(BENG1_eis_C5,BC$280) * (BC$34 - INDEX(BENG1_eis_C6,BC$280) ))))</f>
        <v/>
      </c>
      <c r="BD282" s="251" t="str" cm="1">
        <f t="array" ref="BD282">IF(OR(BD$19="",BD$40="",BD$42="",BD$280=""),"",
IF(BD$34&lt;=INDEX(BENG1_eis_grenswaarde_1,BD$280),
      INDEX(BENG1_eis_Als_deeldoor_Ag_kleiner_dan_grenswaarde_1,BD$280),
IF(BD$34&lt;=INDEX(BENG1_eis_grenswaarde_2,BD$280),
      INDEX(BENG1_eis_C1,BD$280) + INDEX(BENG1_eis_C2,BD$280) * (BD$34 - INDEX(BENG1_eis_C3,BD$280) ),
      INDEX(BENG1_eis_C4,BD$280)  + INDEX(BENG1_eis_C5,BD$280) * (BD$34 - INDEX(BENG1_eis_C6,BD$280) ))))</f>
        <v/>
      </c>
      <c r="BE282" s="251" t="str" cm="1">
        <f t="array" ref="BE282">IF(OR(BE$19="",BE$40="",BE$42="",BE$280=""),"",
IF(BE$34&lt;=INDEX(BENG1_eis_grenswaarde_1,BE$280),
      INDEX(BENG1_eis_Als_deeldoor_Ag_kleiner_dan_grenswaarde_1,BE$280),
IF(BE$34&lt;=INDEX(BENG1_eis_grenswaarde_2,BE$280),
      INDEX(BENG1_eis_C1,BE$280) + INDEX(BENG1_eis_C2,BE$280) * (BE$34 - INDEX(BENG1_eis_C3,BE$280) ),
      INDEX(BENG1_eis_C4,BE$280)  + INDEX(BENG1_eis_C5,BE$280) * (BE$34 - INDEX(BENG1_eis_C6,BE$280) ))))</f>
        <v/>
      </c>
      <c r="BF282" s="251" t="str" cm="1">
        <f t="array" ref="BF282">IF(OR(BF$19="",BF$40="",BF$42="",BF$280=""),"",
IF(BF$34&lt;=INDEX(BENG1_eis_grenswaarde_1,BF$280),
      INDEX(BENG1_eis_Als_deeldoor_Ag_kleiner_dan_grenswaarde_1,BF$280),
IF(BF$34&lt;=INDEX(BENG1_eis_grenswaarde_2,BF$280),
      INDEX(BENG1_eis_C1,BF$280) + INDEX(BENG1_eis_C2,BF$280) * (BF$34 - INDEX(BENG1_eis_C3,BF$280) ),
      INDEX(BENG1_eis_C4,BF$280)  + INDEX(BENG1_eis_C5,BF$280) * (BF$34 - INDEX(BENG1_eis_C6,BF$280) ))))</f>
        <v/>
      </c>
      <c r="BG282" s="251" t="str" cm="1">
        <f t="array" ref="BG282">IF(OR(BG$19="",BG$40="",BG$42="",BG$280=""),"",
IF(BG$34&lt;=INDEX(BENG1_eis_grenswaarde_1,BG$280),
      INDEX(BENG1_eis_Als_deeldoor_Ag_kleiner_dan_grenswaarde_1,BG$280),
IF(BG$34&lt;=INDEX(BENG1_eis_grenswaarde_2,BG$280),
      INDEX(BENG1_eis_C1,BG$280) + INDEX(BENG1_eis_C2,BG$280) * (BG$34 - INDEX(BENG1_eis_C3,BG$280) ),
      INDEX(BENG1_eis_C4,BG$280)  + INDEX(BENG1_eis_C5,BG$280) * (BG$34 - INDEX(BENG1_eis_C6,BG$280) ))))</f>
        <v/>
      </c>
      <c r="BH282" s="255"/>
    </row>
    <row r="283" spans="1:60" x14ac:dyDescent="0.2">
      <c r="A283" s="648"/>
      <c r="B283" s="492" t="s">
        <v>335</v>
      </c>
      <c r="C283" s="656" t="s">
        <v>113</v>
      </c>
      <c r="D283" s="750"/>
      <c r="E283" s="246" t="s">
        <v>340</v>
      </c>
      <c r="F283" s="246"/>
      <c r="G283" s="246"/>
      <c r="H283" s="247" t="s">
        <v>317</v>
      </c>
      <c r="I283" s="248"/>
      <c r="J283" s="249"/>
      <c r="K283" s="90"/>
      <c r="L283" s="90"/>
      <c r="M283" s="249"/>
      <c r="N283" s="248"/>
      <c r="O283" s="251" t="str" cm="1">
        <f t="array" ref="O283">IF(O$280="","",INDEX(BENG2_eis,O$280))</f>
        <v/>
      </c>
      <c r="P283" s="251" t="str" cm="1">
        <f t="array" ref="P283">IF(P$280="","",INDEX(BENG2_eis,P$280))</f>
        <v/>
      </c>
      <c r="Q283" s="251" t="str" cm="1">
        <f t="array" ref="Q283">IF(Q$280="","",INDEX(BENG2_eis,Q$280))</f>
        <v/>
      </c>
      <c r="R283" s="251" t="str" cm="1">
        <f t="array" ref="R283">IF(R$280="","",INDEX(BENG2_eis,R$280))</f>
        <v/>
      </c>
      <c r="S283" s="251" t="str" cm="1">
        <f t="array" ref="S283">IF(S$280="","",INDEX(BENG2_eis,S$280))</f>
        <v/>
      </c>
      <c r="T283" s="251" t="str" cm="1">
        <f t="array" ref="T283">IF(T$280="","",INDEX(BENG2_eis,T$280))</f>
        <v/>
      </c>
      <c r="U283" s="251" t="str" cm="1">
        <f t="array" ref="U283">IF(U$280="","",INDEX(BENG2_eis,U$280))</f>
        <v/>
      </c>
      <c r="V283" s="251" t="str" cm="1">
        <f t="array" ref="V283">IF(V$280="","",INDEX(BENG2_eis,V$280))</f>
        <v/>
      </c>
      <c r="W283" s="251" t="str" cm="1">
        <f t="array" ref="W283">IF(W$280="","",INDEX(BENG2_eis,W$280))</f>
        <v/>
      </c>
      <c r="X283" s="122"/>
      <c r="Y283" s="249"/>
      <c r="Z283" s="248"/>
      <c r="AA283" s="251" t="str" cm="1">
        <f t="array" ref="AA283">IF(AA$280="","",INDEX(BENG2_eis,AA$280))</f>
        <v/>
      </c>
      <c r="AB283" s="251" t="str" cm="1">
        <f t="array" ref="AB283">IF(AB$280="","",INDEX(BENG2_eis,AB$280))</f>
        <v/>
      </c>
      <c r="AC283" s="251" t="str" cm="1">
        <f t="array" ref="AC283">IF(AC$280="","",INDEX(BENG2_eis,AC$280))</f>
        <v/>
      </c>
      <c r="AD283" s="251" t="str" cm="1">
        <f t="array" ref="AD283">IF(AD$280="","",INDEX(BENG2_eis,AD$280))</f>
        <v/>
      </c>
      <c r="AE283" s="251" t="str" cm="1">
        <f t="array" ref="AE283">IF(AE$280="","",INDEX(BENG2_eis,AE$280))</f>
        <v/>
      </c>
      <c r="AF283" s="251" t="str" cm="1">
        <f t="array" ref="AF283">IF(AF$280="","",INDEX(BENG2_eis,AF$280))</f>
        <v/>
      </c>
      <c r="AG283" s="251" t="str" cm="1">
        <f t="array" ref="AG283">IF(AG$280="","",INDEX(BENG2_eis,AG$280))</f>
        <v/>
      </c>
      <c r="AH283" s="251" t="str" cm="1">
        <f t="array" ref="AH283">IF(AH$280="","",INDEX(BENG2_eis,AH$280))</f>
        <v/>
      </c>
      <c r="AI283" s="251" t="str" cm="1">
        <f t="array" ref="AI283">IF(AI$280="","",INDEX(BENG2_eis,AI$280))</f>
        <v/>
      </c>
      <c r="AJ283" s="122"/>
      <c r="AK283" s="249"/>
      <c r="AL283" s="248"/>
      <c r="AM283" s="251" t="str" cm="1">
        <f t="array" ref="AM283">IF(AM$280="","",INDEX(BENG2_eis,AM$280))</f>
        <v/>
      </c>
      <c r="AN283" s="251" t="str" cm="1">
        <f t="array" ref="AN283">IF(AN$280="","",INDEX(BENG2_eis,AN$280))</f>
        <v/>
      </c>
      <c r="AO283" s="251" t="str" cm="1">
        <f t="array" ref="AO283">IF(AO$280="","",INDEX(BENG2_eis,AO$280))</f>
        <v/>
      </c>
      <c r="AP283" s="251" t="str" cm="1">
        <f t="array" ref="AP283">IF(AP$280="","",INDEX(BENG2_eis,AP$280))</f>
        <v/>
      </c>
      <c r="AQ283" s="251" t="str" cm="1">
        <f t="array" ref="AQ283">IF(AQ$280="","",INDEX(BENG2_eis,AQ$280))</f>
        <v/>
      </c>
      <c r="AR283" s="251" t="str" cm="1">
        <f t="array" ref="AR283">IF(AR$280="","",INDEX(BENG2_eis,AR$280))</f>
        <v/>
      </c>
      <c r="AS283" s="251" t="str" cm="1">
        <f t="array" ref="AS283">IF(AS$280="","",INDEX(BENG2_eis,AS$280))</f>
        <v/>
      </c>
      <c r="AT283" s="251" t="str" cm="1">
        <f t="array" ref="AT283">IF(AT$280="","",INDEX(BENG2_eis,AT$280))</f>
        <v/>
      </c>
      <c r="AU283" s="251" t="str" cm="1">
        <f t="array" ref="AU283">IF(AU$280="","",INDEX(BENG2_eis,AU$280))</f>
        <v/>
      </c>
      <c r="AV283" s="122"/>
      <c r="AW283" s="249"/>
      <c r="AX283" s="248"/>
      <c r="AY283" s="251" t="str" cm="1">
        <f t="array" ref="AY283">IF(AY$280="","",INDEX(BENG2_eis,AY$280))</f>
        <v/>
      </c>
      <c r="AZ283" s="251" t="str" cm="1">
        <f t="array" ref="AZ283">IF(AZ$280="","",INDEX(BENG2_eis,AZ$280))</f>
        <v/>
      </c>
      <c r="BA283" s="251" t="str" cm="1">
        <f t="array" ref="BA283">IF(BA$280="","",INDEX(BENG2_eis,BA$280))</f>
        <v/>
      </c>
      <c r="BB283" s="251" t="str" cm="1">
        <f t="array" ref="BB283">IF(BB$280="","",INDEX(BENG2_eis,BB$280))</f>
        <v/>
      </c>
      <c r="BC283" s="251" t="str" cm="1">
        <f t="array" ref="BC283">IF(BC$280="","",INDEX(BENG2_eis,BC$280))</f>
        <v/>
      </c>
      <c r="BD283" s="251" t="str" cm="1">
        <f t="array" ref="BD283">IF(BD$280="","",INDEX(BENG2_eis,BD$280))</f>
        <v/>
      </c>
      <c r="BE283" s="251" t="str" cm="1">
        <f t="array" ref="BE283">IF(BE$280="","",INDEX(BENG2_eis,BE$280))</f>
        <v/>
      </c>
      <c r="BF283" s="251" t="str" cm="1">
        <f t="array" ref="BF283">IF(BF$280="","",INDEX(BENG2_eis,BF$280))</f>
        <v/>
      </c>
      <c r="BG283" s="251" t="str" cm="1">
        <f t="array" ref="BG283">IF(BG$280="","",INDEX(BENG2_eis,BG$280))</f>
        <v/>
      </c>
      <c r="BH283" s="255"/>
    </row>
    <row r="284" spans="1:60" x14ac:dyDescent="0.2">
      <c r="A284" s="648"/>
      <c r="B284" s="492" t="s">
        <v>335</v>
      </c>
      <c r="C284" s="656" t="s">
        <v>113</v>
      </c>
      <c r="D284" s="750"/>
      <c r="E284" s="246" t="s">
        <v>341</v>
      </c>
      <c r="F284" s="246"/>
      <c r="G284" s="246"/>
      <c r="H284" s="247" t="s">
        <v>150</v>
      </c>
      <c r="I284" s="248"/>
      <c r="J284" s="249"/>
      <c r="K284" s="90"/>
      <c r="L284" s="90"/>
      <c r="M284" s="249"/>
      <c r="N284" s="248"/>
      <c r="O284" s="252" t="str" cm="1">
        <f t="array" ref="O284">IF(O$280="","",INDEX(BENG3_eis,O$280))</f>
        <v/>
      </c>
      <c r="P284" s="252" t="str" cm="1">
        <f t="array" ref="P284">IF(P$280="","",INDEX(BENG3_eis,P$280))</f>
        <v/>
      </c>
      <c r="Q284" s="252" t="str" cm="1">
        <f t="array" ref="Q284">IF(Q$280="","",INDEX(BENG3_eis,Q$280))</f>
        <v/>
      </c>
      <c r="R284" s="252" t="str" cm="1">
        <f t="array" ref="R284">IF(R$280="","",INDEX(BENG3_eis,R$280))</f>
        <v/>
      </c>
      <c r="S284" s="252" t="str" cm="1">
        <f t="array" ref="S284">IF(S$280="","",INDEX(BENG3_eis,S$280))</f>
        <v/>
      </c>
      <c r="T284" s="252" t="str" cm="1">
        <f t="array" ref="T284">IF(T$280="","",INDEX(BENG3_eis,T$280))</f>
        <v/>
      </c>
      <c r="U284" s="252" t="str" cm="1">
        <f t="array" ref="U284">IF(U$280="","",INDEX(BENG3_eis,U$280))</f>
        <v/>
      </c>
      <c r="V284" s="252" t="str" cm="1">
        <f t="array" ref="V284">IF(V$280="","",INDEX(BENG3_eis,V$280))</f>
        <v/>
      </c>
      <c r="W284" s="252" t="str" cm="1">
        <f t="array" ref="W284">IF(W$280="","",INDEX(BENG3_eis,W$280))</f>
        <v/>
      </c>
      <c r="X284" s="122"/>
      <c r="Y284" s="249"/>
      <c r="Z284" s="248"/>
      <c r="AA284" s="252" t="str" cm="1">
        <f t="array" ref="AA284">IF(AA$280="","",INDEX(BENG3_eis,AA$280))</f>
        <v/>
      </c>
      <c r="AB284" s="252" t="str" cm="1">
        <f t="array" ref="AB284">IF(AB$280="","",INDEX(BENG3_eis,AB$280))</f>
        <v/>
      </c>
      <c r="AC284" s="252" t="str" cm="1">
        <f t="array" ref="AC284">IF(AC$280="","",INDEX(BENG3_eis,AC$280))</f>
        <v/>
      </c>
      <c r="AD284" s="252" t="str" cm="1">
        <f t="array" ref="AD284">IF(AD$280="","",INDEX(BENG3_eis,AD$280))</f>
        <v/>
      </c>
      <c r="AE284" s="252" t="str" cm="1">
        <f t="array" ref="AE284">IF(AE$280="","",INDEX(BENG3_eis,AE$280))</f>
        <v/>
      </c>
      <c r="AF284" s="252" t="str" cm="1">
        <f t="array" ref="AF284">IF(AF$280="","",INDEX(BENG3_eis,AF$280))</f>
        <v/>
      </c>
      <c r="AG284" s="252" t="str" cm="1">
        <f t="array" ref="AG284">IF(AG$280="","",INDEX(BENG3_eis,AG$280))</f>
        <v/>
      </c>
      <c r="AH284" s="252" t="str" cm="1">
        <f t="array" ref="AH284">IF(AH$280="","",INDEX(BENG3_eis,AH$280))</f>
        <v/>
      </c>
      <c r="AI284" s="252" t="str" cm="1">
        <f t="array" ref="AI284">IF(AI$280="","",INDEX(BENG3_eis,AI$280))</f>
        <v/>
      </c>
      <c r="AJ284" s="122"/>
      <c r="AK284" s="249"/>
      <c r="AL284" s="248"/>
      <c r="AM284" s="252" t="str" cm="1">
        <f t="array" ref="AM284">IF(AM$280="","",INDEX(BENG3_eis,AM$280))</f>
        <v/>
      </c>
      <c r="AN284" s="252" t="str" cm="1">
        <f t="array" ref="AN284">IF(AN$280="","",INDEX(BENG3_eis,AN$280))</f>
        <v/>
      </c>
      <c r="AO284" s="252" t="str" cm="1">
        <f t="array" ref="AO284">IF(AO$280="","",INDEX(BENG3_eis,AO$280))</f>
        <v/>
      </c>
      <c r="AP284" s="252" t="str" cm="1">
        <f t="array" ref="AP284">IF(AP$280="","",INDEX(BENG3_eis,AP$280))</f>
        <v/>
      </c>
      <c r="AQ284" s="252" t="str" cm="1">
        <f t="array" ref="AQ284">IF(AQ$280="","",INDEX(BENG3_eis,AQ$280))</f>
        <v/>
      </c>
      <c r="AR284" s="252" t="str" cm="1">
        <f t="array" ref="AR284">IF(AR$280="","",INDEX(BENG3_eis,AR$280))</f>
        <v/>
      </c>
      <c r="AS284" s="252" t="str" cm="1">
        <f t="array" ref="AS284">IF(AS$280="","",INDEX(BENG3_eis,AS$280))</f>
        <v/>
      </c>
      <c r="AT284" s="252" t="str" cm="1">
        <f t="array" ref="AT284">IF(AT$280="","",INDEX(BENG3_eis,AT$280))</f>
        <v/>
      </c>
      <c r="AU284" s="252" t="str" cm="1">
        <f t="array" ref="AU284">IF(AU$280="","",INDEX(BENG3_eis,AU$280))</f>
        <v/>
      </c>
      <c r="AV284" s="122"/>
      <c r="AW284" s="249"/>
      <c r="AX284" s="248"/>
      <c r="AY284" s="252" t="str" cm="1">
        <f t="array" ref="AY284">IF(AY$280="","",INDEX(BENG3_eis,AY$280))</f>
        <v/>
      </c>
      <c r="AZ284" s="252" t="str" cm="1">
        <f t="array" ref="AZ284">IF(AZ$280="","",INDEX(BENG3_eis,AZ$280))</f>
        <v/>
      </c>
      <c r="BA284" s="252" t="str" cm="1">
        <f t="array" ref="BA284">IF(BA$280="","",INDEX(BENG3_eis,BA$280))</f>
        <v/>
      </c>
      <c r="BB284" s="252" t="str" cm="1">
        <f t="array" ref="BB284">IF(BB$280="","",INDEX(BENG3_eis,BB$280))</f>
        <v/>
      </c>
      <c r="BC284" s="252" t="str" cm="1">
        <f t="array" ref="BC284">IF(BC$280="","",INDEX(BENG3_eis,BC$280))</f>
        <v/>
      </c>
      <c r="BD284" s="252" t="str" cm="1">
        <f t="array" ref="BD284">IF(BD$280="","",INDEX(BENG3_eis,BD$280))</f>
        <v/>
      </c>
      <c r="BE284" s="252" t="str" cm="1">
        <f t="array" ref="BE284">IF(BE$280="","",INDEX(BENG3_eis,BE$280))</f>
        <v/>
      </c>
      <c r="BF284" s="252" t="str" cm="1">
        <f t="array" ref="BF284">IF(BF$280="","",INDEX(BENG3_eis,BF$280))</f>
        <v/>
      </c>
      <c r="BG284" s="252" t="str" cm="1">
        <f t="array" ref="BG284">IF(BG$280="","",INDEX(BENG3_eis,BG$280))</f>
        <v/>
      </c>
      <c r="BH284" s="255"/>
    </row>
    <row r="285" spans="1:60" ht="18.75" x14ac:dyDescent="0.2">
      <c r="A285" s="648"/>
      <c r="B285" s="492" t="s">
        <v>335</v>
      </c>
      <c r="C285" s="739" t="s">
        <v>104</v>
      </c>
      <c r="D285" s="749" t="s">
        <v>50</v>
      </c>
      <c r="E285" s="236" t="s">
        <v>342</v>
      </c>
      <c r="F285" s="236"/>
      <c r="G285" s="236"/>
      <c r="H285" s="89"/>
      <c r="I285" s="236"/>
      <c r="J285" s="236"/>
      <c r="K285" s="236"/>
      <c r="L285" s="236"/>
      <c r="M285" s="236"/>
      <c r="N285" s="236"/>
      <c r="O285" s="236"/>
      <c r="P285" s="236"/>
      <c r="Q285" s="236"/>
      <c r="R285" s="236"/>
      <c r="S285" s="236"/>
      <c r="T285" s="236"/>
      <c r="U285" s="236"/>
      <c r="V285" s="236"/>
      <c r="W285" s="236"/>
      <c r="X285" s="236"/>
      <c r="Y285" s="236"/>
      <c r="Z285" s="236"/>
      <c r="AA285" s="236"/>
      <c r="AB285" s="236"/>
      <c r="AC285" s="236"/>
      <c r="AD285" s="236"/>
      <c r="AE285" s="236"/>
      <c r="AF285" s="236"/>
      <c r="AG285" s="236"/>
      <c r="AH285" s="236"/>
      <c r="AI285" s="236"/>
      <c r="AJ285" s="236"/>
      <c r="AK285" s="236"/>
      <c r="AL285" s="236"/>
      <c r="AM285" s="236"/>
      <c r="AN285" s="236"/>
      <c r="AO285" s="236"/>
      <c r="AP285" s="236"/>
      <c r="AQ285" s="236"/>
      <c r="AR285" s="236"/>
      <c r="AS285" s="236"/>
      <c r="AT285" s="236"/>
      <c r="AU285" s="236"/>
      <c r="AV285" s="236"/>
      <c r="AW285" s="236"/>
      <c r="AX285" s="236"/>
      <c r="AY285" s="236"/>
      <c r="AZ285" s="236"/>
      <c r="BA285" s="236"/>
      <c r="BB285" s="236"/>
      <c r="BC285" s="236"/>
      <c r="BD285" s="236"/>
      <c r="BE285" s="236"/>
      <c r="BF285" s="236"/>
      <c r="BG285" s="236"/>
      <c r="BH285" s="38"/>
    </row>
    <row r="286" spans="1:60" x14ac:dyDescent="0.2">
      <c r="A286" s="648"/>
      <c r="B286" s="492" t="s">
        <v>335</v>
      </c>
      <c r="C286" s="656" t="s">
        <v>113</v>
      </c>
      <c r="D286" s="749" t="s">
        <v>50</v>
      </c>
      <c r="E286" s="246" t="s">
        <v>343</v>
      </c>
      <c r="F286" s="246"/>
      <c r="G286" s="246"/>
      <c r="H286" s="247" t="s">
        <v>169</v>
      </c>
      <c r="I286" s="248"/>
      <c r="J286" s="249"/>
      <c r="K286" s="90"/>
      <c r="L286" s="90"/>
      <c r="M286" s="249"/>
      <c r="N286" s="248"/>
      <c r="O286" s="302" t="str" cm="1">
        <f t="array" ref="O286">IF(OR(O$19="",O$24=0,O$31=0),"",
      INDEX(warmtebehoefte_plus_koudebehoefte_ventsysC1_EP1_snijpunt,O$280)
   + INDEX(warmtebehoefte_plus_koudebehoefte_ventsysC1_EP1_C,O$280)*O$52*O$34^INDEX(warmtebehoefte_plus_koudebehoefte_ventsysC1_EP1_n,O$280))</f>
        <v/>
      </c>
      <c r="P286" s="302" t="str" cm="1">
        <f t="array" ref="P286">IF(OR(P$19="",P$24=0,P$31=0),"",
      INDEX(warmtebehoefte_plus_koudebehoefte_ventsysC1_EP1_snijpunt,P$280)
   + INDEX(warmtebehoefte_plus_koudebehoefte_ventsysC1_EP1_C,P$280)*P$52*P$34^INDEX(warmtebehoefte_plus_koudebehoefte_ventsysC1_EP1_n,P$280))</f>
        <v/>
      </c>
      <c r="Q286" s="302" t="str" cm="1">
        <f t="array" ref="Q286">IF(OR(Q$19="",Q$24=0,Q$31=0),"",
      INDEX(warmtebehoefte_plus_koudebehoefte_ventsysC1_EP1_snijpunt,Q$280)
   + INDEX(warmtebehoefte_plus_koudebehoefte_ventsysC1_EP1_C,Q$280)*Q$52*Q$34^INDEX(warmtebehoefte_plus_koudebehoefte_ventsysC1_EP1_n,Q$280))</f>
        <v/>
      </c>
      <c r="R286" s="302" t="str" cm="1">
        <f t="array" ref="R286">IF(OR(R$19="",R$24=0,R$31=0),"",
      INDEX(warmtebehoefte_plus_koudebehoefte_ventsysC1_EP1_snijpunt,R$280)
   + INDEX(warmtebehoefte_plus_koudebehoefte_ventsysC1_EP1_C,R$280)*R$52*R$34^INDEX(warmtebehoefte_plus_koudebehoefte_ventsysC1_EP1_n,R$280))</f>
        <v/>
      </c>
      <c r="S286" s="302" t="str" cm="1">
        <f t="array" ref="S286">IF(OR(S$19="",S$24=0,S$31=0),"",
      INDEX(warmtebehoefte_plus_koudebehoefte_ventsysC1_EP1_snijpunt,S$280)
   + INDEX(warmtebehoefte_plus_koudebehoefte_ventsysC1_EP1_C,S$280)*S$52*S$34^INDEX(warmtebehoefte_plus_koudebehoefte_ventsysC1_EP1_n,S$280))</f>
        <v/>
      </c>
      <c r="T286" s="302" t="str" cm="1">
        <f t="array" ref="T286">IF(OR(T$19="",T$24=0,T$31=0),"",
      INDEX(warmtebehoefte_plus_koudebehoefte_ventsysC1_EP1_snijpunt,T$280)
   + INDEX(warmtebehoefte_plus_koudebehoefte_ventsysC1_EP1_C,T$280)*T$52*T$34^INDEX(warmtebehoefte_plus_koudebehoefte_ventsysC1_EP1_n,T$280))</f>
        <v/>
      </c>
      <c r="U286" s="302" t="str" cm="1">
        <f t="array" ref="U286">IF(OR(U$19="",U$24=0,U$31=0),"",
      INDEX(warmtebehoefte_plus_koudebehoefte_ventsysC1_EP1_snijpunt,U$280)
   + INDEX(warmtebehoefte_plus_koudebehoefte_ventsysC1_EP1_C,U$280)*U$52*U$34^INDEX(warmtebehoefte_plus_koudebehoefte_ventsysC1_EP1_n,U$280))</f>
        <v/>
      </c>
      <c r="V286" s="302" t="str" cm="1">
        <f t="array" ref="V286">IF(OR(V$19="",V$24=0,V$31=0),"",
      INDEX(warmtebehoefte_plus_koudebehoefte_ventsysC1_EP1_snijpunt,V$280)
   + INDEX(warmtebehoefte_plus_koudebehoefte_ventsysC1_EP1_C,V$280)*V$52*V$34^INDEX(warmtebehoefte_plus_koudebehoefte_ventsysC1_EP1_n,V$280))</f>
        <v/>
      </c>
      <c r="W286" s="302" t="str" cm="1">
        <f t="array" ref="W286">IF(OR(W$19="",W$24=0,W$31=0),"",
      INDEX(warmtebehoefte_plus_koudebehoefte_ventsysC1_EP1_snijpunt,W$280)
   + INDEX(warmtebehoefte_plus_koudebehoefte_ventsysC1_EP1_C,W$280)*W$52*W$34^INDEX(warmtebehoefte_plus_koudebehoefte_ventsysC1_EP1_n,W$280))</f>
        <v/>
      </c>
      <c r="X286" s="122"/>
      <c r="Y286" s="249"/>
      <c r="Z286" s="248"/>
      <c r="AA286" s="302" t="str" cm="1">
        <f t="array" ref="AA286">IF(OR(AA$19="",AA$24=0,AA$31=0),"",
      INDEX(warmtebehoefte_plus_koudebehoefte_ventsysC1_EP1_snijpunt,AA$280)
   + INDEX(warmtebehoefte_plus_koudebehoefte_ventsysC1_EP1_C,AA$280)*AA$52*AA$34^INDEX(warmtebehoefte_plus_koudebehoefte_ventsysC1_EP1_n,AA$280))</f>
        <v/>
      </c>
      <c r="AB286" s="302" t="str" cm="1">
        <f t="array" ref="AB286">IF(OR(AB$19="",AB$24=0,AB$31=0),"",
      INDEX(warmtebehoefte_plus_koudebehoefte_ventsysC1_EP1_snijpunt,AB$280)
   + INDEX(warmtebehoefte_plus_koudebehoefte_ventsysC1_EP1_C,AB$280)*AB$52*AB$34^INDEX(warmtebehoefte_plus_koudebehoefte_ventsysC1_EP1_n,AB$280))</f>
        <v/>
      </c>
      <c r="AC286" s="302" t="str" cm="1">
        <f t="array" ref="AC286">IF(OR(AC$19="",AC$24=0,AC$31=0),"",
      INDEX(warmtebehoefte_plus_koudebehoefte_ventsysC1_EP1_snijpunt,AC$280)
   + INDEX(warmtebehoefte_plus_koudebehoefte_ventsysC1_EP1_C,AC$280)*AC$52*AC$34^INDEX(warmtebehoefte_plus_koudebehoefte_ventsysC1_EP1_n,AC$280))</f>
        <v/>
      </c>
      <c r="AD286" s="302" t="str" cm="1">
        <f t="array" ref="AD286">IF(OR(AD$19="",AD$24=0,AD$31=0),"",
      INDEX(warmtebehoefte_plus_koudebehoefte_ventsysC1_EP1_snijpunt,AD$280)
   + INDEX(warmtebehoefte_plus_koudebehoefte_ventsysC1_EP1_C,AD$280)*AD$52*AD$34^INDEX(warmtebehoefte_plus_koudebehoefte_ventsysC1_EP1_n,AD$280))</f>
        <v/>
      </c>
      <c r="AE286" s="302" t="str" cm="1">
        <f t="array" ref="AE286">IF(OR(AE$19="",AE$24=0,AE$31=0),"",
      INDEX(warmtebehoefte_plus_koudebehoefte_ventsysC1_EP1_snijpunt,AE$280)
   + INDEX(warmtebehoefte_plus_koudebehoefte_ventsysC1_EP1_C,AE$280)*AE$52*AE$34^INDEX(warmtebehoefte_plus_koudebehoefte_ventsysC1_EP1_n,AE$280))</f>
        <v/>
      </c>
      <c r="AF286" s="302" t="str" cm="1">
        <f t="array" ref="AF286">IF(OR(AF$19="",AF$24=0,AF$31=0),"",
      INDEX(warmtebehoefte_plus_koudebehoefte_ventsysC1_EP1_snijpunt,AF$280)
   + INDEX(warmtebehoefte_plus_koudebehoefte_ventsysC1_EP1_C,AF$280)*AF$52*AF$34^INDEX(warmtebehoefte_plus_koudebehoefte_ventsysC1_EP1_n,AF$280))</f>
        <v/>
      </c>
      <c r="AG286" s="302" t="str" cm="1">
        <f t="array" ref="AG286">IF(OR(AG$19="",AG$24=0,AG$31=0),"",
      INDEX(warmtebehoefte_plus_koudebehoefte_ventsysC1_EP1_snijpunt,AG$280)
   + INDEX(warmtebehoefte_plus_koudebehoefte_ventsysC1_EP1_C,AG$280)*AG$52*AG$34^INDEX(warmtebehoefte_plus_koudebehoefte_ventsysC1_EP1_n,AG$280))</f>
        <v/>
      </c>
      <c r="AH286" s="302" t="str" cm="1">
        <f t="array" ref="AH286">IF(OR(AH$19="",AH$24=0,AH$31=0),"",
      INDEX(warmtebehoefte_plus_koudebehoefte_ventsysC1_EP1_snijpunt,AH$280)
   + INDEX(warmtebehoefte_plus_koudebehoefte_ventsysC1_EP1_C,AH$280)*AH$52*AH$34^INDEX(warmtebehoefte_plus_koudebehoefte_ventsysC1_EP1_n,AH$280))</f>
        <v/>
      </c>
      <c r="AI286" s="302" t="str" cm="1">
        <f t="array" ref="AI286">IF(OR(AI$19="",AI$24=0,AI$31=0),"",
      INDEX(warmtebehoefte_plus_koudebehoefte_ventsysC1_EP1_snijpunt,AI$280)
   + INDEX(warmtebehoefte_plus_koudebehoefte_ventsysC1_EP1_C,AI$280)*AI$52*AI$34^INDEX(warmtebehoefte_plus_koudebehoefte_ventsysC1_EP1_n,AI$280))</f>
        <v/>
      </c>
      <c r="AJ286" s="122"/>
      <c r="AK286" s="249"/>
      <c r="AL286" s="248"/>
      <c r="AM286" s="302" t="str" cm="1">
        <f t="array" ref="AM286">IF(OR(AM$19="",AM$24=0,AM$31=0),"",
      INDEX(warmtebehoefte_plus_koudebehoefte_ventsysC1_EP1_snijpunt,AM$280)
   + INDEX(warmtebehoefte_plus_koudebehoefte_ventsysC1_EP1_C,AM$280)*AM$52*AM$34^INDEX(warmtebehoefte_plus_koudebehoefte_ventsysC1_EP1_n,AM$280))</f>
        <v/>
      </c>
      <c r="AN286" s="302" t="str" cm="1">
        <f t="array" ref="AN286">IF(OR(AN$19="",AN$24=0,AN$31=0),"",
      INDEX(warmtebehoefte_plus_koudebehoefte_ventsysC1_EP1_snijpunt,AN$280)
   + INDEX(warmtebehoefte_plus_koudebehoefte_ventsysC1_EP1_C,AN$280)*AN$52*AN$34^INDEX(warmtebehoefte_plus_koudebehoefte_ventsysC1_EP1_n,AN$280))</f>
        <v/>
      </c>
      <c r="AO286" s="302" t="str" cm="1">
        <f t="array" ref="AO286">IF(OR(AO$19="",AO$24=0,AO$31=0),"",
      INDEX(warmtebehoefte_plus_koudebehoefte_ventsysC1_EP1_snijpunt,AO$280)
   + INDEX(warmtebehoefte_plus_koudebehoefte_ventsysC1_EP1_C,AO$280)*AO$52*AO$34^INDEX(warmtebehoefte_plus_koudebehoefte_ventsysC1_EP1_n,AO$280))</f>
        <v/>
      </c>
      <c r="AP286" s="302" t="str" cm="1">
        <f t="array" ref="AP286">IF(OR(AP$19="",AP$24=0,AP$31=0),"",
      INDEX(warmtebehoefte_plus_koudebehoefte_ventsysC1_EP1_snijpunt,AP$280)
   + INDEX(warmtebehoefte_plus_koudebehoefte_ventsysC1_EP1_C,AP$280)*AP$52*AP$34^INDEX(warmtebehoefte_plus_koudebehoefte_ventsysC1_EP1_n,AP$280))</f>
        <v/>
      </c>
      <c r="AQ286" s="302" t="str" cm="1">
        <f t="array" ref="AQ286">IF(OR(AQ$19="",AQ$24=0,AQ$31=0),"",
      INDEX(warmtebehoefte_plus_koudebehoefte_ventsysC1_EP1_snijpunt,AQ$280)
   + INDEX(warmtebehoefte_plus_koudebehoefte_ventsysC1_EP1_C,AQ$280)*AQ$52*AQ$34^INDEX(warmtebehoefte_plus_koudebehoefte_ventsysC1_EP1_n,AQ$280))</f>
        <v/>
      </c>
      <c r="AR286" s="302" t="str" cm="1">
        <f t="array" ref="AR286">IF(OR(AR$19="",AR$24=0,AR$31=0),"",
      INDEX(warmtebehoefte_plus_koudebehoefte_ventsysC1_EP1_snijpunt,AR$280)
   + INDEX(warmtebehoefte_plus_koudebehoefte_ventsysC1_EP1_C,AR$280)*AR$52*AR$34^INDEX(warmtebehoefte_plus_koudebehoefte_ventsysC1_EP1_n,AR$280))</f>
        <v/>
      </c>
      <c r="AS286" s="302" t="str" cm="1">
        <f t="array" ref="AS286">IF(OR(AS$19="",AS$24=0,AS$31=0),"",
      INDEX(warmtebehoefte_plus_koudebehoefte_ventsysC1_EP1_snijpunt,AS$280)
   + INDEX(warmtebehoefte_plus_koudebehoefte_ventsysC1_EP1_C,AS$280)*AS$52*AS$34^INDEX(warmtebehoefte_plus_koudebehoefte_ventsysC1_EP1_n,AS$280))</f>
        <v/>
      </c>
      <c r="AT286" s="302" t="str" cm="1">
        <f t="array" ref="AT286">IF(OR(AT$19="",AT$24=0,AT$31=0),"",
      INDEX(warmtebehoefte_plus_koudebehoefte_ventsysC1_EP1_snijpunt,AT$280)
   + INDEX(warmtebehoefte_plus_koudebehoefte_ventsysC1_EP1_C,AT$280)*AT$52*AT$34^INDEX(warmtebehoefte_plus_koudebehoefte_ventsysC1_EP1_n,AT$280))</f>
        <v/>
      </c>
      <c r="AU286" s="302" t="str" cm="1">
        <f t="array" ref="AU286">IF(OR(AU$19="",AU$24=0,AU$31=0),"",
      INDEX(warmtebehoefte_plus_koudebehoefte_ventsysC1_EP1_snijpunt,AU$280)
   + INDEX(warmtebehoefte_plus_koudebehoefte_ventsysC1_EP1_C,AU$280)*AU$52*AU$34^INDEX(warmtebehoefte_plus_koudebehoefte_ventsysC1_EP1_n,AU$280))</f>
        <v/>
      </c>
      <c r="AV286" s="122"/>
      <c r="AW286" s="249"/>
      <c r="AX286" s="248"/>
      <c r="AY286" s="302" t="str" cm="1">
        <f t="array" ref="AY286">IF(OR(AY$19="",AY$24=0,AY$31=0),"",
      INDEX(warmtebehoefte_plus_koudebehoefte_ventsysC1_EP1_snijpunt,AY$280)
   + INDEX(warmtebehoefte_plus_koudebehoefte_ventsysC1_EP1_C,AY$280)*AY$52*AY$34^INDEX(warmtebehoefte_plus_koudebehoefte_ventsysC1_EP1_n,AY$280))</f>
        <v/>
      </c>
      <c r="AZ286" s="302" t="str" cm="1">
        <f t="array" ref="AZ286">IF(OR(AZ$19="",AZ$24=0,AZ$31=0),"",
      INDEX(warmtebehoefte_plus_koudebehoefte_ventsysC1_EP1_snijpunt,AZ$280)
   + INDEX(warmtebehoefte_plus_koudebehoefte_ventsysC1_EP1_C,AZ$280)*AZ$52*AZ$34^INDEX(warmtebehoefte_plus_koudebehoefte_ventsysC1_EP1_n,AZ$280))</f>
        <v/>
      </c>
      <c r="BA286" s="302" t="str" cm="1">
        <f t="array" ref="BA286">IF(OR(BA$19="",BA$24=0,BA$31=0),"",
      INDEX(warmtebehoefte_plus_koudebehoefte_ventsysC1_EP1_snijpunt,BA$280)
   + INDEX(warmtebehoefte_plus_koudebehoefte_ventsysC1_EP1_C,BA$280)*BA$52*BA$34^INDEX(warmtebehoefte_plus_koudebehoefte_ventsysC1_EP1_n,BA$280))</f>
        <v/>
      </c>
      <c r="BB286" s="302" t="str" cm="1">
        <f t="array" ref="BB286">IF(OR(BB$19="",BB$24=0,BB$31=0),"",
      INDEX(warmtebehoefte_plus_koudebehoefte_ventsysC1_EP1_snijpunt,BB$280)
   + INDEX(warmtebehoefte_plus_koudebehoefte_ventsysC1_EP1_C,BB$280)*BB$52*BB$34^INDEX(warmtebehoefte_plus_koudebehoefte_ventsysC1_EP1_n,BB$280))</f>
        <v/>
      </c>
      <c r="BC286" s="302" t="str" cm="1">
        <f t="array" ref="BC286">IF(OR(BC$19="",BC$24=0,BC$31=0),"",
      INDEX(warmtebehoefte_plus_koudebehoefte_ventsysC1_EP1_snijpunt,BC$280)
   + INDEX(warmtebehoefte_plus_koudebehoefte_ventsysC1_EP1_C,BC$280)*BC$52*BC$34^INDEX(warmtebehoefte_plus_koudebehoefte_ventsysC1_EP1_n,BC$280))</f>
        <v/>
      </c>
      <c r="BD286" s="302" t="str" cm="1">
        <f t="array" ref="BD286">IF(OR(BD$19="",BD$24=0,BD$31=0),"",
      INDEX(warmtebehoefte_plus_koudebehoefte_ventsysC1_EP1_snijpunt,BD$280)
   + INDEX(warmtebehoefte_plus_koudebehoefte_ventsysC1_EP1_C,BD$280)*BD$52*BD$34^INDEX(warmtebehoefte_plus_koudebehoefte_ventsysC1_EP1_n,BD$280))</f>
        <v/>
      </c>
      <c r="BE286" s="302" t="str" cm="1">
        <f t="array" ref="BE286">IF(OR(BE$19="",BE$24=0,BE$31=0),"",
      INDEX(warmtebehoefte_plus_koudebehoefte_ventsysC1_EP1_snijpunt,BE$280)
   + INDEX(warmtebehoefte_plus_koudebehoefte_ventsysC1_EP1_C,BE$280)*BE$52*BE$34^INDEX(warmtebehoefte_plus_koudebehoefte_ventsysC1_EP1_n,BE$280))</f>
        <v/>
      </c>
      <c r="BF286" s="302" t="str" cm="1">
        <f t="array" ref="BF286">IF(OR(BF$19="",BF$24=0,BF$31=0),"",
      INDEX(warmtebehoefte_plus_koudebehoefte_ventsysC1_EP1_snijpunt,BF$280)
   + INDEX(warmtebehoefte_plus_koudebehoefte_ventsysC1_EP1_C,BF$280)*BF$52*BF$34^INDEX(warmtebehoefte_plus_koudebehoefte_ventsysC1_EP1_n,BF$280))</f>
        <v/>
      </c>
      <c r="BG286" s="302" t="str" cm="1">
        <f t="array" ref="BG286">IF(OR(BG$19="",BG$24=0,BG$31=0),"",
      INDEX(warmtebehoefte_plus_koudebehoefte_ventsysC1_EP1_snijpunt,BG$280)
   + INDEX(warmtebehoefte_plus_koudebehoefte_ventsysC1_EP1_C,BG$280)*BG$52*BG$34^INDEX(warmtebehoefte_plus_koudebehoefte_ventsysC1_EP1_n,BG$280))</f>
        <v/>
      </c>
      <c r="BH286" s="255"/>
    </row>
    <row r="287" spans="1:60" x14ac:dyDescent="0.2">
      <c r="A287" s="648"/>
      <c r="B287" s="492" t="s">
        <v>335</v>
      </c>
      <c r="C287" s="656" t="s">
        <v>113</v>
      </c>
      <c r="D287" s="749" t="s">
        <v>50</v>
      </c>
      <c r="E287" s="246" t="s">
        <v>344</v>
      </c>
      <c r="F287" s="246"/>
      <c r="G287" s="246"/>
      <c r="H287" s="247" t="s">
        <v>317</v>
      </c>
      <c r="I287" s="248"/>
      <c r="J287" s="249"/>
      <c r="K287" s="90"/>
      <c r="L287" s="90"/>
      <c r="M287" s="249"/>
      <c r="N287" s="248"/>
      <c r="O287" s="302" t="str">
        <f t="shared" ref="O287:W287" si="290">IF(OR(O$19="",O$24=0,O$31=0),"",ROUNDUP(O$255-O$246-O$247-O$248-IF(OR(O$21=woning,O$21=woongebouw),O244,0),2))</f>
        <v/>
      </c>
      <c r="P287" s="302" t="str">
        <f t="shared" si="290"/>
        <v/>
      </c>
      <c r="Q287" s="302" t="str">
        <f t="shared" si="290"/>
        <v/>
      </c>
      <c r="R287" s="302" t="str">
        <f t="shared" si="290"/>
        <v/>
      </c>
      <c r="S287" s="302" t="str">
        <f t="shared" si="290"/>
        <v/>
      </c>
      <c r="T287" s="302" t="str">
        <f t="shared" si="290"/>
        <v/>
      </c>
      <c r="U287" s="302" t="str">
        <f t="shared" si="290"/>
        <v/>
      </c>
      <c r="V287" s="302" t="str">
        <f t="shared" si="290"/>
        <v/>
      </c>
      <c r="W287" s="302" t="str">
        <f t="shared" si="290"/>
        <v/>
      </c>
      <c r="X287" s="122"/>
      <c r="Y287" s="249"/>
      <c r="Z287" s="248"/>
      <c r="AA287" s="302" t="str">
        <f t="shared" ref="AA287:AI287" si="291">IF(OR(AA$19="",AA$24=0,AA$31=0),"",ROUNDUP(AA$255-AA$246-AA$247-AA$248-IF(OR(AA$21=woning,AA$21=woongebouw),AA244,0),2))</f>
        <v/>
      </c>
      <c r="AB287" s="302" t="str">
        <f t="shared" si="291"/>
        <v/>
      </c>
      <c r="AC287" s="302" t="str">
        <f t="shared" si="291"/>
        <v/>
      </c>
      <c r="AD287" s="302" t="str">
        <f t="shared" si="291"/>
        <v/>
      </c>
      <c r="AE287" s="302" t="str">
        <f t="shared" si="291"/>
        <v/>
      </c>
      <c r="AF287" s="302" t="str">
        <f t="shared" si="291"/>
        <v/>
      </c>
      <c r="AG287" s="302" t="str">
        <f t="shared" si="291"/>
        <v/>
      </c>
      <c r="AH287" s="302" t="str">
        <f t="shared" si="291"/>
        <v/>
      </c>
      <c r="AI287" s="302" t="str">
        <f t="shared" si="291"/>
        <v/>
      </c>
      <c r="AJ287" s="122"/>
      <c r="AK287" s="249"/>
      <c r="AL287" s="248"/>
      <c r="AM287" s="302" t="str">
        <f t="shared" ref="AM287:AU287" si="292">IF(OR(AM$19="",AM$24=0,AM$31=0),"",ROUNDUP(AM$255-AM$246-AM$247-AM$248-IF(OR(AM$21=woning,AM$21=woongebouw),AM244,0),2))</f>
        <v/>
      </c>
      <c r="AN287" s="302" t="str">
        <f t="shared" si="292"/>
        <v/>
      </c>
      <c r="AO287" s="302" t="str">
        <f t="shared" si="292"/>
        <v/>
      </c>
      <c r="AP287" s="302" t="str">
        <f t="shared" si="292"/>
        <v/>
      </c>
      <c r="AQ287" s="302" t="str">
        <f t="shared" si="292"/>
        <v/>
      </c>
      <c r="AR287" s="302" t="str">
        <f t="shared" si="292"/>
        <v/>
      </c>
      <c r="AS287" s="302" t="str">
        <f t="shared" si="292"/>
        <v/>
      </c>
      <c r="AT287" s="302" t="str">
        <f t="shared" si="292"/>
        <v/>
      </c>
      <c r="AU287" s="302" t="str">
        <f t="shared" si="292"/>
        <v/>
      </c>
      <c r="AV287" s="122"/>
      <c r="AW287" s="249"/>
      <c r="AX287" s="248"/>
      <c r="AY287" s="302" t="str">
        <f t="shared" ref="AY287:BG287" si="293">IF(OR(AY$19="",AY$24=0,AY$31=0),"",ROUNDUP(AY$255-AY$246-AY$247-AY$248-IF(OR(AY$21=woning,AY$21=woongebouw),AY244,0),2))</f>
        <v/>
      </c>
      <c r="AZ287" s="302" t="str">
        <f t="shared" si="293"/>
        <v/>
      </c>
      <c r="BA287" s="302" t="str">
        <f t="shared" si="293"/>
        <v/>
      </c>
      <c r="BB287" s="302" t="str">
        <f t="shared" si="293"/>
        <v/>
      </c>
      <c r="BC287" s="302" t="str">
        <f t="shared" si="293"/>
        <v/>
      </c>
      <c r="BD287" s="302" t="str">
        <f t="shared" si="293"/>
        <v/>
      </c>
      <c r="BE287" s="302" t="str">
        <f t="shared" si="293"/>
        <v/>
      </c>
      <c r="BF287" s="302" t="str">
        <f t="shared" si="293"/>
        <v/>
      </c>
      <c r="BG287" s="302" t="str">
        <f t="shared" si="293"/>
        <v/>
      </c>
      <c r="BH287" s="255"/>
    </row>
    <row r="288" spans="1:60" x14ac:dyDescent="0.2">
      <c r="A288" s="648"/>
      <c r="B288" s="492" t="s">
        <v>335</v>
      </c>
      <c r="C288" s="656" t="s">
        <v>113</v>
      </c>
      <c r="D288" s="750" t="s">
        <v>50</v>
      </c>
      <c r="E288" s="246" t="s">
        <v>345</v>
      </c>
      <c r="F288" s="246"/>
      <c r="G288" s="246"/>
      <c r="H288" s="247" t="s">
        <v>150</v>
      </c>
      <c r="I288" s="248"/>
      <c r="J288" s="249"/>
      <c r="K288" s="90"/>
      <c r="L288" s="90"/>
      <c r="M288" s="249"/>
      <c r="N288" s="248"/>
      <c r="O288" s="689" t="str">
        <f t="shared" ref="O288:W288" si="294">IF(O$280="","",O275)</f>
        <v/>
      </c>
      <c r="P288" s="689" t="str">
        <f t="shared" si="294"/>
        <v/>
      </c>
      <c r="Q288" s="689" t="str">
        <f t="shared" si="294"/>
        <v/>
      </c>
      <c r="R288" s="689" t="str">
        <f t="shared" si="294"/>
        <v/>
      </c>
      <c r="S288" s="689" t="str">
        <f t="shared" si="294"/>
        <v/>
      </c>
      <c r="T288" s="689" t="str">
        <f t="shared" si="294"/>
        <v/>
      </c>
      <c r="U288" s="689" t="str">
        <f t="shared" si="294"/>
        <v/>
      </c>
      <c r="V288" s="689" t="str">
        <f t="shared" si="294"/>
        <v/>
      </c>
      <c r="W288" s="689" t="str">
        <f t="shared" si="294"/>
        <v/>
      </c>
      <c r="X288" s="690"/>
      <c r="Y288" s="691"/>
      <c r="Z288" s="692"/>
      <c r="AA288" s="689" t="str">
        <f t="shared" ref="AA288:AI288" si="295">IF(AA$280="","",AA275)</f>
        <v/>
      </c>
      <c r="AB288" s="689" t="str">
        <f t="shared" si="295"/>
        <v/>
      </c>
      <c r="AC288" s="689" t="str">
        <f t="shared" si="295"/>
        <v/>
      </c>
      <c r="AD288" s="689" t="str">
        <f t="shared" si="295"/>
        <v/>
      </c>
      <c r="AE288" s="689" t="str">
        <f t="shared" si="295"/>
        <v/>
      </c>
      <c r="AF288" s="689" t="str">
        <f t="shared" si="295"/>
        <v/>
      </c>
      <c r="AG288" s="689" t="str">
        <f t="shared" si="295"/>
        <v/>
      </c>
      <c r="AH288" s="689" t="str">
        <f t="shared" si="295"/>
        <v/>
      </c>
      <c r="AI288" s="689" t="str">
        <f t="shared" si="295"/>
        <v/>
      </c>
      <c r="AJ288" s="690"/>
      <c r="AK288" s="691"/>
      <c r="AL288" s="692"/>
      <c r="AM288" s="689" t="str">
        <f>IF(AM$280="","",AM275)</f>
        <v/>
      </c>
      <c r="AN288" s="689" t="str">
        <f t="shared" ref="AN288:AU288" si="296">IF(AN$280="","",AN275)</f>
        <v/>
      </c>
      <c r="AO288" s="689" t="str">
        <f t="shared" si="296"/>
        <v/>
      </c>
      <c r="AP288" s="689" t="str">
        <f t="shared" si="296"/>
        <v/>
      </c>
      <c r="AQ288" s="689" t="str">
        <f t="shared" si="296"/>
        <v/>
      </c>
      <c r="AR288" s="689" t="str">
        <f t="shared" si="296"/>
        <v/>
      </c>
      <c r="AS288" s="689" t="str">
        <f t="shared" si="296"/>
        <v/>
      </c>
      <c r="AT288" s="689" t="str">
        <f t="shared" si="296"/>
        <v/>
      </c>
      <c r="AU288" s="689" t="str">
        <f t="shared" si="296"/>
        <v/>
      </c>
      <c r="AV288" s="690"/>
      <c r="AW288" s="691"/>
      <c r="AX288" s="692"/>
      <c r="AY288" s="689" t="str">
        <f>IF(AY$280="","",AY275)</f>
        <v/>
      </c>
      <c r="AZ288" s="689" t="str">
        <f t="shared" ref="AZ288:BG288" si="297">IF(AZ$280="","",AZ275)</f>
        <v/>
      </c>
      <c r="BA288" s="689" t="str">
        <f t="shared" si="297"/>
        <v/>
      </c>
      <c r="BB288" s="689" t="str">
        <f t="shared" si="297"/>
        <v/>
      </c>
      <c r="BC288" s="689" t="str">
        <f t="shared" si="297"/>
        <v/>
      </c>
      <c r="BD288" s="689" t="str">
        <f t="shared" si="297"/>
        <v/>
      </c>
      <c r="BE288" s="689" t="str">
        <f t="shared" si="297"/>
        <v/>
      </c>
      <c r="BF288" s="689" t="str">
        <f t="shared" si="297"/>
        <v/>
      </c>
      <c r="BG288" s="689" t="str">
        <f t="shared" si="297"/>
        <v/>
      </c>
      <c r="BH288" s="255"/>
    </row>
    <row r="289" spans="1:60" ht="18.75" x14ac:dyDescent="0.2">
      <c r="A289" s="648"/>
      <c r="B289" s="492" t="s">
        <v>335</v>
      </c>
      <c r="C289" s="739" t="s">
        <v>104</v>
      </c>
      <c r="D289" s="747"/>
      <c r="E289" s="236" t="s">
        <v>346</v>
      </c>
      <c r="F289" s="236"/>
      <c r="G289" s="236"/>
      <c r="H289" s="89"/>
      <c r="I289" s="236"/>
      <c r="J289" s="236"/>
      <c r="K289" s="236"/>
      <c r="L289" s="236"/>
      <c r="M289" s="236"/>
      <c r="N289" s="236"/>
      <c r="O289" s="236"/>
      <c r="P289" s="236"/>
      <c r="Q289" s="236"/>
      <c r="R289" s="236"/>
      <c r="S289" s="236"/>
      <c r="T289" s="236"/>
      <c r="U289" s="236"/>
      <c r="V289" s="236"/>
      <c r="W289" s="236"/>
      <c r="X289" s="236"/>
      <c r="Y289" s="236"/>
      <c r="Z289" s="236"/>
      <c r="AA289" s="236"/>
      <c r="AB289" s="236"/>
      <c r="AC289" s="236"/>
      <c r="AD289" s="236"/>
      <c r="AE289" s="236"/>
      <c r="AF289" s="236"/>
      <c r="AG289" s="236"/>
      <c r="AH289" s="236"/>
      <c r="AI289" s="236"/>
      <c r="AJ289" s="236"/>
      <c r="AK289" s="236"/>
      <c r="AL289" s="236"/>
      <c r="AM289" s="236"/>
      <c r="AN289" s="236"/>
      <c r="AO289" s="236"/>
      <c r="AP289" s="236"/>
      <c r="AQ289" s="236"/>
      <c r="AR289" s="236"/>
      <c r="AS289" s="236"/>
      <c r="AT289" s="236"/>
      <c r="AU289" s="236"/>
      <c r="AV289" s="236"/>
      <c r="AW289" s="236"/>
      <c r="AX289" s="236"/>
      <c r="AY289" s="236"/>
      <c r="AZ289" s="236"/>
      <c r="BA289" s="236"/>
      <c r="BB289" s="236"/>
      <c r="BC289" s="236"/>
      <c r="BD289" s="236"/>
      <c r="BE289" s="236"/>
      <c r="BF289" s="236"/>
      <c r="BG289" s="236"/>
      <c r="BH289" s="38"/>
    </row>
    <row r="290" spans="1:60" x14ac:dyDescent="0.2">
      <c r="A290" s="648"/>
      <c r="B290" s="492" t="s">
        <v>335</v>
      </c>
      <c r="C290" s="656" t="s">
        <v>113</v>
      </c>
      <c r="D290" s="749" t="s">
        <v>50</v>
      </c>
      <c r="E290" s="246" t="s">
        <v>346</v>
      </c>
      <c r="F290" s="246"/>
      <c r="G290" s="246"/>
      <c r="H290" s="247" t="s">
        <v>70</v>
      </c>
      <c r="I290" s="129"/>
      <c r="J290" s="243"/>
      <c r="K290" s="236"/>
      <c r="L290" s="236"/>
      <c r="M290" s="243"/>
      <c r="N290" s="129"/>
      <c r="O290" s="207" t="str">
        <f ca="1">IF(OR(O$24=0,$O$75=0),"",
INDEX(energielabels_labelnamen,MATCH(O287,OFFSET(bibliotheek!$H$510,0,MATCH(O$21,gebruiksfuncties_namen,0),ROWS(energielabels_labelnamen),1),-1)))</f>
        <v/>
      </c>
      <c r="P290" s="207" t="str">
        <f ca="1">IF(OR(P$24=0,$O$75=0),"",
INDEX(energielabels_labelnamen,MATCH(P287,OFFSET(bibliotheek!$H$510,0,MATCH(P$21,gebruiksfuncties_namen,0),ROWS(energielabels_labelnamen),1),-1)))</f>
        <v/>
      </c>
      <c r="Q290" s="207" t="str">
        <f ca="1">IF(OR(Q$24=0,$O$75=0),"",
INDEX(energielabels_labelnamen,MATCH(Q287,OFFSET(bibliotheek!$H$510,0,MATCH(Q$21,gebruiksfuncties_namen,0),ROWS(energielabels_labelnamen),1),-1)))</f>
        <v/>
      </c>
      <c r="R290" s="207" t="str">
        <f ca="1">IF(OR(R$24=0,$O$75=0),"",
INDEX(energielabels_labelnamen,MATCH(R287,OFFSET(bibliotheek!$H$510,0,MATCH(R$21,gebruiksfuncties_namen,0),ROWS(energielabels_labelnamen),1),-1)))</f>
        <v/>
      </c>
      <c r="S290" s="207" t="str">
        <f ca="1">IF(OR(S$24=0,$O$75=0),"",
INDEX(energielabels_labelnamen,MATCH(S287,OFFSET(bibliotheek!$H$510,0,MATCH(S$21,gebruiksfuncties_namen,0),ROWS(energielabels_labelnamen),1),-1)))</f>
        <v/>
      </c>
      <c r="T290" s="207" t="str">
        <f ca="1">IF(OR(T$24=0,$O$75=0),"",
INDEX(energielabels_labelnamen,MATCH(T287,OFFSET(bibliotheek!$H$510,0,MATCH(T$21,gebruiksfuncties_namen,0),ROWS(energielabels_labelnamen),1),-1)))</f>
        <v/>
      </c>
      <c r="U290" s="207" t="str">
        <f ca="1">IF(OR(U$24=0,$O$75=0),"",
INDEX(energielabels_labelnamen,MATCH(U287,OFFSET(bibliotheek!$H$510,0,MATCH(U$21,gebruiksfuncties_namen,0),ROWS(energielabels_labelnamen),1),-1)))</f>
        <v/>
      </c>
      <c r="V290" s="207" t="str">
        <f ca="1">IF(OR(V$24=0,$O$75=0),"",
INDEX(energielabels_labelnamen,MATCH(V287,OFFSET(bibliotheek!$H$510,0,MATCH(V$21,gebruiksfuncties_namen,0),ROWS(energielabels_labelnamen),1),-1)))</f>
        <v/>
      </c>
      <c r="W290" s="207" t="str">
        <f ca="1">IF(OR(W$24=0,$O$75=0),"",
INDEX(energielabels_labelnamen,MATCH(W287,OFFSET(bibliotheek!$H$510,0,MATCH(W$21,gebruiksfuncties_namen,0),ROWS(energielabels_labelnamen),1),-1)))</f>
        <v/>
      </c>
      <c r="X290" s="128"/>
      <c r="Y290" s="243"/>
      <c r="Z290" s="129"/>
      <c r="AA290" s="207" t="str">
        <f ca="1">IF(OR(AA$24=0,$O$75=0),"",
INDEX(energielabels_labelnamen,MATCH(AA287,OFFSET(bibliotheek!$H$510,0,MATCH(AA$21,gebruiksfuncties_namen,0),ROWS(energielabels_labelnamen),1),-1)))</f>
        <v/>
      </c>
      <c r="AB290" s="207" t="str">
        <f ca="1">IF(OR(AB$24=0,$O$75=0),"",
INDEX(energielabels_labelnamen,MATCH(AB287,OFFSET(bibliotheek!$H$510,0,MATCH(AB$21,gebruiksfuncties_namen,0),ROWS(energielabels_labelnamen),1),-1)))</f>
        <v/>
      </c>
      <c r="AC290" s="207" t="str">
        <f ca="1">IF(OR(AC$24=0,$O$75=0),"",
INDEX(energielabels_labelnamen,MATCH(AC287,OFFSET(bibliotheek!$H$510,0,MATCH(AC$21,gebruiksfuncties_namen,0),ROWS(energielabels_labelnamen),1),-1)))</f>
        <v/>
      </c>
      <c r="AD290" s="207" t="str">
        <f ca="1">IF(OR(AD$24=0,$O$75=0),"",
INDEX(energielabels_labelnamen,MATCH(AD287,OFFSET(bibliotheek!$H$510,0,MATCH(AD$21,gebruiksfuncties_namen,0),ROWS(energielabels_labelnamen),1),-1)))</f>
        <v/>
      </c>
      <c r="AE290" s="207" t="str">
        <f ca="1">IF(OR(AE$24=0,$O$75=0),"",
INDEX(energielabels_labelnamen,MATCH(AE287,OFFSET(bibliotheek!$H$510,0,MATCH(AE$21,gebruiksfuncties_namen,0),ROWS(energielabels_labelnamen),1),-1)))</f>
        <v/>
      </c>
      <c r="AF290" s="207" t="str">
        <f ca="1">IF(OR(AF$24=0,$O$75=0),"",
INDEX(energielabels_labelnamen,MATCH(AF287,OFFSET(bibliotheek!$H$510,0,MATCH(AF$21,gebruiksfuncties_namen,0),ROWS(energielabels_labelnamen),1),-1)))</f>
        <v/>
      </c>
      <c r="AG290" s="207" t="str">
        <f ca="1">IF(OR(AG$24=0,$O$75=0),"",
INDEX(energielabels_labelnamen,MATCH(AG287,OFFSET(bibliotheek!$H$510,0,MATCH(AG$21,gebruiksfuncties_namen,0),ROWS(energielabels_labelnamen),1),-1)))</f>
        <v/>
      </c>
      <c r="AH290" s="207" t="str">
        <f ca="1">IF(OR(AH$24=0,$O$75=0),"",
INDEX(energielabels_labelnamen,MATCH(AH287,OFFSET(bibliotheek!$H$510,0,MATCH(AH$21,gebruiksfuncties_namen,0),ROWS(energielabels_labelnamen),1),-1)))</f>
        <v/>
      </c>
      <c r="AI290" s="207" t="str">
        <f ca="1">IF(OR(AI$24=0,$O$75=0),"",
INDEX(energielabels_labelnamen,MATCH(AI287,OFFSET(bibliotheek!$H$510,0,MATCH(AI$21,gebruiksfuncties_namen,0),ROWS(energielabels_labelnamen),1),-1)))</f>
        <v/>
      </c>
      <c r="AJ290" s="128"/>
      <c r="AK290" s="243"/>
      <c r="AL290" s="129"/>
      <c r="AM290" s="207" t="str">
        <f ca="1">IF(OR(AM$24=0,$O$75=0),"",
INDEX(energielabels_labelnamen,MATCH(AM287,OFFSET(bibliotheek!$H$510,0,MATCH(AM$21,gebruiksfuncties_namen,0),ROWS(energielabels_labelnamen),1),-1)))</f>
        <v/>
      </c>
      <c r="AN290" s="207" t="str">
        <f ca="1">IF(OR(AN$24=0,$O$75=0),"",
INDEX(energielabels_labelnamen,MATCH(AN287,OFFSET(bibliotheek!$H$510,0,MATCH(AN$21,gebruiksfuncties_namen,0),ROWS(energielabels_labelnamen),1),-1)))</f>
        <v/>
      </c>
      <c r="AO290" s="207" t="str">
        <f ca="1">IF(OR(AO$24=0,$O$75=0),"",
INDEX(energielabels_labelnamen,MATCH(AO287,OFFSET(bibliotheek!$H$510,0,MATCH(AO$21,gebruiksfuncties_namen,0),ROWS(energielabels_labelnamen),1),-1)))</f>
        <v/>
      </c>
      <c r="AP290" s="207" t="str">
        <f ca="1">IF(OR(AP$24=0,$O$75=0),"",
INDEX(energielabels_labelnamen,MATCH(AP287,OFFSET(bibliotheek!$H$510,0,MATCH(AP$21,gebruiksfuncties_namen,0),ROWS(energielabels_labelnamen),1),-1)))</f>
        <v/>
      </c>
      <c r="AQ290" s="207" t="str">
        <f ca="1">IF(OR(AQ$24=0,$O$75=0),"",
INDEX(energielabels_labelnamen,MATCH(AQ287,OFFSET(bibliotheek!$H$510,0,MATCH(AQ$21,gebruiksfuncties_namen,0),ROWS(energielabels_labelnamen),1),-1)))</f>
        <v/>
      </c>
      <c r="AR290" s="207" t="str">
        <f ca="1">IF(OR(AR$24=0,$O$75=0),"",
INDEX(energielabels_labelnamen,MATCH(AR287,OFFSET(bibliotheek!$H$510,0,MATCH(AR$21,gebruiksfuncties_namen,0),ROWS(energielabels_labelnamen),1),-1)))</f>
        <v/>
      </c>
      <c r="AS290" s="207" t="str">
        <f ca="1">IF(OR(AS$24=0,$O$75=0),"",
INDEX(energielabels_labelnamen,MATCH(AS287,OFFSET(bibliotheek!$H$510,0,MATCH(AS$21,gebruiksfuncties_namen,0),ROWS(energielabels_labelnamen),1),-1)))</f>
        <v/>
      </c>
      <c r="AT290" s="207" t="str">
        <f ca="1">IF(OR(AT$24=0,$O$75=0),"",
INDEX(energielabels_labelnamen,MATCH(AT287,OFFSET(bibliotheek!$H$510,0,MATCH(AT$21,gebruiksfuncties_namen,0),ROWS(energielabels_labelnamen),1),-1)))</f>
        <v/>
      </c>
      <c r="AU290" s="207" t="str">
        <f ca="1">IF(OR(AU$24=0,$O$75=0),"",
INDEX(energielabels_labelnamen,MATCH(AU287,OFFSET(bibliotheek!$H$510,0,MATCH(AU$21,gebruiksfuncties_namen,0),ROWS(energielabels_labelnamen),1),-1)))</f>
        <v/>
      </c>
      <c r="AV290" s="128"/>
      <c r="AW290" s="243"/>
      <c r="AX290" s="129"/>
      <c r="AY290" s="207" t="str">
        <f ca="1">IF(OR(AY$24=0,$O$75=0),"",
INDEX(energielabels_labelnamen,MATCH(AY287,OFFSET(bibliotheek!$H$510,0,MATCH(AY$21,gebruiksfuncties_namen,0),ROWS(energielabels_labelnamen),1),-1)))</f>
        <v/>
      </c>
      <c r="AZ290" s="207" t="str">
        <f ca="1">IF(OR(AZ$24=0,$O$75=0),"",
INDEX(energielabels_labelnamen,MATCH(AZ287,OFFSET(bibliotheek!$H$510,0,MATCH(AZ$21,gebruiksfuncties_namen,0),ROWS(energielabels_labelnamen),1),-1)))</f>
        <v/>
      </c>
      <c r="BA290" s="207" t="str">
        <f ca="1">IF(OR(BA$24=0,$O$75=0),"",
INDEX(energielabels_labelnamen,MATCH(BA287,OFFSET(bibliotheek!$H$510,0,MATCH(BA$21,gebruiksfuncties_namen,0),ROWS(energielabels_labelnamen),1),-1)))</f>
        <v/>
      </c>
      <c r="BB290" s="207" t="str">
        <f ca="1">IF(OR(BB$24=0,$O$75=0),"",
INDEX(energielabels_labelnamen,MATCH(BB287,OFFSET(bibliotheek!$H$510,0,MATCH(BB$21,gebruiksfuncties_namen,0),ROWS(energielabels_labelnamen),1),-1)))</f>
        <v/>
      </c>
      <c r="BC290" s="207" t="str">
        <f ca="1">IF(OR(BC$24=0,$O$75=0),"",
INDEX(energielabels_labelnamen,MATCH(BC287,OFFSET(bibliotheek!$H$510,0,MATCH(BC$21,gebruiksfuncties_namen,0),ROWS(energielabels_labelnamen),1),-1)))</f>
        <v/>
      </c>
      <c r="BD290" s="207" t="str">
        <f ca="1">IF(OR(BD$24=0,$O$75=0),"",
INDEX(energielabels_labelnamen,MATCH(BD287,OFFSET(bibliotheek!$H$510,0,MATCH(BD$21,gebruiksfuncties_namen,0),ROWS(energielabels_labelnamen),1),-1)))</f>
        <v/>
      </c>
      <c r="BE290" s="207" t="str">
        <f ca="1">IF(OR(BE$24=0,$O$75=0),"",
INDEX(energielabels_labelnamen,MATCH(BE287,OFFSET(bibliotheek!$H$510,0,MATCH(BE$21,gebruiksfuncties_namen,0),ROWS(energielabels_labelnamen),1),-1)))</f>
        <v/>
      </c>
      <c r="BF290" s="207" t="str">
        <f ca="1">IF(OR(BF$24=0,$O$75=0),"",
INDEX(energielabels_labelnamen,MATCH(BF287,OFFSET(bibliotheek!$H$510,0,MATCH(BF$21,gebruiksfuncties_namen,0),ROWS(energielabels_labelnamen),1),-1)))</f>
        <v/>
      </c>
      <c r="BG290" s="207" t="str">
        <f ca="1">IF(OR(BG$24=0,$O$75=0),"",
INDEX(energielabels_labelnamen,MATCH(BG287,OFFSET(bibliotheek!$H$510,0,MATCH(BG$21,gebruiksfuncties_namen,0),ROWS(energielabels_labelnamen),1),-1)))</f>
        <v/>
      </c>
      <c r="BH290" s="255"/>
    </row>
    <row r="291" spans="1:60" x14ac:dyDescent="0.2">
      <c r="A291" s="648"/>
      <c r="B291" s="492" t="s">
        <v>335</v>
      </c>
      <c r="C291" s="656" t="s">
        <v>113</v>
      </c>
      <c r="D291" s="749" t="s">
        <v>50</v>
      </c>
      <c r="E291" s="246" t="s">
        <v>1198</v>
      </c>
      <c r="F291" s="1041"/>
      <c r="G291" s="1041"/>
      <c r="H291" s="247" t="s">
        <v>70</v>
      </c>
      <c r="I291" s="129"/>
      <c r="J291" s="243"/>
      <c r="K291" s="236"/>
      <c r="L291" s="236"/>
      <c r="M291" s="243"/>
      <c r="N291" s="129"/>
      <c r="O291" s="207" t="str">
        <f t="shared" ref="O291:W291" si="298">IF(O$28=0,"",INDEX(eindnorm_utiliteit_energielabel,MATCH(O$21,gebruiksfuncties_namen,0)))</f>
        <v/>
      </c>
      <c r="P291" s="207" t="str">
        <f>IF(P$28=0,"",INDEX(eindnorm_utiliteit_energielabel,1,MATCH(P$21,gebruiksfuncties_namen,0)))</f>
        <v/>
      </c>
      <c r="Q291" s="207" t="str">
        <f t="shared" si="298"/>
        <v/>
      </c>
      <c r="R291" s="207" t="str">
        <f t="shared" si="298"/>
        <v/>
      </c>
      <c r="S291" s="207" t="str">
        <f t="shared" si="298"/>
        <v/>
      </c>
      <c r="T291" s="207" t="str">
        <f t="shared" si="298"/>
        <v/>
      </c>
      <c r="U291" s="207" t="str">
        <f t="shared" si="298"/>
        <v/>
      </c>
      <c r="V291" s="207" t="str">
        <f t="shared" si="298"/>
        <v/>
      </c>
      <c r="W291" s="207" t="str">
        <f t="shared" si="298"/>
        <v/>
      </c>
      <c r="X291" s="128"/>
      <c r="Y291" s="243"/>
      <c r="Z291" s="129"/>
      <c r="AA291" s="207" t="str">
        <f t="shared" ref="AA291:AI291" si="299">IF(AA$28=0,"",INDEX(eindnorm_utiliteit_energielabel,MATCH(AA$21,gebruiksfuncties_namen,0)))</f>
        <v/>
      </c>
      <c r="AB291" s="207" t="str">
        <f t="shared" si="299"/>
        <v/>
      </c>
      <c r="AC291" s="207" t="str">
        <f t="shared" si="299"/>
        <v/>
      </c>
      <c r="AD291" s="207" t="str">
        <f t="shared" si="299"/>
        <v/>
      </c>
      <c r="AE291" s="207" t="str">
        <f t="shared" si="299"/>
        <v/>
      </c>
      <c r="AF291" s="207" t="str">
        <f t="shared" si="299"/>
        <v/>
      </c>
      <c r="AG291" s="207" t="str">
        <f t="shared" si="299"/>
        <v/>
      </c>
      <c r="AH291" s="207" t="str">
        <f t="shared" si="299"/>
        <v/>
      </c>
      <c r="AI291" s="207" t="str">
        <f t="shared" si="299"/>
        <v/>
      </c>
      <c r="AJ291" s="128"/>
      <c r="AK291" s="243"/>
      <c r="AL291" s="129"/>
      <c r="AM291" s="207" t="str">
        <f t="shared" ref="AM291:AU291" si="300">IF(AM$28=0,"",INDEX(eindnorm_utiliteit_energielabel,MATCH(AM$21,gebruiksfuncties_namen,0)))</f>
        <v/>
      </c>
      <c r="AN291" s="207" t="str">
        <f t="shared" si="300"/>
        <v/>
      </c>
      <c r="AO291" s="207" t="str">
        <f t="shared" si="300"/>
        <v/>
      </c>
      <c r="AP291" s="207" t="str">
        <f t="shared" si="300"/>
        <v/>
      </c>
      <c r="AQ291" s="207" t="str">
        <f t="shared" si="300"/>
        <v/>
      </c>
      <c r="AR291" s="207" t="str">
        <f t="shared" si="300"/>
        <v/>
      </c>
      <c r="AS291" s="207" t="str">
        <f t="shared" si="300"/>
        <v/>
      </c>
      <c r="AT291" s="207" t="str">
        <f t="shared" si="300"/>
        <v/>
      </c>
      <c r="AU291" s="207" t="str">
        <f t="shared" si="300"/>
        <v/>
      </c>
      <c r="AV291" s="128"/>
      <c r="AW291" s="243"/>
      <c r="AX291" s="129"/>
      <c r="AY291" s="207" t="str">
        <f t="shared" ref="AY291:BG291" si="301">IF(AY$28=0,"",INDEX(eindnorm_utiliteit_energielabel,MATCH(AY$21,gebruiksfuncties_namen,0)))</f>
        <v/>
      </c>
      <c r="AZ291" s="207" t="str">
        <f t="shared" si="301"/>
        <v/>
      </c>
      <c r="BA291" s="207" t="str">
        <f t="shared" si="301"/>
        <v/>
      </c>
      <c r="BB291" s="207" t="str">
        <f t="shared" si="301"/>
        <v/>
      </c>
      <c r="BC291" s="207" t="str">
        <f t="shared" si="301"/>
        <v/>
      </c>
      <c r="BD291" s="207" t="str">
        <f t="shared" si="301"/>
        <v/>
      </c>
      <c r="BE291" s="207" t="str">
        <f t="shared" si="301"/>
        <v/>
      </c>
      <c r="BF291" s="207" t="str">
        <f t="shared" si="301"/>
        <v/>
      </c>
      <c r="BG291" s="207" t="str">
        <f t="shared" si="301"/>
        <v/>
      </c>
      <c r="BH291" s="255"/>
    </row>
    <row r="292" spans="1:60" ht="18.75" x14ac:dyDescent="0.2">
      <c r="A292" s="648"/>
      <c r="B292" s="492" t="s">
        <v>335</v>
      </c>
      <c r="C292" s="739" t="s">
        <v>104</v>
      </c>
      <c r="D292" s="749" t="s">
        <v>50</v>
      </c>
      <c r="E292" s="236" t="s">
        <v>347</v>
      </c>
      <c r="F292" s="236"/>
      <c r="G292" s="236"/>
      <c r="H292" s="89"/>
      <c r="I292" s="236"/>
      <c r="J292" s="236"/>
      <c r="K292" s="236"/>
      <c r="L292" s="236"/>
      <c r="M292" s="236"/>
      <c r="N292" s="236"/>
      <c r="O292" s="236"/>
      <c r="P292" s="236"/>
      <c r="Q292" s="236"/>
      <c r="R292" s="236"/>
      <c r="S292" s="236"/>
      <c r="T292" s="236"/>
      <c r="U292" s="236"/>
      <c r="V292" s="236"/>
      <c r="W292" s="236"/>
      <c r="X292" s="236"/>
      <c r="Y292" s="236"/>
      <c r="Z292" s="236"/>
      <c r="AA292" s="236"/>
      <c r="AB292" s="236"/>
      <c r="AC292" s="236"/>
      <c r="AD292" s="236"/>
      <c r="AE292" s="236"/>
      <c r="AF292" s="236"/>
      <c r="AG292" s="236"/>
      <c r="AH292" s="236"/>
      <c r="AI292" s="236"/>
      <c r="AJ292" s="236"/>
      <c r="AK292" s="236"/>
      <c r="AL292" s="236"/>
      <c r="AM292" s="236"/>
      <c r="AN292" s="236"/>
      <c r="AO292" s="236"/>
      <c r="AP292" s="236"/>
      <c r="AQ292" s="236"/>
      <c r="AR292" s="236"/>
      <c r="AS292" s="236"/>
      <c r="AT292" s="236"/>
      <c r="AU292" s="236"/>
      <c r="AV292" s="236"/>
      <c r="AW292" s="236"/>
      <c r="AX292" s="236"/>
      <c r="AY292" s="236"/>
      <c r="AZ292" s="236"/>
      <c r="BA292" s="236"/>
      <c r="BB292" s="236"/>
      <c r="BC292" s="236"/>
      <c r="BD292" s="236"/>
      <c r="BE292" s="236"/>
      <c r="BF292" s="236"/>
      <c r="BG292" s="236"/>
      <c r="BH292" s="38"/>
    </row>
    <row r="293" spans="1:60" x14ac:dyDescent="0.2">
      <c r="A293" s="648"/>
      <c r="B293" s="492" t="s">
        <v>335</v>
      </c>
      <c r="C293" s="656" t="s">
        <v>113</v>
      </c>
      <c r="D293" s="750"/>
      <c r="E293" s="246" t="s">
        <v>348</v>
      </c>
      <c r="F293" s="246"/>
      <c r="G293" s="246"/>
      <c r="H293" s="247" t="s">
        <v>169</v>
      </c>
      <c r="I293" s="248"/>
      <c r="J293" s="249"/>
      <c r="K293" s="90"/>
      <c r="L293" s="90"/>
      <c r="M293" s="249"/>
      <c r="N293" s="248"/>
      <c r="O293" s="251" t="str">
        <f t="shared" ref="O293:W293" si="302">IF(O$294="","",IF(O$294="nvt","nvt",
INDEX(standaardwaarde_basis,MATCH(O$21,standaardwaarden_gebruiksfuncties,0))+
MAX(0,O$34-1)*INDEX(standaardwaarde_extra_vraag_boven_grenswaarde_vormfactor,MATCH(O$21,standaardwaarden_gebruiksfuncties,0))))</f>
        <v/>
      </c>
      <c r="P293" s="251" t="str">
        <f t="shared" si="302"/>
        <v/>
      </c>
      <c r="Q293" s="251" t="str">
        <f t="shared" si="302"/>
        <v/>
      </c>
      <c r="R293" s="251" t="str">
        <f t="shared" si="302"/>
        <v/>
      </c>
      <c r="S293" s="251" t="str">
        <f t="shared" si="302"/>
        <v/>
      </c>
      <c r="T293" s="251" t="str">
        <f t="shared" si="302"/>
        <v/>
      </c>
      <c r="U293" s="251" t="str">
        <f t="shared" si="302"/>
        <v/>
      </c>
      <c r="V293" s="251" t="str">
        <f t="shared" si="302"/>
        <v/>
      </c>
      <c r="W293" s="251" t="str">
        <f t="shared" si="302"/>
        <v/>
      </c>
      <c r="X293" s="128"/>
      <c r="Y293" s="249"/>
      <c r="Z293" s="248"/>
      <c r="AA293" s="251" t="str">
        <f t="shared" ref="AA293:AI293" si="303">IF(AA$294="","",IF(AA$294="nvt","nvt",
INDEX(standaardwaarde_basis,MATCH(AA$21,standaardwaarden_gebruiksfuncties,0))+
MAX(0,AA$34-1)*INDEX(standaardwaarde_extra_vraag_boven_grenswaarde_vormfactor,MATCH(AA$21,standaardwaarden_gebruiksfuncties,0))))</f>
        <v/>
      </c>
      <c r="AB293" s="251" t="str">
        <f t="shared" si="303"/>
        <v/>
      </c>
      <c r="AC293" s="251" t="str">
        <f t="shared" si="303"/>
        <v/>
      </c>
      <c r="AD293" s="251" t="str">
        <f t="shared" si="303"/>
        <v/>
      </c>
      <c r="AE293" s="251" t="str">
        <f t="shared" si="303"/>
        <v/>
      </c>
      <c r="AF293" s="251" t="str">
        <f t="shared" si="303"/>
        <v/>
      </c>
      <c r="AG293" s="251" t="str">
        <f t="shared" si="303"/>
        <v/>
      </c>
      <c r="AH293" s="251" t="str">
        <f t="shared" si="303"/>
        <v/>
      </c>
      <c r="AI293" s="251" t="str">
        <f t="shared" si="303"/>
        <v/>
      </c>
      <c r="AJ293" s="128"/>
      <c r="AK293" s="249"/>
      <c r="AL293" s="248"/>
      <c r="AM293" s="251" t="str">
        <f t="shared" ref="AM293:AU293" si="304">IF(AM$294="","",IF(AM$294="nvt","nvt",
INDEX(standaardwaarde_basis,MATCH(AM$21,standaardwaarden_gebruiksfuncties,0))+
MAX(0,AM$34-1)*INDEX(standaardwaarde_extra_vraag_boven_grenswaarde_vormfactor,MATCH(AM$21,standaardwaarden_gebruiksfuncties,0))))</f>
        <v/>
      </c>
      <c r="AN293" s="251" t="str">
        <f t="shared" si="304"/>
        <v/>
      </c>
      <c r="AO293" s="251" t="str">
        <f t="shared" si="304"/>
        <v/>
      </c>
      <c r="AP293" s="251" t="str">
        <f t="shared" si="304"/>
        <v/>
      </c>
      <c r="AQ293" s="251" t="str">
        <f t="shared" si="304"/>
        <v/>
      </c>
      <c r="AR293" s="251" t="str">
        <f t="shared" si="304"/>
        <v/>
      </c>
      <c r="AS293" s="251" t="str">
        <f t="shared" si="304"/>
        <v/>
      </c>
      <c r="AT293" s="251" t="str">
        <f t="shared" si="304"/>
        <v/>
      </c>
      <c r="AU293" s="251" t="str">
        <f t="shared" si="304"/>
        <v/>
      </c>
      <c r="AV293" s="128"/>
      <c r="AW293" s="249"/>
      <c r="AX293" s="248"/>
      <c r="AY293" s="251" t="str">
        <f t="shared" ref="AY293:BG293" si="305">IF(AY$294="","",IF(AY$294="nvt","nvt",
INDEX(standaardwaarde_basis,MATCH(AY$21,standaardwaarden_gebruiksfuncties,0))+
MAX(0,AY$34-1)*INDEX(standaardwaarde_extra_vraag_boven_grenswaarde_vormfactor,MATCH(AY$21,standaardwaarden_gebruiksfuncties,0))))</f>
        <v/>
      </c>
      <c r="AZ293" s="251" t="str">
        <f t="shared" si="305"/>
        <v/>
      </c>
      <c r="BA293" s="251" t="str">
        <f t="shared" si="305"/>
        <v/>
      </c>
      <c r="BB293" s="251" t="str">
        <f t="shared" si="305"/>
        <v/>
      </c>
      <c r="BC293" s="251" t="str">
        <f t="shared" si="305"/>
        <v/>
      </c>
      <c r="BD293" s="251" t="str">
        <f t="shared" si="305"/>
        <v/>
      </c>
      <c r="BE293" s="251" t="str">
        <f t="shared" si="305"/>
        <v/>
      </c>
      <c r="BF293" s="251" t="str">
        <f t="shared" si="305"/>
        <v/>
      </c>
      <c r="BG293" s="251" t="str">
        <f t="shared" si="305"/>
        <v/>
      </c>
      <c r="BH293" s="255"/>
    </row>
    <row r="294" spans="1:60" x14ac:dyDescent="0.2">
      <c r="A294" s="648"/>
      <c r="B294" s="492" t="s">
        <v>335</v>
      </c>
      <c r="C294" s="656" t="s">
        <v>113</v>
      </c>
      <c r="D294" s="750"/>
      <c r="E294" s="246" t="s">
        <v>349</v>
      </c>
      <c r="F294" s="246"/>
      <c r="G294" s="246"/>
      <c r="H294" s="247" t="s">
        <v>169</v>
      </c>
      <c r="I294" s="248"/>
      <c r="J294" s="249"/>
      <c r="K294" s="90"/>
      <c r="L294" s="90"/>
      <c r="M294" s="249"/>
      <c r="N294" s="248"/>
      <c r="O294" s="251" t="str">
        <f t="shared" ref="O294:W294" si="306">IF(OR(O$19="",O$40="",O$42="",O$280=""),"",IF(OR(O$21=woning,O$21=woongebouw),O$227,"nvt"))</f>
        <v/>
      </c>
      <c r="P294" s="251" t="str">
        <f t="shared" si="306"/>
        <v/>
      </c>
      <c r="Q294" s="251" t="str">
        <f t="shared" si="306"/>
        <v/>
      </c>
      <c r="R294" s="251" t="str">
        <f t="shared" si="306"/>
        <v/>
      </c>
      <c r="S294" s="251" t="str">
        <f t="shared" si="306"/>
        <v/>
      </c>
      <c r="T294" s="251" t="str">
        <f t="shared" si="306"/>
        <v/>
      </c>
      <c r="U294" s="251" t="str">
        <f t="shared" si="306"/>
        <v/>
      </c>
      <c r="V294" s="251" t="str">
        <f t="shared" si="306"/>
        <v/>
      </c>
      <c r="W294" s="251" t="str">
        <f t="shared" si="306"/>
        <v/>
      </c>
      <c r="X294" s="128"/>
      <c r="Y294" s="249"/>
      <c r="Z294" s="248"/>
      <c r="AA294" s="251" t="str">
        <f t="shared" ref="AA294:AI294" si="307">IF(OR(AA$19="",AA$40="",AA$42="",AA$280=""),"",IF(OR(AA$21=woning,AA$21=woongebouw),AA$227,"nvt"))</f>
        <v/>
      </c>
      <c r="AB294" s="251" t="str">
        <f t="shared" si="307"/>
        <v/>
      </c>
      <c r="AC294" s="251" t="str">
        <f t="shared" si="307"/>
        <v/>
      </c>
      <c r="AD294" s="251" t="str">
        <f t="shared" si="307"/>
        <v/>
      </c>
      <c r="AE294" s="251" t="str">
        <f t="shared" si="307"/>
        <v/>
      </c>
      <c r="AF294" s="251" t="str">
        <f t="shared" si="307"/>
        <v/>
      </c>
      <c r="AG294" s="251" t="str">
        <f t="shared" si="307"/>
        <v/>
      </c>
      <c r="AH294" s="251" t="str">
        <f t="shared" si="307"/>
        <v/>
      </c>
      <c r="AI294" s="251" t="str">
        <f t="shared" si="307"/>
        <v/>
      </c>
      <c r="AJ294" s="128"/>
      <c r="AK294" s="249"/>
      <c r="AL294" s="248"/>
      <c r="AM294" s="251" t="str">
        <f t="shared" ref="AM294:AU294" si="308">IF(OR(AM$19="",AM$40="",AM$42="",AM$280=""),"",IF(OR(AM$21=woning,AM$21=woongebouw),AM$227,"nvt"))</f>
        <v/>
      </c>
      <c r="AN294" s="251" t="str">
        <f t="shared" si="308"/>
        <v/>
      </c>
      <c r="AO294" s="251" t="str">
        <f t="shared" si="308"/>
        <v/>
      </c>
      <c r="AP294" s="251" t="str">
        <f t="shared" si="308"/>
        <v/>
      </c>
      <c r="AQ294" s="251" t="str">
        <f t="shared" si="308"/>
        <v/>
      </c>
      <c r="AR294" s="251" t="str">
        <f t="shared" si="308"/>
        <v/>
      </c>
      <c r="AS294" s="251" t="str">
        <f t="shared" si="308"/>
        <v/>
      </c>
      <c r="AT294" s="251" t="str">
        <f t="shared" si="308"/>
        <v/>
      </c>
      <c r="AU294" s="251" t="str">
        <f t="shared" si="308"/>
        <v/>
      </c>
      <c r="AV294" s="128"/>
      <c r="AW294" s="249"/>
      <c r="AX294" s="248"/>
      <c r="AY294" s="251" t="str">
        <f t="shared" ref="AY294:BG294" si="309">IF(OR(AY$19="",AY$40="",AY$42="",AY$280=""),"",IF(OR(AY$21=woning,AY$21=woongebouw),AY$227,"nvt"))</f>
        <v/>
      </c>
      <c r="AZ294" s="251" t="str">
        <f t="shared" si="309"/>
        <v/>
      </c>
      <c r="BA294" s="251" t="str">
        <f t="shared" si="309"/>
        <v/>
      </c>
      <c r="BB294" s="251" t="str">
        <f t="shared" si="309"/>
        <v/>
      </c>
      <c r="BC294" s="251" t="str">
        <f t="shared" si="309"/>
        <v/>
      </c>
      <c r="BD294" s="251" t="str">
        <f t="shared" si="309"/>
        <v/>
      </c>
      <c r="BE294" s="251" t="str">
        <f t="shared" si="309"/>
        <v/>
      </c>
      <c r="BF294" s="251" t="str">
        <f t="shared" si="309"/>
        <v/>
      </c>
      <c r="BG294" s="251" t="str">
        <f t="shared" si="309"/>
        <v/>
      </c>
      <c r="BH294" s="255"/>
    </row>
    <row r="295" spans="1:60" ht="18.75" x14ac:dyDescent="0.2">
      <c r="A295" s="648"/>
      <c r="B295" s="492" t="s">
        <v>335</v>
      </c>
      <c r="C295" s="739" t="s">
        <v>104</v>
      </c>
      <c r="D295" s="747"/>
      <c r="E295" s="236" t="s">
        <v>350</v>
      </c>
      <c r="F295" s="236"/>
      <c r="G295" s="236"/>
      <c r="H295" s="89"/>
      <c r="I295" s="236"/>
      <c r="J295" s="236"/>
      <c r="K295" s="236"/>
      <c r="L295" s="236"/>
      <c r="M295" s="236"/>
      <c r="N295" s="236"/>
      <c r="O295" s="236"/>
      <c r="P295" s="236"/>
      <c r="Q295" s="236"/>
      <c r="R295" s="236"/>
      <c r="S295" s="236"/>
      <c r="T295" s="236"/>
      <c r="U295" s="236"/>
      <c r="V295" s="236"/>
      <c r="W295" s="236"/>
      <c r="X295" s="236"/>
      <c r="Y295" s="236"/>
      <c r="Z295" s="236"/>
      <c r="AA295" s="236"/>
      <c r="AB295" s="236"/>
      <c r="AC295" s="236"/>
      <c r="AD295" s="236"/>
      <c r="AE295" s="236"/>
      <c r="AF295" s="236"/>
      <c r="AG295" s="236"/>
      <c r="AH295" s="236"/>
      <c r="AI295" s="236"/>
      <c r="AJ295" s="236"/>
      <c r="AK295" s="236"/>
      <c r="AL295" s="236"/>
      <c r="AM295" s="236"/>
      <c r="AN295" s="236"/>
      <c r="AO295" s="236"/>
      <c r="AP295" s="236"/>
      <c r="AQ295" s="236"/>
      <c r="AR295" s="236"/>
      <c r="AS295" s="236"/>
      <c r="AT295" s="236"/>
      <c r="AU295" s="236"/>
      <c r="AV295" s="236"/>
      <c r="AW295" s="236"/>
      <c r="AX295" s="236"/>
      <c r="AY295" s="236"/>
      <c r="AZ295" s="236"/>
      <c r="BA295" s="236"/>
      <c r="BB295" s="236"/>
      <c r="BC295" s="236"/>
      <c r="BD295" s="236"/>
      <c r="BE295" s="236"/>
      <c r="BF295" s="236"/>
      <c r="BG295" s="236"/>
      <c r="BH295" s="38"/>
    </row>
    <row r="296" spans="1:60" x14ac:dyDescent="0.2">
      <c r="A296" s="648"/>
      <c r="B296" s="492" t="s">
        <v>335</v>
      </c>
      <c r="C296" s="656" t="s">
        <v>113</v>
      </c>
      <c r="D296" s="750"/>
      <c r="E296" s="246" t="s">
        <v>351</v>
      </c>
      <c r="F296" s="246"/>
      <c r="G296" s="246"/>
      <c r="H296" s="247" t="s">
        <v>169</v>
      </c>
      <c r="I296" s="248"/>
      <c r="J296" s="249"/>
      <c r="K296" s="90"/>
      <c r="L296" s="90"/>
      <c r="M296" s="249"/>
      <c r="N296" s="248"/>
      <c r="O296" s="251" t="str" cm="1">
        <f t="array" ref="O296">IF(O$294="","",IF(O$294="nvt","nvt",
INDEX(standaardwaarde_basis,MATCH(O$21,standaardwaarden_gebruiksfuncties,0)+1)+
MAX(0,O$34-1)*INDEX(standaardwaarde_extra_vraag_boven_grenswaarde_vormfactor,MATCH(O$21,standaardwaarden_gebruiksfuncties,0)+1)))</f>
        <v/>
      </c>
      <c r="P296" s="251" t="str" cm="1">
        <f t="array" ref="P296">IF(P$294="","",IF(P$294="nvt","nvt",
INDEX(standaardwaarde_basis,MATCH(P$21,standaardwaarden_gebruiksfuncties,0)+1)+
MAX(0,P$34-1)*INDEX(standaardwaarde_extra_vraag_boven_grenswaarde_vormfactor,MATCH(P$21,standaardwaarden_gebruiksfuncties,0)+1)))</f>
        <v/>
      </c>
      <c r="Q296" s="251" t="str" cm="1">
        <f t="array" ref="Q296">IF(Q$294="","",IF(Q$294="nvt","nvt",
INDEX(standaardwaarde_basis,MATCH(Q$21,standaardwaarden_gebruiksfuncties,0)+1)+
MAX(0,Q$34-1)*INDEX(standaardwaarde_extra_vraag_boven_grenswaarde_vormfactor,MATCH(Q$21,standaardwaarden_gebruiksfuncties,0)+1)))</f>
        <v/>
      </c>
      <c r="R296" s="251" t="str" cm="1">
        <f t="array" ref="R296">IF(R$294="","",IF(R$294="nvt","nvt",
INDEX(standaardwaarde_basis,MATCH(R$21,standaardwaarden_gebruiksfuncties,0)+1)+
MAX(0,R$34-1)*INDEX(standaardwaarde_extra_vraag_boven_grenswaarde_vormfactor,MATCH(R$21,standaardwaarden_gebruiksfuncties,0)+1)))</f>
        <v/>
      </c>
      <c r="S296" s="251" t="str" cm="1">
        <f t="array" ref="S296">IF(S$294="","",IF(S$294="nvt","nvt",
INDEX(standaardwaarde_basis,MATCH(S$21,standaardwaarden_gebruiksfuncties,0)+1)+
MAX(0,S$34-1)*INDEX(standaardwaarde_extra_vraag_boven_grenswaarde_vormfactor,MATCH(S$21,standaardwaarden_gebruiksfuncties,0)+1)))</f>
        <v/>
      </c>
      <c r="T296" s="251" t="str" cm="1">
        <f t="array" ref="T296">IF(T$294="","",IF(T$294="nvt","nvt",
INDEX(standaardwaarde_basis,MATCH(T$21,standaardwaarden_gebruiksfuncties,0)+1)+
MAX(0,T$34-1)*INDEX(standaardwaarde_extra_vraag_boven_grenswaarde_vormfactor,MATCH(T$21,standaardwaarden_gebruiksfuncties,0)+1)))</f>
        <v/>
      </c>
      <c r="U296" s="251" t="str" cm="1">
        <f t="array" ref="U296">IF(U$294="","",IF(U$294="nvt","nvt",
INDEX(standaardwaarde_basis,MATCH(U$21,standaardwaarden_gebruiksfuncties,0)+1)+
MAX(0,U$34-1)*INDEX(standaardwaarde_extra_vraag_boven_grenswaarde_vormfactor,MATCH(U$21,standaardwaarden_gebruiksfuncties,0)+1)))</f>
        <v/>
      </c>
      <c r="V296" s="251" t="str" cm="1">
        <f t="array" ref="V296">IF(V$294="","",IF(V$294="nvt","nvt",
INDEX(standaardwaarde_basis,MATCH(V$21,standaardwaarden_gebruiksfuncties,0)+1)+
MAX(0,V$34-1)*INDEX(standaardwaarde_extra_vraag_boven_grenswaarde_vormfactor,MATCH(V$21,standaardwaarden_gebruiksfuncties,0)+1)))</f>
        <v/>
      </c>
      <c r="W296" s="251" t="str" cm="1">
        <f t="array" ref="W296">IF(W$294="","",IF(W$294="nvt","nvt",
INDEX(standaardwaarde_basis,MATCH(W$21,standaardwaarden_gebruiksfuncties,0)+1)+
MAX(0,W$34-1)*INDEX(standaardwaarde_extra_vraag_boven_grenswaarde_vormfactor,MATCH(W$21,standaardwaarden_gebruiksfuncties,0)+1)))</f>
        <v/>
      </c>
      <c r="X296" s="128"/>
      <c r="Y296" s="249"/>
      <c r="Z296" s="248"/>
      <c r="AA296" s="251" t="str" cm="1">
        <f t="array" ref="AA296">IF(AA$294="","",IF(AA$294="nvt","nvt",
INDEX(standaardwaarde_basis,MATCH(AA$21,standaardwaarden_gebruiksfuncties,0)+1)+
MAX(0,AA$34-1)*INDEX(standaardwaarde_extra_vraag_boven_grenswaarde_vormfactor,MATCH(AA$21,standaardwaarden_gebruiksfuncties,0)+1)))</f>
        <v/>
      </c>
      <c r="AB296" s="251" t="str" cm="1">
        <f t="array" ref="AB296">IF(AB$294="","",IF(AB$294="nvt","nvt",
INDEX(standaardwaarde_basis,MATCH(AB$21,standaardwaarden_gebruiksfuncties,0)+1)+
MAX(0,AB$34-1)*INDEX(standaardwaarde_extra_vraag_boven_grenswaarde_vormfactor,MATCH(AB$21,standaardwaarden_gebruiksfuncties,0)+1)))</f>
        <v/>
      </c>
      <c r="AC296" s="251" t="str" cm="1">
        <f t="array" ref="AC296">IF(AC$294="","",IF(AC$294="nvt","nvt",
INDEX(standaardwaarde_basis,MATCH(AC$21,standaardwaarden_gebruiksfuncties,0)+1)+
MAX(0,AC$34-1)*INDEX(standaardwaarde_extra_vraag_boven_grenswaarde_vormfactor,MATCH(AC$21,standaardwaarden_gebruiksfuncties,0)+1)))</f>
        <v/>
      </c>
      <c r="AD296" s="251" t="str" cm="1">
        <f t="array" ref="AD296">IF(AD$294="","",IF(AD$294="nvt","nvt",
INDEX(standaardwaarde_basis,MATCH(AD$21,standaardwaarden_gebruiksfuncties,0)+1)+
MAX(0,AD$34-1)*INDEX(standaardwaarde_extra_vraag_boven_grenswaarde_vormfactor,MATCH(AD$21,standaardwaarden_gebruiksfuncties,0)+1)))</f>
        <v/>
      </c>
      <c r="AE296" s="251" t="str" cm="1">
        <f t="array" ref="AE296">IF(AE$294="","",IF(AE$294="nvt","nvt",
INDEX(standaardwaarde_basis,MATCH(AE$21,standaardwaarden_gebruiksfuncties,0)+1)+
MAX(0,AE$34-1)*INDEX(standaardwaarde_extra_vraag_boven_grenswaarde_vormfactor,MATCH(AE$21,standaardwaarden_gebruiksfuncties,0)+1)))</f>
        <v/>
      </c>
      <c r="AF296" s="251" t="str" cm="1">
        <f t="array" ref="AF296">IF(AF$294="","",IF(AF$294="nvt","nvt",
INDEX(standaardwaarde_basis,MATCH(AF$21,standaardwaarden_gebruiksfuncties,0)+1)+
MAX(0,AF$34-1)*INDEX(standaardwaarde_extra_vraag_boven_grenswaarde_vormfactor,MATCH(AF$21,standaardwaarden_gebruiksfuncties,0)+1)))</f>
        <v/>
      </c>
      <c r="AG296" s="251" t="str" cm="1">
        <f t="array" ref="AG296">IF(AG$294="","",IF(AG$294="nvt","nvt",
INDEX(standaardwaarde_basis,MATCH(AG$21,standaardwaarden_gebruiksfuncties,0)+1)+
MAX(0,AG$34-1)*INDEX(standaardwaarde_extra_vraag_boven_grenswaarde_vormfactor,MATCH(AG$21,standaardwaarden_gebruiksfuncties,0)+1)))</f>
        <v/>
      </c>
      <c r="AH296" s="251" t="str" cm="1">
        <f t="array" ref="AH296">IF(AH$294="","",IF(AH$294="nvt","nvt",
INDEX(standaardwaarde_basis,MATCH(AH$21,standaardwaarden_gebruiksfuncties,0)+1)+
MAX(0,AH$34-1)*INDEX(standaardwaarde_extra_vraag_boven_grenswaarde_vormfactor,MATCH(AH$21,standaardwaarden_gebruiksfuncties,0)+1)))</f>
        <v/>
      </c>
      <c r="AI296" s="251" t="str" cm="1">
        <f t="array" ref="AI296">IF(AI$294="","",IF(AI$294="nvt","nvt",
INDEX(standaardwaarde_basis,MATCH(AI$21,standaardwaarden_gebruiksfuncties,0)+1)+
MAX(0,AI$34-1)*INDEX(standaardwaarde_extra_vraag_boven_grenswaarde_vormfactor,MATCH(AI$21,standaardwaarden_gebruiksfuncties,0)+1)))</f>
        <v/>
      </c>
      <c r="AJ296" s="128"/>
      <c r="AK296" s="249"/>
      <c r="AL296" s="248"/>
      <c r="AM296" s="251" t="str" cm="1">
        <f t="array" ref="AM296">IF(AM$294="","",IF(AM$294="nvt","nvt",
INDEX(standaardwaarde_basis,MATCH(AM$21,standaardwaarden_gebruiksfuncties,0)+1)+
MAX(0,AM$34-1)*INDEX(standaardwaarde_extra_vraag_boven_grenswaarde_vormfactor,MATCH(AM$21,standaardwaarden_gebruiksfuncties,0)+1)))</f>
        <v/>
      </c>
      <c r="AN296" s="251" t="str" cm="1">
        <f t="array" ref="AN296">IF(AN$294="","",IF(AN$294="nvt","nvt",
INDEX(standaardwaarde_basis,MATCH(AN$21,standaardwaarden_gebruiksfuncties,0)+1)+
MAX(0,AN$34-1)*INDEX(standaardwaarde_extra_vraag_boven_grenswaarde_vormfactor,MATCH(AN$21,standaardwaarden_gebruiksfuncties,0)+1)))</f>
        <v/>
      </c>
      <c r="AO296" s="251" t="str" cm="1">
        <f t="array" ref="AO296">IF(AO$294="","",IF(AO$294="nvt","nvt",
INDEX(standaardwaarde_basis,MATCH(AO$21,standaardwaarden_gebruiksfuncties,0)+1)+
MAX(0,AO$34-1)*INDEX(standaardwaarde_extra_vraag_boven_grenswaarde_vormfactor,MATCH(AO$21,standaardwaarden_gebruiksfuncties,0)+1)))</f>
        <v/>
      </c>
      <c r="AP296" s="251" t="str" cm="1">
        <f t="array" ref="AP296">IF(AP$294="","",IF(AP$294="nvt","nvt",
INDEX(standaardwaarde_basis,MATCH(AP$21,standaardwaarden_gebruiksfuncties,0)+1)+
MAX(0,AP$34-1)*INDEX(standaardwaarde_extra_vraag_boven_grenswaarde_vormfactor,MATCH(AP$21,standaardwaarden_gebruiksfuncties,0)+1)))</f>
        <v/>
      </c>
      <c r="AQ296" s="251" t="str" cm="1">
        <f t="array" ref="AQ296">IF(AQ$294="","",IF(AQ$294="nvt","nvt",
INDEX(standaardwaarde_basis,MATCH(AQ$21,standaardwaarden_gebruiksfuncties,0)+1)+
MAX(0,AQ$34-1)*INDEX(standaardwaarde_extra_vraag_boven_grenswaarde_vormfactor,MATCH(AQ$21,standaardwaarden_gebruiksfuncties,0)+1)))</f>
        <v/>
      </c>
      <c r="AR296" s="251" t="str" cm="1">
        <f t="array" ref="AR296">IF(AR$294="","",IF(AR$294="nvt","nvt",
INDEX(standaardwaarde_basis,MATCH(AR$21,standaardwaarden_gebruiksfuncties,0)+1)+
MAX(0,AR$34-1)*INDEX(standaardwaarde_extra_vraag_boven_grenswaarde_vormfactor,MATCH(AR$21,standaardwaarden_gebruiksfuncties,0)+1)))</f>
        <v/>
      </c>
      <c r="AS296" s="251" t="str" cm="1">
        <f t="array" ref="AS296">IF(AS$294="","",IF(AS$294="nvt","nvt",
INDEX(standaardwaarde_basis,MATCH(AS$21,standaardwaarden_gebruiksfuncties,0)+1)+
MAX(0,AS$34-1)*INDEX(standaardwaarde_extra_vraag_boven_grenswaarde_vormfactor,MATCH(AS$21,standaardwaarden_gebruiksfuncties,0)+1)))</f>
        <v/>
      </c>
      <c r="AT296" s="251" t="str" cm="1">
        <f t="array" ref="AT296">IF(AT$294="","",IF(AT$294="nvt","nvt",
INDEX(standaardwaarde_basis,MATCH(AT$21,standaardwaarden_gebruiksfuncties,0)+1)+
MAX(0,AT$34-1)*INDEX(standaardwaarde_extra_vraag_boven_grenswaarde_vormfactor,MATCH(AT$21,standaardwaarden_gebruiksfuncties,0)+1)))</f>
        <v/>
      </c>
      <c r="AU296" s="251" t="str" cm="1">
        <f t="array" ref="AU296">IF(AU$294="","",IF(AU$294="nvt","nvt",
INDEX(standaardwaarde_basis,MATCH(AU$21,standaardwaarden_gebruiksfuncties,0)+1)+
MAX(0,AU$34-1)*INDEX(standaardwaarde_extra_vraag_boven_grenswaarde_vormfactor,MATCH(AU$21,standaardwaarden_gebruiksfuncties,0)+1)))</f>
        <v/>
      </c>
      <c r="AV296" s="128"/>
      <c r="AW296" s="249"/>
      <c r="AX296" s="248"/>
      <c r="AY296" s="251" t="str" cm="1">
        <f t="array" ref="AY296">IF(AY$294="","",IF(AY$294="nvt","nvt",
INDEX(standaardwaarde_basis,MATCH(AY$21,standaardwaarden_gebruiksfuncties,0)+1)+
MAX(0,AY$34-1)*INDEX(standaardwaarde_extra_vraag_boven_grenswaarde_vormfactor,MATCH(AY$21,standaardwaarden_gebruiksfuncties,0)+1)))</f>
        <v/>
      </c>
      <c r="AZ296" s="251" t="str" cm="1">
        <f t="array" ref="AZ296">IF(AZ$294="","",IF(AZ$294="nvt","nvt",
INDEX(standaardwaarde_basis,MATCH(AZ$21,standaardwaarden_gebruiksfuncties,0)+1)+
MAX(0,AZ$34-1)*INDEX(standaardwaarde_extra_vraag_boven_grenswaarde_vormfactor,MATCH(AZ$21,standaardwaarden_gebruiksfuncties,0)+1)))</f>
        <v/>
      </c>
      <c r="BA296" s="251" t="str" cm="1">
        <f t="array" ref="BA296">IF(BA$294="","",IF(BA$294="nvt","nvt",
INDEX(standaardwaarde_basis,MATCH(BA$21,standaardwaarden_gebruiksfuncties,0)+1)+
MAX(0,BA$34-1)*INDEX(standaardwaarde_extra_vraag_boven_grenswaarde_vormfactor,MATCH(BA$21,standaardwaarden_gebruiksfuncties,0)+1)))</f>
        <v/>
      </c>
      <c r="BB296" s="251" t="str" cm="1">
        <f t="array" ref="BB296">IF(BB$294="","",IF(BB$294="nvt","nvt",
INDEX(standaardwaarde_basis,MATCH(BB$21,standaardwaarden_gebruiksfuncties,0)+1)+
MAX(0,BB$34-1)*INDEX(standaardwaarde_extra_vraag_boven_grenswaarde_vormfactor,MATCH(BB$21,standaardwaarden_gebruiksfuncties,0)+1)))</f>
        <v/>
      </c>
      <c r="BC296" s="251" t="str" cm="1">
        <f t="array" ref="BC296">IF(BC$294="","",IF(BC$294="nvt","nvt",
INDEX(standaardwaarde_basis,MATCH(BC$21,standaardwaarden_gebruiksfuncties,0)+1)+
MAX(0,BC$34-1)*INDEX(standaardwaarde_extra_vraag_boven_grenswaarde_vormfactor,MATCH(BC$21,standaardwaarden_gebruiksfuncties,0)+1)))</f>
        <v/>
      </c>
      <c r="BD296" s="251" t="str" cm="1">
        <f t="array" ref="BD296">IF(BD$294="","",IF(BD$294="nvt","nvt",
INDEX(standaardwaarde_basis,MATCH(BD$21,standaardwaarden_gebruiksfuncties,0)+1)+
MAX(0,BD$34-1)*INDEX(standaardwaarde_extra_vraag_boven_grenswaarde_vormfactor,MATCH(BD$21,standaardwaarden_gebruiksfuncties,0)+1)))</f>
        <v/>
      </c>
      <c r="BE296" s="251" t="str" cm="1">
        <f t="array" ref="BE296">IF(BE$294="","",IF(BE$294="nvt","nvt",
INDEX(standaardwaarde_basis,MATCH(BE$21,standaardwaarden_gebruiksfuncties,0)+1)+
MAX(0,BE$34-1)*INDEX(standaardwaarde_extra_vraag_boven_grenswaarde_vormfactor,MATCH(BE$21,standaardwaarden_gebruiksfuncties,0)+1)))</f>
        <v/>
      </c>
      <c r="BF296" s="251" t="str" cm="1">
        <f t="array" ref="BF296">IF(BF$294="","",IF(BF$294="nvt","nvt",
INDEX(standaardwaarde_basis,MATCH(BF$21,standaardwaarden_gebruiksfuncties,0)+1)+
MAX(0,BF$34-1)*INDEX(standaardwaarde_extra_vraag_boven_grenswaarde_vormfactor,MATCH(BF$21,standaardwaarden_gebruiksfuncties,0)+1)))</f>
        <v/>
      </c>
      <c r="BG296" s="251" t="str" cm="1">
        <f t="array" ref="BG296">IF(BG$294="","",IF(BG$294="nvt","nvt",
INDEX(standaardwaarde_basis,MATCH(BG$21,standaardwaarden_gebruiksfuncties,0)+1)+
MAX(0,BG$34-1)*INDEX(standaardwaarde_extra_vraag_boven_grenswaarde_vormfactor,MATCH(BG$21,standaardwaarden_gebruiksfuncties,0)+1)))</f>
        <v/>
      </c>
      <c r="BH296" s="255"/>
    </row>
    <row r="297" spans="1:60" x14ac:dyDescent="0.2">
      <c r="A297" s="648"/>
      <c r="B297" s="492" t="s">
        <v>335</v>
      </c>
      <c r="C297" s="656" t="s">
        <v>113</v>
      </c>
      <c r="D297" s="750"/>
      <c r="E297" s="246" t="s">
        <v>349</v>
      </c>
      <c r="F297" s="246"/>
      <c r="G297" s="246"/>
      <c r="H297" s="247" t="s">
        <v>169</v>
      </c>
      <c r="I297" s="248"/>
      <c r="J297" s="249"/>
      <c r="K297" s="90"/>
      <c r="L297" s="90"/>
      <c r="M297" s="249"/>
      <c r="N297" s="248"/>
      <c r="O297" s="251" t="str">
        <f t="shared" ref="O297:W297" si="310">IF(OR(O$19="",O$40="",O$42="",O$280=""),"",IF(OR(O$21=woning,O$21=woongebouw),O$227,"nvt"))</f>
        <v/>
      </c>
      <c r="P297" s="251" t="str">
        <f t="shared" si="310"/>
        <v/>
      </c>
      <c r="Q297" s="251" t="str">
        <f t="shared" si="310"/>
        <v/>
      </c>
      <c r="R297" s="251" t="str">
        <f t="shared" si="310"/>
        <v/>
      </c>
      <c r="S297" s="251" t="str">
        <f t="shared" si="310"/>
        <v/>
      </c>
      <c r="T297" s="251" t="str">
        <f t="shared" si="310"/>
        <v/>
      </c>
      <c r="U297" s="251" t="str">
        <f t="shared" si="310"/>
        <v/>
      </c>
      <c r="V297" s="251" t="str">
        <f t="shared" si="310"/>
        <v/>
      </c>
      <c r="W297" s="251" t="str">
        <f t="shared" si="310"/>
        <v/>
      </c>
      <c r="X297" s="128"/>
      <c r="Y297" s="249"/>
      <c r="Z297" s="248"/>
      <c r="AA297" s="251" t="str">
        <f t="shared" ref="AA297:AI297" si="311">IF(OR(AA$19="",AA$40="",AA$42="",AA$280=""),"",IF(OR(AA$21=woning,AA$21=woongebouw),AA$227,"nvt"))</f>
        <v/>
      </c>
      <c r="AB297" s="251" t="str">
        <f t="shared" si="311"/>
        <v/>
      </c>
      <c r="AC297" s="251" t="str">
        <f t="shared" si="311"/>
        <v/>
      </c>
      <c r="AD297" s="251" t="str">
        <f t="shared" si="311"/>
        <v/>
      </c>
      <c r="AE297" s="251" t="str">
        <f t="shared" si="311"/>
        <v/>
      </c>
      <c r="AF297" s="251" t="str">
        <f t="shared" si="311"/>
        <v/>
      </c>
      <c r="AG297" s="251" t="str">
        <f t="shared" si="311"/>
        <v/>
      </c>
      <c r="AH297" s="251" t="str">
        <f t="shared" si="311"/>
        <v/>
      </c>
      <c r="AI297" s="251" t="str">
        <f t="shared" si="311"/>
        <v/>
      </c>
      <c r="AJ297" s="128"/>
      <c r="AK297" s="249"/>
      <c r="AL297" s="248"/>
      <c r="AM297" s="251" t="str">
        <f t="shared" ref="AM297:AU297" si="312">IF(OR(AM$19="",AM$40="",AM$42="",AM$280=""),"",IF(OR(AM$21=woning,AM$21=woongebouw),AM$227,"nvt"))</f>
        <v/>
      </c>
      <c r="AN297" s="251" t="str">
        <f t="shared" si="312"/>
        <v/>
      </c>
      <c r="AO297" s="251" t="str">
        <f t="shared" si="312"/>
        <v/>
      </c>
      <c r="AP297" s="251" t="str">
        <f t="shared" si="312"/>
        <v/>
      </c>
      <c r="AQ297" s="251" t="str">
        <f t="shared" si="312"/>
        <v/>
      </c>
      <c r="AR297" s="251" t="str">
        <f t="shared" si="312"/>
        <v/>
      </c>
      <c r="AS297" s="251" t="str">
        <f t="shared" si="312"/>
        <v/>
      </c>
      <c r="AT297" s="251" t="str">
        <f t="shared" si="312"/>
        <v/>
      </c>
      <c r="AU297" s="251" t="str">
        <f t="shared" si="312"/>
        <v/>
      </c>
      <c r="AV297" s="128"/>
      <c r="AW297" s="249"/>
      <c r="AX297" s="248"/>
      <c r="AY297" s="251" t="str">
        <f t="shared" ref="AY297:BG297" si="313">IF(OR(AY$19="",AY$40="",AY$42="",AY$280=""),"",IF(OR(AY$21=woning,AY$21=woongebouw),AY$227,"nvt"))</f>
        <v/>
      </c>
      <c r="AZ297" s="251" t="str">
        <f t="shared" si="313"/>
        <v/>
      </c>
      <c r="BA297" s="251" t="str">
        <f t="shared" si="313"/>
        <v/>
      </c>
      <c r="BB297" s="251" t="str">
        <f t="shared" si="313"/>
        <v/>
      </c>
      <c r="BC297" s="251" t="str">
        <f t="shared" si="313"/>
        <v/>
      </c>
      <c r="BD297" s="251" t="str">
        <f t="shared" si="313"/>
        <v/>
      </c>
      <c r="BE297" s="251" t="str">
        <f t="shared" si="313"/>
        <v/>
      </c>
      <c r="BF297" s="251" t="str">
        <f t="shared" si="313"/>
        <v/>
      </c>
      <c r="BG297" s="251" t="str">
        <f t="shared" si="313"/>
        <v/>
      </c>
      <c r="BH297" s="255"/>
    </row>
    <row r="298" spans="1:60" x14ac:dyDescent="0.2">
      <c r="A298" s="648"/>
      <c r="B298" s="492" t="s">
        <v>335</v>
      </c>
      <c r="C298" s="739" t="s">
        <v>104</v>
      </c>
      <c r="D298" s="747"/>
      <c r="E298" s="90"/>
      <c r="F298" s="90"/>
      <c r="G298" s="90"/>
      <c r="H298" s="96"/>
      <c r="I298" s="90"/>
      <c r="J298" s="93"/>
      <c r="K298" s="90"/>
      <c r="L298" s="90"/>
      <c r="M298" s="93"/>
      <c r="N298" s="90"/>
      <c r="O298" s="122"/>
      <c r="P298" s="122"/>
      <c r="Q298" s="122"/>
      <c r="R298" s="122"/>
      <c r="S298" s="122"/>
      <c r="T298" s="122"/>
      <c r="U298" s="122"/>
      <c r="V298" s="122"/>
      <c r="W298" s="122"/>
      <c r="X298" s="93"/>
      <c r="Y298" s="93"/>
      <c r="Z298" s="90"/>
      <c r="AA298" s="122"/>
      <c r="AB298" s="122"/>
      <c r="AC298" s="122"/>
      <c r="AD298" s="122"/>
      <c r="AE298" s="122"/>
      <c r="AF298" s="122"/>
      <c r="AG298" s="122"/>
      <c r="AH298" s="122"/>
      <c r="AI298" s="122"/>
      <c r="AJ298" s="93"/>
      <c r="AK298" s="93"/>
      <c r="AL298" s="90"/>
      <c r="AM298" s="122"/>
      <c r="AN298" s="122"/>
      <c r="AO298" s="122"/>
      <c r="AP298" s="122"/>
      <c r="AQ298" s="122"/>
      <c r="AR298" s="122"/>
      <c r="AS298" s="122"/>
      <c r="AT298" s="122"/>
      <c r="AU298" s="122"/>
      <c r="AV298" s="93"/>
      <c r="AW298" s="93"/>
      <c r="AX298" s="90"/>
      <c r="AY298" s="122"/>
      <c r="AZ298" s="122"/>
      <c r="BA298" s="122"/>
      <c r="BB298" s="122"/>
      <c r="BC298" s="122"/>
      <c r="BD298" s="122"/>
      <c r="BE298" s="122"/>
      <c r="BF298" s="122"/>
      <c r="BG298" s="122"/>
      <c r="BH298" s="1"/>
    </row>
    <row r="299" spans="1:60" x14ac:dyDescent="0.2">
      <c r="A299" s="648"/>
      <c r="B299" s="492" t="s">
        <v>352</v>
      </c>
      <c r="C299" s="656" t="s">
        <v>104</v>
      </c>
      <c r="D299" s="747"/>
      <c r="E299" s="90"/>
      <c r="F299" s="90"/>
      <c r="G299" s="90"/>
      <c r="H299" s="96"/>
      <c r="I299" s="90"/>
      <c r="J299" s="93"/>
      <c r="K299" s="90"/>
      <c r="L299" s="90"/>
      <c r="M299" s="93"/>
      <c r="N299" s="90"/>
      <c r="O299" s="93"/>
      <c r="P299" s="93"/>
      <c r="Q299" s="93"/>
      <c r="R299" s="93"/>
      <c r="S299" s="93"/>
      <c r="T299" s="93"/>
      <c r="U299" s="93"/>
      <c r="V299" s="93"/>
      <c r="W299" s="93"/>
      <c r="X299" s="93"/>
      <c r="Y299" s="93"/>
      <c r="Z299" s="90"/>
      <c r="AA299" s="93"/>
      <c r="AB299" s="93"/>
      <c r="AC299" s="93"/>
      <c r="AD299" s="93"/>
      <c r="AE299" s="93"/>
      <c r="AF299" s="93"/>
      <c r="AG299" s="93"/>
      <c r="AH299" s="93"/>
      <c r="AI299" s="93"/>
      <c r="AJ299" s="93"/>
      <c r="AK299" s="93"/>
      <c r="AL299" s="90"/>
      <c r="AM299" s="93"/>
      <c r="AN299" s="93"/>
      <c r="AO299" s="93"/>
      <c r="AP299" s="93"/>
      <c r="AQ299" s="93"/>
      <c r="AR299" s="93"/>
      <c r="AS299" s="93"/>
      <c r="AT299" s="93"/>
      <c r="AU299" s="93"/>
      <c r="AV299" s="93"/>
      <c r="AW299" s="93"/>
      <c r="AX299" s="90"/>
      <c r="AY299" s="93"/>
      <c r="AZ299" s="93"/>
      <c r="BA299" s="93"/>
      <c r="BB299" s="93"/>
      <c r="BC299" s="93"/>
      <c r="BD299" s="93"/>
      <c r="BE299" s="93"/>
      <c r="BF299" s="93"/>
      <c r="BG299" s="93"/>
      <c r="BH299" s="1"/>
    </row>
    <row r="300" spans="1:60" s="2" customFormat="1" ht="21" x14ac:dyDescent="0.2">
      <c r="A300" s="649"/>
      <c r="B300" s="492" t="s">
        <v>352</v>
      </c>
      <c r="C300" s="739" t="s">
        <v>104</v>
      </c>
      <c r="D300" s="749" t="s">
        <v>50</v>
      </c>
      <c r="E300" s="253" t="s">
        <v>353</v>
      </c>
      <c r="F300" s="253"/>
      <c r="G300" s="253"/>
      <c r="H300" s="253"/>
      <c r="I300" s="146"/>
      <c r="J300" s="318" t="str">
        <f>J$10&amp;" ton CO2"</f>
        <v>totaal ton CO2</v>
      </c>
      <c r="K300" s="142"/>
      <c r="L300" s="142"/>
      <c r="M300" s="318" t="str">
        <f>M$10&amp;" ton CO2"</f>
        <v>totaal ton CO2</v>
      </c>
      <c r="N300" s="222"/>
      <c r="O300" s="320" t="str">
        <f t="shared" ref="O300:W300" si="314">O$17</f>
        <v/>
      </c>
      <c r="P300" s="320" t="str">
        <f t="shared" si="314"/>
        <v/>
      </c>
      <c r="Q300" s="320" t="str">
        <f t="shared" si="314"/>
        <v/>
      </c>
      <c r="R300" s="320" t="str">
        <f t="shared" si="314"/>
        <v/>
      </c>
      <c r="S300" s="320" t="str">
        <f t="shared" si="314"/>
        <v/>
      </c>
      <c r="T300" s="320" t="str">
        <f t="shared" si="314"/>
        <v/>
      </c>
      <c r="U300" s="320" t="str">
        <f t="shared" si="314"/>
        <v/>
      </c>
      <c r="V300" s="320" t="str">
        <f t="shared" si="314"/>
        <v/>
      </c>
      <c r="W300" s="320" t="str">
        <f t="shared" si="314"/>
        <v/>
      </c>
      <c r="X300" s="214"/>
      <c r="Y300" s="318" t="str">
        <f>Y$10&amp;" ton CO2"</f>
        <v>totaal ton CO2</v>
      </c>
      <c r="Z300" s="222"/>
      <c r="AA300" s="320" t="str">
        <f t="shared" ref="AA300:AI300" si="315">AA$17</f>
        <v/>
      </c>
      <c r="AB300" s="320" t="str">
        <f t="shared" si="315"/>
        <v/>
      </c>
      <c r="AC300" s="320" t="str">
        <f t="shared" si="315"/>
        <v/>
      </c>
      <c r="AD300" s="320" t="str">
        <f t="shared" si="315"/>
        <v/>
      </c>
      <c r="AE300" s="320" t="str">
        <f t="shared" si="315"/>
        <v/>
      </c>
      <c r="AF300" s="320" t="str">
        <f t="shared" si="315"/>
        <v/>
      </c>
      <c r="AG300" s="320" t="str">
        <f t="shared" si="315"/>
        <v/>
      </c>
      <c r="AH300" s="320" t="str">
        <f t="shared" si="315"/>
        <v/>
      </c>
      <c r="AI300" s="320" t="str">
        <f t="shared" si="315"/>
        <v/>
      </c>
      <c r="AJ300" s="214"/>
      <c r="AK300" s="318" t="str">
        <f>AK$10&amp;" ton CO2"</f>
        <v>totaal ton CO2</v>
      </c>
      <c r="AL300" s="222"/>
      <c r="AM300" s="320" t="str">
        <f>AM$17</f>
        <v/>
      </c>
      <c r="AN300" s="320" t="str">
        <f t="shared" ref="AN300:AU300" si="316">AN$17</f>
        <v/>
      </c>
      <c r="AO300" s="320" t="str">
        <f t="shared" si="316"/>
        <v/>
      </c>
      <c r="AP300" s="320" t="str">
        <f t="shared" si="316"/>
        <v/>
      </c>
      <c r="AQ300" s="320" t="str">
        <f t="shared" si="316"/>
        <v/>
      </c>
      <c r="AR300" s="320" t="str">
        <f t="shared" si="316"/>
        <v/>
      </c>
      <c r="AS300" s="320" t="str">
        <f t="shared" si="316"/>
        <v/>
      </c>
      <c r="AT300" s="320" t="str">
        <f t="shared" si="316"/>
        <v/>
      </c>
      <c r="AU300" s="320" t="str">
        <f t="shared" si="316"/>
        <v/>
      </c>
      <c r="AV300" s="214"/>
      <c r="AW300" s="318" t="str">
        <f>AW$10&amp;" ton CO2"</f>
        <v>totaal ton CO2</v>
      </c>
      <c r="AX300" s="222"/>
      <c r="AY300" s="320" t="str">
        <f>AY$17</f>
        <v/>
      </c>
      <c r="AZ300" s="320" t="str">
        <f t="shared" ref="AZ300:BG300" si="317">AZ$17</f>
        <v/>
      </c>
      <c r="BA300" s="320" t="str">
        <f t="shared" si="317"/>
        <v/>
      </c>
      <c r="BB300" s="320" t="str">
        <f t="shared" si="317"/>
        <v/>
      </c>
      <c r="BC300" s="320" t="str">
        <f t="shared" si="317"/>
        <v/>
      </c>
      <c r="BD300" s="320" t="str">
        <f t="shared" si="317"/>
        <v/>
      </c>
      <c r="BE300" s="320" t="str">
        <f t="shared" si="317"/>
        <v/>
      </c>
      <c r="BF300" s="320" t="str">
        <f t="shared" si="317"/>
        <v/>
      </c>
      <c r="BG300" s="320" t="str">
        <f t="shared" si="317"/>
        <v/>
      </c>
      <c r="BH300" s="1"/>
    </row>
    <row r="301" spans="1:60" ht="18.75" x14ac:dyDescent="0.2">
      <c r="A301" s="648"/>
      <c r="B301" s="492" t="s">
        <v>352</v>
      </c>
      <c r="C301" s="739" t="s">
        <v>104</v>
      </c>
      <c r="D301" s="747"/>
      <c r="E301" s="236" t="s">
        <v>354</v>
      </c>
      <c r="F301" s="236"/>
      <c r="G301" s="236"/>
      <c r="H301" s="89"/>
      <c r="I301" s="236"/>
      <c r="J301" s="236"/>
      <c r="K301" s="236"/>
      <c r="L301" s="236"/>
      <c r="M301" s="236"/>
      <c r="N301" s="236"/>
      <c r="O301" s="236"/>
      <c r="P301" s="236"/>
      <c r="Q301" s="236"/>
      <c r="R301" s="236"/>
      <c r="S301" s="236"/>
      <c r="T301" s="236"/>
      <c r="U301" s="236"/>
      <c r="V301" s="236"/>
      <c r="W301" s="236"/>
      <c r="X301" s="236"/>
      <c r="Y301" s="236"/>
      <c r="Z301" s="236"/>
      <c r="AA301" s="236"/>
      <c r="AB301" s="236"/>
      <c r="AC301" s="236"/>
      <c r="AD301" s="236"/>
      <c r="AE301" s="236"/>
      <c r="AF301" s="236"/>
      <c r="AG301" s="236"/>
      <c r="AH301" s="236"/>
      <c r="AI301" s="236"/>
      <c r="AJ301" s="236"/>
      <c r="AK301" s="236"/>
      <c r="AL301" s="236"/>
      <c r="AM301" s="236"/>
      <c r="AN301" s="236"/>
      <c r="AO301" s="236"/>
      <c r="AP301" s="236"/>
      <c r="AQ301" s="236"/>
      <c r="AR301" s="236"/>
      <c r="AS301" s="236"/>
      <c r="AT301" s="236"/>
      <c r="AU301" s="236"/>
      <c r="AV301" s="236"/>
      <c r="AW301" s="236"/>
      <c r="AX301" s="236"/>
      <c r="AY301" s="236"/>
      <c r="AZ301" s="236"/>
      <c r="BA301" s="236"/>
      <c r="BB301" s="236"/>
      <c r="BC301" s="236"/>
      <c r="BD301" s="236"/>
      <c r="BE301" s="236"/>
      <c r="BF301" s="236"/>
      <c r="BG301" s="236"/>
      <c r="BH301" s="38"/>
    </row>
    <row r="302" spans="1:60" x14ac:dyDescent="0.2">
      <c r="A302" s="648"/>
      <c r="B302" s="492" t="s">
        <v>352</v>
      </c>
      <c r="C302" s="656" t="s">
        <v>113</v>
      </c>
      <c r="D302" s="750"/>
      <c r="E302" s="367" t="str">
        <f>$O$73</f>
        <v>verwarming</v>
      </c>
      <c r="F302" s="246"/>
      <c r="G302" s="246"/>
      <c r="H302" s="247" t="s">
        <v>355</v>
      </c>
      <c r="I302" s="248"/>
      <c r="J302" s="375">
        <f t="shared" ref="J302:J310" si="318">M302+Y302+AK302+AW302</f>
        <v>0</v>
      </c>
      <c r="K302" s="376"/>
      <c r="L302" s="376"/>
      <c r="M302" s="375">
        <f t="shared" ref="M302:M309" si="319">SUMPRODUCT(N302:X302,N$24:X$24,N$31:X$31)/1000</f>
        <v>0</v>
      </c>
      <c r="N302" s="376"/>
      <c r="O302" s="254">
        <f t="shared" ref="O302:W302" si="320">IF($O$75=0,0,
($O$121+$O$146+$O$162)/$O$75*O60)</f>
        <v>0</v>
      </c>
      <c r="P302" s="254">
        <f t="shared" si="320"/>
        <v>0</v>
      </c>
      <c r="Q302" s="254">
        <f t="shared" si="320"/>
        <v>0</v>
      </c>
      <c r="R302" s="254">
        <f t="shared" si="320"/>
        <v>0</v>
      </c>
      <c r="S302" s="254">
        <f t="shared" si="320"/>
        <v>0</v>
      </c>
      <c r="T302" s="254">
        <f t="shared" si="320"/>
        <v>0</v>
      </c>
      <c r="U302" s="254">
        <f t="shared" si="320"/>
        <v>0</v>
      </c>
      <c r="V302" s="254">
        <f t="shared" si="320"/>
        <v>0</v>
      </c>
      <c r="W302" s="254">
        <f t="shared" si="320"/>
        <v>0</v>
      </c>
      <c r="X302" s="255"/>
      <c r="Y302" s="375">
        <f t="shared" ref="Y302:Y309" si="321">SUMPRODUCT(Z302:AJ302,Z$24:AJ$24,Z$31:AJ$31)/1000</f>
        <v>0</v>
      </c>
      <c r="Z302" s="376"/>
      <c r="AA302" s="254">
        <f t="shared" ref="AA302:AI302" si="322">IF($AA$75=0,0,
($AA$121+$AA$146+$AA$162)/$AA$75*AA60)</f>
        <v>0</v>
      </c>
      <c r="AB302" s="254">
        <f t="shared" si="322"/>
        <v>0</v>
      </c>
      <c r="AC302" s="254">
        <f t="shared" si="322"/>
        <v>0</v>
      </c>
      <c r="AD302" s="254">
        <f t="shared" si="322"/>
        <v>0</v>
      </c>
      <c r="AE302" s="254">
        <f t="shared" si="322"/>
        <v>0</v>
      </c>
      <c r="AF302" s="254">
        <f t="shared" si="322"/>
        <v>0</v>
      </c>
      <c r="AG302" s="254">
        <f t="shared" si="322"/>
        <v>0</v>
      </c>
      <c r="AH302" s="254">
        <f t="shared" si="322"/>
        <v>0</v>
      </c>
      <c r="AI302" s="254">
        <f t="shared" si="322"/>
        <v>0</v>
      </c>
      <c r="AJ302" s="255"/>
      <c r="AK302" s="375">
        <f t="shared" ref="AK302:AK309" si="323">SUMPRODUCT(AL302:AV302,AL$24:AV$24,AL$31:AV$31)/1000</f>
        <v>0</v>
      </c>
      <c r="AL302" s="213"/>
      <c r="AM302" s="254">
        <f t="shared" ref="AM302:AU302" si="324">IF($AM$75=0,0,
($AM$121+$AM$146+$AM$162)/$AM$75*AM60)</f>
        <v>0</v>
      </c>
      <c r="AN302" s="254">
        <f t="shared" si="324"/>
        <v>0</v>
      </c>
      <c r="AO302" s="254">
        <f t="shared" si="324"/>
        <v>0</v>
      </c>
      <c r="AP302" s="254">
        <f t="shared" si="324"/>
        <v>0</v>
      </c>
      <c r="AQ302" s="254">
        <f t="shared" si="324"/>
        <v>0</v>
      </c>
      <c r="AR302" s="254">
        <f t="shared" si="324"/>
        <v>0</v>
      </c>
      <c r="AS302" s="254">
        <f t="shared" si="324"/>
        <v>0</v>
      </c>
      <c r="AT302" s="254">
        <f t="shared" si="324"/>
        <v>0</v>
      </c>
      <c r="AU302" s="254">
        <f t="shared" si="324"/>
        <v>0</v>
      </c>
      <c r="AV302" s="255"/>
      <c r="AW302" s="375">
        <f t="shared" ref="AW302:AW309" si="325">SUMPRODUCT(AX302:BH302,AX$24:BH$24,AX$31:BH$31)/1000</f>
        <v>0</v>
      </c>
      <c r="AX302" s="213"/>
      <c r="AY302" s="254">
        <f t="shared" ref="AY302:BG302" si="326">IF($AY$75=0,0,
($AY$121+$AY$146+$AY$162)/$AY$75*AY60)</f>
        <v>0</v>
      </c>
      <c r="AZ302" s="254">
        <f t="shared" si="326"/>
        <v>0</v>
      </c>
      <c r="BA302" s="254">
        <f t="shared" si="326"/>
        <v>0</v>
      </c>
      <c r="BB302" s="254">
        <f t="shared" si="326"/>
        <v>0</v>
      </c>
      <c r="BC302" s="254">
        <f t="shared" si="326"/>
        <v>0</v>
      </c>
      <c r="BD302" s="254">
        <f t="shared" si="326"/>
        <v>0</v>
      </c>
      <c r="BE302" s="254">
        <f t="shared" si="326"/>
        <v>0</v>
      </c>
      <c r="BF302" s="254">
        <f t="shared" si="326"/>
        <v>0</v>
      </c>
      <c r="BG302" s="254">
        <f t="shared" si="326"/>
        <v>0</v>
      </c>
      <c r="BH302" s="255"/>
    </row>
    <row r="303" spans="1:60" x14ac:dyDescent="0.2">
      <c r="A303" s="648"/>
      <c r="B303" s="492" t="s">
        <v>352</v>
      </c>
      <c r="C303" s="656" t="s">
        <v>113</v>
      </c>
      <c r="D303" s="750"/>
      <c r="E303" s="367" t="str">
        <f>$P$73</f>
        <v>koeling</v>
      </c>
      <c r="F303" s="246"/>
      <c r="G303" s="246"/>
      <c r="H303" s="247" t="s">
        <v>355</v>
      </c>
      <c r="I303" s="248"/>
      <c r="J303" s="375">
        <f t="shared" si="318"/>
        <v>0</v>
      </c>
      <c r="K303" s="376"/>
      <c r="L303" s="376"/>
      <c r="M303" s="375">
        <f t="shared" si="319"/>
        <v>0</v>
      </c>
      <c r="N303" s="376"/>
      <c r="O303" s="254">
        <f t="shared" ref="O303:W303" si="327">IF($P$75=0,0,
($P$121+$P$146+$P$162)/$P$75*O61)</f>
        <v>0</v>
      </c>
      <c r="P303" s="254">
        <f t="shared" si="327"/>
        <v>0</v>
      </c>
      <c r="Q303" s="254">
        <f t="shared" si="327"/>
        <v>0</v>
      </c>
      <c r="R303" s="254">
        <f t="shared" si="327"/>
        <v>0</v>
      </c>
      <c r="S303" s="254">
        <f t="shared" si="327"/>
        <v>0</v>
      </c>
      <c r="T303" s="254">
        <f t="shared" si="327"/>
        <v>0</v>
      </c>
      <c r="U303" s="254">
        <f t="shared" si="327"/>
        <v>0</v>
      </c>
      <c r="V303" s="254">
        <f t="shared" si="327"/>
        <v>0</v>
      </c>
      <c r="W303" s="254">
        <f t="shared" si="327"/>
        <v>0</v>
      </c>
      <c r="X303" s="255"/>
      <c r="Y303" s="375">
        <f t="shared" si="321"/>
        <v>0</v>
      </c>
      <c r="Z303" s="376"/>
      <c r="AA303" s="254">
        <f t="shared" ref="AA303:AI303" si="328">IF($AB$75=0,0,
($AB$121+$AB$146+$AB$162)/$AB$75*AA61)</f>
        <v>0</v>
      </c>
      <c r="AB303" s="254">
        <f t="shared" si="328"/>
        <v>0</v>
      </c>
      <c r="AC303" s="254">
        <f t="shared" si="328"/>
        <v>0</v>
      </c>
      <c r="AD303" s="254">
        <f t="shared" si="328"/>
        <v>0</v>
      </c>
      <c r="AE303" s="254">
        <f t="shared" si="328"/>
        <v>0</v>
      </c>
      <c r="AF303" s="254">
        <f t="shared" si="328"/>
        <v>0</v>
      </c>
      <c r="AG303" s="254">
        <f t="shared" si="328"/>
        <v>0</v>
      </c>
      <c r="AH303" s="254">
        <f t="shared" si="328"/>
        <v>0</v>
      </c>
      <c r="AI303" s="254">
        <f t="shared" si="328"/>
        <v>0</v>
      </c>
      <c r="AJ303" s="255"/>
      <c r="AK303" s="375">
        <f t="shared" si="323"/>
        <v>0</v>
      </c>
      <c r="AL303" s="213"/>
      <c r="AM303" s="254">
        <f t="shared" ref="AM303:AU303" si="329">IF($AN$75=0,0,
($AN$121+$AN$146+$AN$162)/$AN$75*AM61)</f>
        <v>0</v>
      </c>
      <c r="AN303" s="254">
        <f t="shared" si="329"/>
        <v>0</v>
      </c>
      <c r="AO303" s="254">
        <f t="shared" si="329"/>
        <v>0</v>
      </c>
      <c r="AP303" s="254">
        <f t="shared" si="329"/>
        <v>0</v>
      </c>
      <c r="AQ303" s="254">
        <f t="shared" si="329"/>
        <v>0</v>
      </c>
      <c r="AR303" s="254">
        <f t="shared" si="329"/>
        <v>0</v>
      </c>
      <c r="AS303" s="254">
        <f t="shared" si="329"/>
        <v>0</v>
      </c>
      <c r="AT303" s="254">
        <f t="shared" si="329"/>
        <v>0</v>
      </c>
      <c r="AU303" s="254">
        <f t="shared" si="329"/>
        <v>0</v>
      </c>
      <c r="AV303" s="255"/>
      <c r="AW303" s="375">
        <f t="shared" si="325"/>
        <v>0</v>
      </c>
      <c r="AX303" s="213"/>
      <c r="AY303" s="254">
        <f t="shared" ref="AY303:BG303" si="330">IF($AZ$75=0,0,
($AZ$121+$AZ$146+$AZ$162)/$AZ$75*AY61)</f>
        <v>0</v>
      </c>
      <c r="AZ303" s="254">
        <f t="shared" si="330"/>
        <v>0</v>
      </c>
      <c r="BA303" s="254">
        <f t="shared" si="330"/>
        <v>0</v>
      </c>
      <c r="BB303" s="254">
        <f t="shared" si="330"/>
        <v>0</v>
      </c>
      <c r="BC303" s="254">
        <f t="shared" si="330"/>
        <v>0</v>
      </c>
      <c r="BD303" s="254">
        <f t="shared" si="330"/>
        <v>0</v>
      </c>
      <c r="BE303" s="254">
        <f t="shared" si="330"/>
        <v>0</v>
      </c>
      <c r="BF303" s="254">
        <f t="shared" si="330"/>
        <v>0</v>
      </c>
      <c r="BG303" s="254">
        <f t="shared" si="330"/>
        <v>0</v>
      </c>
      <c r="BH303" s="255"/>
    </row>
    <row r="304" spans="1:60" x14ac:dyDescent="0.2">
      <c r="A304" s="648"/>
      <c r="B304" s="492" t="s">
        <v>352</v>
      </c>
      <c r="C304" s="656" t="s">
        <v>113</v>
      </c>
      <c r="D304" s="750"/>
      <c r="E304" s="367" t="str">
        <f>$Q$73</f>
        <v>tapwater</v>
      </c>
      <c r="F304" s="246"/>
      <c r="G304" s="246"/>
      <c r="H304" s="247" t="s">
        <v>355</v>
      </c>
      <c r="I304" s="248"/>
      <c r="J304" s="375">
        <f t="shared" si="318"/>
        <v>0</v>
      </c>
      <c r="K304" s="376"/>
      <c r="L304" s="376"/>
      <c r="M304" s="375">
        <f t="shared" si="319"/>
        <v>0</v>
      </c>
      <c r="N304" s="376"/>
      <c r="O304" s="254">
        <f t="shared" ref="O304:W304" si="331">IF($Q$75=0,0,
($Q$121+$Q$146+$Q$162)/$Q$75*O62)</f>
        <v>0</v>
      </c>
      <c r="P304" s="254">
        <f t="shared" si="331"/>
        <v>0</v>
      </c>
      <c r="Q304" s="254">
        <f t="shared" si="331"/>
        <v>0</v>
      </c>
      <c r="R304" s="254">
        <f t="shared" si="331"/>
        <v>0</v>
      </c>
      <c r="S304" s="254">
        <f t="shared" si="331"/>
        <v>0</v>
      </c>
      <c r="T304" s="254">
        <f t="shared" si="331"/>
        <v>0</v>
      </c>
      <c r="U304" s="254">
        <f t="shared" si="331"/>
        <v>0</v>
      </c>
      <c r="V304" s="254">
        <f t="shared" si="331"/>
        <v>0</v>
      </c>
      <c r="W304" s="254">
        <f t="shared" si="331"/>
        <v>0</v>
      </c>
      <c r="X304" s="255"/>
      <c r="Y304" s="375">
        <f t="shared" si="321"/>
        <v>0</v>
      </c>
      <c r="Z304" s="376"/>
      <c r="AA304" s="254">
        <f t="shared" ref="AA304:AI304" si="332">IF($AC$75=0,0,
($AC$121+$AC$146+$AC$162)/$AC$75*AA62)</f>
        <v>0</v>
      </c>
      <c r="AB304" s="254">
        <f t="shared" si="332"/>
        <v>0</v>
      </c>
      <c r="AC304" s="254">
        <f t="shared" si="332"/>
        <v>0</v>
      </c>
      <c r="AD304" s="254">
        <f t="shared" si="332"/>
        <v>0</v>
      </c>
      <c r="AE304" s="254">
        <f t="shared" si="332"/>
        <v>0</v>
      </c>
      <c r="AF304" s="254">
        <f t="shared" si="332"/>
        <v>0</v>
      </c>
      <c r="AG304" s="254">
        <f t="shared" si="332"/>
        <v>0</v>
      </c>
      <c r="AH304" s="254">
        <f t="shared" si="332"/>
        <v>0</v>
      </c>
      <c r="AI304" s="254">
        <f t="shared" si="332"/>
        <v>0</v>
      </c>
      <c r="AJ304" s="255"/>
      <c r="AK304" s="375">
        <f t="shared" si="323"/>
        <v>0</v>
      </c>
      <c r="AL304" s="213"/>
      <c r="AM304" s="254">
        <f t="shared" ref="AM304:AU304" si="333">IF($AO$75=0,0,
($AO$121+$AO$146+$AO$162)/$AO$75*AM62)</f>
        <v>0</v>
      </c>
      <c r="AN304" s="254">
        <f t="shared" si="333"/>
        <v>0</v>
      </c>
      <c r="AO304" s="254">
        <f t="shared" si="333"/>
        <v>0</v>
      </c>
      <c r="AP304" s="254">
        <f t="shared" si="333"/>
        <v>0</v>
      </c>
      <c r="AQ304" s="254">
        <f t="shared" si="333"/>
        <v>0</v>
      </c>
      <c r="AR304" s="254">
        <f t="shared" si="333"/>
        <v>0</v>
      </c>
      <c r="AS304" s="254">
        <f t="shared" si="333"/>
        <v>0</v>
      </c>
      <c r="AT304" s="254">
        <f t="shared" si="333"/>
        <v>0</v>
      </c>
      <c r="AU304" s="254">
        <f t="shared" si="333"/>
        <v>0</v>
      </c>
      <c r="AV304" s="255"/>
      <c r="AW304" s="375">
        <f t="shared" si="325"/>
        <v>0</v>
      </c>
      <c r="AX304" s="213"/>
      <c r="AY304" s="254">
        <f t="shared" ref="AY304:BG304" si="334">IF($BA$75=0,0,
($BA$121+$BA$146+$BA$162)/$BA$75*AY62)</f>
        <v>0</v>
      </c>
      <c r="AZ304" s="254">
        <f t="shared" si="334"/>
        <v>0</v>
      </c>
      <c r="BA304" s="254">
        <f t="shared" si="334"/>
        <v>0</v>
      </c>
      <c r="BB304" s="254">
        <f t="shared" si="334"/>
        <v>0</v>
      </c>
      <c r="BC304" s="254">
        <f t="shared" si="334"/>
        <v>0</v>
      </c>
      <c r="BD304" s="254">
        <f t="shared" si="334"/>
        <v>0</v>
      </c>
      <c r="BE304" s="254">
        <f t="shared" si="334"/>
        <v>0</v>
      </c>
      <c r="BF304" s="254">
        <f t="shared" si="334"/>
        <v>0</v>
      </c>
      <c r="BG304" s="254">
        <f t="shared" si="334"/>
        <v>0</v>
      </c>
      <c r="BH304" s="255"/>
    </row>
    <row r="305" spans="1:60" x14ac:dyDescent="0.2">
      <c r="A305" s="648"/>
      <c r="B305" s="492" t="s">
        <v>352</v>
      </c>
      <c r="C305" s="656" t="s">
        <v>113</v>
      </c>
      <c r="D305" s="750"/>
      <c r="E305" s="367" t="str">
        <f>$R$73</f>
        <v>verlichting</v>
      </c>
      <c r="F305" s="246"/>
      <c r="G305" s="246"/>
      <c r="H305" s="247" t="s">
        <v>355</v>
      </c>
      <c r="I305" s="248"/>
      <c r="J305" s="375">
        <f t="shared" si="318"/>
        <v>0</v>
      </c>
      <c r="K305" s="376"/>
      <c r="L305" s="376"/>
      <c r="M305" s="375">
        <f t="shared" si="319"/>
        <v>0</v>
      </c>
      <c r="N305" s="376"/>
      <c r="O305" s="254">
        <f t="shared" ref="O305:W305" si="335">IF($R$75=0,0,$R$162/$R$75*O63)</f>
        <v>0</v>
      </c>
      <c r="P305" s="254">
        <f t="shared" si="335"/>
        <v>0</v>
      </c>
      <c r="Q305" s="254">
        <f t="shared" si="335"/>
        <v>0</v>
      </c>
      <c r="R305" s="254">
        <f t="shared" si="335"/>
        <v>0</v>
      </c>
      <c r="S305" s="254">
        <f t="shared" si="335"/>
        <v>0</v>
      </c>
      <c r="T305" s="254">
        <f t="shared" si="335"/>
        <v>0</v>
      </c>
      <c r="U305" s="254">
        <f t="shared" si="335"/>
        <v>0</v>
      </c>
      <c r="V305" s="254">
        <f t="shared" si="335"/>
        <v>0</v>
      </c>
      <c r="W305" s="254">
        <f t="shared" si="335"/>
        <v>0</v>
      </c>
      <c r="X305" s="255"/>
      <c r="Y305" s="375">
        <f t="shared" si="321"/>
        <v>0</v>
      </c>
      <c r="Z305" s="376"/>
      <c r="AA305" s="254">
        <f t="shared" ref="AA305:AI305" si="336">IF($AD$75=0,0,$AD$162/$AD$75*AA63)</f>
        <v>0</v>
      </c>
      <c r="AB305" s="254">
        <f t="shared" si="336"/>
        <v>0</v>
      </c>
      <c r="AC305" s="254">
        <f t="shared" si="336"/>
        <v>0</v>
      </c>
      <c r="AD305" s="254">
        <f t="shared" si="336"/>
        <v>0</v>
      </c>
      <c r="AE305" s="254">
        <f t="shared" si="336"/>
        <v>0</v>
      </c>
      <c r="AF305" s="254">
        <f t="shared" si="336"/>
        <v>0</v>
      </c>
      <c r="AG305" s="254">
        <f t="shared" si="336"/>
        <v>0</v>
      </c>
      <c r="AH305" s="254">
        <f t="shared" si="336"/>
        <v>0</v>
      </c>
      <c r="AI305" s="254">
        <f t="shared" si="336"/>
        <v>0</v>
      </c>
      <c r="AJ305" s="255"/>
      <c r="AK305" s="375">
        <f t="shared" si="323"/>
        <v>0</v>
      </c>
      <c r="AL305" s="213"/>
      <c r="AM305" s="254">
        <f t="shared" ref="AM305:AU305" si="337">IF($AP$75=0,0,$AP$162/$AP$75*AM63)</f>
        <v>0</v>
      </c>
      <c r="AN305" s="254">
        <f t="shared" si="337"/>
        <v>0</v>
      </c>
      <c r="AO305" s="254">
        <f t="shared" si="337"/>
        <v>0</v>
      </c>
      <c r="AP305" s="254">
        <f t="shared" si="337"/>
        <v>0</v>
      </c>
      <c r="AQ305" s="254">
        <f t="shared" si="337"/>
        <v>0</v>
      </c>
      <c r="AR305" s="254">
        <f t="shared" si="337"/>
        <v>0</v>
      </c>
      <c r="AS305" s="254">
        <f t="shared" si="337"/>
        <v>0</v>
      </c>
      <c r="AT305" s="254">
        <f t="shared" si="337"/>
        <v>0</v>
      </c>
      <c r="AU305" s="254">
        <f t="shared" si="337"/>
        <v>0</v>
      </c>
      <c r="AV305" s="255"/>
      <c r="AW305" s="375">
        <f t="shared" si="325"/>
        <v>0</v>
      </c>
      <c r="AX305" s="213"/>
      <c r="AY305" s="254">
        <f t="shared" ref="AY305:BG305" si="338">IF($BB$75=0,0,$BB$162/$BB$75*AY63)</f>
        <v>0</v>
      </c>
      <c r="AZ305" s="254">
        <f t="shared" si="338"/>
        <v>0</v>
      </c>
      <c r="BA305" s="254">
        <f t="shared" si="338"/>
        <v>0</v>
      </c>
      <c r="BB305" s="254">
        <f t="shared" si="338"/>
        <v>0</v>
      </c>
      <c r="BC305" s="254">
        <f t="shared" si="338"/>
        <v>0</v>
      </c>
      <c r="BD305" s="254">
        <f t="shared" si="338"/>
        <v>0</v>
      </c>
      <c r="BE305" s="254">
        <f t="shared" si="338"/>
        <v>0</v>
      </c>
      <c r="BF305" s="254">
        <f t="shared" si="338"/>
        <v>0</v>
      </c>
      <c r="BG305" s="254">
        <f t="shared" si="338"/>
        <v>0</v>
      </c>
      <c r="BH305" s="255"/>
    </row>
    <row r="306" spans="1:60" x14ac:dyDescent="0.2">
      <c r="A306" s="648"/>
      <c r="B306" s="492" t="s">
        <v>352</v>
      </c>
      <c r="C306" s="656" t="s">
        <v>113</v>
      </c>
      <c r="D306" s="750"/>
      <c r="E306" s="367" t="str">
        <f>$S$73</f>
        <v>ventilatoren</v>
      </c>
      <c r="F306" s="246"/>
      <c r="G306" s="246"/>
      <c r="H306" s="247" t="s">
        <v>355</v>
      </c>
      <c r="I306" s="248"/>
      <c r="J306" s="375">
        <f t="shared" si="318"/>
        <v>0</v>
      </c>
      <c r="K306" s="376"/>
      <c r="L306" s="376"/>
      <c r="M306" s="375">
        <f t="shared" si="319"/>
        <v>0</v>
      </c>
      <c r="N306" s="376"/>
      <c r="O306" s="254">
        <f t="shared" ref="O306:W306" si="339">IF($S$75=0,0,$S$162/$S$75*O64)</f>
        <v>0</v>
      </c>
      <c r="P306" s="254">
        <f t="shared" si="339"/>
        <v>0</v>
      </c>
      <c r="Q306" s="254">
        <f t="shared" si="339"/>
        <v>0</v>
      </c>
      <c r="R306" s="254">
        <f t="shared" si="339"/>
        <v>0</v>
      </c>
      <c r="S306" s="254">
        <f t="shared" si="339"/>
        <v>0</v>
      </c>
      <c r="T306" s="254">
        <f t="shared" si="339"/>
        <v>0</v>
      </c>
      <c r="U306" s="254">
        <f t="shared" si="339"/>
        <v>0</v>
      </c>
      <c r="V306" s="254">
        <f t="shared" si="339"/>
        <v>0</v>
      </c>
      <c r="W306" s="254">
        <f t="shared" si="339"/>
        <v>0</v>
      </c>
      <c r="X306" s="255"/>
      <c r="Y306" s="375">
        <f t="shared" si="321"/>
        <v>0</v>
      </c>
      <c r="Z306" s="376"/>
      <c r="AA306" s="254">
        <f t="shared" ref="AA306:AI306" si="340">IF($AE$75=0,0,$AE$162/$AE$75*AA64)</f>
        <v>0</v>
      </c>
      <c r="AB306" s="254">
        <f t="shared" si="340"/>
        <v>0</v>
      </c>
      <c r="AC306" s="254">
        <f t="shared" si="340"/>
        <v>0</v>
      </c>
      <c r="AD306" s="254">
        <f t="shared" si="340"/>
        <v>0</v>
      </c>
      <c r="AE306" s="254">
        <f t="shared" si="340"/>
        <v>0</v>
      </c>
      <c r="AF306" s="254">
        <f t="shared" si="340"/>
        <v>0</v>
      </c>
      <c r="AG306" s="254">
        <f t="shared" si="340"/>
        <v>0</v>
      </c>
      <c r="AH306" s="254">
        <f t="shared" si="340"/>
        <v>0</v>
      </c>
      <c r="AI306" s="254">
        <f t="shared" si="340"/>
        <v>0</v>
      </c>
      <c r="AJ306" s="255"/>
      <c r="AK306" s="375">
        <f t="shared" si="323"/>
        <v>0</v>
      </c>
      <c r="AL306" s="213"/>
      <c r="AM306" s="254">
        <f t="shared" ref="AM306:AU306" si="341">IF($AQ$75=0,0,$AQ$162/$AQ$75*AM64)</f>
        <v>0</v>
      </c>
      <c r="AN306" s="254">
        <f t="shared" si="341"/>
        <v>0</v>
      </c>
      <c r="AO306" s="254">
        <f t="shared" si="341"/>
        <v>0</v>
      </c>
      <c r="AP306" s="254">
        <f t="shared" si="341"/>
        <v>0</v>
      </c>
      <c r="AQ306" s="254">
        <f t="shared" si="341"/>
        <v>0</v>
      </c>
      <c r="AR306" s="254">
        <f t="shared" si="341"/>
        <v>0</v>
      </c>
      <c r="AS306" s="254">
        <f t="shared" si="341"/>
        <v>0</v>
      </c>
      <c r="AT306" s="254">
        <f t="shared" si="341"/>
        <v>0</v>
      </c>
      <c r="AU306" s="254">
        <f t="shared" si="341"/>
        <v>0</v>
      </c>
      <c r="AV306" s="255"/>
      <c r="AW306" s="375">
        <f t="shared" si="325"/>
        <v>0</v>
      </c>
      <c r="AX306" s="213"/>
      <c r="AY306" s="254">
        <f t="shared" ref="AY306:BG306" si="342">IF($BC$75=0,0,$BC$162/$BC$75*AY64)</f>
        <v>0</v>
      </c>
      <c r="AZ306" s="254">
        <f t="shared" si="342"/>
        <v>0</v>
      </c>
      <c r="BA306" s="254">
        <f t="shared" si="342"/>
        <v>0</v>
      </c>
      <c r="BB306" s="254">
        <f t="shared" si="342"/>
        <v>0</v>
      </c>
      <c r="BC306" s="254">
        <f t="shared" si="342"/>
        <v>0</v>
      </c>
      <c r="BD306" s="254">
        <f t="shared" si="342"/>
        <v>0</v>
      </c>
      <c r="BE306" s="254">
        <f t="shared" si="342"/>
        <v>0</v>
      </c>
      <c r="BF306" s="254">
        <f t="shared" si="342"/>
        <v>0</v>
      </c>
      <c r="BG306" s="254">
        <f t="shared" si="342"/>
        <v>0</v>
      </c>
      <c r="BH306" s="255"/>
    </row>
    <row r="307" spans="1:60" x14ac:dyDescent="0.2">
      <c r="A307" s="648"/>
      <c r="B307" s="492" t="s">
        <v>352</v>
      </c>
      <c r="C307" s="656" t="s">
        <v>113</v>
      </c>
      <c r="D307" s="750"/>
      <c r="E307" s="367" t="str">
        <f>$T$73</f>
        <v>kookgas</v>
      </c>
      <c r="F307" s="246"/>
      <c r="G307" s="246"/>
      <c r="H307" s="247" t="s">
        <v>355</v>
      </c>
      <c r="I307" s="248"/>
      <c r="J307" s="375">
        <f t="shared" si="318"/>
        <v>0</v>
      </c>
      <c r="K307" s="376"/>
      <c r="L307" s="376"/>
      <c r="M307" s="375">
        <f t="shared" si="319"/>
        <v>0</v>
      </c>
      <c r="N307" s="376"/>
      <c r="O307" s="254">
        <f t="shared" ref="O307:W307" si="343">IF($T$75=0,0,$T$162/$T$75*O65)</f>
        <v>0</v>
      </c>
      <c r="P307" s="254">
        <f t="shared" si="343"/>
        <v>0</v>
      </c>
      <c r="Q307" s="254">
        <f t="shared" si="343"/>
        <v>0</v>
      </c>
      <c r="R307" s="254">
        <f t="shared" si="343"/>
        <v>0</v>
      </c>
      <c r="S307" s="254">
        <f t="shared" si="343"/>
        <v>0</v>
      </c>
      <c r="T307" s="254">
        <f t="shared" si="343"/>
        <v>0</v>
      </c>
      <c r="U307" s="254">
        <f t="shared" si="343"/>
        <v>0</v>
      </c>
      <c r="V307" s="254">
        <f t="shared" si="343"/>
        <v>0</v>
      </c>
      <c r="W307" s="254">
        <f t="shared" si="343"/>
        <v>0</v>
      </c>
      <c r="X307" s="255"/>
      <c r="Y307" s="375">
        <f t="shared" si="321"/>
        <v>0</v>
      </c>
      <c r="Z307" s="376"/>
      <c r="AA307" s="254">
        <f t="shared" ref="AA307:AI307" si="344">IF($AF$75=0,0,$AF$162/$AF$75*AA65)</f>
        <v>0</v>
      </c>
      <c r="AB307" s="254">
        <f t="shared" si="344"/>
        <v>0</v>
      </c>
      <c r="AC307" s="254">
        <f t="shared" si="344"/>
        <v>0</v>
      </c>
      <c r="AD307" s="254">
        <f t="shared" si="344"/>
        <v>0</v>
      </c>
      <c r="AE307" s="254">
        <f t="shared" si="344"/>
        <v>0</v>
      </c>
      <c r="AF307" s="254">
        <f t="shared" si="344"/>
        <v>0</v>
      </c>
      <c r="AG307" s="254">
        <f t="shared" si="344"/>
        <v>0</v>
      </c>
      <c r="AH307" s="254">
        <f t="shared" si="344"/>
        <v>0</v>
      </c>
      <c r="AI307" s="254">
        <f t="shared" si="344"/>
        <v>0</v>
      </c>
      <c r="AJ307" s="255"/>
      <c r="AK307" s="375">
        <f t="shared" si="323"/>
        <v>0</v>
      </c>
      <c r="AL307" s="213"/>
      <c r="AM307" s="254">
        <f t="shared" ref="AM307:AU307" si="345">IF($AR$75=0,0,$AR$162/$AR$75*AM65)</f>
        <v>0</v>
      </c>
      <c r="AN307" s="254">
        <f t="shared" si="345"/>
        <v>0</v>
      </c>
      <c r="AO307" s="254">
        <f t="shared" si="345"/>
        <v>0</v>
      </c>
      <c r="AP307" s="254">
        <f t="shared" si="345"/>
        <v>0</v>
      </c>
      <c r="AQ307" s="254">
        <f t="shared" si="345"/>
        <v>0</v>
      </c>
      <c r="AR307" s="254">
        <f t="shared" si="345"/>
        <v>0</v>
      </c>
      <c r="AS307" s="254">
        <f t="shared" si="345"/>
        <v>0</v>
      </c>
      <c r="AT307" s="254">
        <f t="shared" si="345"/>
        <v>0</v>
      </c>
      <c r="AU307" s="254">
        <f t="shared" si="345"/>
        <v>0</v>
      </c>
      <c r="AV307" s="255"/>
      <c r="AW307" s="375">
        <f t="shared" si="325"/>
        <v>0</v>
      </c>
      <c r="AX307" s="213"/>
      <c r="AY307" s="254">
        <f t="shared" ref="AY307:BG307" si="346">IF($BD$75=0,0,$BD$162/$BD$75*AY65)</f>
        <v>0</v>
      </c>
      <c r="AZ307" s="254">
        <f t="shared" si="346"/>
        <v>0</v>
      </c>
      <c r="BA307" s="254">
        <f t="shared" si="346"/>
        <v>0</v>
      </c>
      <c r="BB307" s="254">
        <f t="shared" si="346"/>
        <v>0</v>
      </c>
      <c r="BC307" s="254">
        <f t="shared" si="346"/>
        <v>0</v>
      </c>
      <c r="BD307" s="254">
        <f t="shared" si="346"/>
        <v>0</v>
      </c>
      <c r="BE307" s="254">
        <f t="shared" si="346"/>
        <v>0</v>
      </c>
      <c r="BF307" s="254">
        <f t="shared" si="346"/>
        <v>0</v>
      </c>
      <c r="BG307" s="254">
        <f t="shared" si="346"/>
        <v>0</v>
      </c>
      <c r="BH307" s="255"/>
    </row>
    <row r="308" spans="1:60" x14ac:dyDescent="0.2">
      <c r="A308" s="648"/>
      <c r="B308" s="492" t="s">
        <v>352</v>
      </c>
      <c r="C308" s="656" t="s">
        <v>113</v>
      </c>
      <c r="D308" s="750"/>
      <c r="E308" s="367" t="str">
        <f>$U$73</f>
        <v>overig elektra</v>
      </c>
      <c r="F308" s="246"/>
      <c r="G308" s="246"/>
      <c r="H308" s="247" t="s">
        <v>355</v>
      </c>
      <c r="I308" s="248"/>
      <c r="J308" s="375">
        <f t="shared" si="318"/>
        <v>0</v>
      </c>
      <c r="K308" s="376"/>
      <c r="L308" s="376"/>
      <c r="M308" s="375">
        <f t="shared" si="319"/>
        <v>0</v>
      </c>
      <c r="N308" s="376"/>
      <c r="O308" s="254">
        <f t="shared" ref="O308:W308" si="347">IF($U$75=0,0,$U$162/$U$75*O66)</f>
        <v>0</v>
      </c>
      <c r="P308" s="254">
        <f t="shared" si="347"/>
        <v>0</v>
      </c>
      <c r="Q308" s="254">
        <f t="shared" si="347"/>
        <v>0</v>
      </c>
      <c r="R308" s="254">
        <f t="shared" si="347"/>
        <v>0</v>
      </c>
      <c r="S308" s="254">
        <f t="shared" si="347"/>
        <v>0</v>
      </c>
      <c r="T308" s="254">
        <f t="shared" si="347"/>
        <v>0</v>
      </c>
      <c r="U308" s="254">
        <f t="shared" si="347"/>
        <v>0</v>
      </c>
      <c r="V308" s="254">
        <f t="shared" si="347"/>
        <v>0</v>
      </c>
      <c r="W308" s="254">
        <f t="shared" si="347"/>
        <v>0</v>
      </c>
      <c r="X308" s="255"/>
      <c r="Y308" s="375">
        <f t="shared" si="321"/>
        <v>0</v>
      </c>
      <c r="Z308" s="376"/>
      <c r="AA308" s="254">
        <f t="shared" ref="AA308:AI308" si="348">IF($AG$75=0,0,$AG$162/$AG$75*AA66)</f>
        <v>0</v>
      </c>
      <c r="AB308" s="254">
        <f t="shared" si="348"/>
        <v>0</v>
      </c>
      <c r="AC308" s="254">
        <f t="shared" si="348"/>
        <v>0</v>
      </c>
      <c r="AD308" s="254">
        <f t="shared" si="348"/>
        <v>0</v>
      </c>
      <c r="AE308" s="254">
        <f t="shared" si="348"/>
        <v>0</v>
      </c>
      <c r="AF308" s="254">
        <f t="shared" si="348"/>
        <v>0</v>
      </c>
      <c r="AG308" s="254">
        <f t="shared" si="348"/>
        <v>0</v>
      </c>
      <c r="AH308" s="254">
        <f t="shared" si="348"/>
        <v>0</v>
      </c>
      <c r="AI308" s="254">
        <f t="shared" si="348"/>
        <v>0</v>
      </c>
      <c r="AJ308" s="255"/>
      <c r="AK308" s="375">
        <f t="shared" si="323"/>
        <v>0</v>
      </c>
      <c r="AL308" s="213"/>
      <c r="AM308" s="254">
        <f t="shared" ref="AM308:AU308" si="349">IF($AS$75=0,0,$AS$162/$AS$75*AM66)</f>
        <v>0</v>
      </c>
      <c r="AN308" s="254">
        <f t="shared" si="349"/>
        <v>0</v>
      </c>
      <c r="AO308" s="254">
        <f t="shared" si="349"/>
        <v>0</v>
      </c>
      <c r="AP308" s="254">
        <f t="shared" si="349"/>
        <v>0</v>
      </c>
      <c r="AQ308" s="254">
        <f t="shared" si="349"/>
        <v>0</v>
      </c>
      <c r="AR308" s="254">
        <f t="shared" si="349"/>
        <v>0</v>
      </c>
      <c r="AS308" s="254">
        <f t="shared" si="349"/>
        <v>0</v>
      </c>
      <c r="AT308" s="254">
        <f t="shared" si="349"/>
        <v>0</v>
      </c>
      <c r="AU308" s="254">
        <f t="shared" si="349"/>
        <v>0</v>
      </c>
      <c r="AV308" s="255"/>
      <c r="AW308" s="375">
        <f t="shared" si="325"/>
        <v>0</v>
      </c>
      <c r="AX308" s="213"/>
      <c r="AY308" s="254">
        <f t="shared" ref="AY308:BG308" si="350">IF($BE$75=0,0,$BE$162/$BE$75*AY66)</f>
        <v>0</v>
      </c>
      <c r="AZ308" s="254">
        <f t="shared" si="350"/>
        <v>0</v>
      </c>
      <c r="BA308" s="254">
        <f t="shared" si="350"/>
        <v>0</v>
      </c>
      <c r="BB308" s="254">
        <f t="shared" si="350"/>
        <v>0</v>
      </c>
      <c r="BC308" s="254">
        <f t="shared" si="350"/>
        <v>0</v>
      </c>
      <c r="BD308" s="254">
        <f t="shared" si="350"/>
        <v>0</v>
      </c>
      <c r="BE308" s="254">
        <f t="shared" si="350"/>
        <v>0</v>
      </c>
      <c r="BF308" s="254">
        <f t="shared" si="350"/>
        <v>0</v>
      </c>
      <c r="BG308" s="254">
        <f t="shared" si="350"/>
        <v>0</v>
      </c>
      <c r="BH308" s="255"/>
    </row>
    <row r="309" spans="1:60" x14ac:dyDescent="0.2">
      <c r="A309" s="648"/>
      <c r="B309" s="492" t="s">
        <v>352</v>
      </c>
      <c r="C309" s="656" t="s">
        <v>113</v>
      </c>
      <c r="D309" s="750"/>
      <c r="E309" s="367" t="str">
        <f>$V$73</f>
        <v>mobiliteit</v>
      </c>
      <c r="F309" s="246"/>
      <c r="G309" s="246"/>
      <c r="H309" s="247" t="s">
        <v>355</v>
      </c>
      <c r="I309" s="248"/>
      <c r="J309" s="375">
        <f t="shared" si="318"/>
        <v>0</v>
      </c>
      <c r="K309" s="376"/>
      <c r="L309" s="376"/>
      <c r="M309" s="375">
        <f t="shared" si="319"/>
        <v>0</v>
      </c>
      <c r="N309" s="376"/>
      <c r="O309" s="254">
        <f t="shared" ref="O309:W309" si="351">IF(OR($V$154=0,O$31=0),0,$V$162/$V$154*O$68/O$31)</f>
        <v>0</v>
      </c>
      <c r="P309" s="254">
        <f t="shared" si="351"/>
        <v>0</v>
      </c>
      <c r="Q309" s="254">
        <f t="shared" si="351"/>
        <v>0</v>
      </c>
      <c r="R309" s="254">
        <f t="shared" si="351"/>
        <v>0</v>
      </c>
      <c r="S309" s="254">
        <f t="shared" si="351"/>
        <v>0</v>
      </c>
      <c r="T309" s="254">
        <f t="shared" si="351"/>
        <v>0</v>
      </c>
      <c r="U309" s="254">
        <f t="shared" si="351"/>
        <v>0</v>
      </c>
      <c r="V309" s="254">
        <f t="shared" si="351"/>
        <v>0</v>
      </c>
      <c r="W309" s="254">
        <f t="shared" si="351"/>
        <v>0</v>
      </c>
      <c r="X309" s="255"/>
      <c r="Y309" s="375">
        <f t="shared" si="321"/>
        <v>0</v>
      </c>
      <c r="Z309" s="376"/>
      <c r="AA309" s="254">
        <f t="shared" ref="AA309:AI309" si="352">IF(OR($AH$154=0,AA$31=0),0,$AH$162/$AH$154*AA$68/AA$31)</f>
        <v>0</v>
      </c>
      <c r="AB309" s="254">
        <f t="shared" si="352"/>
        <v>0</v>
      </c>
      <c r="AC309" s="254">
        <f t="shared" si="352"/>
        <v>0</v>
      </c>
      <c r="AD309" s="254">
        <f t="shared" si="352"/>
        <v>0</v>
      </c>
      <c r="AE309" s="254">
        <f t="shared" si="352"/>
        <v>0</v>
      </c>
      <c r="AF309" s="254">
        <f t="shared" si="352"/>
        <v>0</v>
      </c>
      <c r="AG309" s="254">
        <f t="shared" si="352"/>
        <v>0</v>
      </c>
      <c r="AH309" s="254">
        <f t="shared" si="352"/>
        <v>0</v>
      </c>
      <c r="AI309" s="254">
        <f t="shared" si="352"/>
        <v>0</v>
      </c>
      <c r="AJ309" s="255"/>
      <c r="AK309" s="375">
        <f t="shared" si="323"/>
        <v>0</v>
      </c>
      <c r="AL309" s="213"/>
      <c r="AM309" s="254">
        <f t="shared" ref="AM309:AU309" si="353">IF(OR($AT$154=0,AM$31=0),0,$AT$162/$AT$154*AM$68/AM$31)</f>
        <v>0</v>
      </c>
      <c r="AN309" s="254">
        <f t="shared" si="353"/>
        <v>0</v>
      </c>
      <c r="AO309" s="254">
        <f t="shared" si="353"/>
        <v>0</v>
      </c>
      <c r="AP309" s="254">
        <f t="shared" si="353"/>
        <v>0</v>
      </c>
      <c r="AQ309" s="254">
        <f t="shared" si="353"/>
        <v>0</v>
      </c>
      <c r="AR309" s="254">
        <f t="shared" si="353"/>
        <v>0</v>
      </c>
      <c r="AS309" s="254">
        <f t="shared" si="353"/>
        <v>0</v>
      </c>
      <c r="AT309" s="254">
        <f t="shared" si="353"/>
        <v>0</v>
      </c>
      <c r="AU309" s="254">
        <f t="shared" si="353"/>
        <v>0</v>
      </c>
      <c r="AV309" s="255"/>
      <c r="AW309" s="375">
        <f t="shared" si="325"/>
        <v>0</v>
      </c>
      <c r="AX309" s="213"/>
      <c r="AY309" s="254">
        <f t="shared" ref="AY309:BG309" si="354">IF(OR($BF$154=0,AY$31=0),0,$BF$162/$BF$154*AY$68/AY$31)</f>
        <v>0</v>
      </c>
      <c r="AZ309" s="254">
        <f t="shared" si="354"/>
        <v>0</v>
      </c>
      <c r="BA309" s="254">
        <f t="shared" si="354"/>
        <v>0</v>
      </c>
      <c r="BB309" s="254">
        <f t="shared" si="354"/>
        <v>0</v>
      </c>
      <c r="BC309" s="254">
        <f t="shared" si="354"/>
        <v>0</v>
      </c>
      <c r="BD309" s="254">
        <f t="shared" si="354"/>
        <v>0</v>
      </c>
      <c r="BE309" s="254">
        <f t="shared" si="354"/>
        <v>0</v>
      </c>
      <c r="BF309" s="254">
        <f t="shared" si="354"/>
        <v>0</v>
      </c>
      <c r="BG309" s="254">
        <f t="shared" si="354"/>
        <v>0</v>
      </c>
      <c r="BH309" s="255"/>
    </row>
    <row r="310" spans="1:60" x14ac:dyDescent="0.2">
      <c r="A310" s="648"/>
      <c r="B310" s="492" t="s">
        <v>352</v>
      </c>
      <c r="C310" s="656" t="s">
        <v>113</v>
      </c>
      <c r="D310" s="750"/>
      <c r="E310" s="246" t="s">
        <v>356</v>
      </c>
      <c r="F310" s="246"/>
      <c r="G310" s="246"/>
      <c r="H310" s="247" t="s">
        <v>355</v>
      </c>
      <c r="I310" s="248"/>
      <c r="J310" s="375">
        <f t="shared" si="318"/>
        <v>0</v>
      </c>
      <c r="K310" s="376"/>
      <c r="L310" s="376"/>
      <c r="M310" s="375">
        <f>SUM(M302:M309)</f>
        <v>0</v>
      </c>
      <c r="N310" s="376"/>
      <c r="O310" s="254">
        <f t="shared" ref="O310:W310" si="355">SUM(O302:O309)</f>
        <v>0</v>
      </c>
      <c r="P310" s="254">
        <f t="shared" si="355"/>
        <v>0</v>
      </c>
      <c r="Q310" s="254">
        <f t="shared" si="355"/>
        <v>0</v>
      </c>
      <c r="R310" s="254">
        <f t="shared" si="355"/>
        <v>0</v>
      </c>
      <c r="S310" s="254">
        <f t="shared" si="355"/>
        <v>0</v>
      </c>
      <c r="T310" s="254">
        <f>SUM(T302:T309)</f>
        <v>0</v>
      </c>
      <c r="U310" s="254">
        <f t="shared" si="355"/>
        <v>0</v>
      </c>
      <c r="V310" s="254">
        <f t="shared" si="355"/>
        <v>0</v>
      </c>
      <c r="W310" s="254">
        <f t="shared" si="355"/>
        <v>0</v>
      </c>
      <c r="X310" s="255"/>
      <c r="Y310" s="375">
        <f>SUM(Y302:Y309)</f>
        <v>0</v>
      </c>
      <c r="Z310" s="376"/>
      <c r="AA310" s="254">
        <f t="shared" ref="AA310:AI310" si="356">SUM(AA302:AA309)</f>
        <v>0</v>
      </c>
      <c r="AB310" s="254">
        <f t="shared" si="356"/>
        <v>0</v>
      </c>
      <c r="AC310" s="254">
        <f t="shared" si="356"/>
        <v>0</v>
      </c>
      <c r="AD310" s="254">
        <f t="shared" si="356"/>
        <v>0</v>
      </c>
      <c r="AE310" s="254">
        <f t="shared" si="356"/>
        <v>0</v>
      </c>
      <c r="AF310" s="254">
        <f>SUM(AF302:AF309)</f>
        <v>0</v>
      </c>
      <c r="AG310" s="254">
        <f t="shared" si="356"/>
        <v>0</v>
      </c>
      <c r="AH310" s="254">
        <f t="shared" si="356"/>
        <v>0</v>
      </c>
      <c r="AI310" s="254">
        <f t="shared" si="356"/>
        <v>0</v>
      </c>
      <c r="AJ310" s="255"/>
      <c r="AK310" s="375">
        <f>SUM(AK302:AK309)</f>
        <v>0</v>
      </c>
      <c r="AL310" s="213"/>
      <c r="AM310" s="254">
        <f t="shared" ref="AM310:AU310" si="357">SUM(AM302:AM309)</f>
        <v>0</v>
      </c>
      <c r="AN310" s="254">
        <f t="shared" si="357"/>
        <v>0</v>
      </c>
      <c r="AO310" s="254">
        <f t="shared" si="357"/>
        <v>0</v>
      </c>
      <c r="AP310" s="254">
        <f t="shared" si="357"/>
        <v>0</v>
      </c>
      <c r="AQ310" s="254">
        <f t="shared" si="357"/>
        <v>0</v>
      </c>
      <c r="AR310" s="254">
        <f>SUM(AR302:AR309)</f>
        <v>0</v>
      </c>
      <c r="AS310" s="254">
        <f t="shared" si="357"/>
        <v>0</v>
      </c>
      <c r="AT310" s="254">
        <f t="shared" si="357"/>
        <v>0</v>
      </c>
      <c r="AU310" s="254">
        <f t="shared" si="357"/>
        <v>0</v>
      </c>
      <c r="AV310" s="255"/>
      <c r="AW310" s="375">
        <f>SUM(AW302:AW309)</f>
        <v>0</v>
      </c>
      <c r="AX310" s="213"/>
      <c r="AY310" s="254">
        <f t="shared" ref="AY310:BG310" si="358">SUM(AY302:AY309)</f>
        <v>0</v>
      </c>
      <c r="AZ310" s="254">
        <f t="shared" si="358"/>
        <v>0</v>
      </c>
      <c r="BA310" s="254">
        <f t="shared" si="358"/>
        <v>0</v>
      </c>
      <c r="BB310" s="254">
        <f t="shared" si="358"/>
        <v>0</v>
      </c>
      <c r="BC310" s="254">
        <f t="shared" si="358"/>
        <v>0</v>
      </c>
      <c r="BD310" s="254">
        <f>SUM(BD302:BD309)</f>
        <v>0</v>
      </c>
      <c r="BE310" s="254">
        <f t="shared" si="358"/>
        <v>0</v>
      </c>
      <c r="BF310" s="254">
        <f t="shared" si="358"/>
        <v>0</v>
      </c>
      <c r="BG310" s="254">
        <f t="shared" si="358"/>
        <v>0</v>
      </c>
      <c r="BH310" s="255"/>
    </row>
    <row r="311" spans="1:60" ht="18.75" x14ac:dyDescent="0.2">
      <c r="A311" s="648"/>
      <c r="B311" s="492" t="s">
        <v>352</v>
      </c>
      <c r="C311" s="739" t="s">
        <v>104</v>
      </c>
      <c r="D311" s="747"/>
      <c r="E311" s="236" t="s">
        <v>357</v>
      </c>
      <c r="F311" s="236"/>
      <c r="G311" s="236"/>
      <c r="H311" s="89"/>
      <c r="I311" s="236"/>
      <c r="J311" s="279"/>
      <c r="K311" s="279"/>
      <c r="L311" s="279"/>
      <c r="M311" s="279"/>
      <c r="N311" s="279"/>
      <c r="O311" s="279"/>
      <c r="P311" s="279"/>
      <c r="Q311" s="279"/>
      <c r="R311" s="279"/>
      <c r="S311" s="279"/>
      <c r="T311" s="279"/>
      <c r="U311" s="279"/>
      <c r="V311" s="279"/>
      <c r="W311" s="279"/>
      <c r="X311" s="279"/>
      <c r="Y311" s="279"/>
      <c r="Z311" s="279"/>
      <c r="AA311" s="279"/>
      <c r="AB311" s="279"/>
      <c r="AC311" s="279"/>
      <c r="AD311" s="279"/>
      <c r="AE311" s="279"/>
      <c r="AF311" s="279"/>
      <c r="AG311" s="279"/>
      <c r="AH311" s="279"/>
      <c r="AI311" s="279"/>
      <c r="AJ311" s="279"/>
      <c r="AK311" s="279"/>
      <c r="AL311" s="279"/>
      <c r="AM311" s="279"/>
      <c r="AN311" s="279"/>
      <c r="AO311" s="279"/>
      <c r="AP311" s="279"/>
      <c r="AQ311" s="279"/>
      <c r="AR311" s="279"/>
      <c r="AS311" s="279"/>
      <c r="AT311" s="279"/>
      <c r="AU311" s="279"/>
      <c r="AV311" s="279"/>
      <c r="AW311" s="279"/>
      <c r="AX311" s="279"/>
      <c r="AY311" s="279"/>
      <c r="AZ311" s="279"/>
      <c r="BA311" s="279"/>
      <c r="BB311" s="279"/>
      <c r="BC311" s="279"/>
      <c r="BD311" s="279"/>
      <c r="BE311" s="279"/>
      <c r="BF311" s="279"/>
      <c r="BG311" s="279"/>
      <c r="BH311" s="38"/>
    </row>
    <row r="312" spans="1:60" x14ac:dyDescent="0.2">
      <c r="A312" s="648"/>
      <c r="B312" s="492" t="s">
        <v>352</v>
      </c>
      <c r="C312" s="656" t="s">
        <v>113</v>
      </c>
      <c r="D312" s="750"/>
      <c r="E312" s="220" t="s">
        <v>358</v>
      </c>
      <c r="F312" s="246"/>
      <c r="G312" s="246"/>
      <c r="H312" s="247" t="s">
        <v>355</v>
      </c>
      <c r="I312" s="248"/>
      <c r="J312" s="375">
        <f>M312+Y312+AK312+AW312</f>
        <v>0</v>
      </c>
      <c r="K312" s="376"/>
      <c r="L312" s="376"/>
      <c r="M312" s="375">
        <f>SUMPRODUCT(N312:X312,N$24:X$24,N$31:X$31)/1000</f>
        <v>0</v>
      </c>
      <c r="N312" s="376"/>
      <c r="O312" s="254">
        <f t="shared" ref="O312:W312" si="359">IF(OR(O$24=0,O$31=0,($M$167+$M$168)=0),0,
-(O234*$M$167/($M$167+$M$168)*$M$181*1000)/(O24*O31))</f>
        <v>0</v>
      </c>
      <c r="P312" s="254">
        <f t="shared" si="359"/>
        <v>0</v>
      </c>
      <c r="Q312" s="254">
        <f t="shared" si="359"/>
        <v>0</v>
      </c>
      <c r="R312" s="254">
        <f t="shared" si="359"/>
        <v>0</v>
      </c>
      <c r="S312" s="254">
        <f t="shared" si="359"/>
        <v>0</v>
      </c>
      <c r="T312" s="254">
        <f t="shared" si="359"/>
        <v>0</v>
      </c>
      <c r="U312" s="254">
        <f t="shared" si="359"/>
        <v>0</v>
      </c>
      <c r="V312" s="254">
        <f t="shared" si="359"/>
        <v>0</v>
      </c>
      <c r="W312" s="254">
        <f t="shared" si="359"/>
        <v>0</v>
      </c>
      <c r="X312" s="255"/>
      <c r="Y312" s="375">
        <f>SUMPRODUCT(Z312:AJ312,Z$24:AJ$24,Z$31:AJ$31)/1000</f>
        <v>0</v>
      </c>
      <c r="Z312" s="376"/>
      <c r="AA312" s="254">
        <f t="shared" ref="AA312:AI312" si="360">IF(OR(AA$24=0,AA$31=0,($Y$167+$Y$168)=0),0,
-(AA234*$Y$167/($Y$167+$Y$168)*$Y$181*1000)/(AA24*AA31))</f>
        <v>0</v>
      </c>
      <c r="AB312" s="254">
        <f t="shared" si="360"/>
        <v>0</v>
      </c>
      <c r="AC312" s="254">
        <f t="shared" si="360"/>
        <v>0</v>
      </c>
      <c r="AD312" s="254">
        <f t="shared" si="360"/>
        <v>0</v>
      </c>
      <c r="AE312" s="254">
        <f t="shared" si="360"/>
        <v>0</v>
      </c>
      <c r="AF312" s="254">
        <f t="shared" si="360"/>
        <v>0</v>
      </c>
      <c r="AG312" s="254">
        <f t="shared" si="360"/>
        <v>0</v>
      </c>
      <c r="AH312" s="254">
        <f t="shared" si="360"/>
        <v>0</v>
      </c>
      <c r="AI312" s="254">
        <f t="shared" si="360"/>
        <v>0</v>
      </c>
      <c r="AJ312" s="255"/>
      <c r="AK312" s="375">
        <f>SUMPRODUCT(AL312:AV312,AL$24:AV$24,AL$31:AV$31)/1000</f>
        <v>0</v>
      </c>
      <c r="AL312" s="213"/>
      <c r="AM312" s="254">
        <f t="shared" ref="AM312:AU312" si="361">IF(OR(AM$24=0,AM$31=0,($AK$167+$AK$168)=0),0,
-(AM234*$AK$167/($AK$167+$AK$168)*$AK$181*1000)/(AM24*AM31))</f>
        <v>0</v>
      </c>
      <c r="AN312" s="254">
        <f t="shared" si="361"/>
        <v>0</v>
      </c>
      <c r="AO312" s="254">
        <f t="shared" si="361"/>
        <v>0</v>
      </c>
      <c r="AP312" s="254">
        <f t="shared" si="361"/>
        <v>0</v>
      </c>
      <c r="AQ312" s="254">
        <f t="shared" si="361"/>
        <v>0</v>
      </c>
      <c r="AR312" s="254">
        <f t="shared" si="361"/>
        <v>0</v>
      </c>
      <c r="AS312" s="254">
        <f t="shared" si="361"/>
        <v>0</v>
      </c>
      <c r="AT312" s="254">
        <f t="shared" si="361"/>
        <v>0</v>
      </c>
      <c r="AU312" s="254">
        <f t="shared" si="361"/>
        <v>0</v>
      </c>
      <c r="AV312" s="255"/>
      <c r="AW312" s="375">
        <f>SUMPRODUCT(AX312:BH312,AX$24:BH$24,AX$31:BH$31)/1000</f>
        <v>0</v>
      </c>
      <c r="AX312" s="213"/>
      <c r="AY312" s="254">
        <f t="shared" ref="AY312:BG312" si="362">IF(OR(AY$24=0,AY$31=0,($AW$167+$AW$168)=0),0,
-(AY234*$AW$167/($AW$167+$AW$168)*$AW$181*1000)/(AY24*AY31))</f>
        <v>0</v>
      </c>
      <c r="AZ312" s="254">
        <f t="shared" si="362"/>
        <v>0</v>
      </c>
      <c r="BA312" s="254">
        <f t="shared" si="362"/>
        <v>0</v>
      </c>
      <c r="BB312" s="254">
        <f t="shared" si="362"/>
        <v>0</v>
      </c>
      <c r="BC312" s="254">
        <f t="shared" si="362"/>
        <v>0</v>
      </c>
      <c r="BD312" s="254">
        <f t="shared" si="362"/>
        <v>0</v>
      </c>
      <c r="BE312" s="254">
        <f t="shared" si="362"/>
        <v>0</v>
      </c>
      <c r="BF312" s="254">
        <f t="shared" si="362"/>
        <v>0</v>
      </c>
      <c r="BG312" s="254">
        <f t="shared" si="362"/>
        <v>0</v>
      </c>
      <c r="BH312" s="255"/>
    </row>
    <row r="313" spans="1:60" x14ac:dyDescent="0.2">
      <c r="A313" s="648"/>
      <c r="B313" s="492" t="s">
        <v>352</v>
      </c>
      <c r="C313" s="656" t="s">
        <v>113</v>
      </c>
      <c r="D313" s="750"/>
      <c r="E313" s="220" t="s">
        <v>359</v>
      </c>
      <c r="F313" s="246"/>
      <c r="G313" s="246"/>
      <c r="H313" s="247" t="s">
        <v>355</v>
      </c>
      <c r="I313" s="248"/>
      <c r="J313" s="375">
        <f>M313+Y313+AK313+AW313</f>
        <v>0</v>
      </c>
      <c r="K313" s="376"/>
      <c r="L313" s="376"/>
      <c r="M313" s="375">
        <f>SUMPRODUCT(N313:X313,N$24:X$24,N$31:X$31)/1000</f>
        <v>0</v>
      </c>
      <c r="N313" s="376"/>
      <c r="O313" s="254">
        <f t="shared" ref="O313:W313" si="363">IF(OR(O$24=0,O$31=0,($M$167+$M$168)=0),0,
-O70*$M$181/($M$167+$M$168)/O31)</f>
        <v>0</v>
      </c>
      <c r="P313" s="254">
        <f t="shared" si="363"/>
        <v>0</v>
      </c>
      <c r="Q313" s="254">
        <f t="shared" si="363"/>
        <v>0</v>
      </c>
      <c r="R313" s="254">
        <f t="shared" si="363"/>
        <v>0</v>
      </c>
      <c r="S313" s="254">
        <f t="shared" si="363"/>
        <v>0</v>
      </c>
      <c r="T313" s="254">
        <f t="shared" si="363"/>
        <v>0</v>
      </c>
      <c r="U313" s="254">
        <f t="shared" si="363"/>
        <v>0</v>
      </c>
      <c r="V313" s="254">
        <f t="shared" si="363"/>
        <v>0</v>
      </c>
      <c r="W313" s="254">
        <f t="shared" si="363"/>
        <v>0</v>
      </c>
      <c r="X313" s="255"/>
      <c r="Y313" s="375">
        <f>SUMPRODUCT(Z313:AJ313,Z$24:AJ$24,Z$31:AJ$31)/1000</f>
        <v>0</v>
      </c>
      <c r="Z313" s="376"/>
      <c r="AA313" s="254">
        <f t="shared" ref="AA313:AI313" si="364">IF(OR(AA$24=0,AA$31=0,($Y$167+$Y$168)=0),0,
-AA70*$Y$181/($Y$167+$Y$168)/AA31)</f>
        <v>0</v>
      </c>
      <c r="AB313" s="254">
        <f t="shared" si="364"/>
        <v>0</v>
      </c>
      <c r="AC313" s="254">
        <f t="shared" si="364"/>
        <v>0</v>
      </c>
      <c r="AD313" s="254">
        <f t="shared" si="364"/>
        <v>0</v>
      </c>
      <c r="AE313" s="254">
        <f t="shared" si="364"/>
        <v>0</v>
      </c>
      <c r="AF313" s="254">
        <f t="shared" si="364"/>
        <v>0</v>
      </c>
      <c r="AG313" s="254">
        <f t="shared" si="364"/>
        <v>0</v>
      </c>
      <c r="AH313" s="254">
        <f t="shared" si="364"/>
        <v>0</v>
      </c>
      <c r="AI313" s="254">
        <f t="shared" si="364"/>
        <v>0</v>
      </c>
      <c r="AJ313" s="255"/>
      <c r="AK313" s="375">
        <f>SUMPRODUCT(AL313:AV313,AL$24:AV$24,AL$31:AV$31)/1000</f>
        <v>0</v>
      </c>
      <c r="AL313" s="213"/>
      <c r="AM313" s="254">
        <f t="shared" ref="AM313:AU313" si="365">IF(OR(AM$24=0,AM$31=0,($AK$167+$AK$168)=0),0,
-AM70*$AK$181/($AK$167+$AK$168)/AM31)</f>
        <v>0</v>
      </c>
      <c r="AN313" s="254">
        <f t="shared" si="365"/>
        <v>0</v>
      </c>
      <c r="AO313" s="254">
        <f t="shared" si="365"/>
        <v>0</v>
      </c>
      <c r="AP313" s="254">
        <f t="shared" si="365"/>
        <v>0</v>
      </c>
      <c r="AQ313" s="254">
        <f t="shared" si="365"/>
        <v>0</v>
      </c>
      <c r="AR313" s="254">
        <f t="shared" si="365"/>
        <v>0</v>
      </c>
      <c r="AS313" s="254">
        <f t="shared" si="365"/>
        <v>0</v>
      </c>
      <c r="AT313" s="254">
        <f t="shared" si="365"/>
        <v>0</v>
      </c>
      <c r="AU313" s="254">
        <f t="shared" si="365"/>
        <v>0</v>
      </c>
      <c r="AV313" s="255"/>
      <c r="AW313" s="375">
        <f>SUMPRODUCT(AX313:BH313,AX$24:BH$24,AX$31:BH$31)/1000</f>
        <v>0</v>
      </c>
      <c r="AX313" s="213"/>
      <c r="AY313" s="254">
        <f t="shared" ref="AY313:BG313" si="366">IF(OR(AY$24=0,AY$31=0,($AW$167+$AW$168)=0),0,
-AY70*$AW$181/($AW$167+$AW$168)/AY31)</f>
        <v>0</v>
      </c>
      <c r="AZ313" s="254">
        <f t="shared" si="366"/>
        <v>0</v>
      </c>
      <c r="BA313" s="254">
        <f t="shared" si="366"/>
        <v>0</v>
      </c>
      <c r="BB313" s="254">
        <f t="shared" si="366"/>
        <v>0</v>
      </c>
      <c r="BC313" s="254">
        <f t="shared" si="366"/>
        <v>0</v>
      </c>
      <c r="BD313" s="254">
        <f t="shared" si="366"/>
        <v>0</v>
      </c>
      <c r="BE313" s="254">
        <f t="shared" si="366"/>
        <v>0</v>
      </c>
      <c r="BF313" s="254">
        <f t="shared" si="366"/>
        <v>0</v>
      </c>
      <c r="BG313" s="254">
        <f t="shared" si="366"/>
        <v>0</v>
      </c>
      <c r="BH313" s="255"/>
    </row>
    <row r="314" spans="1:60" x14ac:dyDescent="0.2">
      <c r="A314" s="648"/>
      <c r="B314" s="492" t="s">
        <v>352</v>
      </c>
      <c r="C314" s="656" t="s">
        <v>113</v>
      </c>
      <c r="D314" s="750"/>
      <c r="E314" s="246" t="s">
        <v>360</v>
      </c>
      <c r="F314" s="246"/>
      <c r="G314" s="246"/>
      <c r="H314" s="247" t="s">
        <v>355</v>
      </c>
      <c r="I314" s="248"/>
      <c r="J314" s="375">
        <f>M314+Y314+AK314+AW314</f>
        <v>0</v>
      </c>
      <c r="K314" s="376"/>
      <c r="L314" s="376"/>
      <c r="M314" s="375">
        <f>M312+M313</f>
        <v>0</v>
      </c>
      <c r="N314" s="376"/>
      <c r="O314" s="254">
        <f t="shared" ref="O314:W314" si="367">O312+O313</f>
        <v>0</v>
      </c>
      <c r="P314" s="254">
        <f t="shared" si="367"/>
        <v>0</v>
      </c>
      <c r="Q314" s="254">
        <f t="shared" si="367"/>
        <v>0</v>
      </c>
      <c r="R314" s="254">
        <f t="shared" si="367"/>
        <v>0</v>
      </c>
      <c r="S314" s="254">
        <f t="shared" si="367"/>
        <v>0</v>
      </c>
      <c r="T314" s="254">
        <f>T312+T313</f>
        <v>0</v>
      </c>
      <c r="U314" s="254">
        <f t="shared" si="367"/>
        <v>0</v>
      </c>
      <c r="V314" s="254">
        <f t="shared" si="367"/>
        <v>0</v>
      </c>
      <c r="W314" s="254">
        <f t="shared" si="367"/>
        <v>0</v>
      </c>
      <c r="X314" s="255"/>
      <c r="Y314" s="375">
        <f>Y312+Y313</f>
        <v>0</v>
      </c>
      <c r="Z314" s="376"/>
      <c r="AA314" s="254">
        <f t="shared" ref="AA314:AI314" si="368">AA312+AA313</f>
        <v>0</v>
      </c>
      <c r="AB314" s="254">
        <f t="shared" si="368"/>
        <v>0</v>
      </c>
      <c r="AC314" s="254">
        <f t="shared" si="368"/>
        <v>0</v>
      </c>
      <c r="AD314" s="254">
        <f t="shared" si="368"/>
        <v>0</v>
      </c>
      <c r="AE314" s="254">
        <f t="shared" si="368"/>
        <v>0</v>
      </c>
      <c r="AF314" s="254">
        <f>AF312+AF313</f>
        <v>0</v>
      </c>
      <c r="AG314" s="254">
        <f t="shared" si="368"/>
        <v>0</v>
      </c>
      <c r="AH314" s="254">
        <f t="shared" si="368"/>
        <v>0</v>
      </c>
      <c r="AI314" s="254">
        <f t="shared" si="368"/>
        <v>0</v>
      </c>
      <c r="AJ314" s="255"/>
      <c r="AK314" s="375">
        <f>AK312+AK313</f>
        <v>0</v>
      </c>
      <c r="AL314" s="213"/>
      <c r="AM314" s="254">
        <f t="shared" ref="AM314:AU314" si="369">AM312+AM313</f>
        <v>0</v>
      </c>
      <c r="AN314" s="254">
        <f t="shared" si="369"/>
        <v>0</v>
      </c>
      <c r="AO314" s="254">
        <f t="shared" si="369"/>
        <v>0</v>
      </c>
      <c r="AP314" s="254">
        <f t="shared" si="369"/>
        <v>0</v>
      </c>
      <c r="AQ314" s="254">
        <f t="shared" si="369"/>
        <v>0</v>
      </c>
      <c r="AR314" s="254">
        <f>AR312+AR313</f>
        <v>0</v>
      </c>
      <c r="AS314" s="254">
        <f t="shared" si="369"/>
        <v>0</v>
      </c>
      <c r="AT314" s="254">
        <f t="shared" si="369"/>
        <v>0</v>
      </c>
      <c r="AU314" s="254">
        <f t="shared" si="369"/>
        <v>0</v>
      </c>
      <c r="AV314" s="255"/>
      <c r="AW314" s="375">
        <f>AW312+AW313</f>
        <v>0</v>
      </c>
      <c r="AX314" s="213"/>
      <c r="AY314" s="254">
        <f t="shared" ref="AY314:BG314" si="370">AY312+AY313</f>
        <v>0</v>
      </c>
      <c r="AZ314" s="254">
        <f t="shared" si="370"/>
        <v>0</v>
      </c>
      <c r="BA314" s="254">
        <f t="shared" si="370"/>
        <v>0</v>
      </c>
      <c r="BB314" s="254">
        <f t="shared" si="370"/>
        <v>0</v>
      </c>
      <c r="BC314" s="254">
        <f t="shared" si="370"/>
        <v>0</v>
      </c>
      <c r="BD314" s="254">
        <f>BD312+BD313</f>
        <v>0</v>
      </c>
      <c r="BE314" s="254">
        <f t="shared" si="370"/>
        <v>0</v>
      </c>
      <c r="BF314" s="254">
        <f t="shared" si="370"/>
        <v>0</v>
      </c>
      <c r="BG314" s="254">
        <f t="shared" si="370"/>
        <v>0</v>
      </c>
      <c r="BH314" s="255"/>
    </row>
    <row r="315" spans="1:60" ht="18.75" x14ac:dyDescent="0.2">
      <c r="A315" s="648"/>
      <c r="B315" s="492" t="s">
        <v>352</v>
      </c>
      <c r="C315" s="739" t="s">
        <v>104</v>
      </c>
      <c r="D315" s="747"/>
      <c r="E315" s="236" t="s">
        <v>361</v>
      </c>
      <c r="F315" s="236"/>
      <c r="G315" s="236"/>
      <c r="H315" s="89"/>
      <c r="I315" s="236"/>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279"/>
      <c r="AF315" s="279"/>
      <c r="AG315" s="279"/>
      <c r="AH315" s="279"/>
      <c r="AI315" s="279"/>
      <c r="AJ315" s="279"/>
      <c r="AK315" s="279"/>
      <c r="AL315" s="279"/>
      <c r="AM315" s="279"/>
      <c r="AN315" s="279"/>
      <c r="AO315" s="279"/>
      <c r="AP315" s="279"/>
      <c r="AQ315" s="279"/>
      <c r="AR315" s="279"/>
      <c r="AS315" s="279"/>
      <c r="AT315" s="279"/>
      <c r="AU315" s="279"/>
      <c r="AV315" s="279"/>
      <c r="AW315" s="279"/>
      <c r="AX315" s="279"/>
      <c r="AY315" s="279"/>
      <c r="AZ315" s="279"/>
      <c r="BA315" s="279"/>
      <c r="BB315" s="279"/>
      <c r="BC315" s="279"/>
      <c r="BD315" s="279"/>
      <c r="BE315" s="279"/>
      <c r="BF315" s="279"/>
      <c r="BG315" s="279"/>
      <c r="BH315" s="38"/>
    </row>
    <row r="316" spans="1:60" x14ac:dyDescent="0.2">
      <c r="A316" s="648"/>
      <c r="B316" s="492" t="s">
        <v>352</v>
      </c>
      <c r="C316" s="656" t="s">
        <v>113</v>
      </c>
      <c r="D316" s="750"/>
      <c r="E316" s="246" t="s">
        <v>362</v>
      </c>
      <c r="F316" s="246"/>
      <c r="G316" s="246"/>
      <c r="H316" s="247" t="s">
        <v>355</v>
      </c>
      <c r="I316" s="248"/>
      <c r="J316" s="375">
        <f>M316+Y316+AK316+AW316</f>
        <v>0</v>
      </c>
      <c r="K316" s="376"/>
      <c r="L316" s="376"/>
      <c r="M316" s="375">
        <f>M310+M314</f>
        <v>0</v>
      </c>
      <c r="N316" s="376"/>
      <c r="O316" s="254">
        <f t="shared" ref="O316:W316" si="371">O310+O314</f>
        <v>0</v>
      </c>
      <c r="P316" s="254">
        <f t="shared" si="371"/>
        <v>0</v>
      </c>
      <c r="Q316" s="254">
        <f t="shared" si="371"/>
        <v>0</v>
      </c>
      <c r="R316" s="254">
        <f t="shared" si="371"/>
        <v>0</v>
      </c>
      <c r="S316" s="254">
        <f t="shared" si="371"/>
        <v>0</v>
      </c>
      <c r="T316" s="254">
        <f>T310+T314</f>
        <v>0</v>
      </c>
      <c r="U316" s="254">
        <f t="shared" si="371"/>
        <v>0</v>
      </c>
      <c r="V316" s="254">
        <f t="shared" si="371"/>
        <v>0</v>
      </c>
      <c r="W316" s="254">
        <f t="shared" si="371"/>
        <v>0</v>
      </c>
      <c r="X316" s="255"/>
      <c r="Y316" s="375">
        <f>Y310+Y314</f>
        <v>0</v>
      </c>
      <c r="Z316" s="376"/>
      <c r="AA316" s="254">
        <f t="shared" ref="AA316:AI316" si="372">AA310+AA314</f>
        <v>0</v>
      </c>
      <c r="AB316" s="254">
        <f t="shared" si="372"/>
        <v>0</v>
      </c>
      <c r="AC316" s="254">
        <f t="shared" si="372"/>
        <v>0</v>
      </c>
      <c r="AD316" s="254">
        <f t="shared" si="372"/>
        <v>0</v>
      </c>
      <c r="AE316" s="254">
        <f t="shared" si="372"/>
        <v>0</v>
      </c>
      <c r="AF316" s="254">
        <f>AF310+AF314</f>
        <v>0</v>
      </c>
      <c r="AG316" s="254">
        <f t="shared" si="372"/>
        <v>0</v>
      </c>
      <c r="AH316" s="254">
        <f t="shared" si="372"/>
        <v>0</v>
      </c>
      <c r="AI316" s="254">
        <f t="shared" si="372"/>
        <v>0</v>
      </c>
      <c r="AJ316" s="255"/>
      <c r="AK316" s="375">
        <f>AK310+AK314</f>
        <v>0</v>
      </c>
      <c r="AL316" s="213"/>
      <c r="AM316" s="254">
        <f t="shared" ref="AM316:AU316" si="373">AM310+AM314</f>
        <v>0</v>
      </c>
      <c r="AN316" s="254">
        <f t="shared" si="373"/>
        <v>0</v>
      </c>
      <c r="AO316" s="254">
        <f t="shared" si="373"/>
        <v>0</v>
      </c>
      <c r="AP316" s="254">
        <f t="shared" si="373"/>
        <v>0</v>
      </c>
      <c r="AQ316" s="254">
        <f t="shared" si="373"/>
        <v>0</v>
      </c>
      <c r="AR316" s="254">
        <f>AR310+AR314</f>
        <v>0</v>
      </c>
      <c r="AS316" s="254">
        <f t="shared" si="373"/>
        <v>0</v>
      </c>
      <c r="AT316" s="254">
        <f t="shared" si="373"/>
        <v>0</v>
      </c>
      <c r="AU316" s="254">
        <f t="shared" si="373"/>
        <v>0</v>
      </c>
      <c r="AV316" s="255"/>
      <c r="AW316" s="375">
        <f>AW310+AW314</f>
        <v>0</v>
      </c>
      <c r="AX316" s="213"/>
      <c r="AY316" s="254">
        <f t="shared" ref="AY316:BG316" si="374">AY310+AY314</f>
        <v>0</v>
      </c>
      <c r="AZ316" s="254">
        <f t="shared" si="374"/>
        <v>0</v>
      </c>
      <c r="BA316" s="254">
        <f t="shared" si="374"/>
        <v>0</v>
      </c>
      <c r="BB316" s="254">
        <f t="shared" si="374"/>
        <v>0</v>
      </c>
      <c r="BC316" s="254">
        <f t="shared" si="374"/>
        <v>0</v>
      </c>
      <c r="BD316" s="254">
        <f>BD310+BD314</f>
        <v>0</v>
      </c>
      <c r="BE316" s="254">
        <f t="shared" si="374"/>
        <v>0</v>
      </c>
      <c r="BF316" s="254">
        <f t="shared" si="374"/>
        <v>0</v>
      </c>
      <c r="BG316" s="254">
        <f t="shared" si="374"/>
        <v>0</v>
      </c>
      <c r="BH316" s="255"/>
    </row>
    <row r="317" spans="1:60" ht="18.75" x14ac:dyDescent="0.2">
      <c r="A317" s="648"/>
      <c r="B317" s="492" t="s">
        <v>352</v>
      </c>
      <c r="C317" s="739" t="s">
        <v>104</v>
      </c>
      <c r="D317" s="747"/>
      <c r="E317" s="236" t="s">
        <v>363</v>
      </c>
      <c r="F317" s="236"/>
      <c r="G317" s="236"/>
      <c r="H317" s="89"/>
      <c r="I317" s="236"/>
      <c r="J317" s="279"/>
      <c r="K317" s="236"/>
      <c r="L317" s="236"/>
      <c r="M317" s="279"/>
      <c r="N317" s="236"/>
      <c r="O317" s="236"/>
      <c r="P317" s="236"/>
      <c r="Q317" s="236"/>
      <c r="R317" s="236"/>
      <c r="S317" s="236"/>
      <c r="T317" s="236"/>
      <c r="U317" s="236"/>
      <c r="V317" s="236"/>
      <c r="W317" s="236"/>
      <c r="X317" s="236"/>
      <c r="Y317" s="279"/>
      <c r="Z317" s="236"/>
      <c r="AA317" s="236"/>
      <c r="AB317" s="236"/>
      <c r="AC317" s="236"/>
      <c r="AD317" s="236"/>
      <c r="AE317" s="236"/>
      <c r="AF317" s="236"/>
      <c r="AG317" s="236"/>
      <c r="AH317" s="236"/>
      <c r="AI317" s="236"/>
      <c r="AJ317" s="236"/>
      <c r="AK317" s="279"/>
      <c r="AL317" s="236"/>
      <c r="AM317" s="236"/>
      <c r="AN317" s="236"/>
      <c r="AO317" s="236"/>
      <c r="AP317" s="236"/>
      <c r="AQ317" s="236"/>
      <c r="AR317" s="236"/>
      <c r="AS317" s="236"/>
      <c r="AT317" s="236"/>
      <c r="AU317" s="236"/>
      <c r="AV317" s="236"/>
      <c r="AW317" s="279"/>
      <c r="AX317" s="236"/>
      <c r="AY317" s="236"/>
      <c r="AZ317" s="236"/>
      <c r="BA317" s="236"/>
      <c r="BB317" s="236"/>
      <c r="BC317" s="236"/>
      <c r="BD317" s="236"/>
      <c r="BE317" s="236"/>
      <c r="BF317" s="236"/>
      <c r="BG317" s="236"/>
      <c r="BH317" s="38"/>
    </row>
    <row r="318" spans="1:60" x14ac:dyDescent="0.2">
      <c r="A318" s="648"/>
      <c r="B318" s="492" t="s">
        <v>352</v>
      </c>
      <c r="C318" s="656" t="s">
        <v>113</v>
      </c>
      <c r="D318" s="750"/>
      <c r="E318" s="246" t="s">
        <v>362</v>
      </c>
      <c r="F318" s="220"/>
      <c r="G318" s="687"/>
      <c r="H318" s="247" t="s">
        <v>355</v>
      </c>
      <c r="I318" s="129"/>
      <c r="J318" s="243">
        <f>M318+Y318+AK318+AW318</f>
        <v>0</v>
      </c>
      <c r="K318" s="236"/>
      <c r="L318" s="236"/>
      <c r="M318" s="375">
        <f>SUMPRODUCT(N318:X318,N$24:X$24,N$31:X$31)/1000</f>
        <v>0</v>
      </c>
      <c r="N318" s="129"/>
      <c r="O318" s="207">
        <f t="shared" ref="O318:W318" si="375">O316+(O302+O312)*($M$53-1)</f>
        <v>0</v>
      </c>
      <c r="P318" s="207">
        <f t="shared" si="375"/>
        <v>0</v>
      </c>
      <c r="Q318" s="207">
        <f t="shared" si="375"/>
        <v>0</v>
      </c>
      <c r="R318" s="207">
        <f t="shared" si="375"/>
        <v>0</v>
      </c>
      <c r="S318" s="207">
        <f t="shared" si="375"/>
        <v>0</v>
      </c>
      <c r="T318" s="207">
        <f t="shared" si="375"/>
        <v>0</v>
      </c>
      <c r="U318" s="207">
        <f t="shared" si="375"/>
        <v>0</v>
      </c>
      <c r="V318" s="207">
        <f t="shared" si="375"/>
        <v>0</v>
      </c>
      <c r="W318" s="207">
        <f t="shared" si="375"/>
        <v>0</v>
      </c>
      <c r="X318" s="128"/>
      <c r="Y318" s="375">
        <f>SUMPRODUCT(Z318:AJ318,Z$24:AJ$24,Z$31:AJ$31)/1000</f>
        <v>0</v>
      </c>
      <c r="Z318" s="129"/>
      <c r="AA318" s="207">
        <f t="shared" ref="AA318:AI318" si="376">AA316+(AA302+AA312)*($Y$53-1)</f>
        <v>0</v>
      </c>
      <c r="AB318" s="207">
        <f t="shared" si="376"/>
        <v>0</v>
      </c>
      <c r="AC318" s="207">
        <f t="shared" si="376"/>
        <v>0</v>
      </c>
      <c r="AD318" s="207">
        <f t="shared" si="376"/>
        <v>0</v>
      </c>
      <c r="AE318" s="207">
        <f t="shared" si="376"/>
        <v>0</v>
      </c>
      <c r="AF318" s="207">
        <f t="shared" si="376"/>
        <v>0</v>
      </c>
      <c r="AG318" s="207">
        <f t="shared" si="376"/>
        <v>0</v>
      </c>
      <c r="AH318" s="207">
        <f t="shared" si="376"/>
        <v>0</v>
      </c>
      <c r="AI318" s="207">
        <f t="shared" si="376"/>
        <v>0</v>
      </c>
      <c r="AJ318" s="128"/>
      <c r="AK318" s="375">
        <f>SUMPRODUCT(AL318:AV318,AL$24:AV$24,AL$31:AV$31)/1000</f>
        <v>0</v>
      </c>
      <c r="AL318" s="129"/>
      <c r="AM318" s="207">
        <f t="shared" ref="AM318:AU318" si="377">AM316+(AM302+AM312)*($AK$53-1)</f>
        <v>0</v>
      </c>
      <c r="AN318" s="207">
        <f t="shared" si="377"/>
        <v>0</v>
      </c>
      <c r="AO318" s="207">
        <f t="shared" si="377"/>
        <v>0</v>
      </c>
      <c r="AP318" s="207">
        <f t="shared" si="377"/>
        <v>0</v>
      </c>
      <c r="AQ318" s="207">
        <f t="shared" si="377"/>
        <v>0</v>
      </c>
      <c r="AR318" s="207">
        <f t="shared" si="377"/>
        <v>0</v>
      </c>
      <c r="AS318" s="207">
        <f t="shared" si="377"/>
        <v>0</v>
      </c>
      <c r="AT318" s="207">
        <f t="shared" si="377"/>
        <v>0</v>
      </c>
      <c r="AU318" s="207">
        <f t="shared" si="377"/>
        <v>0</v>
      </c>
      <c r="AV318" s="128"/>
      <c r="AW318" s="375">
        <f>SUMPRODUCT(AX318:BH318,AX$24:BH$24,AX$31:BH$31)/1000</f>
        <v>0</v>
      </c>
      <c r="AX318" s="129"/>
      <c r="AY318" s="207">
        <f t="shared" ref="AY318:BG318" si="378">AY316+(AY302+AY312)*($AW$53-1)</f>
        <v>0</v>
      </c>
      <c r="AZ318" s="207">
        <f t="shared" si="378"/>
        <v>0</v>
      </c>
      <c r="BA318" s="207">
        <f t="shared" si="378"/>
        <v>0</v>
      </c>
      <c r="BB318" s="207">
        <f t="shared" si="378"/>
        <v>0</v>
      </c>
      <c r="BC318" s="207">
        <f t="shared" si="378"/>
        <v>0</v>
      </c>
      <c r="BD318" s="207">
        <f t="shared" si="378"/>
        <v>0</v>
      </c>
      <c r="BE318" s="207">
        <f t="shared" si="378"/>
        <v>0</v>
      </c>
      <c r="BF318" s="207">
        <f t="shared" si="378"/>
        <v>0</v>
      </c>
      <c r="BG318" s="207">
        <f t="shared" si="378"/>
        <v>0</v>
      </c>
      <c r="BH318" s="255"/>
    </row>
    <row r="319" spans="1:60" x14ac:dyDescent="0.2">
      <c r="A319" s="648"/>
      <c r="B319" s="492" t="s">
        <v>352</v>
      </c>
      <c r="C319" s="739" t="s">
        <v>104</v>
      </c>
      <c r="D319" s="747"/>
      <c r="E319" s="90"/>
      <c r="F319" s="90"/>
      <c r="G319" s="90"/>
      <c r="H319" s="96"/>
      <c r="I319" s="90"/>
      <c r="J319" s="93"/>
      <c r="K319" s="90"/>
      <c r="L319" s="90"/>
      <c r="M319" s="93"/>
      <c r="N319" s="90"/>
      <c r="O319" s="122"/>
      <c r="P319" s="122"/>
      <c r="Q319" s="122"/>
      <c r="R319" s="122"/>
      <c r="S319" s="122"/>
      <c r="T319" s="122"/>
      <c r="U319" s="122"/>
      <c r="V319" s="122"/>
      <c r="W319" s="122"/>
      <c r="X319" s="93"/>
      <c r="Y319" s="93"/>
      <c r="Z319" s="90"/>
      <c r="AA319" s="93"/>
      <c r="AB319" s="93"/>
      <c r="AC319" s="93"/>
      <c r="AD319" s="93"/>
      <c r="AE319" s="93"/>
      <c r="AF319" s="93"/>
      <c r="AG319" s="93"/>
      <c r="AH319" s="93"/>
      <c r="AI319" s="93"/>
      <c r="AJ319" s="93"/>
      <c r="AK319" s="93"/>
      <c r="AL319" s="90"/>
      <c r="AM319" s="93"/>
      <c r="AN319" s="93"/>
      <c r="AO319" s="93"/>
      <c r="AP319" s="93"/>
      <c r="AQ319" s="93"/>
      <c r="AR319" s="93"/>
      <c r="AS319" s="93"/>
      <c r="AT319" s="93"/>
      <c r="AU319" s="93"/>
      <c r="AV319" s="93"/>
      <c r="AW319" s="93"/>
      <c r="AX319" s="90"/>
      <c r="AY319" s="93"/>
      <c r="AZ319" s="93"/>
      <c r="BA319" s="93"/>
      <c r="BB319" s="93"/>
      <c r="BC319" s="93"/>
      <c r="BD319" s="93"/>
      <c r="BE319" s="93"/>
      <c r="BF319" s="93"/>
      <c r="BG319" s="93"/>
      <c r="BH319" s="1"/>
    </row>
    <row r="320" spans="1:60" ht="21" x14ac:dyDescent="0.2">
      <c r="A320" s="648"/>
      <c r="B320" s="492" t="s">
        <v>364</v>
      </c>
      <c r="C320" s="656" t="s">
        <v>104</v>
      </c>
      <c r="D320" s="752" t="s">
        <v>89</v>
      </c>
      <c r="E320" s="553" t="s">
        <v>87</v>
      </c>
      <c r="F320" s="553"/>
      <c r="G320" s="553"/>
      <c r="H320" s="554"/>
      <c r="I320" s="554"/>
      <c r="J320" s="555"/>
      <c r="K320" s="824"/>
      <c r="L320" s="824"/>
      <c r="M320" s="555"/>
      <c r="N320" s="555"/>
      <c r="O320" s="555"/>
      <c r="P320" s="555"/>
      <c r="Q320" s="555"/>
      <c r="R320" s="555"/>
      <c r="S320" s="555"/>
      <c r="T320" s="555"/>
      <c r="U320" s="555"/>
      <c r="V320" s="555"/>
      <c r="W320" s="555"/>
      <c r="X320" s="555"/>
      <c r="Y320" s="555"/>
      <c r="Z320" s="555"/>
      <c r="AA320" s="555"/>
      <c r="AB320" s="555"/>
      <c r="AC320" s="555"/>
      <c r="AD320" s="555"/>
      <c r="AE320" s="555"/>
      <c r="AF320" s="555"/>
      <c r="AG320" s="555"/>
      <c r="AH320" s="555"/>
      <c r="AI320" s="555"/>
      <c r="AJ320" s="555"/>
      <c r="AK320" s="555"/>
      <c r="AL320" s="555"/>
      <c r="AM320" s="555"/>
      <c r="AN320" s="555"/>
      <c r="AO320" s="555"/>
      <c r="AP320" s="555"/>
      <c r="AQ320" s="555"/>
      <c r="AR320" s="555"/>
      <c r="AS320" s="555"/>
      <c r="AT320" s="555"/>
      <c r="AU320" s="555"/>
      <c r="AV320" s="555"/>
      <c r="AW320" s="555"/>
      <c r="AX320" s="555"/>
      <c r="AY320" s="556"/>
      <c r="AZ320" s="556"/>
      <c r="BA320" s="556"/>
      <c r="BB320" s="556"/>
      <c r="BC320" s="556"/>
      <c r="BD320" s="556"/>
      <c r="BE320" s="556"/>
      <c r="BF320" s="556"/>
      <c r="BG320" s="556"/>
      <c r="BH320" s="270"/>
    </row>
  </sheetData>
  <sheetProtection algorithmName="SHA-512" hashValue="9uGjtsxu23b5ifKhuXfyWeGvfTmaoMMvCitIKtXyq7ytgMczeJZYG6pVipXQlne3sKoxJwVj9QMgmfYawKy8wg==" saltValue="lVqdoTtw6fOP0T2doiHKQQ==" spinCount="100000" sheet="1" objects="1" scenarios="1" formatColumns="0" autoFilter="0"/>
  <autoFilter ref="B8:C320" xr:uid="{41D3E58C-B86B-4AE1-8380-FDD6F14E9537}">
    <filterColumn colId="1">
      <filters>
        <filter val="00. kop"/>
        <filter val="01. invoer"/>
        <filter val="04. resultaat"/>
      </filters>
    </filterColumn>
  </autoFilter>
  <dataConsolidate/>
  <mergeCells count="4">
    <mergeCell ref="E3:F3"/>
    <mergeCell ref="F4:H4"/>
    <mergeCell ref="B5:B7"/>
    <mergeCell ref="C5:C7"/>
  </mergeCells>
  <conditionalFormatting sqref="B16:B26 B27:C320">
    <cfRule type="expression" dxfId="774" priority="53">
      <formula>B16=""</formula>
    </cfRule>
  </conditionalFormatting>
  <conditionalFormatting sqref="C10">
    <cfRule type="expression" dxfId="773" priority="95">
      <formula>C10=""</formula>
    </cfRule>
  </conditionalFormatting>
  <conditionalFormatting sqref="C12:C26">
    <cfRule type="expression" dxfId="772" priority="54">
      <formula>C12=""</formula>
    </cfRule>
  </conditionalFormatting>
  <conditionalFormatting sqref="E54">
    <cfRule type="expression" dxfId="771" priority="3">
      <formula>$G$6=FALSE</formula>
    </cfRule>
  </conditionalFormatting>
  <conditionalFormatting sqref="E278:J278">
    <cfRule type="expression" dxfId="770" priority="145">
      <formula>$G$6=TRUE</formula>
    </cfRule>
  </conditionalFormatting>
  <conditionalFormatting sqref="F4:F5 H3">
    <cfRule type="expression" dxfId="769" priority="120">
      <formula>F3=""</formula>
    </cfRule>
  </conditionalFormatting>
  <conditionalFormatting sqref="F5">
    <cfRule type="expression" dxfId="768" priority="118">
      <formula>OR($F$5="",ISERROR(MATCH(F5,opwekking_elektriciteit,0))=TRUE)</formula>
    </cfRule>
  </conditionalFormatting>
  <conditionalFormatting sqref="F2:H2">
    <cfRule type="expression" dxfId="767" priority="126">
      <formula>$F$2&lt;&gt;""</formula>
    </cfRule>
  </conditionalFormatting>
  <conditionalFormatting sqref="J32:J33">
    <cfRule type="cellIs" dxfId="766" priority="101" operator="greaterThan">
      <formula>0</formula>
    </cfRule>
  </conditionalFormatting>
  <conditionalFormatting sqref="J40:J42">
    <cfRule type="expression" dxfId="765" priority="52">
      <formula>J40="OK"</formula>
    </cfRule>
  </conditionalFormatting>
  <conditionalFormatting sqref="J46:J47">
    <cfRule type="expression" dxfId="764" priority="51">
      <formula>J46="OK"</formula>
    </cfRule>
  </conditionalFormatting>
  <conditionalFormatting sqref="J50">
    <cfRule type="cellIs" dxfId="763" priority="49" operator="notEqual">
      <formula>"OK"</formula>
    </cfRule>
  </conditionalFormatting>
  <conditionalFormatting sqref="J80">
    <cfRule type="cellIs" dxfId="762" priority="102" operator="notEqual">
      <formula>"OK"</formula>
    </cfRule>
  </conditionalFormatting>
  <conditionalFormatting sqref="J135">
    <cfRule type="cellIs" dxfId="761" priority="40" operator="equal">
      <formula>0</formula>
    </cfRule>
  </conditionalFormatting>
  <conditionalFormatting sqref="J138 J142 J146 M135 M138 M142 M146 Y135 Y138 Y142 Y146 AK135 AK138 AK142 AK146 AW135 AW138 AW142 AW146">
    <cfRule type="cellIs" dxfId="760" priority="44" operator="equal">
      <formula>0</formula>
    </cfRule>
  </conditionalFormatting>
  <conditionalFormatting sqref="M32:M33">
    <cfRule type="cellIs" dxfId="759" priority="100" operator="greaterThan">
      <formula>0</formula>
    </cfRule>
  </conditionalFormatting>
  <conditionalFormatting sqref="M131:M146 Y131:Y146 AK131:AK146 AW131:AW146">
    <cfRule type="expression" dxfId="758" priority="123">
      <formula>SUM(M$131:M$146)=0</formula>
    </cfRule>
  </conditionalFormatting>
  <conditionalFormatting sqref="M275 O275:X275 AJ275 AV275 BH275">
    <cfRule type="expression" dxfId="757" priority="128">
      <formula>#REF!&gt;M275</formula>
    </cfRule>
  </conditionalFormatting>
  <conditionalFormatting sqref="O80 AA80 AM80 AY80">
    <cfRule type="expression" dxfId="756" priority="48">
      <formula>OR(AND(O80="",O$24&gt;0),ISERROR(MATCH(O80,toestellen_RV_invoer,0)))</formula>
    </cfRule>
  </conditionalFormatting>
  <conditionalFormatting sqref="O84 O91 O106:Q106 O109:Q109 O116:Q116 O120:Q120 O126:Q126 Q84 Q91 AA84 AA91 AA106:AC106 AA109:AC109 AA116:AC116 AA120:AC120 AA126:AC126 AC84 AC91 AM84 AM91 AM106:AO106 AM109:AO109 AM116:AO116 AM120:AO120 AM126:AO126 AO84 AO91 AY84 AY91 AY109:BA109 AY116:BA116 AY120:BA120 AY126:BA126 BA84 BA91">
    <cfRule type="expression" dxfId="755" priority="105">
      <formula>AND(O$75&gt;0,O84="")</formula>
    </cfRule>
  </conditionalFormatting>
  <conditionalFormatting sqref="O87 Q87 AA87 AC87 AM87 AO87 AY87 BA87">
    <cfRule type="expression" dxfId="754" priority="119">
      <formula>OR(AND(O$75&gt;0,O87=""),AND(O87&lt;&gt;"ja",O87&lt;&gt;"nee",O87&lt;&gt;""))</formula>
    </cfRule>
  </conditionalFormatting>
  <conditionalFormatting sqref="O126 Q126 AA126 AC126 AM126 AO126 AY126 BA126">
    <cfRule type="expression" dxfId="753" priority="133">
      <formula>O$125=0</formula>
    </cfRule>
  </conditionalFormatting>
  <conditionalFormatting sqref="O80:Q81 O83:Q85 O87:Q88 O90:Q92 O94:Q96 AA80:AC81 AA83:AC85 AA87:AC88 AA90:AC92 AA94:AC96 AM80:AO81 AM83:AO85 AM87:AO88 AM90:AO92 AM94:AO96 AY80:BA81 AY83:BA85 AY87:BA88 AY90:BA92 AY94:BA96">
    <cfRule type="expression" dxfId="751" priority="146">
      <formula>O$29=0</formula>
    </cfRule>
    <cfRule type="expression" dxfId="752" priority="147">
      <formula>O$75=0</formula>
    </cfRule>
  </conditionalFormatting>
  <conditionalFormatting sqref="O101:Q101 AA101:AC101 AA131:AC131 AM101:AO101 AM131:AO131 AY101:BA101 AY131:BA131">
    <cfRule type="expression" dxfId="750" priority="115">
      <formula>O$75=0</formula>
    </cfRule>
  </conditionalFormatting>
  <conditionalFormatting sqref="O102:Q103 O105:Q113 O115:Q116 O119:Q121 O123:Q126 P117:Q117 AA101:AC103 AA105:AC113 AA115:AC117 AA119:AC121 AA123:AC126 AM101:AO103 AM105:AO113 AM115:AO117 AM119:AO121 AM123:AO126 AY101:BA103 AY105:BA113 AY115:BA117 AY119:BA121 AY123:BA126">
    <cfRule type="expression" dxfId="749" priority="41">
      <formula>OR(O$75=0,O$101="geen")</formula>
    </cfRule>
  </conditionalFormatting>
  <conditionalFormatting sqref="O131:Q131">
    <cfRule type="expression" dxfId="748" priority="112">
      <formula>O$75=0</formula>
    </cfRule>
  </conditionalFormatting>
  <conditionalFormatting sqref="O132:Q138 O140:Q142 O144:Q146 AA132:AC138 AA140:AC142 AA144:AC146 AM132:AO138 AM140:AO142 AM144:AO146 AY132:BA138 AY140:BA142 AY144:BA146">
    <cfRule type="expression" dxfId="747" priority="39">
      <formula>OR(O$75=0,O$131="geen")</formula>
    </cfRule>
  </conditionalFormatting>
  <conditionalFormatting sqref="O137:Q137 O141:Q141 O145:Q145 AA137:AC137 AA141:AC141 AA145:AC145 AM137:AO137 AM141:AO141 AM145:AO145 AY137:BA137 AY141:BA141 AY145:BA145">
    <cfRule type="expression" dxfId="746" priority="144">
      <formula>AND(O$75&gt;0,O$131&lt;&gt;"geen",O137="")</formula>
    </cfRule>
  </conditionalFormatting>
  <conditionalFormatting sqref="O151:Q153 AA151:AC153 AM151:AO153 AY151:BA153">
    <cfRule type="expression" dxfId="745" priority="149">
      <formula>OR(O$29=0,O$123=0)</formula>
    </cfRule>
  </conditionalFormatting>
  <conditionalFormatting sqref="O152:Q152 AA152:AC152 AM152:AO152 AY152:BA152">
    <cfRule type="expression" dxfId="744" priority="114">
      <formula>AND(O$123&gt;0,O152="")</formula>
    </cfRule>
  </conditionalFormatting>
  <conditionalFormatting sqref="O167:S169">
    <cfRule type="expression" dxfId="743" priority="110">
      <formula>O$29=0</formula>
    </cfRule>
  </conditionalFormatting>
  <conditionalFormatting sqref="O197:S202">
    <cfRule type="expression" dxfId="742" priority="108">
      <formula>O$29=0</formula>
    </cfRule>
  </conditionalFormatting>
  <conditionalFormatting sqref="O209:S215">
    <cfRule type="expression" dxfId="741" priority="106">
      <formula>O$29=0</formula>
    </cfRule>
  </conditionalFormatting>
  <conditionalFormatting sqref="O216:S216">
    <cfRule type="expression" dxfId="740" priority="88">
      <formula>O$29=0</formula>
    </cfRule>
  </conditionalFormatting>
  <conditionalFormatting sqref="O17:W17">
    <cfRule type="expression" dxfId="739" priority="87">
      <formula>AND(O17&lt;&gt;"",ISERROR(MATCH(O17,woningen_gebouwen_namen,0))=TRUE)</formula>
    </cfRule>
  </conditionalFormatting>
  <conditionalFormatting sqref="O19:W19 AA19:AI19 AM19:AU19 AY19:BG19">
    <cfRule type="expression" dxfId="738" priority="99">
      <formula>O19=""</formula>
    </cfRule>
  </conditionalFormatting>
  <conditionalFormatting sqref="O20:W21 AM20:AU21 AY20:BG21">
    <cfRule type="expression" dxfId="737" priority="98">
      <formula>O$19=""</formula>
    </cfRule>
  </conditionalFormatting>
  <conditionalFormatting sqref="O22:W22">
    <cfRule type="expression" dxfId="736" priority="96">
      <formula>OR(O$19="",AND(O$21&lt;&gt;woning,O$21&lt;&gt;woongebouw))</formula>
    </cfRule>
  </conditionalFormatting>
  <conditionalFormatting sqref="O24:W25 AA24:BG25">
    <cfRule type="expression" dxfId="735" priority="74">
      <formula>O$19=""</formula>
    </cfRule>
  </conditionalFormatting>
  <conditionalFormatting sqref="O25:W25 AM25:AU25 AY25:BG25">
    <cfRule type="expression" dxfId="734" priority="129">
      <formula>AND(O$19="",O25&gt;0)</formula>
    </cfRule>
    <cfRule type="expression" dxfId="733" priority="130">
      <formula>AND(O$19&lt;&gt;"",O25="")</formula>
    </cfRule>
  </conditionalFormatting>
  <conditionalFormatting sqref="O26:W29 O31:W35">
    <cfRule type="expression" dxfId="732" priority="4">
      <formula>OR(O$19="",O$24=0)</formula>
    </cfRule>
  </conditionalFormatting>
  <conditionalFormatting sqref="O40:W48 O50:W50 O52:W55 O58:W58 O60:W66 O68:W68 O70:W70">
    <cfRule type="expression" dxfId="731" priority="42">
      <formula>OR(O$19="",O$24=0)</formula>
    </cfRule>
  </conditionalFormatting>
  <conditionalFormatting sqref="O41:W41 AA41:AI41 AM41:AU41 AY41:BG41">
    <cfRule type="expression" dxfId="730" priority="5">
      <formula>AND(O$19&lt;&gt;"",O$24&gt;0,O41&lt;&gt;"",ISERROR(MATCH(O41,isolatiepakketten_gebouwschil_namen,0))=TRUE)</formula>
    </cfRule>
  </conditionalFormatting>
  <conditionalFormatting sqref="O42:W42 AA42:AI42 AM42:AU42 AY42:BG42">
    <cfRule type="expression" dxfId="729" priority="131">
      <formula>OR(AND(O$19&lt;&gt;"",O$24&gt;0,O42=""),ISERROR(MATCH(O42,ventilatiesystemen_namen,0))=TRUE)</formula>
    </cfRule>
  </conditionalFormatting>
  <conditionalFormatting sqref="O43:W43 AA43:AI43 AM43:AU43 AY43:BG43">
    <cfRule type="expression" dxfId="727" priority="132">
      <formula>OR(AND(O$19&lt;&gt;"",O$24&gt;0,O43=""),ISERROR(MATCH(O43,ventilatoren_typen,0))=TRUE)</formula>
    </cfRule>
  </conditionalFormatting>
  <conditionalFormatting sqref="O44:W44 AA44:AI44 AM44:AU44 AY44:BG44">
    <cfRule type="expression" dxfId="726" priority="134">
      <formula>OR(O44&lt;0.5,O44&gt;2,AND(O$19&lt;&gt;"",O44=""))</formula>
    </cfRule>
  </conditionalFormatting>
  <conditionalFormatting sqref="O45:W46 AA45:AI46 AM45:AU46 AY45:BG46">
    <cfRule type="expression" dxfId="724" priority="50">
      <formula>OR(O$19="",O$28=0)</formula>
    </cfRule>
    <cfRule type="expression" dxfId="725" priority="136">
      <formula>AND(O$19&lt;&gt;"",O$28&gt;0,O45="")</formula>
    </cfRule>
  </conditionalFormatting>
  <conditionalFormatting sqref="O46:W46 AA46:AI46 AM46:AU46 AY46:BG46">
    <cfRule type="expression" dxfId="723" priority="138">
      <formula>AND(O46&lt;&gt;"",ISERROR(MATCH(O46,verlichtingsregeling_namen,0))=TRUE)</formula>
    </cfRule>
  </conditionalFormatting>
  <conditionalFormatting sqref="O47:W47 AA47:AI47 AM47:AU47 AY47:BG47">
    <cfRule type="expression" dxfId="721" priority="62">
      <formula>OR(O$19="",O$26+O$27=0,AND(O$21&lt;&gt;woning,O$21&lt;&gt;woongebouw))</formula>
    </cfRule>
    <cfRule type="expression" dxfId="722" priority="139">
      <formula>OR(AND(O$19&lt;&gt;"",O$24&gt;0,O47=""),AND(O47&lt;&gt;elektriciteit,O47&lt;&gt;aardgas))</formula>
    </cfRule>
  </conditionalFormatting>
  <conditionalFormatting sqref="O48:W48 AA48:AI48 AM48:AU48 AY48:BG48">
    <cfRule type="expression" dxfId="720" priority="140">
      <formula>OR(O48&lt;0,O48&gt;1,AND(O$19&lt;&gt;"",O48=""))</formula>
    </cfRule>
  </conditionalFormatting>
  <conditionalFormatting sqref="O50:W50 AA50:AI50 AM50:AU50 AY50:BG50">
    <cfRule type="expression" dxfId="718" priority="61">
      <formula>$O19=""</formula>
    </cfRule>
    <cfRule type="cellIs" dxfId="719" priority="143" operator="equal">
      <formula>"nee"</formula>
    </cfRule>
  </conditionalFormatting>
  <conditionalFormatting sqref="O53:W53 AA53:AI53 AM53:AU53 AY53:BG53">
    <cfRule type="cellIs" dxfId="717" priority="9" operator="equal">
      <formula>0</formula>
    </cfRule>
  </conditionalFormatting>
  <conditionalFormatting sqref="O54:W54 AA54:AI54 AM54:AU54 AY54:BG54">
    <cfRule type="expression" dxfId="716" priority="150">
      <formula>O$24=0</formula>
    </cfRule>
    <cfRule type="expression" dxfId="715" priority="151">
      <formula>AND(O$24&gt;0,O54="",$G$6=TRUE)</formula>
    </cfRule>
    <cfRule type="expression" dxfId="714" priority="152">
      <formula>AND(O$24&gt;0,O$54&gt;0,O$54&lt;&gt;O$55,$G$6=TRUE)</formula>
    </cfRule>
  </conditionalFormatting>
  <conditionalFormatting sqref="O68:W68 AA68:AI68 AM68:AU68 AY68:BG68">
    <cfRule type="expression" dxfId="713" priority="117">
      <formula>AND(O$19&lt;&gt;"",O68="")</formula>
    </cfRule>
  </conditionalFormatting>
  <conditionalFormatting sqref="O70:W70">
    <cfRule type="expression" dxfId="712" priority="43">
      <formula>AND(O$19&lt;&gt;"",O70="")</formula>
    </cfRule>
  </conditionalFormatting>
  <conditionalFormatting sqref="O75:W75 AA75:AI75 AM75:AU75 AY75:BG75">
    <cfRule type="expression" dxfId="711" priority="113">
      <formula>O$29=0</formula>
    </cfRule>
  </conditionalFormatting>
  <conditionalFormatting sqref="O227:W227 AM227:AU227 AM234:AU236 AM251:AU253 AM255:AU255 AY227:BG227 AY234:BG236">
    <cfRule type="expression" dxfId="710" priority="107">
      <formula>O$24=0</formula>
    </cfRule>
  </conditionalFormatting>
  <conditionalFormatting sqref="O229:W229 O241:W249 O251:W253 O255:W255 O257:W257 O262:W262 O264:W269 O271:W271 O273:W273 O275:W275 O282:W284 O286:W288 O290:W291 O293:W294 O296:W297 O302:W310 O312:W314 O316:W316 O318:W318">
    <cfRule type="expression" dxfId="709" priority="64">
      <formula>O$24=0</formula>
    </cfRule>
  </conditionalFormatting>
  <conditionalFormatting sqref="O286:W287">
    <cfRule type="expression" dxfId="708" priority="124">
      <formula>O286&gt;O282</formula>
    </cfRule>
  </conditionalFormatting>
  <conditionalFormatting sqref="O291:W291 AA291:AI291 AM291:AU291 AY291:BG291">
    <cfRule type="expression" dxfId="706" priority="154">
      <formula>#REF!&lt;O$287</formula>
    </cfRule>
    <cfRule type="expression" dxfId="707" priority="155">
      <formula>O$24=0</formula>
    </cfRule>
  </conditionalFormatting>
  <conditionalFormatting sqref="O294:W294">
    <cfRule type="expression" dxfId="704" priority="25">
      <formula>AND(O294&lt;&gt;"nvt",O294&gt;O293)</formula>
    </cfRule>
    <cfRule type="expression" dxfId="705" priority="26">
      <formula>AND(O294&lt;&gt;"nvt",O294&lt;=O293)</formula>
    </cfRule>
  </conditionalFormatting>
  <conditionalFormatting sqref="O297:W297">
    <cfRule type="expression" dxfId="702" priority="23">
      <formula>AND(O297&lt;&gt;"nvt",O297&gt;O296)</formula>
    </cfRule>
    <cfRule type="expression" dxfId="703" priority="24">
      <formula>AND(O297&lt;&gt;"nvt",O297&lt;=O296)</formula>
    </cfRule>
  </conditionalFormatting>
  <conditionalFormatting sqref="O40:BG41">
    <cfRule type="expression" dxfId="701" priority="2">
      <formula>OR(O$19="",O$24=0)</formula>
    </cfRule>
  </conditionalFormatting>
  <conditionalFormatting sqref="P80 AB80 AN80 AZ80">
    <cfRule type="expression" dxfId="700" priority="103">
      <formula>OR(AND(P80="",P$24&gt;0),ISERROR(MATCH(P80,toestellen_KOEL_invoer,0)))</formula>
    </cfRule>
  </conditionalFormatting>
  <conditionalFormatting sqref="P81 P83:P85 P87:P88 P90:P92 P94:P96 AB81 AB83:AB85 AB87:AB88 AB90:AB92 AB94:AB96 AN81 AN83:AN85 AN87:AN88 AN90:AN92 AN94:AN96 AZ81 AZ83:AZ85 AZ87:AZ88 AZ90:AZ92 AZ94:AZ96">
    <cfRule type="expression" dxfId="699" priority="32">
      <formula>P$80="geen"</formula>
    </cfRule>
  </conditionalFormatting>
  <conditionalFormatting sqref="Q80 AC80 AO80 BA80">
    <cfRule type="expression" dxfId="698" priority="104">
      <formula>OR(AND(Q80="",Q$24&gt;0),ISERROR(MATCH(Q80,toestellen_TAP_invoer,0)))</formula>
    </cfRule>
  </conditionalFormatting>
  <conditionalFormatting sqref="Q87 AC87 AO87 BA87">
    <cfRule type="expression" dxfId="697" priority="148">
      <formula>OR(AND(Q$24&gt;0,Q$75&gt;0,Q87=""),AND(Q87&lt;&gt;"ja",Q87&lt;&gt;"nee",Q87&lt;&gt;""))</formula>
    </cfRule>
  </conditionalFormatting>
  <conditionalFormatting sqref="T155:T156">
    <cfRule type="expression" dxfId="696" priority="57">
      <formula>T$29=0</formula>
    </cfRule>
  </conditionalFormatting>
  <conditionalFormatting sqref="T158:T159">
    <cfRule type="expression" dxfId="695" priority="56">
      <formula>T$29=0</formula>
    </cfRule>
  </conditionalFormatting>
  <conditionalFormatting sqref="T161">
    <cfRule type="expression" dxfId="694" priority="55">
      <formula>T$29=0</formula>
    </cfRule>
  </conditionalFormatting>
  <conditionalFormatting sqref="T167:T169">
    <cfRule type="expression" dxfId="693" priority="85">
      <formula>T$29=0</formula>
    </cfRule>
  </conditionalFormatting>
  <conditionalFormatting sqref="T186:T188">
    <cfRule type="expression" dxfId="692" priority="59">
      <formula>T$29=0</formula>
    </cfRule>
  </conditionalFormatting>
  <conditionalFormatting sqref="T190">
    <cfRule type="expression" dxfId="691" priority="58">
      <formula>T$29=0</formula>
    </cfRule>
  </conditionalFormatting>
  <conditionalFormatting sqref="T197:T202">
    <cfRule type="expression" dxfId="690" priority="84">
      <formula>T$29=0</formula>
    </cfRule>
  </conditionalFormatting>
  <conditionalFormatting sqref="T204">
    <cfRule type="expression" dxfId="689" priority="86">
      <formula>T$29=0</formula>
    </cfRule>
  </conditionalFormatting>
  <conditionalFormatting sqref="T209:T216">
    <cfRule type="expression" dxfId="688" priority="82">
      <formula>T$29=0</formula>
    </cfRule>
  </conditionalFormatting>
  <conditionalFormatting sqref="T221:T222">
    <cfRule type="expression" dxfId="687" priority="83">
      <formula>T$29=0</formula>
    </cfRule>
  </conditionalFormatting>
  <conditionalFormatting sqref="U154:W156">
    <cfRule type="expression" dxfId="686" priority="111">
      <formula>U$29=0</formula>
    </cfRule>
  </conditionalFormatting>
  <conditionalFormatting sqref="U186:W188">
    <cfRule type="expression" dxfId="685" priority="109">
      <formula>U$29=0</formula>
    </cfRule>
  </conditionalFormatting>
  <conditionalFormatting sqref="AA187">
    <cfRule type="expression" dxfId="684" priority="92">
      <formula>AA$29=0</formula>
    </cfRule>
  </conditionalFormatting>
  <conditionalFormatting sqref="AA209:AC209">
    <cfRule type="expression" dxfId="683" priority="31">
      <formula>AA$29=0</formula>
    </cfRule>
  </conditionalFormatting>
  <conditionalFormatting sqref="AA186:AE186">
    <cfRule type="expression" dxfId="682" priority="94">
      <formula>AA$29=0</formula>
    </cfRule>
  </conditionalFormatting>
  <conditionalFormatting sqref="AA216:AE216">
    <cfRule type="expression" dxfId="681" priority="89">
      <formula>AA$29=0</formula>
    </cfRule>
  </conditionalFormatting>
  <conditionalFormatting sqref="AA20:AI21">
    <cfRule type="expression" dxfId="680" priority="97">
      <formula>AA$19=""</formula>
    </cfRule>
  </conditionalFormatting>
  <conditionalFormatting sqref="AA22:AI22">
    <cfRule type="expression" dxfId="679" priority="47">
      <formula>OR(AA$19="",AND(AA$21&lt;&gt;woning,AA$21&lt;&gt;woongebouw))</formula>
    </cfRule>
  </conditionalFormatting>
  <conditionalFormatting sqref="AA25:AI25">
    <cfRule type="expression" dxfId="678" priority="141">
      <formula>AND(AA$19="",AA25&gt;0)</formula>
    </cfRule>
    <cfRule type="expression" dxfId="677" priority="142">
      <formula>AND(AA$19&lt;&gt;"",AA25="")</formula>
    </cfRule>
  </conditionalFormatting>
  <conditionalFormatting sqref="AA26:AI29 AA31:AI35 AA42:AI48 AA60:AI66 AM26:AU29 AM31:AU35 AM42:AU48 AM60:AU66 AY26:BG29 AY31:BG35 AY42:BG48 AY60:BG66">
    <cfRule type="expression" dxfId="676" priority="127">
      <formula>OR(AA$19="",AA$24=0)</formula>
    </cfRule>
  </conditionalFormatting>
  <conditionalFormatting sqref="AA68:AI68 AM68:AU68 AY68:BG68">
    <cfRule type="expression" dxfId="675" priority="116">
      <formula>OR(AA$19="",AA$24=0)</formula>
    </cfRule>
  </conditionalFormatting>
  <conditionalFormatting sqref="AA70:AI70">
    <cfRule type="expression" dxfId="674" priority="37">
      <formula>OR(AA$19="",AA$24=0)</formula>
    </cfRule>
    <cfRule type="expression" dxfId="673" priority="38">
      <formula>AND(AA$19&lt;&gt;"",AA70="")</formula>
    </cfRule>
  </conditionalFormatting>
  <conditionalFormatting sqref="AA227:AI227 AA229:AI230 AA234:AI237 AA251:AI253 AA255:AI255 AA257:AI258 AA262:AI269 AA271:AI271 AA273:AI273 AA275:AI276 AA280:AI280 AA282:AI284 AA286:AI288 AA290:AI290 AA241:BG249">
    <cfRule type="expression" dxfId="672" priority="8">
      <formula>AA$24=0</formula>
    </cfRule>
  </conditionalFormatting>
  <conditionalFormatting sqref="AA292:AI292">
    <cfRule type="expression" dxfId="671" priority="28">
      <formula>AA292&lt;AA287</formula>
    </cfRule>
  </conditionalFormatting>
  <conditionalFormatting sqref="AA294:AI294">
    <cfRule type="expression" dxfId="670" priority="21">
      <formula>AND(AA294&lt;&gt;"nvt",AA294&gt;AA293)</formula>
    </cfRule>
    <cfRule type="expression" dxfId="669" priority="22">
      <formula>AND(AA294&lt;&gt;"nvt",AA294&lt;=AA293)</formula>
    </cfRule>
  </conditionalFormatting>
  <conditionalFormatting sqref="AA297:AI297">
    <cfRule type="expression" dxfId="667" priority="19">
      <formula>AND(AA297&lt;&gt;"nvt",AA297&gt;AA296)</formula>
    </cfRule>
    <cfRule type="expression" dxfId="668" priority="20">
      <formula>AND(AA297&lt;&gt;"nvt",AA297&lt;=AA296)</formula>
    </cfRule>
  </conditionalFormatting>
  <conditionalFormatting sqref="AA302:AI310 AA312:AI314 AA316:AI316 AA318:AI318">
    <cfRule type="expression" dxfId="666" priority="66">
      <formula>AA$24=0</formula>
    </cfRule>
  </conditionalFormatting>
  <conditionalFormatting sqref="AA286:AU287">
    <cfRule type="expression" dxfId="665" priority="122">
      <formula>AA286&gt;AA282</formula>
    </cfRule>
  </conditionalFormatting>
  <conditionalFormatting sqref="AA295:AX295">
    <cfRule type="expression" dxfId="664" priority="14">
      <formula>AA295&lt;AA290</formula>
    </cfRule>
  </conditionalFormatting>
  <conditionalFormatting sqref="AF186:AF188">
    <cfRule type="expression" dxfId="663" priority="80">
      <formula>AF$29=0</formula>
    </cfRule>
  </conditionalFormatting>
  <conditionalFormatting sqref="AF221:AF222">
    <cfRule type="expression" dxfId="662" priority="81">
      <formula>AF$29=0</formula>
    </cfRule>
  </conditionalFormatting>
  <conditionalFormatting sqref="AF209:BD216">
    <cfRule type="expression" dxfId="661" priority="68">
      <formula>AF$29=0</formula>
    </cfRule>
  </conditionalFormatting>
  <conditionalFormatting sqref="AM187">
    <cfRule type="expression" dxfId="660" priority="91">
      <formula>AM$29=0</formula>
    </cfRule>
  </conditionalFormatting>
  <conditionalFormatting sqref="AM209:AO209">
    <cfRule type="expression" dxfId="659" priority="30">
      <formula>AM$29=0</formula>
    </cfRule>
  </conditionalFormatting>
  <conditionalFormatting sqref="AM22:AU22">
    <cfRule type="expression" dxfId="658" priority="46">
      <formula>OR(AM$19="",AND(AM$21&lt;&gt;woning,AM$21&lt;&gt;woongebouw))</formula>
    </cfRule>
  </conditionalFormatting>
  <conditionalFormatting sqref="AM70:AU70">
    <cfRule type="expression" dxfId="657" priority="35">
      <formula>OR(AM$19="",AM$24=0)</formula>
    </cfRule>
    <cfRule type="expression" dxfId="656" priority="36">
      <formula>AND(AM$19&lt;&gt;"",AM70="")</formula>
    </cfRule>
  </conditionalFormatting>
  <conditionalFormatting sqref="AM229:AU229">
    <cfRule type="expression" dxfId="655" priority="75">
      <formula>AM$24=0</formula>
    </cfRule>
  </conditionalFormatting>
  <conditionalFormatting sqref="AM257:AU257">
    <cfRule type="expression" dxfId="654" priority="76">
      <formula>AM$24=0</formula>
    </cfRule>
  </conditionalFormatting>
  <conditionalFormatting sqref="AM290:AU290">
    <cfRule type="expression" dxfId="653" priority="7">
      <formula>AM$24=0</formula>
    </cfRule>
  </conditionalFormatting>
  <conditionalFormatting sqref="AM292:AU292">
    <cfRule type="expression" dxfId="652" priority="27">
      <formula>AM292&lt;AM287</formula>
    </cfRule>
  </conditionalFormatting>
  <conditionalFormatting sqref="AM294:AU294">
    <cfRule type="expression" dxfId="650" priority="17">
      <formula>AND(AM294&lt;&gt;"nvt",AM294&gt;AM293)</formula>
    </cfRule>
    <cfRule type="expression" dxfId="651" priority="18">
      <formula>AND(AM294&lt;&gt;"nvt",AM294&lt;=AM293)</formula>
    </cfRule>
  </conditionalFormatting>
  <conditionalFormatting sqref="AM297:AU297">
    <cfRule type="expression" dxfId="648" priority="15">
      <formula>AND(AM297&lt;&gt;"nvt",AM297&gt;AM296)</formula>
    </cfRule>
    <cfRule type="expression" dxfId="649" priority="16">
      <formula>AND(AM297&lt;&gt;"nvt",AM297&lt;=AM296)</formula>
    </cfRule>
  </conditionalFormatting>
  <conditionalFormatting sqref="AM302:AU310 AM312:AU314 AM316:AU316 AM318:AU318">
    <cfRule type="expression" dxfId="647" priority="65">
      <formula>AM$24=0</formula>
    </cfRule>
  </conditionalFormatting>
  <conditionalFormatting sqref="AR186:AR188">
    <cfRule type="expression" dxfId="646" priority="77">
      <formula>AR$29=0</formula>
    </cfRule>
  </conditionalFormatting>
  <conditionalFormatting sqref="AR221:AR222">
    <cfRule type="expression" dxfId="645" priority="78">
      <formula>AR$29=0</formula>
    </cfRule>
  </conditionalFormatting>
  <conditionalFormatting sqref="AR289">
    <cfRule type="expression" dxfId="644" priority="79">
      <formula>AR289&lt;AR285</formula>
    </cfRule>
  </conditionalFormatting>
  <conditionalFormatting sqref="AY187">
    <cfRule type="expression" dxfId="643" priority="90">
      <formula>AY$29=0</formula>
    </cfRule>
  </conditionalFormatting>
  <conditionalFormatting sqref="AY106:BA106">
    <cfRule type="expression" dxfId="642" priority="137">
      <formula>AND(AY$75&gt;0,AY106="")</formula>
    </cfRule>
  </conditionalFormatting>
  <conditionalFormatting sqref="AY209:BA209">
    <cfRule type="expression" dxfId="641" priority="29">
      <formula>AY$29=0</formula>
    </cfRule>
  </conditionalFormatting>
  <conditionalFormatting sqref="AY186:BC186">
    <cfRule type="expression" dxfId="640" priority="93">
      <formula>AY$29=0</formula>
    </cfRule>
  </conditionalFormatting>
  <conditionalFormatting sqref="AY22:BG22">
    <cfRule type="expression" dxfId="639" priority="45">
      <formula>OR(AY$19="",AND(AY$21&lt;&gt;woning,AY$21&lt;&gt;woongebouw))</formula>
    </cfRule>
  </conditionalFormatting>
  <conditionalFormatting sqref="AY70:BG70">
    <cfRule type="expression" dxfId="637" priority="33">
      <formula>OR(AY$19="",AY$24=0)</formula>
    </cfRule>
    <cfRule type="expression" dxfId="638" priority="34">
      <formula>AND(AY$19&lt;&gt;"",AY70="")</formula>
    </cfRule>
  </conditionalFormatting>
  <conditionalFormatting sqref="AY229:BG229">
    <cfRule type="expression" dxfId="636" priority="67">
      <formula>AY$24=0</formula>
    </cfRule>
  </conditionalFormatting>
  <conditionalFormatting sqref="AY251:BG253 AY255:BG255 AY257:BG257 AY262:BG269 AY271:BG271 AY273:BG273 AY275:BG275 AY280:BG280 AY282:BG284 AY286:BG288 AY293:BG294 AY296:BG297 AY302:BG310">
    <cfRule type="expression" dxfId="635" priority="63">
      <formula>AY$24=0</formula>
    </cfRule>
  </conditionalFormatting>
  <conditionalFormatting sqref="AY286:BG287">
    <cfRule type="expression" dxfId="634" priority="121">
      <formula>AY286&gt;AY282</formula>
    </cfRule>
  </conditionalFormatting>
  <conditionalFormatting sqref="AY290:BG290">
    <cfRule type="expression" dxfId="633" priority="6">
      <formula>AY$24=0</formula>
    </cfRule>
  </conditionalFormatting>
  <conditionalFormatting sqref="AY290:BG291 AY312:BG314 AY316:BG316">
    <cfRule type="expression" dxfId="632" priority="70">
      <formula>AY$24=0</formula>
    </cfRule>
  </conditionalFormatting>
  <conditionalFormatting sqref="AY294:BG294">
    <cfRule type="expression" dxfId="630" priority="12">
      <formula>AND(AY294&lt;&gt;"nvt",AY294&gt;AY293)</formula>
    </cfRule>
    <cfRule type="expression" dxfId="631" priority="13">
      <formula>AND(AY294&lt;&gt;"nvt",AY294&lt;=AY293)</formula>
    </cfRule>
  </conditionalFormatting>
  <conditionalFormatting sqref="AY297:BG297">
    <cfRule type="expression" dxfId="628" priority="10">
      <formula>AND(AY297&lt;&gt;"nvt",AY297&gt;AY296)</formula>
    </cfRule>
    <cfRule type="expression" dxfId="629" priority="11">
      <formula>AND(AY297&lt;&gt;"nvt",AY297&lt;=AY296)</formula>
    </cfRule>
  </conditionalFormatting>
  <conditionalFormatting sqref="AY318:BG318">
    <cfRule type="expression" dxfId="627" priority="69">
      <formula>AY$24=0</formula>
    </cfRule>
  </conditionalFormatting>
  <conditionalFormatting sqref="BD161:BD162">
    <cfRule type="expression" dxfId="626" priority="60">
      <formula>BD$29=0</formula>
    </cfRule>
  </conditionalFormatting>
  <conditionalFormatting sqref="BD186:BD188">
    <cfRule type="expression" dxfId="625" priority="71">
      <formula>BD$29=0</formula>
    </cfRule>
  </conditionalFormatting>
  <conditionalFormatting sqref="BD221:BD222">
    <cfRule type="expression" dxfId="624" priority="72">
      <formula>BD$29=0</formula>
    </cfRule>
  </conditionalFormatting>
  <conditionalFormatting sqref="BD288">
    <cfRule type="expression" dxfId="623" priority="73">
      <formula>BD288&lt;BD284</formula>
    </cfRule>
  </conditionalFormatting>
  <conditionalFormatting sqref="BH186:BH188 BH190:BH192">
    <cfRule type="expression" dxfId="622" priority="125">
      <formula>AND(BH186&lt;&gt;"-",BH186&gt;BH187)</formula>
    </cfRule>
  </conditionalFormatting>
  <conditionalFormatting sqref="BH227">
    <cfRule type="expression" dxfId="621" priority="135">
      <formula>AND(BH227&lt;&gt;"-",BH227&gt;#REF!)</formula>
    </cfRule>
  </conditionalFormatting>
  <conditionalFormatting sqref="O288:W288 AA288:AI288 AM288:AU288 AY288:BG288">
    <cfRule type="expression" dxfId="620" priority="1">
      <formula>$O$288&lt;$O$284</formula>
    </cfRule>
  </conditionalFormatting>
  <dataValidations count="97">
    <dataValidation type="decimal" allowBlank="1" showInputMessage="1" showErrorMessage="1" errorTitle="Invoer valt buiten bereik" error="De ingevoerde waarde valt buiten het bereik." sqref="O54:W55 AA54:AI55 AM54:AU55 AY54:BG55" xr:uid="{F0878F7E-0E7B-4454-9DF3-DD9300D8F729}">
      <formula1>0.2</formula1>
      <formula2>2</formula2>
    </dataValidation>
    <dataValidation allowBlank="1" showInputMessage="1" showErrorMessage="1" promptTitle="Renocatiestandaard utiliteit" prompt="De renovatiestandaard is een vrijwillige richtlijn voor de energieprestatie van utiliteitsgebouwen. Na 2030 wordt er een verplichte eindnorm bepaald waaraan de energieprestaties van alle gebouwen moeten voldoen in 2050." sqref="D291" xr:uid="{7E054BB6-D664-441A-99EA-212F4125A295}"/>
    <dataValidation allowBlank="1" showInputMessage="1" showErrorMessage="1" promptTitle="Energiepakket / energiebehoefte" sqref="O40:BG40" xr:uid="{DE744F22-BB05-43DB-85F9-0704648C8634}"/>
    <dataValidation type="list" allowBlank="1" showInputMessage="1" showErrorMessage="1" promptTitle="Energiepakket / energiebehoefte" sqref="AY41:BG41 AA41:AI41 AM41:AU41 O41:W41" xr:uid="{FFEFD5FB-382E-49D9-A500-484F14C90250}">
      <formula1>isolatiepakketten_gebouwschil_namen</formula1>
    </dataValidation>
    <dataValidation allowBlank="1" showInputMessage="1" showErrorMessage="1" promptTitle="Correctie warmtebehoefte RV" prompt="In slecht geïsoleerde gebouwen berekent NTA8800 gemiddeld té hoge energiegebruiken voor ruimteverwarming._x000a_De correctie corrigeert de NTA berekening op basis van de gemiddelde U-waarde._x000a__x000a_&gt;&gt; energieprestatie-indicatoren zijn alleen geldig ZONDER correctie." sqref="D6" xr:uid="{BEDC54E7-5829-4BB7-9758-E707B5F106D3}"/>
    <dataValidation allowBlank="1" showInputMessage="1" showErrorMessage="1" promptTitle="Correctiefactor verwarming" prompt="Slecht geïsoleerde woningen verbruiken gemiddeld veel minder en goed geïsoleerde woningen verbruiken gemiddeld wat meer dan berekend cf NTA8800._x000a__x000a_Deze correctiefactor verrekent dat._x000a__x000a_Rekenwaarde warmtebehoefte = correctiefactor * warmtebehoefte cf NTA8800" sqref="D53" xr:uid="{1FDFF879-A546-45FC-8BF0-336E44E2F820}"/>
    <dataValidation allowBlank="1" showInputMessage="1" showErrorMessage="1" promptTitle="Standaardwaarde" prompt="Deze standaard geeft aan wanneer een woning goed genoeg is geïsoleerd om aardgasvrij te worden. Hij is ontstaan uit het Klimaatakkoord._x000a_" sqref="D292" xr:uid="{332A1EA8-7A3F-468D-AF99-62F134AE2536}"/>
    <dataValidation allowBlank="1" showInputMessage="1" showErrorMessage="1" promptTitle="CO2 emissiecoëfficiënt" prompt="CO2 emissiecoëfficiënt energiedrager._x000a__x000a_Bij collectieve WKK met/zonder derving, geothermie, etc wordt de CO2 emissiecoëfficiënt uitgerekend cf. NEN7125_2017 paragraaf 7.3.4.5/6/9._x000a__x000a_Bij een EMG-verklaring wordt de waarde voor K_CO2 del overgenomen." sqref="D119" xr:uid="{466BC344-26E3-4A2E-8E5D-0000B4C25427}"/>
    <dataValidation allowBlank="1" showInputMessage="1" showErrorMessage="1" promptTitle="Elektriciteitsderving bij WKK" prompt="Bij WKK's waarbij de elektriciteitsproductie afneemt bij onttrekking van warmte, wordt de primaire energiefactor uitgerekend met de verhouding tussen elektriciteitsderving en thermische omzettingsgetal (Δε;chp;el / ε;chp;th)._x000a__x000a_NEN7125_2017 par 7.3.4.6" sqref="D110" xr:uid="{2A2B7547-8D99-444F-BDDD-77E6EFA3C3F0}"/>
    <dataValidation allowBlank="1" showInputMessage="1" showErrorMessage="1" promptTitle="Primaire energiefactor" prompt="Primaire energiefactor energiedrager._x000a__x000a_Bij collectieve WKK met/zonder derving, geothermie, etc wordt de primaire energiefactor uitgerekend cf. NEN7125_2017 paragraaf 7.3.4.5/6/9._x000a__x000a_Bij een EMG-verklaring wordt de waarde voor fPdel overgenomen." sqref="D115" xr:uid="{BBC5CE6D-5BDE-47E7-AEC4-351D08314F89}"/>
    <dataValidation type="textLength" allowBlank="1" showInputMessage="1" showErrorMessage="1" errorTitle="Maximaal 65 karakters" error="Maximaal 65 karakters." sqref="F4" xr:uid="{10A1A6E0-3E3F-4D3A-8E63-3A0B754E7858}">
      <formula1>0</formula1>
      <formula2>65</formula2>
    </dataValidation>
    <dataValidation type="textLength" errorStyle="warning" allowBlank="1" showInputMessage="1" showErrorMessage="1" errorTitle="Maximaal 30 karakters" error="Maximaal 30 karakters" sqref="H3" xr:uid="{DB3AD7EC-87E0-43DF-A37C-C08274CE5434}">
      <formula1>0</formula1>
      <formula2>40</formula2>
    </dataValidation>
    <dataValidation type="textLength" errorStyle="warning" allowBlank="1" showInputMessage="1" showErrorMessage="1" errorTitle="Maximaal 30 karakters" error="Maximaal 30 karakters" sqref="E3 F4" xr:uid="{882C32B0-A738-49DA-BAA5-E6458AF4A7EE}">
      <formula1>0</formula1>
      <formula2>30</formula2>
    </dataValidation>
    <dataValidation type="decimal" allowBlank="1" showInputMessage="1" showErrorMessage="1" errorTitle="Bereik 0%-100%" error="De ingevoerde waarde valt buiten het bereik." sqref="O44:W44 AA44:AI44 AY44:BG44 AM44:AU44" xr:uid="{8D9B08DA-1D99-45A7-A294-EF155A6323EB}">
      <formula1>0.5</formula1>
      <formula2>2</formula2>
    </dataValidation>
    <dataValidation allowBlank="1" showInputMessage="1" showErrorMessage="1" promptTitle="Elektriciteit 'overig'" prompt="Elektriciteit 'overig' is het elektriciteitsgebruik voor hulpenergie installaties, verlichting, ventilatoren, apparatuur, mobiliteit, elektrisch koken, etcetera." sqref="D154" xr:uid="{07DEDC39-5B88-4B59-8880-DEE08DF12AC8}"/>
    <dataValidation allowBlank="1" showInputMessage="1" showErrorMessage="1" promptTitle="Indicatie geïnstalleerd vermogen" prompt="Forfaitaire, conservatieve, waarden in NTA8800, par. 14.3, in W/m2:_x000a_- winkels: 30_x000a_- gezondheid met bed, logies, cellen: 17_x000a_- overige functies: 16_x000a__x000a_Gebruikelijk is 30% lager._x000a_Energiezuinig 50%-60% lager." sqref="D45" xr:uid="{9A12BED0-F0C8-4324-9F3B-09A4308BCFA0}"/>
    <dataValidation allowBlank="1" showInputMessage="1" showErrorMessage="1" promptTitle="Bijdrage zonthermisch MWh" prompt="Bijdrage zonthermisch = %bijdrage zonthermisch * (energiebehoefte + intern distributieverlies)_x000a__x000a_Het % bijdrage zonthermisch is verschillend voor RV en TAP en staat in de bibliotheek." sqref="D88" xr:uid="{F1A41702-F868-44F5-9909-0E8FE3DD70D9}"/>
    <dataValidation allowBlank="1" showInputMessage="1" showErrorMessage="1" promptTitle="Aandeel hernieuwbare energie" prompt="Aandeel hernieuwbare energie._x000a__x000a_RERPrenTOT = EPrenTot / (EPTot + EPrenTot) * 100%_x000a__x000a_Cf. NTA8800 par. 5.3.1.3, formule 5.3" sqref="D288" xr:uid="{DEA3B13D-6BC4-45C1-8641-980B37027981}"/>
    <dataValidation type="list" allowBlank="1" showInputMessage="1" showErrorMessage="1" sqref="O47:W47 AA47:AI47 AY47:BG47 AM47:AU47" xr:uid="{5D3F4634-A170-4E49-983D-05DF53292CDF}">
      <formula1>"elektriciteit,aardgas"</formula1>
    </dataValidation>
    <dataValidation allowBlank="1" showInputMessage="1" showErrorMessage="1" promptTitle="Kookgas" prompt="Gasverbruik voor kookgas." sqref="D65" xr:uid="{2FAE8DCC-5FEC-441B-AA46-7FD3D282541D}"/>
    <dataValidation allowBlank="1" showInputMessage="1" showErrorMessage="1" promptTitle="Hernieuwbare 'primaire' energie" prompt="De totale hernieuwbare 'primaire' energie voor GEBOUWGEBONDEN energiegebruik is berekend cf. NTA8800._x000a__x000a_NTA8800 par. 5.6." sqref="D260" xr:uid="{3DA6E0EC-4F5D-48C4-926B-C0C0CE2B6CCD}"/>
    <dataValidation allowBlank="1" showInputMessage="1" showErrorMessage="1" promptTitle="Energieprestatie indicatoren" prompt="De energieprestatie indicatoren gaan alleen over GEBOUWGEBONDEN energiegebruik en zijn bepaald cf. paragraaf 5.3.1 van NTA 8800._x000a__x000a_" sqref="D278" xr:uid="{19FCAF04-62CB-4945-BDC7-DD8D54720353}"/>
    <dataValidation allowBlank="1" showInputMessage="1" showErrorMessage="1" promptTitle="Energielabel" prompt="Het energielabel wordt bepaald op basis van het gebouwgebonden primair energiegebruik in kWh/m2._x000a__x000a_Zie 'Regeling energieprestatie gebouwen', https://wetten.overheid.nl/BWBR0020921/2021-07-01" sqref="D290" xr:uid="{24A6A016-ABA5-481C-9697-D3DC7D37ED48}"/>
    <dataValidation allowBlank="1" showInputMessage="1" showErrorMessage="1" promptTitle="Besparing warmtevraag tapwater" prompt="Reductie (of toename) van de warmtevraag voor warmtapwater t.o.v. van de berekende warmtevraag cf. NTA 8800._x000a__x000a_Te denken valt aan DWTW, waterbesparende kranen, lagere bezetting, bewust energiezuinig gedrag, et cetera." sqref="D44" xr:uid="{2B402C51-2974-40D1-8E5B-0F3759A34446}"/>
    <dataValidation allowBlank="1" showInputMessage="1" showErrorMessage="1" promptTitle="Woningen|utiliteitsgebouwen" prompt="De tabel geeft een terugkoppeling van de ingevoerde woningen en utileitsgebouwen in" sqref="D17" xr:uid="{DA87D69D-2C09-483B-BCD9-56280F7D1B16}"/>
    <dataValidation allowBlank="1" showInputMessage="1" showErrorMessage="1" promptTitle="Resultaten" prompt="De tabel geeft een samenvatting van het primair energiegebruik, de CO2 emissie en het gasverbruik van de locatie(s) als gevolg van energetische keuzes in deze variant." sqref="D10" xr:uid="{36C98F25-F368-47B7-9566-26FE83B87D44}"/>
    <dataValidation allowBlank="1" showInputMessage="1" showErrorMessage="1" promptTitle="Niet preferent toestel" prompt="Kenmerken wijzigen van het niet preferente toestel (niet preferent toestel bepaald door type installatie)._x000a_De kenmerken bepalen de te leveren warmte|koude door het niet preferente toestel, het finaal/primair energiegebruik en de CO2 emissie." sqref="D129" xr:uid="{48665A1A-E2FE-4C7B-BEC6-858DE6FB0B3E}"/>
    <dataValidation allowBlank="1" showInputMessage="1" showErrorMessage="1" promptTitle="Preferent toestel" prompt="Hier kunnen de kenmerken van het al eerder gekozen preferente toestel worden gewijzigd._x000a_De kenmerken bepalen welk deel van de te leveren warmte|koude door het preferente toestel geleverd wordt en hoeveel primair energiegebruik en CO2 emissie dat kost." sqref="D99" xr:uid="{4CB5F88E-639D-4484-857A-9E87F6AC02CA}"/>
    <dataValidation allowBlank="1" showInputMessage="1" showErrorMessage="1" promptTitle="Te leveren warmte en koude" prompt="Aan het distributiesysteem te leveren warmte|koude wordt berekend op basis van de warmte- en koudevraag van woningen en utiliteitsgebouwen (energiebehoefte per energiepost), de verliezen door warmte-/koudedistributie en gebruik van thermische zonnewarmte." sqref="D93" xr:uid="{944313F2-106E-415A-B7B7-E52689E7F5F3}"/>
    <dataValidation allowBlank="1" showInputMessage="1" showErrorMessage="1" promptTitle="Keuze preferent toestel" prompt="De keuze van het preferente toestel bepaalt welke forfaitaire waarden voor warmtedistributie, energiedragers en rendementen uit de bibliotheek worden opgehaald." sqref="D79" xr:uid="{55A9E2E1-E4DB-4D9B-B87A-AC3FCF603BA6}"/>
    <dataValidation allowBlank="1" showInputMessage="1" showErrorMessage="1" promptTitle="Installatie" prompt="De installatie voor verwarming, koeling en warmtapwater wordt vastgelegd door keuze voor het type preferent toestel, de warmteverliezen door interen en externe warmtedistributie en gebruik van thermische zonne-energie." sqref="D78" xr:uid="{011A6C89-B794-49C0-AE01-D9CA503886AB}"/>
    <dataValidation allowBlank="1" showInputMessage="1" showErrorMessage="1" promptTitle="Thermische zonne-energie" prompt="Het thermisch zonne-energiesysteem levert een % van de warmtevraag inclusief intern distributieverlies._x000a__x000a_In de UMGO worden de volgende forfaitaire waarden aangehouden:_x000a_- ruimteverwarming: 15%;_x000a_- warmtapwater: 50%." sqref="D86" xr:uid="{96E5A7A4-8D8B-422C-8478-9D6C7A43E093}"/>
    <dataValidation allowBlank="1" showInputMessage="1" showErrorMessage="1" promptTitle="Energie niet voor verwarmen/koel" prompt="Elektra en gas NIET voor verwarmen/koelen._x000a_- gebouwgebonden (hulpenergie_x000a_   toestellen, verlichting,_x000a_   ventilatoren);_x000a_- niet gebouwgebonden (apparatuur_x000a_   (tv, computer, elektrisch koken,_x000a_   klusapparatuur, etc), mobiliteit);_x000a_-  kookgas" sqref="D149" xr:uid="{C170E80F-E9B9-40D8-918E-7BEAEA8F3D5B}"/>
    <dataValidation type="decimal" allowBlank="1" showInputMessage="1" showErrorMessage="1" errorTitle="Bereik 0,0-0,5" error="De ingevoerde waarde valt buiten het bereik." sqref="O126:Q126 AA126:AC126 AY126:BA126 AM126:AO126" xr:uid="{4E466CCA-5442-46E6-8919-3B2A676D1F25}">
      <formula1>0</formula1>
      <formula2>0.5</formula2>
    </dataValidation>
    <dataValidation type="decimal" allowBlank="1" showInputMessage="1" showErrorMessage="1" errorTitle="Bereik 0,0-1,0" error="De ingevoerde waarde valt buiten het bereik." sqref="AY152:BA152 AA120:AC120 AY120:BA120 O145:Q145 AA145:AC145 AY145:BA145 O152:Q152 AA152:AC152 P120:Q120 AM152:AO152 AM145:AO145 AM120:AO120" xr:uid="{E6F1CF17-635F-4DFF-BEEC-D8C9546D6C38}">
      <formula1>0</formula1>
      <formula2>1</formula2>
    </dataValidation>
    <dataValidation type="decimal" allowBlank="1" showInputMessage="1" showErrorMessage="1" errorTitle="Bereik 0,0-2,0" error="De ingevoerde waarde valt buiten het bereik." sqref="O116:Q116 AA116:AC116 AY116:BA116 O141:Q141 AA141:AC141 AY141:BA141 O120 AM141:AO141 AM116:AO116" xr:uid="{752F07B1-5C2B-42EC-BAFE-05483E3210D8}">
      <formula1>0</formula1>
      <formula2>2</formula2>
    </dataValidation>
    <dataValidation type="decimal" allowBlank="1" showInputMessage="1" showErrorMessage="1" errorTitle="Bereik 0,10-1,00" error="De ingevoerde waarde valt buiten het bereik." sqref="O84 Q84 AA84 AC84 AY84 BA84 AM84 AO84" xr:uid="{7378D201-5E46-4D9A-A2E6-33566B6F0582}">
      <formula1>0.1</formula1>
      <formula2>1</formula2>
    </dataValidation>
    <dataValidation type="decimal" operator="greaterThanOrEqual" allowBlank="1" showInputMessage="1" showErrorMessage="1" errorTitle="Bereik ≥0" error="De ingevoerde waarde valt buiten het bereik." promptTitle="Energiepakket / energiebehoefte" sqref="O70:W70 AA70:AI70 AY70:BG70 AM70:AU70" xr:uid="{C3A8351C-CAEE-455F-98AC-BA46F31FFAF2}">
      <formula1>0</formula1>
    </dataValidation>
    <dataValidation type="decimal" operator="greaterThanOrEqual" allowBlank="1" showInputMessage="1" showErrorMessage="1" errorTitle="Bereik ≥0" error="De ingevoerde waarde valt buiten het bereik." sqref="BA91 O68:W68 AA68:AI68 O91 Q91 AA91 AC91 AM91 AO91 AY91 AY68:BG68 AM68:AU68" xr:uid="{EC394590-E940-4BDE-A80F-1DECF2E51129}">
      <formula1>0</formula1>
    </dataValidation>
    <dataValidation type="decimal" allowBlank="1" showInputMessage="1" showErrorMessage="1" errorTitle="Bereik 0-30" error="De ingevoerde waarde valt buiten het bereik." sqref="O45:W45 AA45:AI45 AY45:BG45 AM45:AU45" xr:uid="{E1CA7842-6A33-46D6-8018-BCDDF0B763B4}">
      <formula1>0</formula1>
      <formula2>30</formula2>
    </dataValidation>
    <dataValidation type="decimal" operator="greaterThanOrEqual" allowBlank="1" showInputMessage="1" showErrorMessage="1" errorTitle="Bereik ≥0" error="De ingevulde waarde valt buiten het bereik." sqref="O25:W25 AA25:AI25 AY25:BG25 AM25:AU25" xr:uid="{8D95E78F-0A23-467F-9828-128C773FB1E5}">
      <formula1>0</formula1>
    </dataValidation>
    <dataValidation type="decimal" allowBlank="1" showInputMessage="1" showErrorMessage="1" errorTitle="Bereik 0%-100%" error="De ingevoerde waarde valt buiten het bereik." sqref="O48:W48 AA48:AI48 AY48:BG48 AM48:AU48" xr:uid="{5B05819E-3A76-469F-BD2D-651AA7F2D5E5}">
      <formula1>0</formula1>
      <formula2>1</formula2>
    </dataValidation>
    <dataValidation type="decimal" allowBlank="1" showInputMessage="1" showErrorMessage="1" errorTitle="Bereik 0,1-15,0" error="De ingevoerde waarde valt buiten het bereik." sqref="AA109:AC109 AY109:BA109 AY137:BA137 O137:Q137 AA137:AC137 O109:Q109 AM137:AO137 AM109:AO109" xr:uid="{52314730-BB4C-4E6B-B586-0EE0195D1D0A}">
      <formula1>0.1</formula1>
      <formula2>15</formula2>
    </dataValidation>
    <dataValidation type="decimal" allowBlank="1" showInputMessage="1" showErrorMessage="1" errorTitle="Bereik 0%-100%" error="De ingevoerde waarde is buiten het bereik." sqref="AY106:BA106 AA106:AC106 O106:Q106 AM106:AO106" xr:uid="{B27EC385-8CF2-4813-A5BA-0180E14C6AAE}">
      <formula1>0</formula1>
      <formula2>1</formula2>
    </dataValidation>
    <dataValidation allowBlank="1" showInputMessage="1" showErrorMessage="1" promptTitle="Hernieuwbaar ext. warmte/koude" prompt="Ingezette hernieuwbare energie door externe warmte-/koudelevering._x000a__x000a_EPren;gen;out = Q[HCW];gen;out * fPren;d[hcw]X_x000a__x000a_X staat voor 'kwal' (kwalteitsverklaring) of 'forf' (forfaitair)._x000a__x000a_Cf. NTA8800 par. 5.6.2." sqref="D212" xr:uid="{EBD702F1-9B5C-4494-975E-BA456893EF64}"/>
    <dataValidation allowBlank="1" showInputMessage="1" showErrorMessage="1" promptTitle="primaire energie indicator" prompt="Het totale gebouwgebonden primaire (vermeden) energiegebruik (voor woningen ZONDER verlichting) in kWh/m2._x000a__x000a_NTA8800, par. 5.3.1.2_x000a__x000a_" sqref="D287" xr:uid="{C6CD744A-517A-4743-845C-EE7F370D993F}"/>
    <dataValidation allowBlank="1" showInputMessage="1" showErrorMessage="1" promptTitle="energiebehoefte-indicator" prompt="Warmtebehoefte ruimteverwarming + koudebehoefte voor koeling, berekend met ventilatiesysteem C1, in kWh/m2._x000a__x000a_NTA8800, par. 5.3.1.1_x000a__x000a_" sqref="D286" xr:uid="{60728108-163C-4468-8DBB-3181BEEF24C4}"/>
    <dataValidation allowBlank="1" showInputMessage="1" showErrorMessage="1" promptTitle="Energieprestaties" prompt="De berekende energieprestatie (bestaande bouw EN nieuwbouw) is afgezet tegen de BENG eisen voor NIEUWBOUW._x000a__x000a_GROEN: berekende waarde voldoet WEL aan de eis_x000a_ROOD: berekende waarde voldoet NIET aan de eis_x000a__x000a_" sqref="D285" xr:uid="{8BFA2C8E-67DD-4616-B3F2-4726FF8953A4}"/>
    <dataValidation allowBlank="1" showInputMessage="1" showErrorMessage="1" promptTitle="BENG eisen 2021" prompt="De BENG eisen zijn overgenomen van:_x000a__x000a_https://zoek.officielebekendmakingen.nl/stb-2019-501.html_x000a__x000a_" sqref="D281" xr:uid="{D290397D-B0F9-4C84-B89C-D532A7F5C26A}"/>
    <dataValidation allowBlank="1" showInputMessage="1" showErrorMessage="1" promptTitle="Energiegebruik per energiepost" prompt="Per deellocatie is de energiebehoefte van alle woningen en gebouwen per energiepost gesommeerd." sqref="D75" xr:uid="{28296329-C933-4427-B889-A3BD9406822F}"/>
    <dataValidation allowBlank="1" showInputMessage="1" showErrorMessage="1" promptTitle="Besparing elektr. apparatuur" prompt="Reductie van het niet gebouwgebonden elektriciteitsgebruik zoals dat in de onderstaande tabel is berekend._x000a__x000a_Een reductie van 100% betekent dat in de UMGO het niet gebouwgebonden elektriciteitsgebruik niet in de berekening wordt meegenomen." sqref="D48" xr:uid="{E538605D-6C00-4A10-889A-8D2C789D6B85}"/>
    <dataValidation allowBlank="1" showInputMessage="1" showErrorMessage="1" promptTitle="Elektriciteitsgebruik overig" prompt="Het elektriciteitsgebruik binnen het gebouw, niet gerelateerd aan gebouwinstallaties (computers, printers, elektrisch koken, klusapparatuur et cetera)._x000a__x000a_Voor woningen zijn CBS cijfers gebruikt. Voor utiliteitsgebouwen tabel 7.3 uit NTA8800." sqref="D66" xr:uid="{9F1EC0C8-3CE1-4280-A928-8EC8BC07BD93}"/>
    <dataValidation allowBlank="1" showInputMessage="1" showErrorMessage="1" promptTitle="Elektriciteitsvraag ventilatoren" prompt="De elektriciteitsvraag voor ventilatoren is afgeleid met gebouwen uit de energielabeldatabase (UT) en Voorbeeldgebouwen 2020. Na (her)berekenen met NTA8800 wordt de elektricitetsvraag berekend obv:_x000a_- ventilatiesysteem_x000a_- wissel-gelijkstroom/installatiejaar" sqref="D64" xr:uid="{D2FE34C9-CA29-4848-9E7B-BAE182A51E8D}"/>
    <dataValidation allowBlank="1" showInputMessage="1" showErrorMessage="1" promptTitle="Elektriciteitsvraag verlichting" prompt="De elektriciteitsvraag voor verlichting is afgeleid met gebouwen uit de energielabeldatabase (UT) en Voorbeeldgebouwen 2020. Na (her)berekenen met NTA8800 wordt de elektricitetsvraag berekend obv:_x000a_- geïnstalleerd vermogen in W/m2_x000a_- verlichtingsregeling" sqref="D63" xr:uid="{4B9DDE3C-99DF-414B-B7D1-E2892E5E0DC3}"/>
    <dataValidation allowBlank="1" showInputMessage="1" showErrorMessage="1" promptTitle="Koudebehoefte koeling" prompt="De koudebehoefte voor koeling is afgeleid met data van gebouwen uit de energielabeldatabase (UT) en Voorbeeldgebouwen 2020. Na (her)berekenen met NTA8800 is een verband afgeleid tussen koudebehoefte en:_x000a_- Als/Ag_x000a_- U gem_x000a_- vent.sys." sqref="D61" xr:uid="{CC6F19CC-6EA0-4B20-AFCD-8DEC0F09B5A4}"/>
    <dataValidation allowBlank="1" showInputMessage="1" showErrorMessage="1" promptTitle="Warmtebehoefte ruimteverwarming" prompt="De warmtebehoefte voor verwarming is afgeleid met data van gebouwen uit de energielabeldatabase (UT) en Voorbeeldgebouwen 2020. Na (her)berekenen met NTA8800 is een verband afgeleid tussen warmtebehoefte en:_x000a_- Als/Ag_x000a_- U gem_x000a_- vent.sys." sqref="D60" xr:uid="{C0432C21-99E6-47C2-9A8D-A5E28CAE29FD}"/>
    <dataValidation allowBlank="1" showInputMessage="1" showErrorMessage="1" promptTitle="Hernieuwbaar door vrije koeling" prompt="Geleverde energie door vrije koeling. Mits EER &gt;= 8 (anders EPren;gen;out = 0)_x000a__x000a_EPren;gen;out = QC;gen;out * fPren;rencold_x000a__x000a_Cf. NTA8800 par. 5.6.2.2_x000a_" sqref="D265 D210" xr:uid="{E89AD518-FC01-4E5D-AB7C-59D2FB45E9EC}"/>
    <dataValidation allowBlank="1" showInputMessage="1" showErrorMessage="1" promptTitle="Aandeel hernieuwb. prim energie" prompt="Aandeel hernieuwbare energie._x000a__x000a_RERPrenTOT = EPrenTot / (EPTot + EPrenTot) * 100%_x000a__x000a_Cf. NTA8800 par. 5.3.1.3, formule 5.3" sqref="D275" xr:uid="{7A1A7C0E-818E-4A5E-92DC-90FDEFF9EA42}"/>
    <dataValidation allowBlank="1" showInputMessage="1" showErrorMessage="1" promptTitle="Hernieuwb. abs. koel ext. warmte" prompt="Geleverde energie door absorptiekoeling op externe warmtelevering._x000a__x000a_EPren;gen;out = QC;gen;out * fPren;dhX_x000a__x000a_Waarbij de X in fPren;dhX staat voor 'kwal' (met) of 'forf' (zonder kwalteitsverklaring)._x000a__x000a_Cf. NTA8800 par. 5.6.2." sqref="D268 D213" xr:uid="{9EC94F21-618B-4421-94AC-DF4779DC6942}"/>
    <dataValidation allowBlank="1" showInputMessage="1" showErrorMessage="1" promptTitle="Totaal hernieuwbare prim energie" prompt="Hernieuwbare 'primaire' energie van de woning of het gebouw." sqref="D273" xr:uid="{9B6E431C-57B1-4B0A-A8F6-C6263C8A935A}"/>
    <dataValidation allowBlank="1" showInputMessage="1" showErrorMessage="1" promptTitle="Hernieuwbaar opgewekte elek." prompt="Op het eigen perceel opgewekte primaire hernieuwbare elektriciteit._x000a__x000a_EPren;el = Eel;PV/PVT/wind * fPren;renelect_x000a__x000a_Cf. NTA8800 par. 5.6.2.4." sqref="D271 D215" xr:uid="{05B0DBFA-429E-4966-9340-D5ACFDBABEA4}"/>
    <dataValidation allowBlank="1" showInputMessage="1" showErrorMessage="1" promptTitle="Hernieuwbaar zonne-energie therm" prompt="Onder praktijkomstandigheden aangeleverde hoeveelheid hernieuwbare energie, door thermische zonne-energiesystemen (zonneboiler(combi)s op eigen perceel._x000a__x000a_EPren;sol;prac = QHW;sol;prac * fPren;renheat_x000a__x000a_Cf. NTA8800 par. 5.6.2._x000a_" sqref="D269 D214" xr:uid="{C5FD70C1-5D17-498B-830E-64AAB756F69B}"/>
    <dataValidation allowBlank="1" showInputMessage="1" showErrorMessage="1" promptTitle="Hernieuwbaar ext. warmte/koude" prompt="Ingezette hernieuwbare energie door externe warmte-/koudelevering. Waarbij de X in fPren;d[hcw]X staat voor 'kwal' (met) of 'forf' (zonder kwalteitsverklaring)._x000a__x000a_EPren;gen;out = Q[HCW];gen;out * fPren;d[hcw]X_x000a__x000a_Cf. NTA8800 par. 5.6.2._x000a_" sqref="D267" xr:uid="{AD43EAEA-EE5F-47A0-9356-1117D7B64BCD}"/>
    <dataValidation allowBlank="1" showInputMessage="1" showErrorMessage="1" promptTitle="Hernieuwbare energie biomassa" prompt="Ingezette hernieuwbare energie door biomassatoestel._x000a__x000a_EPren;gen;out = QHW;gen;out * fPren;bmX_x000a__x000a_Waarbij de X in fPren;bmX staat voor A, B of C afhankelijk van het type biomassa._x000a__x000a_Cf. NTA8800 par. 5.6.2._x000a_" sqref="D266 D211" xr:uid="{937487E0-B479-408F-AF2A-7ABA3DC9B696}"/>
    <dataValidation allowBlank="1" showInputMessage="1" showErrorMessage="1" promptTitle="Hernieuwbare energie warmtepomp" prompt="Ingezette hernieuwbare energie door warmtepompen. Mits EN:_x000a_- COP (of eta) &gt;=1,0;_x000a_- bron is GEEN ventilatieretourlucht_x000a_- warmtepomp GEEN booster-wp._x000a__x000a_EPren;hp = QHW;gen;hp;out * (1-1/COP) * fPren;renheat_x000a__x000a_Cf. NTA8800 par. 5.6.2." sqref="D264 D209" xr:uid="{B6C553C1-CC76-48F7-89F2-7B7A18F04730}"/>
    <dataValidation allowBlank="1" showInputMessage="1" showErrorMessage="1" promptTitle="Aantal toestellen" prompt="Voor toestellen met geografisch niveau:_x000a_- 'gebouw': aantal woningen en gebouwen in deellocatie._x000a_- 'gebied': totale gebruiksoppervlakte in deelgebied delen door gemiddeld maximaal te verwarmen/koelen oppervlak._x000a_- 'centraal': 1." sqref="D95" xr:uid="{7788ADB2-8BB6-4CF9-8A85-7D2FCE009E79}"/>
    <dataValidation allowBlank="1" showInputMessage="1" showErrorMessage="1" promptTitle="Vermogen verwarming &amp; koeling" prompt="Een indicatie van het verwarmings- en koelvermogen op basis van formules NTA8800. Zie 'bibliotheek' voor meer details." sqref="D96" xr:uid="{34B15D3A-5FC2-4732-8541-D7E37E360003}"/>
    <dataValidation type="list" allowBlank="1" showInputMessage="1" showErrorMessage="1" sqref="O46:W46 AA46:AI46 AY46:BG46 AM46:AU46" xr:uid="{1C5F5596-71D8-4467-98A0-F258D0E9AA82}">
      <formula1>verlichtingsregeling_namen</formula1>
    </dataValidation>
    <dataValidation type="list" allowBlank="1" showInputMessage="1" showErrorMessage="1" sqref="O43:W43 AA43:AI43 AY43:BG43 AM43:AU43" xr:uid="{49D946F5-0F3F-45C2-8EF1-C65FE1BBA9E3}">
      <formula1>ventilatoren_typen</formula1>
    </dataValidation>
    <dataValidation type="list" allowBlank="1" showInputMessage="1" showErrorMessage="1" sqref="O42:W42 AY42:BG42 AA42:AI42 AM42:AU42" xr:uid="{3529122B-49CC-4B97-845C-2B2FEDBD99E3}">
      <formula1>ventilatiesystemen_namen</formula1>
    </dataValidation>
    <dataValidation allowBlank="1" showInputMessage="1" showErrorMessage="1" promptTitle="Correctiefactor ruimteverwarming" prompt="Werkelijk energiegebruik voor ruimteverwarming wijkt vaak af van energiegebruik cf. EPG._x000a__x000a_Slecht geïsoleerde woningen verbruiken gemiddeld minder en goed geïsoleerde woningen verbruiken gemiddeld meer dan berekend._x000a__x000a_Deze correctiefactor verrekent dat." sqref="D54:D55" xr:uid="{A86FDD1A-AB50-4EA3-B33E-93363D0110F4}"/>
    <dataValidation type="list" allowBlank="1" showInputMessage="1" showErrorMessage="1" errorTitle="Toestel RV" error="Kies een beschikbaar toestel." sqref="Q87 AA87 AC87 AM87 AO87 AY87 BA87 O87" xr:uid="{34FADC4C-6AF4-4ABE-8C78-D2949D6C59FF}">
      <formula1>"ja,nee"</formula1>
    </dataValidation>
    <dataValidation allowBlank="1" showInputMessage="1" showErrorMessage="1" promptTitle="Isolatiepakket gebouwschil" prompt="De aangeboden isolatiepakketten voor de gebouwschil bepalen de gemiddelde warmtedoorgangscoëfficiënt van de gebouwschil. In de bibliotheek zijn de Rc- en U-waarden per pakket en per bouwdeel aangegeven._x000a__x000a_Eigen pakketten zijn daaraan toe te voegen." sqref="D40" xr:uid="{BA457558-FAC5-49C5-A2AC-845F2FFC110F}"/>
    <dataValidation allowBlank="1" showInputMessage="1" showErrorMessage="1" promptTitle="Warmtebehoefte warmtapwater" prompt="De energiebehoefte voor warmtapwatergebruik wordt berekend op basis van rekenregels in NTA8800 (paragraaf 13.2)." sqref="D62" xr:uid="{A91A8D67-CC32-438E-A291-484C92CBCE87}"/>
    <dataValidation allowBlank="1" showInputMessage="1" showErrorMessage="1" promptTitle="Gegevensfilter en navigatie" prompt="&lt;-_x000a_Het gegevensfilter biedt de mogelijkheid om (delen van) tabellen in de UMGO te filteren._x000a__x000a_-&gt;_x000a_Navigatieknoppen naar andere tabbladen." sqref="D8" xr:uid="{50DDE31E-A4D7-45B3-B75F-49A9A94F7A6E}"/>
    <dataValidation allowBlank="1" showInputMessage="1" showErrorMessage="1" promptTitle="Distributieverlies binnen gebouw" prompt="Warmtedistributieverlies binnen woning|gebouw voor ruimteverwarming en warmtapwater, en afgifteverlies (radiator, vloerverwarming) voor ruimteverwarming._x000a_(Afgifteverlies voor warmtapwater zit verwerkt in het kengetal voor energiebehoefte warmtapwater.)" sqref="D82" xr:uid="{54CDDF1F-0ED3-4EE2-8628-8836F1CB2245}"/>
    <dataValidation type="list" allowBlank="1" showInputMessage="1" showErrorMessage="1" sqref="Q80 AC80 BA80 AO80" xr:uid="{B05649B0-4EAB-4745-9A3A-D79F848694A7}">
      <formula1>toestellen_TAP_invoer</formula1>
    </dataValidation>
    <dataValidation type="list" allowBlank="1" showInputMessage="1" showErrorMessage="1" sqref="P80 AB80 AZ80 AN80" xr:uid="{0F4A5A00-DE8B-4897-85F5-5F100DBF598F}">
      <formula1>toestellen_KOEL_invoer</formula1>
    </dataValidation>
    <dataValidation type="list" allowBlank="1" showInputMessage="1" showErrorMessage="1" sqref="AY80" xr:uid="{776F04FD-A43C-4E59-84FC-BDC0332DD4EA}">
      <formula1>toestellen_RV_invoer</formula1>
    </dataValidation>
    <dataValidation type="list" allowBlank="1" showInputMessage="1" showErrorMessage="1" sqref="F5" xr:uid="{E9252756-FFA0-4FDF-B745-05DEC79CF8C4}">
      <formula1>opwekking_elektriciteit</formula1>
    </dataValidation>
    <dataValidation allowBlank="1" showInputMessage="1" showErrorMessage="1" promptTitle="BENG-eisen" prompt="Als er meer dan één gebruiksfunctie is, dan is de eis gelijk aan het naar gebruiksoppervlakte gewogen gemiddelde over de verschillende functies." sqref="A273" xr:uid="{7D38468A-F487-4357-89AC-776886276718}"/>
    <dataValidation allowBlank="1" showInputMessage="1" showErrorMessage="1" promptTitle="Primair energiegebruik" prompt="De Uniforme Maatlat rekent op onderwaarde. De EPG rekent echter op bovenwaarde. De berekende primaire energiebruiken in de EPG zijn daarom hoger." sqref="D159" xr:uid="{FA4354BC-58D1-4E82-B180-91FB788232DA}"/>
    <dataValidation allowBlank="1" showInputMessage="1" showErrorMessage="1" promptTitle="Regerenatie WKO" prompt="Indien regeneratie van de WKO wordt voorzien wordt het elektriciteitsverbruik voor regeneratie bepaald als volgt:_x000a_Elektriciteitsverbruik regeneratie = abs (hoeveelheid warmte uit aquifer – hoeveelheid koude uit aquifer) * specifiek vermogen regeneratie_x000a_" sqref="D123" xr:uid="{2CDEC370-9C5B-4CBC-9B91-8514557902B9}"/>
    <dataValidation type="whole" allowBlank="1" showInputMessage="1" showErrorMessage="1" sqref="AN139:AO139 AN142:AO143 AB142:AC143 P142:Q143 AB139:AC139 AZ142:BA142" xr:uid="{D6E4043A-2E32-42DF-A07A-461BC261C68B}">
      <formula1>0</formula1>
      <formula2>1</formula2>
    </dataValidation>
    <dataValidation type="decimal" allowBlank="1" showInputMessage="1" showErrorMessage="1" sqref="AM139 AM142:AM143 AA142:AA143 O142:O143 AA139 AY142" xr:uid="{78CBFD7E-BB0D-4B41-A603-F4D9140C34A3}">
      <formula1>0</formula1>
      <formula2>1</formula2>
    </dataValidation>
    <dataValidation allowBlank="1" showInputMessage="1" showErrorMessage="1" promptTitle="Primaire energiefactor" prompt="Het is mogelijk een eigen primaire energiefactor in te voeren. _x000a_Let op: Het verrekenen van aftapwarmte gaat via 'gederfde elektriciteit'." sqref="D140" xr:uid="{A22B8508-DE52-4EFE-8EC1-5E6B26FB315C}"/>
    <dataValidation allowBlank="1" showInputMessage="1" showErrorMessage="1" promptTitle="Opwekkingsrendement" prompt="Binnen de Uniforme Maatlat wordt het opwekkingsrendement op bovenwaarde gebruikt." sqref="D108" xr:uid="{A4ECE36E-3480-4A8F-B2C2-636E54329207}"/>
    <dataValidation allowBlank="1" showInputMessage="1" showErrorMessage="1" promptTitle="Forfaitaire waarden PV" prompt="Forfaitaire waarde voor opbrengst van PV: 875 kWh/kWp._x000a_" sqref="D168" xr:uid="{07A9AB62-03AE-44BC-90F5-EBFACBAB8FC0}"/>
    <dataValidation allowBlank="1" showInputMessage="1" showErrorMessage="1" promptTitle="Distributieverlies extern" prompt="Het warmteverlies bij warmtedistributie buiten het gebouw in MWh per woning en/of utiliteitsgebouw._x000a__x000a_Als hiervoor waarden beschikbaar zijn, kunnen de forfaitaire waarden uit het model worden overschreven." sqref="D89" xr:uid="{AFF123FB-C0EA-43CD-B505-B9A473E013B4}"/>
    <dataValidation allowBlank="1" showInputMessage="1" showErrorMessage="1" promptTitle="Relatieve bijdrage per type" prompt="De relatieve bijdrage per energiepost (verwarming, warmtapwater, ..) wordt per type woning, woongebouw, utiliteitsgebouw bepaald op basis van de primaire energiegebruiken conform EPG/BENG." sqref="D234" xr:uid="{9BFCA908-2F1A-4548-83F4-F28EC9DA5806}"/>
    <dataValidation allowBlank="1" showInputMessage="1" showErrorMessage="1" promptTitle="Karakteristiek energiegebruik" prompt="Totaal naar primaire energie omgerekend fossiele brandstoffen voor gebouwgebonden energiegebruik (voor woningen ZONDER verlichting), verminderd met primair energiegebruik op eigen perceel geproduceerde energie._x000a__x000a_Cf. NTA8800 par. 5.5." sqref="D262" xr:uid="{427D527E-3C59-4093-AC74-94620AC1CCAD}"/>
    <dataValidation allowBlank="1" showInputMessage="1" showErrorMessage="1" promptTitle="PV" prompt="Opbrengst PV op gevel en dak in kWh per woning | utiliteitsgebouw." sqref="D70" xr:uid="{C3B089BD-C4FF-4582-94F3-35E7152251DC}"/>
    <dataValidation allowBlank="1" showInputMessage="1" showErrorMessage="1" promptTitle="Mobiliteit" prompt="Het geschatte elektriciteitsgebruik voor mobiliteit, bijvoorbeeld door elektrische auto's, kan worden ingevuld in kWh per woning of per utiliteitsgebouw." sqref="D68" xr:uid="{61ACB981-3B9B-475B-96FA-C425CC7D9F87}"/>
    <dataValidation allowBlank="1" showInputMessage="1" showErrorMessage="1" promptTitle="Warmte-/koudebehoefte" prompt="De warmte- en koudebehoefte van de woning of het utiliteitsgebouw is gegeven in kWh/m2._x000a__x000a_Het is geen maat voor BENG 1, omdat het ventilatiesysteem voor BENG 1 per definitie C1 moet zijn. En dat is hier niet het geval." sqref="D225" xr:uid="{A716537F-2599-4A49-A52E-C56AA9B32056}"/>
    <dataValidation allowBlank="1" showInputMessage="1" showErrorMessage="1" promptTitle="Primair energiegebruik" prompt="Het primair energiegebruik in kWh_prim/m2.jaar per woningtype, per energiepost en voor het totaal._x000a__x000a_Het primair energiegebruik in GJ_prim/jaar per (deel)locatie, per energiepost en voor het totaal._x000a__x000a_Het is geen maat voor BENG 2." sqref="D239" xr:uid="{ACC35859-3979-4530-B857-6BA8AA11B08D}"/>
    <dataValidation type="list" allowBlank="1" showInputMessage="1" showErrorMessage="1" errorTitle="Toestel RV" error="Kies een beschikbaar toestel." sqref="AA80 O80 AM80" xr:uid="{342200CE-DE34-4BEC-99A5-DF3AECC54849}">
      <formula1>toestellen_RV_invoer</formula1>
    </dataValidation>
    <dataValidation allowBlank="1" showInputMessage="1" showErrorMessage="1" promptTitle="CO2 emisse" prompt="De CO2 emissie in kg/m2.jaar per woningtype, per energiepost en voor het totaal._x000a__x000a_De CO2 emissie in ton/jaar per (deel)locatie, per energiepost en voor het totaal._x000a__x000a_" sqref="D300" xr:uid="{768AE8BF-C28F-4FBD-88AB-7A4126956A7E}"/>
  </dataValidations>
  <hyperlinks>
    <hyperlink ref="D281" r:id="rId1" tooltip="verwijzing naar Staatsblad 2019, 501 met BENG-eisen" xr:uid="{B9C080C4-897B-46EC-97AF-08AFA34540EB}"/>
  </hyperlinks>
  <pageMargins left="0.23622047244094491" right="0.23622047244094491" top="0.74803149606299213" bottom="0.74803149606299213" header="0.31496062992125984" footer="0.31496062992125984"/>
  <pageSetup paperSize="9" scale="25" fitToHeight="0" orientation="landscape"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560129" r:id="rId5" name="Correctie_RV">
              <controlPr defaultSize="0" autoFill="0" autoLine="0" autoPict="0">
                <anchor moveWithCells="1">
                  <from>
                    <xdr:col>6</xdr:col>
                    <xdr:colOff>66675</xdr:colOff>
                    <xdr:row>5</xdr:row>
                    <xdr:rowOff>0</xdr:rowOff>
                  </from>
                  <to>
                    <xdr:col>6</xdr:col>
                    <xdr:colOff>542925</xdr:colOff>
                    <xdr:row>6</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53" id="{01E5CE2B-287F-4425-BF57-CEEF90F093AD}">
            <xm:f>OR(O$19="",O$24=0,IFERROR(INDEX(bibliotheek!$J$51:$J$56,MATCH(IF(O$19="",bibliotheek!$E$51,O$42),ventilatiesystemen_namen,0))="A",0))</xm:f>
            <x14:dxf>
              <font>
                <color theme="0" tint="-4.9989318521683403E-2"/>
              </font>
              <fill>
                <patternFill>
                  <bgColor theme="0" tint="-4.9989318521683403E-2"/>
                </patternFill>
              </fill>
            </x14:dxf>
          </x14:cfRule>
          <xm:sqref>O43:W43 AA43:AI43 AM43:AU43 AY43:BG43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AC62F-A05A-469F-98B4-87D319407C8B}">
  <sheetPr codeName="Blad11" filterMode="1">
    <tabColor theme="6" tint="0.39997558519241921"/>
    <outlinePr showOutlineSymbols="0"/>
    <pageSetUpPr fitToPage="1"/>
  </sheetPr>
  <dimension ref="A1:BH320"/>
  <sheetViews>
    <sheetView showGridLines="0" showRowColHeaders="0" zoomScaleNormal="100" workbookViewId="0">
      <pane xSplit="11" ySplit="15" topLeftCell="L16" activePane="bottomRight" state="frozen"/>
      <selection pane="topRight" activeCell="L1" sqref="L1"/>
      <selection pane="bottomLeft" activeCell="A16" sqref="A16"/>
      <selection pane="bottomRight" activeCell="H3" sqref="H3"/>
    </sheetView>
  </sheetViews>
  <sheetFormatPr defaultRowHeight="15.75" x14ac:dyDescent="0.2"/>
  <cols>
    <col min="1" max="1" width="0.5703125" style="651" customWidth="1"/>
    <col min="2" max="3" width="2.7109375" style="61" customWidth="1"/>
    <col min="4" max="4" width="2.7109375" style="233" customWidth="1"/>
    <col min="5" max="5" width="26.7109375" customWidth="1"/>
    <col min="6" max="7" width="17.7109375" customWidth="1"/>
    <col min="8" max="8" width="21.7109375" customWidth="1"/>
    <col min="9" max="9" width="0.28515625" customWidth="1"/>
    <col min="10" max="10" width="15.7109375" customWidth="1"/>
    <col min="11" max="12" width="0.85546875" customWidth="1"/>
    <col min="13" max="13" width="15.7109375" customWidth="1"/>
    <col min="14" max="14" width="0.28515625" customWidth="1"/>
    <col min="15" max="23" width="12.7109375" customWidth="1"/>
    <col min="24" max="24" width="1.7109375" customWidth="1"/>
    <col min="25" max="25" width="15.7109375" customWidth="1"/>
    <col min="26" max="26" width="0.28515625" customWidth="1"/>
    <col min="27" max="35" width="12.7109375" customWidth="1"/>
    <col min="36" max="36" width="1.7109375" customWidth="1"/>
    <col min="37" max="37" width="15.7109375" customWidth="1"/>
    <col min="38" max="38" width="0.28515625" customWidth="1"/>
    <col min="39" max="47" width="12.7109375" customWidth="1"/>
    <col min="48" max="48" width="1.7109375" customWidth="1"/>
    <col min="49" max="49" width="15.7109375" customWidth="1"/>
    <col min="50" max="50" width="0.28515625" customWidth="1"/>
    <col min="51" max="59" width="12.7109375" customWidth="1"/>
    <col min="60" max="60" width="1.140625" customWidth="1"/>
    <col min="61" max="65" width="9.140625" customWidth="1"/>
  </cols>
  <sheetData>
    <row r="1" spans="1:60" s="832" customFormat="1" ht="21" x14ac:dyDescent="0.2">
      <c r="A1" s="826"/>
      <c r="B1" s="826"/>
      <c r="C1" s="826"/>
      <c r="D1" s="827"/>
      <c r="E1" s="829" t="str">
        <f>disclaimer!$E$7&amp;" - "&amp;"versie "&amp;TEXT(disclaimer!$E$8,"d mmm jjjj")</f>
        <v>Uniforme Maatlat Gebouwde Omgeving 5.04 - versie 5 apr 2023</v>
      </c>
      <c r="F1" s="830"/>
      <c r="G1" s="830"/>
      <c r="H1" s="829"/>
      <c r="I1" s="830"/>
      <c r="J1" s="828"/>
      <c r="K1" s="831"/>
      <c r="L1" s="831"/>
      <c r="M1" s="831"/>
      <c r="N1" s="831"/>
      <c r="O1" s="835"/>
      <c r="P1" s="831"/>
      <c r="Q1" s="831"/>
      <c r="R1" s="831"/>
      <c r="S1" s="831"/>
      <c r="T1" s="831"/>
      <c r="U1" s="831"/>
      <c r="V1" s="831"/>
      <c r="W1" s="831"/>
      <c r="X1" s="831"/>
      <c r="Y1" s="831"/>
      <c r="Z1" s="831"/>
      <c r="AA1" s="835"/>
      <c r="AB1" s="831"/>
      <c r="AC1" s="831"/>
      <c r="AD1" s="831"/>
      <c r="AE1" s="831"/>
      <c r="AF1" s="831"/>
      <c r="AG1" s="831"/>
      <c r="AH1" s="831"/>
      <c r="AI1" s="831"/>
      <c r="AJ1" s="831"/>
      <c r="AK1" s="831"/>
      <c r="AL1" s="831"/>
      <c r="AM1" s="835"/>
      <c r="AN1" s="831"/>
      <c r="AO1" s="831"/>
      <c r="AP1" s="831"/>
      <c r="AQ1" s="831"/>
      <c r="AR1" s="831"/>
      <c r="AS1" s="831"/>
      <c r="AT1" s="831"/>
      <c r="AU1" s="831"/>
      <c r="AV1" s="831"/>
      <c r="AW1" s="831"/>
      <c r="AX1" s="831"/>
      <c r="AY1" s="831"/>
      <c r="AZ1" s="831"/>
      <c r="BA1" s="831"/>
      <c r="BB1" s="831"/>
      <c r="BC1" s="831"/>
      <c r="BD1" s="831"/>
      <c r="BE1" s="831"/>
      <c r="BF1" s="831"/>
      <c r="BG1" s="831"/>
      <c r="BH1" s="831"/>
    </row>
    <row r="2" spans="1:60" s="922" customFormat="1" ht="23.25" x14ac:dyDescent="0.35">
      <c r="A2" s="917"/>
      <c r="B2" s="918"/>
      <c r="C2" s="918"/>
      <c r="D2" s="919"/>
      <c r="E2" s="920" t="str">
        <f ca="1">IFERROR(MID(CELL("bestandsnaam",A1),SEARCH("]",CELL("bestandsnaam",A1),1)+1,99),"bestand nog niet opgeslagen")</f>
        <v>variant 3</v>
      </c>
      <c r="F2" s="921" t="str">
        <f>IF('woningen|utiliteit'!$G$2&lt;&gt;"","Controleer invoer gebouwen",IF(J50&lt;&gt;"OK","NB  Energiemaatregelen niet correct/volledig ingevuld",IF(J80&lt;&gt;"OK","NB  Vul alle installaties in","")))</f>
        <v/>
      </c>
      <c r="G2" s="921"/>
      <c r="H2" s="976"/>
      <c r="I2" s="850"/>
      <c r="J2" s="923"/>
      <c r="K2" s="903"/>
      <c r="L2" s="903"/>
      <c r="M2" s="926" t="s">
        <v>90</v>
      </c>
      <c r="N2" s="925"/>
      <c r="O2" s="940" t="s">
        <v>91</v>
      </c>
      <c r="P2" s="924"/>
      <c r="Q2" s="924"/>
      <c r="R2" s="924"/>
      <c r="S2" s="924"/>
      <c r="T2" s="924"/>
      <c r="U2" s="924"/>
      <c r="V2" s="924"/>
      <c r="W2" s="924"/>
      <c r="X2" s="924"/>
      <c r="Y2" s="926" t="s">
        <v>90</v>
      </c>
      <c r="Z2" s="925"/>
      <c r="AA2" s="940" t="s">
        <v>91</v>
      </c>
      <c r="AB2" s="924"/>
      <c r="AC2" s="924"/>
      <c r="AD2" s="924"/>
      <c r="AE2" s="924"/>
      <c r="AF2" s="924"/>
      <c r="AG2" s="924"/>
      <c r="AH2" s="924"/>
      <c r="AI2" s="924"/>
      <c r="AJ2" s="924"/>
      <c r="AK2" s="926" t="s">
        <v>90</v>
      </c>
      <c r="AL2" s="925"/>
      <c r="AM2" s="940" t="s">
        <v>91</v>
      </c>
      <c r="AN2" s="924"/>
      <c r="AO2" s="924"/>
      <c r="AP2" s="924"/>
      <c r="AQ2" s="924"/>
      <c r="AR2" s="924"/>
      <c r="AS2" s="924"/>
      <c r="AT2" s="924"/>
      <c r="AU2" s="924"/>
      <c r="AV2" s="924"/>
      <c r="AW2" s="926" t="s">
        <v>90</v>
      </c>
      <c r="AX2" s="925"/>
      <c r="AY2" s="940" t="s">
        <v>91</v>
      </c>
      <c r="AZ2" s="924"/>
      <c r="BA2" s="924"/>
      <c r="BB2" s="924"/>
      <c r="BC2" s="924"/>
      <c r="BD2" s="924"/>
      <c r="BE2" s="924"/>
      <c r="BF2" s="924"/>
      <c r="BG2" s="924"/>
      <c r="BH2" s="256"/>
    </row>
    <row r="3" spans="1:60" x14ac:dyDescent="0.2">
      <c r="A3" s="649"/>
      <c r="B3" s="491"/>
      <c r="C3" s="491"/>
      <c r="D3" s="747"/>
      <c r="E3" s="1068" t="str">
        <f>"project: "&amp;IF('woningen|utiliteit'!$F$3="","",'woningen|utiliteit'!$F$3)</f>
        <v xml:space="preserve">project: </v>
      </c>
      <c r="F3" s="1069"/>
      <c r="G3" s="853" t="s">
        <v>92</v>
      </c>
      <c r="H3" s="854"/>
      <c r="I3" s="90"/>
      <c r="K3" s="903"/>
      <c r="L3" s="903"/>
      <c r="M3" s="904" t="s">
        <v>93</v>
      </c>
      <c r="N3" s="905"/>
      <c r="O3" s="941" t="str">
        <f>IF(M24=0,"-",O101&amp;IF(O105=1,"","   |  "&amp;O131))</f>
        <v>-</v>
      </c>
      <c r="P3" s="906"/>
      <c r="Q3" s="907"/>
      <c r="R3" s="907"/>
      <c r="S3" s="907"/>
      <c r="T3" s="907"/>
      <c r="U3" s="907"/>
      <c r="V3" s="907"/>
      <c r="W3" s="907"/>
      <c r="X3" s="91"/>
      <c r="Y3" s="904" t="s">
        <v>93</v>
      </c>
      <c r="Z3" s="905"/>
      <c r="AA3" s="941" t="str">
        <f>IF(Y24=0,"-",AA101&amp;IF(AA105=1,"","   |  "&amp;AA131))</f>
        <v>-</v>
      </c>
      <c r="AB3" s="906"/>
      <c r="AC3" s="907"/>
      <c r="AD3" s="907"/>
      <c r="AE3" s="907"/>
      <c r="AF3" s="907"/>
      <c r="AG3" s="907"/>
      <c r="AH3" s="907"/>
      <c r="AI3" s="907"/>
      <c r="AJ3" s="91"/>
      <c r="AK3" s="904" t="s">
        <v>93</v>
      </c>
      <c r="AL3" s="905"/>
      <c r="AM3" s="941" t="str">
        <f>IF(AK24=0,"-",AM101&amp;IF(AM105=1,"","   |  "&amp;AM131))</f>
        <v>-</v>
      </c>
      <c r="AN3" s="906"/>
      <c r="AO3" s="907"/>
      <c r="AP3" s="907"/>
      <c r="AQ3" s="907"/>
      <c r="AR3" s="907"/>
      <c r="AS3" s="907"/>
      <c r="AT3" s="907"/>
      <c r="AU3" s="907"/>
      <c r="AV3" s="91"/>
      <c r="AW3" s="904" t="s">
        <v>93</v>
      </c>
      <c r="AX3" s="905"/>
      <c r="AY3" s="941" t="str">
        <f>IF(AW24=0,"-",AY101&amp;IF(AY105=1,"","   |  "&amp;AY131))</f>
        <v>-</v>
      </c>
      <c r="AZ3" s="906"/>
      <c r="BA3" s="907"/>
      <c r="BB3" s="907"/>
      <c r="BC3" s="907"/>
      <c r="BD3" s="907"/>
      <c r="BE3" s="907"/>
      <c r="BF3" s="907"/>
      <c r="BG3" s="907"/>
      <c r="BH3" s="256"/>
    </row>
    <row r="4" spans="1:60" x14ac:dyDescent="0.2">
      <c r="A4" s="649"/>
      <c r="B4" s="491"/>
      <c r="C4" s="491"/>
      <c r="D4" s="747"/>
      <c r="E4" s="855" t="s">
        <v>94</v>
      </c>
      <c r="F4" s="1070"/>
      <c r="G4" s="1070"/>
      <c r="H4" s="1071"/>
      <c r="I4" s="90"/>
      <c r="K4" s="903"/>
      <c r="L4" s="903"/>
      <c r="M4" s="908" t="s">
        <v>95</v>
      </c>
      <c r="N4" s="905"/>
      <c r="O4" s="942" t="str">
        <f>IF(M24=0,"-",P101&amp;IF(P105=1,"","   |  "&amp;P131))</f>
        <v>-</v>
      </c>
      <c r="P4" s="909"/>
      <c r="Q4" s="910"/>
      <c r="R4" s="907"/>
      <c r="S4" s="907"/>
      <c r="T4" s="907"/>
      <c r="U4" s="907"/>
      <c r="V4" s="907"/>
      <c r="W4" s="907"/>
      <c r="X4" s="91"/>
      <c r="Y4" s="908" t="s">
        <v>95</v>
      </c>
      <c r="Z4" s="905"/>
      <c r="AA4" s="942" t="str">
        <f>IF(Y24=0,"-",AB101&amp;IF(AB105=1,"","   |  "&amp;AB131))</f>
        <v>-</v>
      </c>
      <c r="AB4" s="909"/>
      <c r="AC4" s="910"/>
      <c r="AD4" s="907"/>
      <c r="AE4" s="907"/>
      <c r="AF4" s="907"/>
      <c r="AG4" s="907"/>
      <c r="AH4" s="907"/>
      <c r="AI4" s="907"/>
      <c r="AJ4" s="91"/>
      <c r="AK4" s="908" t="s">
        <v>95</v>
      </c>
      <c r="AL4" s="905"/>
      <c r="AM4" s="942" t="str">
        <f>IF(AK24=0,"-",AN101&amp;IF(AN105=1,"","   |  "&amp;AN131))</f>
        <v>-</v>
      </c>
      <c r="AN4" s="909"/>
      <c r="AO4" s="910"/>
      <c r="AP4" s="907"/>
      <c r="AQ4" s="907"/>
      <c r="AR4" s="907"/>
      <c r="AS4" s="907"/>
      <c r="AT4" s="907"/>
      <c r="AU4" s="907"/>
      <c r="AV4" s="91"/>
      <c r="AW4" s="908" t="s">
        <v>95</v>
      </c>
      <c r="AX4" s="905"/>
      <c r="AY4" s="942" t="str">
        <f>IF(AW24=0,"-",AZ101&amp;IF(AZ105=1,"","   |  "&amp;AZ131))</f>
        <v>-</v>
      </c>
      <c r="AZ4" s="909"/>
      <c r="BA4" s="910"/>
      <c r="BB4" s="907"/>
      <c r="BC4" s="907"/>
      <c r="BD4" s="907"/>
      <c r="BE4" s="907"/>
      <c r="BF4" s="907"/>
      <c r="BG4" s="907"/>
      <c r="BH4" s="256"/>
    </row>
    <row r="5" spans="1:60" x14ac:dyDescent="0.2">
      <c r="A5" s="649"/>
      <c r="B5" s="1072" t="s">
        <v>96</v>
      </c>
      <c r="C5" s="1072" t="s">
        <v>97</v>
      </c>
      <c r="D5" s="747"/>
      <c r="E5" s="855" t="s">
        <v>98</v>
      </c>
      <c r="F5" s="977" t="s">
        <v>99</v>
      </c>
      <c r="G5" s="978">
        <f>HLOOKUP($F$5,bibliotheek!$E$261:$R$264,ROWS(bibliotheek!$E$261:$E$262),FALSE)</f>
        <v>1.45</v>
      </c>
      <c r="H5" s="979">
        <f>HLOOKUP($F$5,bibliotheek!$E$261:$R$264,ROWS(bibliotheek!$E$261:$E$264),FALSE)</f>
        <v>0.34</v>
      </c>
      <c r="I5" s="90"/>
      <c r="J5" s="834"/>
      <c r="K5" s="91"/>
      <c r="L5" s="91"/>
      <c r="M5" s="904" t="s">
        <v>100</v>
      </c>
      <c r="N5" s="905"/>
      <c r="O5" s="941" t="str">
        <f>IF(M24=0,"-",Q101&amp;IF(Q105=1,"","   |  "&amp;Q131))</f>
        <v>-</v>
      </c>
      <c r="P5" s="907"/>
      <c r="Q5" s="907"/>
      <c r="R5" s="907"/>
      <c r="S5" s="907"/>
      <c r="T5" s="907"/>
      <c r="U5" s="907"/>
      <c r="V5" s="907"/>
      <c r="W5" s="907"/>
      <c r="X5" s="91"/>
      <c r="Y5" s="904" t="s">
        <v>100</v>
      </c>
      <c r="Z5" s="905"/>
      <c r="AA5" s="941" t="str">
        <f>IF(Y24=0,"-",AC101&amp;IF(AC105=1,"","   |  "&amp;AC131))</f>
        <v>-</v>
      </c>
      <c r="AB5" s="907"/>
      <c r="AC5" s="907"/>
      <c r="AD5" s="907"/>
      <c r="AE5" s="907"/>
      <c r="AF5" s="907"/>
      <c r="AG5" s="907"/>
      <c r="AH5" s="907"/>
      <c r="AI5" s="907"/>
      <c r="AJ5" s="91"/>
      <c r="AK5" s="904" t="s">
        <v>100</v>
      </c>
      <c r="AL5" s="905"/>
      <c r="AM5" s="941" t="str">
        <f>IF(AK24=0,"-",AO101&amp;IF(AO105=1,"","   |  "&amp;AO131))</f>
        <v>-</v>
      </c>
      <c r="AN5" s="907"/>
      <c r="AO5" s="907"/>
      <c r="AP5" s="907"/>
      <c r="AQ5" s="907"/>
      <c r="AR5" s="907"/>
      <c r="AS5" s="907"/>
      <c r="AT5" s="907"/>
      <c r="AU5" s="907"/>
      <c r="AV5" s="91"/>
      <c r="AW5" s="904" t="s">
        <v>100</v>
      </c>
      <c r="AX5" s="905"/>
      <c r="AY5" s="941" t="str">
        <f>IF(AW24=0,"-",BA101&amp;IF(BA105=1,"","   |  "&amp;BA131))</f>
        <v>-</v>
      </c>
      <c r="AZ5" s="907"/>
      <c r="BA5" s="907"/>
      <c r="BB5" s="907"/>
      <c r="BC5" s="907"/>
      <c r="BD5" s="907"/>
      <c r="BE5" s="907"/>
      <c r="BF5" s="907"/>
      <c r="BG5" s="907"/>
      <c r="BH5" s="256"/>
    </row>
    <row r="6" spans="1:60" x14ac:dyDescent="0.2">
      <c r="A6" s="649"/>
      <c r="B6" s="1072"/>
      <c r="C6" s="1072"/>
      <c r="D6" s="748" t="s">
        <v>50</v>
      </c>
      <c r="E6" s="856" t="s">
        <v>101</v>
      </c>
      <c r="F6" s="857"/>
      <c r="G6" s="1034" t="b">
        <v>0</v>
      </c>
      <c r="H6" s="980" t="str">
        <f>IF(G6=TRUE,"(energieprestatie ongeldig)","")</f>
        <v/>
      </c>
      <c r="I6" s="90"/>
      <c r="J6" s="834"/>
      <c r="K6" s="834"/>
      <c r="L6" s="834"/>
      <c r="M6" s="834"/>
      <c r="N6" s="834"/>
      <c r="O6" s="834"/>
      <c r="P6" s="834"/>
      <c r="Q6" s="834"/>
      <c r="R6" s="834"/>
      <c r="S6" s="834"/>
      <c r="T6" s="834"/>
      <c r="U6" s="834"/>
      <c r="V6" s="834"/>
      <c r="W6" s="834"/>
      <c r="X6" s="834"/>
      <c r="Y6" s="834"/>
      <c r="Z6" s="834"/>
      <c r="AA6" s="834"/>
      <c r="AB6" s="834"/>
      <c r="AC6" s="834"/>
      <c r="AD6" s="834"/>
      <c r="AE6" s="834"/>
      <c r="AF6" s="834"/>
      <c r="AG6" s="834"/>
      <c r="AH6" s="834"/>
      <c r="AI6" s="834"/>
      <c r="AJ6" s="834"/>
      <c r="AK6" s="834"/>
      <c r="AL6" s="834"/>
      <c r="AM6" s="834"/>
      <c r="AN6" s="834"/>
      <c r="AO6" s="834"/>
      <c r="AP6" s="834"/>
      <c r="AQ6" s="834"/>
      <c r="AR6" s="834"/>
      <c r="AS6" s="834"/>
      <c r="AT6" s="834"/>
      <c r="AU6" s="834"/>
      <c r="AV6" s="834"/>
      <c r="AW6" s="834"/>
      <c r="AX6" s="834"/>
      <c r="AY6" s="834"/>
      <c r="AZ6" s="834"/>
      <c r="BA6" s="834"/>
      <c r="BB6" s="834"/>
      <c r="BC6" s="834"/>
      <c r="BD6" s="834"/>
      <c r="BE6" s="834"/>
      <c r="BF6" s="834"/>
      <c r="BG6" s="834"/>
      <c r="BH6" s="256"/>
    </row>
    <row r="7" spans="1:60" s="914" customFormat="1" x14ac:dyDescent="0.2">
      <c r="A7" s="987"/>
      <c r="B7" s="1072"/>
      <c r="C7" s="1072"/>
      <c r="D7" s="911"/>
      <c r="E7" s="912"/>
      <c r="F7" s="912"/>
      <c r="G7" s="912"/>
      <c r="H7" s="912"/>
      <c r="I7" s="912"/>
      <c r="J7" s="913"/>
      <c r="K7" s="913"/>
      <c r="L7" s="913"/>
      <c r="M7" s="912"/>
      <c r="N7" s="912"/>
      <c r="O7" s="1035"/>
      <c r="P7" s="912"/>
      <c r="Q7" s="912"/>
      <c r="R7" s="912"/>
      <c r="S7" s="912"/>
      <c r="T7" s="911"/>
      <c r="U7" s="911"/>
      <c r="V7" s="911"/>
    </row>
    <row r="8" spans="1:60" ht="21" x14ac:dyDescent="0.35">
      <c r="A8" s="649"/>
      <c r="B8" s="658"/>
      <c r="C8" s="658"/>
      <c r="D8" s="748" t="s">
        <v>50</v>
      </c>
      <c r="E8" s="848"/>
      <c r="F8" s="1"/>
      <c r="G8" s="1"/>
      <c r="H8" s="1"/>
      <c r="I8" s="2"/>
      <c r="J8" s="849" t="s">
        <v>102</v>
      </c>
      <c r="K8" s="850"/>
      <c r="L8" s="850"/>
      <c r="M8" s="849" t="s">
        <v>67</v>
      </c>
      <c r="N8" s="851"/>
      <c r="O8" s="943" t="str">
        <f>IF(M24=0,"[geen gebouwgegevens ingevoerd]",IF('woningen|utiliteit'!$L$17="","[geen naam locatie ingevoerd]",'woningen|utiliteit'!$L$17))</f>
        <v>[geen gebouwgegevens ingevoerd]</v>
      </c>
      <c r="P8" s="851"/>
      <c r="Q8" s="851"/>
      <c r="R8" s="851"/>
      <c r="S8" s="851"/>
      <c r="T8" s="852"/>
      <c r="U8" s="852"/>
      <c r="V8" s="851"/>
      <c r="W8" s="851"/>
      <c r="X8" s="850"/>
      <c r="Y8" s="849" t="s">
        <v>84</v>
      </c>
      <c r="Z8" s="851"/>
      <c r="AA8" s="943" t="str">
        <f>IF(Y24=0,"[geen gebouwgegevens ingevoerd]",IF('woningen|utiliteit'!$L$31="","[geen naam locatie ingevoerd]",'woningen|utiliteit'!$L$31))</f>
        <v>[geen gebouwgegevens ingevoerd]</v>
      </c>
      <c r="AB8" s="851"/>
      <c r="AC8" s="851"/>
      <c r="AD8" s="851"/>
      <c r="AE8" s="851"/>
      <c r="AF8" s="852"/>
      <c r="AG8" s="852"/>
      <c r="AH8" s="851"/>
      <c r="AI8" s="851"/>
      <c r="AJ8" s="850"/>
      <c r="AK8" s="849" t="s">
        <v>85</v>
      </c>
      <c r="AL8" s="851"/>
      <c r="AM8" s="943" t="str">
        <f>IF(AK24=0,"[geen gebouwgegevens ingevoerd]",IF('woningen|utiliteit'!$L$45="","[geen naam locatie ingevoerd]",'woningen|utiliteit'!$L$45))</f>
        <v>[geen gebouwgegevens ingevoerd]</v>
      </c>
      <c r="AN8" s="851"/>
      <c r="AO8" s="851"/>
      <c r="AP8" s="851"/>
      <c r="AQ8" s="851"/>
      <c r="AR8" s="852"/>
      <c r="AS8" s="852"/>
      <c r="AT8" s="851"/>
      <c r="AU8" s="851"/>
      <c r="AV8" s="850"/>
      <c r="AW8" s="849" t="s">
        <v>86</v>
      </c>
      <c r="AX8" s="851"/>
      <c r="AY8" s="943" t="str">
        <f>IF(AW24=0,"[geen gebouwgegevens ingevoerd]",IF('woningen|utiliteit'!$L$59="","[geen naam locatie ingevoerd]",'woningen|utiliteit'!$L$59))</f>
        <v>[geen gebouwgegevens ingevoerd]</v>
      </c>
      <c r="AZ8" s="218"/>
      <c r="BA8" s="218"/>
      <c r="BB8" s="218"/>
      <c r="BC8" s="218"/>
      <c r="BD8" s="219"/>
      <c r="BE8" s="219"/>
      <c r="BF8" s="218"/>
      <c r="BG8" s="218"/>
      <c r="BH8" s="1"/>
    </row>
    <row r="9" spans="1:60" s="682" customFormat="1" ht="5.25" x14ac:dyDescent="0.2">
      <c r="A9" s="678"/>
      <c r="B9" s="841" t="s">
        <v>103</v>
      </c>
      <c r="C9" s="657" t="s">
        <v>104</v>
      </c>
      <c r="D9" s="679"/>
      <c r="E9" s="680"/>
      <c r="F9" s="680"/>
      <c r="G9" s="680"/>
      <c r="H9" s="680"/>
      <c r="I9" s="680"/>
      <c r="J9" s="681"/>
      <c r="K9" s="681"/>
      <c r="L9" s="681"/>
      <c r="M9" s="680"/>
      <c r="N9" s="680"/>
      <c r="O9" s="680"/>
      <c r="P9" s="680"/>
      <c r="Q9" s="680"/>
      <c r="R9" s="680"/>
      <c r="S9" s="680"/>
      <c r="T9" s="679"/>
      <c r="U9" s="679"/>
      <c r="V9" s="679"/>
    </row>
    <row r="10" spans="1:60" ht="21" x14ac:dyDescent="0.2">
      <c r="A10" s="648"/>
      <c r="B10" s="739" t="s">
        <v>103</v>
      </c>
      <c r="C10" s="656" t="s">
        <v>104</v>
      </c>
      <c r="D10" s="748" t="s">
        <v>50</v>
      </c>
      <c r="E10" s="670" t="s">
        <v>105</v>
      </c>
      <c r="F10" s="670"/>
      <c r="G10" s="670"/>
      <c r="H10" s="670"/>
      <c r="I10" s="88"/>
      <c r="J10" s="241" t="s">
        <v>58</v>
      </c>
      <c r="K10" s="142"/>
      <c r="L10" s="142"/>
      <c r="M10" s="216" t="s">
        <v>58</v>
      </c>
      <c r="N10" s="222"/>
      <c r="O10" s="217" t="s">
        <v>93</v>
      </c>
      <c r="P10" s="217" t="s">
        <v>95</v>
      </c>
      <c r="Q10" s="217" t="s">
        <v>106</v>
      </c>
      <c r="R10" s="217" t="s">
        <v>107</v>
      </c>
      <c r="S10" s="217" t="s">
        <v>108</v>
      </c>
      <c r="T10" s="217" t="s">
        <v>109</v>
      </c>
      <c r="U10" s="217" t="s">
        <v>110</v>
      </c>
      <c r="V10" s="217" t="s">
        <v>111</v>
      </c>
      <c r="W10" s="217" t="s">
        <v>112</v>
      </c>
      <c r="X10" s="214"/>
      <c r="Y10" s="216" t="s">
        <v>58</v>
      </c>
      <c r="Z10" s="222"/>
      <c r="AA10" s="217" t="str">
        <f>$O$10</f>
        <v>verwarming</v>
      </c>
      <c r="AB10" s="217" t="str">
        <f>$P$10</f>
        <v>koeling</v>
      </c>
      <c r="AC10" s="217" t="str">
        <f>$Q$10</f>
        <v>tapwater</v>
      </c>
      <c r="AD10" s="217" t="str">
        <f>$R$10</f>
        <v>verlichting</v>
      </c>
      <c r="AE10" s="217" t="str">
        <f>$S$10</f>
        <v>ventilatoren</v>
      </c>
      <c r="AF10" s="217" t="str">
        <f>$T$10</f>
        <v>kookgas</v>
      </c>
      <c r="AG10" s="217" t="str">
        <f>$U$10</f>
        <v>overig elektra</v>
      </c>
      <c r="AH10" s="217" t="str">
        <f>$V$10</f>
        <v>mobiliteit</v>
      </c>
      <c r="AI10" s="217" t="str">
        <f>$W$10</f>
        <v>zonnepanelen</v>
      </c>
      <c r="AJ10" s="214"/>
      <c r="AK10" s="216" t="s">
        <v>58</v>
      </c>
      <c r="AL10" s="222"/>
      <c r="AM10" s="217" t="str">
        <f>$O$10</f>
        <v>verwarming</v>
      </c>
      <c r="AN10" s="217" t="str">
        <f>$P$10</f>
        <v>koeling</v>
      </c>
      <c r="AO10" s="217" t="str">
        <f>$Q$10</f>
        <v>tapwater</v>
      </c>
      <c r="AP10" s="217" t="str">
        <f>$R$10</f>
        <v>verlichting</v>
      </c>
      <c r="AQ10" s="217" t="str">
        <f>$S$10</f>
        <v>ventilatoren</v>
      </c>
      <c r="AR10" s="217" t="str">
        <f>$T$10</f>
        <v>kookgas</v>
      </c>
      <c r="AS10" s="217" t="str">
        <f>$U$10</f>
        <v>overig elektra</v>
      </c>
      <c r="AT10" s="217" t="str">
        <f>$V$10</f>
        <v>mobiliteit</v>
      </c>
      <c r="AU10" s="217" t="str">
        <f>$W$10</f>
        <v>zonnepanelen</v>
      </c>
      <c r="AV10" s="214"/>
      <c r="AW10" s="216" t="s">
        <v>58</v>
      </c>
      <c r="AX10" s="222"/>
      <c r="AY10" s="217" t="str">
        <f>$O$10</f>
        <v>verwarming</v>
      </c>
      <c r="AZ10" s="217" t="str">
        <f>$P$10</f>
        <v>koeling</v>
      </c>
      <c r="BA10" s="217" t="str">
        <f>$Q$10</f>
        <v>tapwater</v>
      </c>
      <c r="BB10" s="217" t="str">
        <f>$R$10</f>
        <v>verlichting</v>
      </c>
      <c r="BC10" s="217" t="str">
        <f>$S$10</f>
        <v>ventilatoren</v>
      </c>
      <c r="BD10" s="217" t="str">
        <f>$T$10</f>
        <v>kookgas</v>
      </c>
      <c r="BE10" s="217" t="str">
        <f>$U$10</f>
        <v>overig elektra</v>
      </c>
      <c r="BF10" s="217" t="str">
        <f>$V$10</f>
        <v>mobiliteit</v>
      </c>
      <c r="BG10" s="217" t="str">
        <f>$W$10</f>
        <v>zonnepanelen</v>
      </c>
      <c r="BH10" s="1"/>
    </row>
    <row r="11" spans="1:60" s="682" customFormat="1" ht="5.25" x14ac:dyDescent="0.2">
      <c r="A11" s="678"/>
      <c r="B11" s="841" t="s">
        <v>103</v>
      </c>
      <c r="C11" s="841" t="s">
        <v>104</v>
      </c>
      <c r="D11" s="679"/>
      <c r="E11" s="680"/>
      <c r="F11" s="680"/>
      <c r="G11" s="680"/>
      <c r="H11" s="680"/>
      <c r="I11" s="680"/>
      <c r="J11" s="681"/>
      <c r="K11" s="681"/>
      <c r="L11" s="681"/>
      <c r="M11" s="680"/>
      <c r="N11" s="680"/>
      <c r="O11" s="680"/>
      <c r="P11" s="680"/>
      <c r="Q11" s="680"/>
      <c r="R11" s="680"/>
      <c r="S11" s="680"/>
      <c r="T11" s="679"/>
      <c r="U11" s="679"/>
      <c r="V11" s="679"/>
    </row>
    <row r="12" spans="1:60" x14ac:dyDescent="0.2">
      <c r="A12" s="648"/>
      <c r="B12" s="739" t="s">
        <v>103</v>
      </c>
      <c r="C12" s="656" t="s">
        <v>113</v>
      </c>
      <c r="D12" s="747"/>
      <c r="E12" s="220" t="s">
        <v>114</v>
      </c>
      <c r="F12" s="220"/>
      <c r="G12" s="220"/>
      <c r="H12" s="221" t="s">
        <v>115</v>
      </c>
      <c r="I12" s="94"/>
      <c r="J12" s="243">
        <f>M12+Y12+AK12+AW12</f>
        <v>0</v>
      </c>
      <c r="K12" s="294"/>
      <c r="L12" s="294"/>
      <c r="M12" s="243">
        <f>SUM(N12:X12)</f>
        <v>0</v>
      </c>
      <c r="N12" s="95"/>
      <c r="O12" s="207">
        <f>O117+O142+O159-O177</f>
        <v>0</v>
      </c>
      <c r="P12" s="207">
        <f t="shared" ref="P12:W12" si="0">P117+P142+P159-P177</f>
        <v>0</v>
      </c>
      <c r="Q12" s="207">
        <f t="shared" si="0"/>
        <v>0</v>
      </c>
      <c r="R12" s="207">
        <f t="shared" si="0"/>
        <v>0</v>
      </c>
      <c r="S12" s="207">
        <f t="shared" si="0"/>
        <v>0</v>
      </c>
      <c r="T12" s="207">
        <f t="shared" si="0"/>
        <v>0</v>
      </c>
      <c r="U12" s="207">
        <f>U117+U142+U159-U177</f>
        <v>0</v>
      </c>
      <c r="V12" s="207">
        <f t="shared" si="0"/>
        <v>0</v>
      </c>
      <c r="W12" s="207">
        <f t="shared" si="0"/>
        <v>0</v>
      </c>
      <c r="X12" s="324"/>
      <c r="Y12" s="243">
        <f>SUM(Z12:AJ12)</f>
        <v>0</v>
      </c>
      <c r="Z12" s="95"/>
      <c r="AA12" s="207">
        <f t="shared" ref="AA12:AI12" si="1">AA117+AA142+AA159-AA177</f>
        <v>0</v>
      </c>
      <c r="AB12" s="207">
        <f t="shared" si="1"/>
        <v>0</v>
      </c>
      <c r="AC12" s="207">
        <f t="shared" si="1"/>
        <v>0</v>
      </c>
      <c r="AD12" s="207">
        <f t="shared" si="1"/>
        <v>0</v>
      </c>
      <c r="AE12" s="207">
        <f t="shared" si="1"/>
        <v>0</v>
      </c>
      <c r="AF12" s="207">
        <f t="shared" si="1"/>
        <v>0</v>
      </c>
      <c r="AG12" s="207">
        <f t="shared" si="1"/>
        <v>0</v>
      </c>
      <c r="AH12" s="207">
        <f t="shared" si="1"/>
        <v>0</v>
      </c>
      <c r="AI12" s="207">
        <f t="shared" si="1"/>
        <v>0</v>
      </c>
      <c r="AJ12" s="324"/>
      <c r="AK12" s="243">
        <f>SUM(AL12:AV12)</f>
        <v>0</v>
      </c>
      <c r="AL12" s="95"/>
      <c r="AM12" s="207">
        <f t="shared" ref="AM12:AU12" si="2">AM117+AM142+AM159-AM177</f>
        <v>0</v>
      </c>
      <c r="AN12" s="207">
        <f t="shared" si="2"/>
        <v>0</v>
      </c>
      <c r="AO12" s="207">
        <f t="shared" si="2"/>
        <v>0</v>
      </c>
      <c r="AP12" s="207">
        <f t="shared" si="2"/>
        <v>0</v>
      </c>
      <c r="AQ12" s="207">
        <f t="shared" si="2"/>
        <v>0</v>
      </c>
      <c r="AR12" s="207">
        <f t="shared" si="2"/>
        <v>0</v>
      </c>
      <c r="AS12" s="207">
        <f t="shared" si="2"/>
        <v>0</v>
      </c>
      <c r="AT12" s="207">
        <f t="shared" si="2"/>
        <v>0</v>
      </c>
      <c r="AU12" s="207">
        <f t="shared" si="2"/>
        <v>0</v>
      </c>
      <c r="AV12" s="324"/>
      <c r="AW12" s="243">
        <f>SUM(AX12:BH12)</f>
        <v>0</v>
      </c>
      <c r="AX12" s="95"/>
      <c r="AY12" s="207">
        <f t="shared" ref="AY12:BG12" si="3">AY117+AY142+AY159-AY177</f>
        <v>0</v>
      </c>
      <c r="AZ12" s="207">
        <f t="shared" si="3"/>
        <v>0</v>
      </c>
      <c r="BA12" s="207">
        <f t="shared" si="3"/>
        <v>0</v>
      </c>
      <c r="BB12" s="207">
        <f t="shared" si="3"/>
        <v>0</v>
      </c>
      <c r="BC12" s="207">
        <f t="shared" si="3"/>
        <v>0</v>
      </c>
      <c r="BD12" s="207">
        <f t="shared" si="3"/>
        <v>0</v>
      </c>
      <c r="BE12" s="207">
        <f t="shared" si="3"/>
        <v>0</v>
      </c>
      <c r="BF12" s="207">
        <f t="shared" si="3"/>
        <v>0</v>
      </c>
      <c r="BG12" s="207">
        <f t="shared" si="3"/>
        <v>0</v>
      </c>
      <c r="BH12" s="255"/>
    </row>
    <row r="13" spans="1:60" x14ac:dyDescent="0.2">
      <c r="A13" s="648"/>
      <c r="B13" s="739" t="s">
        <v>103</v>
      </c>
      <c r="C13" s="656" t="s">
        <v>113</v>
      </c>
      <c r="D13" s="747"/>
      <c r="E13" s="220" t="s">
        <v>116</v>
      </c>
      <c r="F13" s="220"/>
      <c r="G13" s="220"/>
      <c r="H13" s="221" t="s">
        <v>117</v>
      </c>
      <c r="I13" s="94"/>
      <c r="J13" s="243">
        <f>M13+Y13+AK13+AW13</f>
        <v>0</v>
      </c>
      <c r="K13" s="294"/>
      <c r="L13" s="294"/>
      <c r="M13" s="243">
        <f>SUM(N13:X13)</f>
        <v>0</v>
      </c>
      <c r="N13" s="95"/>
      <c r="O13" s="207">
        <f t="shared" ref="O13:V13" si="4">O121+O146+O162</f>
        <v>0</v>
      </c>
      <c r="P13" s="207">
        <f t="shared" si="4"/>
        <v>0</v>
      </c>
      <c r="Q13" s="207">
        <f t="shared" si="4"/>
        <v>0</v>
      </c>
      <c r="R13" s="207">
        <f t="shared" si="4"/>
        <v>0</v>
      </c>
      <c r="S13" s="207">
        <f t="shared" si="4"/>
        <v>0</v>
      </c>
      <c r="T13" s="207">
        <f t="shared" si="4"/>
        <v>0</v>
      </c>
      <c r="U13" s="207">
        <f t="shared" si="4"/>
        <v>0</v>
      </c>
      <c r="V13" s="207">
        <f t="shared" si="4"/>
        <v>0</v>
      </c>
      <c r="W13" s="207">
        <f>W121+W146+W162-W181</f>
        <v>0</v>
      </c>
      <c r="X13" s="324"/>
      <c r="Y13" s="243">
        <f>SUM(Z13:AJ13)</f>
        <v>0</v>
      </c>
      <c r="Z13" s="95"/>
      <c r="AA13" s="207">
        <f t="shared" ref="AA13:AH13" si="5">AA121+AA146+AA162</f>
        <v>0</v>
      </c>
      <c r="AB13" s="207">
        <f t="shared" si="5"/>
        <v>0</v>
      </c>
      <c r="AC13" s="207">
        <f t="shared" si="5"/>
        <v>0</v>
      </c>
      <c r="AD13" s="207">
        <f t="shared" si="5"/>
        <v>0</v>
      </c>
      <c r="AE13" s="207">
        <f t="shared" si="5"/>
        <v>0</v>
      </c>
      <c r="AF13" s="207">
        <f t="shared" si="5"/>
        <v>0</v>
      </c>
      <c r="AG13" s="207">
        <f t="shared" si="5"/>
        <v>0</v>
      </c>
      <c r="AH13" s="207">
        <f t="shared" si="5"/>
        <v>0</v>
      </c>
      <c r="AI13" s="207">
        <f>AI121+AI146+AI162-AI181</f>
        <v>0</v>
      </c>
      <c r="AJ13" s="324"/>
      <c r="AK13" s="243">
        <f>SUM(AL13:AV13)</f>
        <v>0</v>
      </c>
      <c r="AL13" s="95"/>
      <c r="AM13" s="207">
        <f t="shared" ref="AM13:AT13" si="6">AM121+AM146+AM162</f>
        <v>0</v>
      </c>
      <c r="AN13" s="207">
        <f t="shared" si="6"/>
        <v>0</v>
      </c>
      <c r="AO13" s="207">
        <f t="shared" si="6"/>
        <v>0</v>
      </c>
      <c r="AP13" s="207">
        <f t="shared" si="6"/>
        <v>0</v>
      </c>
      <c r="AQ13" s="207">
        <f t="shared" si="6"/>
        <v>0</v>
      </c>
      <c r="AR13" s="207">
        <f t="shared" si="6"/>
        <v>0</v>
      </c>
      <c r="AS13" s="207">
        <f t="shared" si="6"/>
        <v>0</v>
      </c>
      <c r="AT13" s="207">
        <f t="shared" si="6"/>
        <v>0</v>
      </c>
      <c r="AU13" s="207">
        <f>AU121+AU146+AU162-AU181</f>
        <v>0</v>
      </c>
      <c r="AV13" s="324"/>
      <c r="AW13" s="243">
        <f>SUM(AX13:BH13)</f>
        <v>0</v>
      </c>
      <c r="AX13" s="95"/>
      <c r="AY13" s="207">
        <f t="shared" ref="AY13:BF13" si="7">AY121+AY146+AY162</f>
        <v>0</v>
      </c>
      <c r="AZ13" s="207">
        <f t="shared" si="7"/>
        <v>0</v>
      </c>
      <c r="BA13" s="207">
        <f t="shared" si="7"/>
        <v>0</v>
      </c>
      <c r="BB13" s="207">
        <f t="shared" si="7"/>
        <v>0</v>
      </c>
      <c r="BC13" s="207">
        <f t="shared" si="7"/>
        <v>0</v>
      </c>
      <c r="BD13" s="207">
        <f t="shared" si="7"/>
        <v>0</v>
      </c>
      <c r="BE13" s="207">
        <f t="shared" si="7"/>
        <v>0</v>
      </c>
      <c r="BF13" s="207">
        <f t="shared" si="7"/>
        <v>0</v>
      </c>
      <c r="BG13" s="207">
        <f>BG121+BG146+BG162-BG181</f>
        <v>0</v>
      </c>
      <c r="BH13" s="255"/>
    </row>
    <row r="14" spans="1:60" x14ac:dyDescent="0.2">
      <c r="A14" s="648"/>
      <c r="B14" s="739" t="s">
        <v>103</v>
      </c>
      <c r="C14" s="656" t="s">
        <v>113</v>
      </c>
      <c r="D14" s="747"/>
      <c r="E14" s="220" t="s">
        <v>118</v>
      </c>
      <c r="F14" s="220"/>
      <c r="G14" s="220"/>
      <c r="H14" s="221" t="s">
        <v>119</v>
      </c>
      <c r="I14" s="94"/>
      <c r="J14" s="243">
        <f>M14+Y14+AK14+AW14</f>
        <v>0</v>
      </c>
      <c r="K14" s="294"/>
      <c r="L14" s="294"/>
      <c r="M14" s="243">
        <f>SUM(N14:X14)</f>
        <v>0</v>
      </c>
      <c r="N14" s="95"/>
      <c r="O14" s="207">
        <f t="shared" ref="O14:W14" si="8">O186*O29/1000</f>
        <v>0</v>
      </c>
      <c r="P14" s="207">
        <f t="shared" si="8"/>
        <v>0</v>
      </c>
      <c r="Q14" s="207">
        <f t="shared" si="8"/>
        <v>0</v>
      </c>
      <c r="R14" s="207">
        <f t="shared" si="8"/>
        <v>0</v>
      </c>
      <c r="S14" s="207">
        <f t="shared" si="8"/>
        <v>0</v>
      </c>
      <c r="T14" s="207">
        <f t="shared" si="8"/>
        <v>0</v>
      </c>
      <c r="U14" s="207">
        <f t="shared" si="8"/>
        <v>0</v>
      </c>
      <c r="V14" s="207">
        <f t="shared" si="8"/>
        <v>0</v>
      </c>
      <c r="W14" s="207">
        <f t="shared" si="8"/>
        <v>0</v>
      </c>
      <c r="X14" s="324"/>
      <c r="Y14" s="243">
        <f>SUM(Z14:AJ14)</f>
        <v>0</v>
      </c>
      <c r="Z14" s="95"/>
      <c r="AA14" s="207">
        <f t="shared" ref="AA14:AI14" si="9">AA186*AA29/1000</f>
        <v>0</v>
      </c>
      <c r="AB14" s="207">
        <f t="shared" si="9"/>
        <v>0</v>
      </c>
      <c r="AC14" s="207">
        <f t="shared" si="9"/>
        <v>0</v>
      </c>
      <c r="AD14" s="207">
        <f t="shared" si="9"/>
        <v>0</v>
      </c>
      <c r="AE14" s="207">
        <f t="shared" si="9"/>
        <v>0</v>
      </c>
      <c r="AF14" s="207">
        <f t="shared" si="9"/>
        <v>0</v>
      </c>
      <c r="AG14" s="207">
        <f t="shared" si="9"/>
        <v>0</v>
      </c>
      <c r="AH14" s="207">
        <f t="shared" si="9"/>
        <v>0</v>
      </c>
      <c r="AI14" s="207">
        <f t="shared" si="9"/>
        <v>0</v>
      </c>
      <c r="AJ14" s="324"/>
      <c r="AK14" s="243">
        <f>SUM(AL14:AV14)</f>
        <v>0</v>
      </c>
      <c r="AL14" s="95"/>
      <c r="AM14" s="207">
        <f t="shared" ref="AM14:AU14" si="10">AM186*AM29/1000</f>
        <v>0</v>
      </c>
      <c r="AN14" s="207">
        <f t="shared" si="10"/>
        <v>0</v>
      </c>
      <c r="AO14" s="207">
        <f t="shared" si="10"/>
        <v>0</v>
      </c>
      <c r="AP14" s="207">
        <f t="shared" si="10"/>
        <v>0</v>
      </c>
      <c r="AQ14" s="207">
        <f t="shared" si="10"/>
        <v>0</v>
      </c>
      <c r="AR14" s="207">
        <f t="shared" si="10"/>
        <v>0</v>
      </c>
      <c r="AS14" s="207">
        <f t="shared" si="10"/>
        <v>0</v>
      </c>
      <c r="AT14" s="207">
        <f t="shared" si="10"/>
        <v>0</v>
      </c>
      <c r="AU14" s="207">
        <f t="shared" si="10"/>
        <v>0</v>
      </c>
      <c r="AV14" s="324"/>
      <c r="AW14" s="243">
        <f>SUM(AX14:BH14)</f>
        <v>0</v>
      </c>
      <c r="AX14" s="95"/>
      <c r="AY14" s="207">
        <f t="shared" ref="AY14:BG14" si="11">AY186*AY29/1000</f>
        <v>0</v>
      </c>
      <c r="AZ14" s="207">
        <f t="shared" si="11"/>
        <v>0</v>
      </c>
      <c r="BA14" s="207">
        <f t="shared" si="11"/>
        <v>0</v>
      </c>
      <c r="BB14" s="207">
        <f t="shared" si="11"/>
        <v>0</v>
      </c>
      <c r="BC14" s="207">
        <f t="shared" si="11"/>
        <v>0</v>
      </c>
      <c r="BD14" s="207">
        <f t="shared" si="11"/>
        <v>0</v>
      </c>
      <c r="BE14" s="207">
        <f t="shared" si="11"/>
        <v>0</v>
      </c>
      <c r="BF14" s="207">
        <f t="shared" si="11"/>
        <v>0</v>
      </c>
      <c r="BG14" s="207">
        <f t="shared" si="11"/>
        <v>0</v>
      </c>
      <c r="BH14" s="257"/>
    </row>
    <row r="15" spans="1:60" s="847" customFormat="1" ht="5.25" x14ac:dyDescent="0.2">
      <c r="A15" s="842"/>
      <c r="B15" s="843" t="s">
        <v>103</v>
      </c>
      <c r="C15" s="841" t="s">
        <v>113</v>
      </c>
      <c r="D15" s="756"/>
      <c r="E15" s="844"/>
      <c r="F15" s="844"/>
      <c r="G15" s="844"/>
      <c r="H15" s="845"/>
      <c r="I15" s="844"/>
      <c r="J15" s="846"/>
      <c r="K15" s="844"/>
      <c r="L15" s="844"/>
      <c r="M15" s="846"/>
      <c r="N15" s="844"/>
      <c r="O15" s="846"/>
      <c r="P15" s="846"/>
      <c r="Q15" s="846"/>
      <c r="R15" s="846"/>
      <c r="S15" s="846"/>
      <c r="T15" s="846"/>
      <c r="U15" s="846"/>
      <c r="V15" s="846"/>
      <c r="W15" s="846"/>
      <c r="X15" s="846"/>
      <c r="Y15" s="846"/>
      <c r="Z15" s="844"/>
      <c r="AA15" s="846"/>
      <c r="AB15" s="846"/>
      <c r="AC15" s="846"/>
      <c r="AD15" s="846"/>
      <c r="AE15" s="846"/>
      <c r="AF15" s="846"/>
      <c r="AG15" s="846"/>
      <c r="AH15" s="846"/>
      <c r="AI15" s="846"/>
      <c r="AJ15" s="846"/>
      <c r="AK15" s="846"/>
      <c r="AL15" s="844"/>
      <c r="AM15" s="846"/>
      <c r="AN15" s="846"/>
      <c r="AO15" s="846"/>
      <c r="AP15" s="846"/>
      <c r="AQ15" s="846"/>
      <c r="AR15" s="846"/>
      <c r="AS15" s="846"/>
      <c r="AT15" s="846"/>
      <c r="AU15" s="846"/>
      <c r="AV15" s="846"/>
      <c r="AW15" s="846"/>
      <c r="AX15" s="844"/>
      <c r="AY15" s="846"/>
      <c r="AZ15" s="846"/>
      <c r="BA15" s="846"/>
      <c r="BB15" s="846"/>
      <c r="BC15" s="846"/>
      <c r="BD15" s="846"/>
      <c r="BE15" s="846"/>
      <c r="BF15" s="846"/>
      <c r="BG15" s="846"/>
      <c r="BH15" s="846"/>
    </row>
    <row r="16" spans="1:60" x14ac:dyDescent="0.2">
      <c r="A16" s="653"/>
      <c r="B16" s="739" t="s">
        <v>120</v>
      </c>
      <c r="C16" s="739" t="s">
        <v>104</v>
      </c>
      <c r="D16" s="747"/>
      <c r="E16" s="90"/>
      <c r="F16" s="90"/>
      <c r="G16" s="90"/>
      <c r="H16" s="96"/>
      <c r="I16" s="90"/>
      <c r="J16" s="93"/>
      <c r="K16" s="90"/>
      <c r="L16" s="90"/>
      <c r="M16" s="93"/>
      <c r="N16" s="90"/>
      <c r="O16" s="93"/>
      <c r="P16" s="93"/>
      <c r="Q16" s="93"/>
      <c r="R16" s="93"/>
      <c r="S16" s="93"/>
      <c r="T16" s="93"/>
      <c r="U16" s="93"/>
      <c r="V16" s="93"/>
      <c r="W16" s="93"/>
      <c r="X16" s="93"/>
      <c r="Y16" s="93"/>
      <c r="Z16" s="90"/>
      <c r="AA16" s="93"/>
      <c r="AB16" s="93"/>
      <c r="AC16" s="93"/>
      <c r="AD16" s="93"/>
      <c r="AE16" s="93"/>
      <c r="AF16" s="93"/>
      <c r="AG16" s="93"/>
      <c r="AH16" s="93"/>
      <c r="AI16" s="93"/>
      <c r="AJ16" s="93"/>
      <c r="AK16" s="93"/>
      <c r="AL16" s="90"/>
      <c r="AM16" s="93"/>
      <c r="AN16" s="93"/>
      <c r="AO16" s="93"/>
      <c r="AP16" s="93"/>
      <c r="AQ16" s="93"/>
      <c r="AR16" s="93"/>
      <c r="AS16" s="93"/>
      <c r="AT16" s="93"/>
      <c r="AU16" s="93"/>
      <c r="AV16" s="93"/>
      <c r="AW16" s="93"/>
      <c r="AX16" s="90"/>
      <c r="AY16" s="93"/>
      <c r="AZ16" s="93"/>
      <c r="BA16" s="93"/>
      <c r="BB16" s="93"/>
      <c r="BC16" s="93"/>
      <c r="BD16" s="93"/>
      <c r="BE16" s="93"/>
      <c r="BF16" s="93"/>
      <c r="BG16" s="93"/>
      <c r="BH16" s="1"/>
    </row>
    <row r="17" spans="1:60" s="2" customFormat="1" ht="21" x14ac:dyDescent="0.2">
      <c r="A17" s="649"/>
      <c r="B17" s="739" t="s">
        <v>120</v>
      </c>
      <c r="C17" s="739" t="s">
        <v>104</v>
      </c>
      <c r="D17" s="748" t="s">
        <v>50</v>
      </c>
      <c r="E17" s="253" t="s">
        <v>121</v>
      </c>
      <c r="F17" s="253"/>
      <c r="G17" s="253"/>
      <c r="H17" s="253"/>
      <c r="I17" s="146"/>
      <c r="J17" s="318" t="str">
        <f>J$10</f>
        <v>totaal</v>
      </c>
      <c r="K17" s="142"/>
      <c r="L17" s="142"/>
      <c r="M17" s="319" t="str">
        <f>M$10</f>
        <v>totaal</v>
      </c>
      <c r="N17" s="234"/>
      <c r="O17" s="320" t="str">
        <f>IF(O19="","",O19)</f>
        <v/>
      </c>
      <c r="P17" s="320" t="str">
        <f t="shared" ref="P17:W17" si="12">IF(P19="","",P19)</f>
        <v/>
      </c>
      <c r="Q17" s="320" t="str">
        <f t="shared" si="12"/>
        <v/>
      </c>
      <c r="R17" s="320" t="str">
        <f t="shared" si="12"/>
        <v/>
      </c>
      <c r="S17" s="320" t="str">
        <f t="shared" si="12"/>
        <v/>
      </c>
      <c r="T17" s="320" t="str">
        <f>IF(T19="","",T19)</f>
        <v/>
      </c>
      <c r="U17" s="320" t="str">
        <f t="shared" si="12"/>
        <v/>
      </c>
      <c r="V17" s="320" t="str">
        <f t="shared" si="12"/>
        <v/>
      </c>
      <c r="W17" s="320" t="str">
        <f t="shared" si="12"/>
        <v/>
      </c>
      <c r="X17" s="214"/>
      <c r="Y17" s="319" t="str">
        <f>Y$10</f>
        <v>totaal</v>
      </c>
      <c r="Z17" s="234"/>
      <c r="AA17" s="320" t="str">
        <f>IF(AA19="","",AA19)</f>
        <v/>
      </c>
      <c r="AB17" s="320" t="str">
        <f t="shared" ref="AB17:AI17" si="13">IF(AB19="","",AB19)</f>
        <v/>
      </c>
      <c r="AC17" s="320" t="str">
        <f t="shared" si="13"/>
        <v/>
      </c>
      <c r="AD17" s="320" t="str">
        <f t="shared" si="13"/>
        <v/>
      </c>
      <c r="AE17" s="320" t="str">
        <f t="shared" si="13"/>
        <v/>
      </c>
      <c r="AF17" s="320" t="str">
        <f>IF(AF19="","",AF19)</f>
        <v/>
      </c>
      <c r="AG17" s="320" t="str">
        <f t="shared" si="13"/>
        <v/>
      </c>
      <c r="AH17" s="320" t="str">
        <f t="shared" si="13"/>
        <v/>
      </c>
      <c r="AI17" s="320" t="str">
        <f t="shared" si="13"/>
        <v/>
      </c>
      <c r="AJ17" s="214"/>
      <c r="AK17" s="319" t="str">
        <f>AK$10</f>
        <v>totaal</v>
      </c>
      <c r="AL17" s="234"/>
      <c r="AM17" s="320" t="str">
        <f>IF(AM19="","",AM19)</f>
        <v/>
      </c>
      <c r="AN17" s="320" t="str">
        <f t="shared" ref="AN17:AU17" si="14">IF(AN19="","",AN19)</f>
        <v/>
      </c>
      <c r="AO17" s="320" t="str">
        <f t="shared" si="14"/>
        <v/>
      </c>
      <c r="AP17" s="320" t="str">
        <f t="shared" si="14"/>
        <v/>
      </c>
      <c r="AQ17" s="320" t="str">
        <f t="shared" si="14"/>
        <v/>
      </c>
      <c r="AR17" s="320" t="str">
        <f>IF(AR19="","",AR19)</f>
        <v/>
      </c>
      <c r="AS17" s="320" t="str">
        <f t="shared" si="14"/>
        <v/>
      </c>
      <c r="AT17" s="320" t="str">
        <f t="shared" si="14"/>
        <v/>
      </c>
      <c r="AU17" s="320" t="str">
        <f t="shared" si="14"/>
        <v/>
      </c>
      <c r="AV17" s="214"/>
      <c r="AW17" s="319" t="str">
        <f>AW$10</f>
        <v>totaal</v>
      </c>
      <c r="AX17" s="234"/>
      <c r="AY17" s="320" t="str">
        <f>IF(AY19="","",AY19)</f>
        <v/>
      </c>
      <c r="AZ17" s="320" t="str">
        <f t="shared" ref="AZ17:BG17" si="15">IF(AZ19="","",AZ19)</f>
        <v/>
      </c>
      <c r="BA17" s="320" t="str">
        <f t="shared" si="15"/>
        <v/>
      </c>
      <c r="BB17" s="320" t="str">
        <f t="shared" si="15"/>
        <v/>
      </c>
      <c r="BC17" s="320" t="str">
        <f t="shared" si="15"/>
        <v/>
      </c>
      <c r="BD17" s="320" t="str">
        <f>IF(BD19="","",BD19)</f>
        <v/>
      </c>
      <c r="BE17" s="320" t="str">
        <f t="shared" si="15"/>
        <v/>
      </c>
      <c r="BF17" s="320" t="str">
        <f t="shared" si="15"/>
        <v/>
      </c>
      <c r="BG17" s="320" t="str">
        <f t="shared" si="15"/>
        <v/>
      </c>
      <c r="BH17" s="1"/>
    </row>
    <row r="18" spans="1:60" ht="18.75" x14ac:dyDescent="0.2">
      <c r="A18" s="648"/>
      <c r="B18" s="739" t="s">
        <v>120</v>
      </c>
      <c r="C18" s="739" t="s">
        <v>104</v>
      </c>
      <c r="D18" s="747"/>
      <c r="E18" s="236" t="s">
        <v>122</v>
      </c>
      <c r="F18" s="236"/>
      <c r="G18" s="236"/>
      <c r="H18" s="89"/>
      <c r="I18" s="236"/>
      <c r="J18" s="236"/>
      <c r="K18" s="236"/>
      <c r="L18" s="236"/>
      <c r="M18" s="236"/>
      <c r="N18" s="236"/>
      <c r="O18" s="236"/>
      <c r="P18" s="236"/>
      <c r="Q18" s="236"/>
      <c r="R18" s="236"/>
      <c r="S18" s="236"/>
      <c r="T18" s="236"/>
      <c r="U18" s="236"/>
      <c r="V18" s="236"/>
      <c r="W18" s="236"/>
      <c r="X18" s="236"/>
      <c r="Y18" s="236"/>
      <c r="Z18" s="236"/>
      <c r="AA18" s="236"/>
      <c r="AB18" s="791"/>
      <c r="AC18" s="236"/>
      <c r="AD18" s="236"/>
      <c r="AE18" s="236"/>
      <c r="AF18" s="236"/>
      <c r="AG18" s="236"/>
      <c r="AH18" s="236"/>
      <c r="AI18" s="236"/>
      <c r="AJ18" s="236"/>
      <c r="AK18" s="236"/>
      <c r="AL18" s="236"/>
      <c r="AM18" s="236"/>
      <c r="AN18" s="791"/>
      <c r="AO18" s="791"/>
      <c r="AP18" s="236"/>
      <c r="AQ18" s="236"/>
      <c r="AR18" s="236"/>
      <c r="AS18" s="236"/>
      <c r="AT18" s="236"/>
      <c r="AU18" s="236"/>
      <c r="AV18" s="236"/>
      <c r="AW18" s="236"/>
      <c r="AX18" s="236"/>
      <c r="AY18" s="236"/>
      <c r="AZ18" s="236"/>
      <c r="BA18" s="236"/>
      <c r="BB18" s="236"/>
      <c r="BC18" s="236"/>
      <c r="BD18" s="236"/>
      <c r="BE18" s="236"/>
      <c r="BF18" s="236"/>
      <c r="BG18" s="236"/>
      <c r="BH18" s="38"/>
    </row>
    <row r="19" spans="1:60" x14ac:dyDescent="0.2">
      <c r="A19" s="648"/>
      <c r="B19" s="739" t="s">
        <v>120</v>
      </c>
      <c r="C19" s="656" t="s">
        <v>113</v>
      </c>
      <c r="D19" s="747"/>
      <c r="E19" s="220" t="s">
        <v>122</v>
      </c>
      <c r="F19" s="182"/>
      <c r="G19" s="182"/>
      <c r="H19" s="183" t="s">
        <v>70</v>
      </c>
      <c r="I19" s="235"/>
      <c r="J19" s="224"/>
      <c r="K19" s="232"/>
      <c r="L19" s="232"/>
      <c r="M19" s="224"/>
      <c r="N19" s="99"/>
      <c r="O19" s="453" t="str">
        <f>IF('woningen|utiliteit'!L18="","",'woningen|utiliteit'!L18)</f>
        <v/>
      </c>
      <c r="P19" s="453" t="str">
        <f>IF('woningen|utiliteit'!M18="","",'woningen|utiliteit'!M18)</f>
        <v/>
      </c>
      <c r="Q19" s="453" t="str">
        <f>IF('woningen|utiliteit'!N18="","",'woningen|utiliteit'!N18)</f>
        <v/>
      </c>
      <c r="R19" s="453" t="str">
        <f>IF('woningen|utiliteit'!O18="","",'woningen|utiliteit'!O18)</f>
        <v/>
      </c>
      <c r="S19" s="453" t="str">
        <f>IF('woningen|utiliteit'!P18="","",'woningen|utiliteit'!P18)</f>
        <v/>
      </c>
      <c r="T19" s="453" t="str">
        <f>IF('woningen|utiliteit'!Q18="","",'woningen|utiliteit'!Q18)</f>
        <v/>
      </c>
      <c r="U19" s="453" t="str">
        <f>IF('woningen|utiliteit'!R18="","",'woningen|utiliteit'!R18)</f>
        <v/>
      </c>
      <c r="V19" s="453" t="str">
        <f>IF('woningen|utiliteit'!S18="","",'woningen|utiliteit'!S18)</f>
        <v/>
      </c>
      <c r="W19" s="453" t="str">
        <f>IF('woningen|utiliteit'!T18="","",'woningen|utiliteit'!T18)</f>
        <v/>
      </c>
      <c r="X19" s="98"/>
      <c r="Y19" s="224"/>
      <c r="Z19" s="99"/>
      <c r="AA19" s="453" t="str">
        <f>IF('woningen|utiliteit'!L32="","",'woningen|utiliteit'!L32)</f>
        <v/>
      </c>
      <c r="AB19" s="453" t="str">
        <f>IF('woningen|utiliteit'!M32="","",'woningen|utiliteit'!M32)</f>
        <v/>
      </c>
      <c r="AC19" s="453" t="str">
        <f>IF('woningen|utiliteit'!N32="","",'woningen|utiliteit'!N32)</f>
        <v/>
      </c>
      <c r="AD19" s="453" t="str">
        <f>IF('woningen|utiliteit'!O32="","",'woningen|utiliteit'!O32)</f>
        <v/>
      </c>
      <c r="AE19" s="453" t="str">
        <f>IF('woningen|utiliteit'!P32="","",'woningen|utiliteit'!P32)</f>
        <v/>
      </c>
      <c r="AF19" s="453" t="str">
        <f>IF('woningen|utiliteit'!Q32="","",'woningen|utiliteit'!Q32)</f>
        <v/>
      </c>
      <c r="AG19" s="453" t="str">
        <f>IF('woningen|utiliteit'!R32="","",'woningen|utiliteit'!R32)</f>
        <v/>
      </c>
      <c r="AH19" s="453" t="str">
        <f>IF('woningen|utiliteit'!S32="","",'woningen|utiliteit'!S32)</f>
        <v/>
      </c>
      <c r="AI19" s="453" t="str">
        <f>IF('woningen|utiliteit'!T32="","",'woningen|utiliteit'!T32)</f>
        <v/>
      </c>
      <c r="AJ19" s="98"/>
      <c r="AK19" s="224"/>
      <c r="AL19" s="99"/>
      <c r="AM19" s="453" t="str">
        <f>IF('woningen|utiliteit'!L46="","",'woningen|utiliteit'!L46)</f>
        <v/>
      </c>
      <c r="AN19" s="453" t="str">
        <f>IF('woningen|utiliteit'!M46="","",'woningen|utiliteit'!M46)</f>
        <v/>
      </c>
      <c r="AO19" s="453" t="str">
        <f>IF('woningen|utiliteit'!N46="","",'woningen|utiliteit'!N46)</f>
        <v/>
      </c>
      <c r="AP19" s="453" t="str">
        <f>IF('woningen|utiliteit'!O46="","",'woningen|utiliteit'!O46)</f>
        <v/>
      </c>
      <c r="AQ19" s="453" t="str">
        <f>IF('woningen|utiliteit'!P46="","",'woningen|utiliteit'!P46)</f>
        <v/>
      </c>
      <c r="AR19" s="453" t="str">
        <f>IF('woningen|utiliteit'!Q46="","",'woningen|utiliteit'!Q46)</f>
        <v/>
      </c>
      <c r="AS19" s="453" t="str">
        <f>IF('woningen|utiliteit'!R46="","",'woningen|utiliteit'!R46)</f>
        <v/>
      </c>
      <c r="AT19" s="453" t="str">
        <f>IF('woningen|utiliteit'!S46="","",'woningen|utiliteit'!S46)</f>
        <v/>
      </c>
      <c r="AU19" s="453" t="str">
        <f>IF('woningen|utiliteit'!T46="","",'woningen|utiliteit'!T46)</f>
        <v/>
      </c>
      <c r="AV19" s="98"/>
      <c r="AW19" s="224"/>
      <c r="AX19" s="99"/>
      <c r="AY19" s="453" t="str">
        <f>IF('woningen|utiliteit'!L60="","",'woningen|utiliteit'!L60)</f>
        <v/>
      </c>
      <c r="AZ19" s="453" t="str">
        <f>IF('woningen|utiliteit'!M60="","",'woningen|utiliteit'!M60)</f>
        <v/>
      </c>
      <c r="BA19" s="453" t="str">
        <f>IF('woningen|utiliteit'!N60="","",'woningen|utiliteit'!N60)</f>
        <v/>
      </c>
      <c r="BB19" s="453" t="str">
        <f>IF('woningen|utiliteit'!O60="","",'woningen|utiliteit'!O60)</f>
        <v/>
      </c>
      <c r="BC19" s="453" t="str">
        <f>IF('woningen|utiliteit'!P60="","",'woningen|utiliteit'!P60)</f>
        <v/>
      </c>
      <c r="BD19" s="453" t="str">
        <f>IF('woningen|utiliteit'!Q60="","",'woningen|utiliteit'!Q60)</f>
        <v/>
      </c>
      <c r="BE19" s="453" t="str">
        <f>IF('woningen|utiliteit'!R60="","",'woningen|utiliteit'!R60)</f>
        <v/>
      </c>
      <c r="BF19" s="453" t="str">
        <f>IF('woningen|utiliteit'!S60="","",'woningen|utiliteit'!S60)</f>
        <v/>
      </c>
      <c r="BG19" s="453" t="str">
        <f>IF('woningen|utiliteit'!T60="","",'woningen|utiliteit'!T60)</f>
        <v/>
      </c>
      <c r="BH19" s="258"/>
    </row>
    <row r="20" spans="1:60" x14ac:dyDescent="0.2">
      <c r="A20" s="648"/>
      <c r="B20" s="739" t="s">
        <v>120</v>
      </c>
      <c r="C20" s="656" t="s">
        <v>113</v>
      </c>
      <c r="D20" s="747"/>
      <c r="E20" s="317" t="s">
        <v>123</v>
      </c>
      <c r="F20" s="286"/>
      <c r="G20" s="286"/>
      <c r="H20" s="360" t="s">
        <v>70</v>
      </c>
      <c r="I20" s="716"/>
      <c r="J20" s="226"/>
      <c r="K20" s="232"/>
      <c r="L20" s="232"/>
      <c r="M20" s="226"/>
      <c r="N20" s="106"/>
      <c r="O20" s="637" t="str">
        <f>IF('woningen|utiliteit'!L20="","",'woningen|utiliteit'!L20)</f>
        <v/>
      </c>
      <c r="P20" s="637" t="str">
        <f>IF('woningen|utiliteit'!M20="","",'woningen|utiliteit'!M20)</f>
        <v/>
      </c>
      <c r="Q20" s="637" t="str">
        <f>IF('woningen|utiliteit'!N20="","",'woningen|utiliteit'!N20)</f>
        <v/>
      </c>
      <c r="R20" s="637" t="str">
        <f>IF('woningen|utiliteit'!O20="","",'woningen|utiliteit'!O20)</f>
        <v/>
      </c>
      <c r="S20" s="637" t="str">
        <f>IF('woningen|utiliteit'!P20="","",'woningen|utiliteit'!P20)</f>
        <v/>
      </c>
      <c r="T20" s="637" t="str">
        <f>IF('woningen|utiliteit'!Q20="","",'woningen|utiliteit'!Q20)</f>
        <v/>
      </c>
      <c r="U20" s="637" t="str">
        <f>IF('woningen|utiliteit'!R20="","",'woningen|utiliteit'!R20)</f>
        <v/>
      </c>
      <c r="V20" s="637" t="str">
        <f>IF('woningen|utiliteit'!S20="","",'woningen|utiliteit'!S20)</f>
        <v/>
      </c>
      <c r="W20" s="637" t="str">
        <f>IF('woningen|utiliteit'!T20="","",'woningen|utiliteit'!T20)</f>
        <v/>
      </c>
      <c r="X20" s="98"/>
      <c r="Y20" s="226"/>
      <c r="Z20" s="106"/>
      <c r="AA20" s="637" t="str">
        <f>IF('woningen|utiliteit'!L34="","",'woningen|utiliteit'!L34)</f>
        <v/>
      </c>
      <c r="AB20" s="637" t="str">
        <f>IF('woningen|utiliteit'!M34="","",'woningen|utiliteit'!M34)</f>
        <v/>
      </c>
      <c r="AC20" s="637" t="str">
        <f>IF('woningen|utiliteit'!N34="","",'woningen|utiliteit'!N34)</f>
        <v/>
      </c>
      <c r="AD20" s="637" t="str">
        <f>IF('woningen|utiliteit'!O34="","",'woningen|utiliteit'!O34)</f>
        <v/>
      </c>
      <c r="AE20" s="637" t="str">
        <f>IF('woningen|utiliteit'!P34="","",'woningen|utiliteit'!P34)</f>
        <v/>
      </c>
      <c r="AF20" s="637" t="str">
        <f>IF('woningen|utiliteit'!Q34="","",'woningen|utiliteit'!Q34)</f>
        <v/>
      </c>
      <c r="AG20" s="637" t="str">
        <f>IF('woningen|utiliteit'!R34="","",'woningen|utiliteit'!R34)</f>
        <v/>
      </c>
      <c r="AH20" s="637" t="str">
        <f>IF('woningen|utiliteit'!S34="","",'woningen|utiliteit'!S34)</f>
        <v/>
      </c>
      <c r="AI20" s="637" t="str">
        <f>IF('woningen|utiliteit'!T34="","",'woningen|utiliteit'!T34)</f>
        <v/>
      </c>
      <c r="AJ20" s="98"/>
      <c r="AK20" s="226"/>
      <c r="AL20" s="106"/>
      <c r="AM20" s="637" t="str">
        <f>IF('woningen|utiliteit'!L48="","",'woningen|utiliteit'!L48)</f>
        <v/>
      </c>
      <c r="AN20" s="637" t="str">
        <f>IF('woningen|utiliteit'!M48="","",'woningen|utiliteit'!M48)</f>
        <v/>
      </c>
      <c r="AO20" s="637" t="str">
        <f>IF('woningen|utiliteit'!N48="","",'woningen|utiliteit'!N48)</f>
        <v/>
      </c>
      <c r="AP20" s="637" t="str">
        <f>IF('woningen|utiliteit'!O48="","",'woningen|utiliteit'!O48)</f>
        <v/>
      </c>
      <c r="AQ20" s="637" t="str">
        <f>IF('woningen|utiliteit'!P48="","",'woningen|utiliteit'!P48)</f>
        <v/>
      </c>
      <c r="AR20" s="637" t="str">
        <f>IF('woningen|utiliteit'!Q48="","",'woningen|utiliteit'!Q48)</f>
        <v/>
      </c>
      <c r="AS20" s="637" t="str">
        <f>IF('woningen|utiliteit'!R48="","",'woningen|utiliteit'!R48)</f>
        <v/>
      </c>
      <c r="AT20" s="637" t="str">
        <f>IF('woningen|utiliteit'!S48="","",'woningen|utiliteit'!S48)</f>
        <v/>
      </c>
      <c r="AU20" s="637" t="str">
        <f>IF('woningen|utiliteit'!T48="","",'woningen|utiliteit'!T48)</f>
        <v/>
      </c>
      <c r="AV20" s="98"/>
      <c r="AW20" s="226"/>
      <c r="AX20" s="106"/>
      <c r="AY20" s="637" t="str">
        <f>IF('woningen|utiliteit'!L62="","",'woningen|utiliteit'!L62)</f>
        <v/>
      </c>
      <c r="AZ20" s="637" t="str">
        <f>IF('woningen|utiliteit'!M62="","",'woningen|utiliteit'!M62)</f>
        <v/>
      </c>
      <c r="BA20" s="637" t="str">
        <f>IF('woningen|utiliteit'!N62="","",'woningen|utiliteit'!N62)</f>
        <v/>
      </c>
      <c r="BB20" s="637" t="str">
        <f>IF('woningen|utiliteit'!O62="","",'woningen|utiliteit'!O62)</f>
        <v/>
      </c>
      <c r="BC20" s="637" t="str">
        <f>IF('woningen|utiliteit'!P62="","",'woningen|utiliteit'!P62)</f>
        <v/>
      </c>
      <c r="BD20" s="637" t="str">
        <f>IF('woningen|utiliteit'!Q62="","",'woningen|utiliteit'!Q62)</f>
        <v/>
      </c>
      <c r="BE20" s="637" t="str">
        <f>IF('woningen|utiliteit'!R62="","",'woningen|utiliteit'!R62)</f>
        <v/>
      </c>
      <c r="BF20" s="637" t="str">
        <f>IF('woningen|utiliteit'!S62="","",'woningen|utiliteit'!S62)</f>
        <v/>
      </c>
      <c r="BG20" s="637" t="str">
        <f>IF('woningen|utiliteit'!T62="","",'woningen|utiliteit'!T62)</f>
        <v/>
      </c>
      <c r="BH20" s="258"/>
    </row>
    <row r="21" spans="1:60" s="38" customFormat="1" x14ac:dyDescent="0.2">
      <c r="A21" s="648"/>
      <c r="B21" s="739" t="s">
        <v>120</v>
      </c>
      <c r="C21" s="656" t="s">
        <v>113</v>
      </c>
      <c r="D21" s="747"/>
      <c r="E21" s="316" t="s">
        <v>124</v>
      </c>
      <c r="F21" s="713"/>
      <c r="G21" s="713"/>
      <c r="H21" s="361" t="s">
        <v>70</v>
      </c>
      <c r="I21" s="97"/>
      <c r="J21" s="714"/>
      <c r="K21" s="105"/>
      <c r="L21" s="105"/>
      <c r="M21" s="714"/>
      <c r="N21" s="715"/>
      <c r="O21" s="619" t="str">
        <f>IF(O$19="","",HLOOKUP(O$19,woningen_gebouwen_gegevens,ROWS(bibliotheek!$E$13:$E$14),FALSE))</f>
        <v/>
      </c>
      <c r="P21" s="619" t="str">
        <f>IF(P$19="","",HLOOKUP(P$19,woningen_gebouwen_gegevens,ROWS(bibliotheek!$E$13:$E$14),FALSE))</f>
        <v/>
      </c>
      <c r="Q21" s="619" t="str">
        <f>IF(Q$19="","",HLOOKUP(Q$19,woningen_gebouwen_gegevens,ROWS(bibliotheek!$E$13:$E$14),FALSE))</f>
        <v/>
      </c>
      <c r="R21" s="619" t="str">
        <f>IF(R$19="","",HLOOKUP(R$19,woningen_gebouwen_gegevens,ROWS(bibliotheek!$E$13:$E$14),FALSE))</f>
        <v/>
      </c>
      <c r="S21" s="619" t="str">
        <f>IF(S$19="","",HLOOKUP(S$19,woningen_gebouwen_gegevens,ROWS(bibliotheek!$E$13:$E$14),FALSE))</f>
        <v/>
      </c>
      <c r="T21" s="619" t="str">
        <f>IF(T$19="","",HLOOKUP(T$19,woningen_gebouwen_gegevens,ROWS(bibliotheek!$E$13:$E$14),FALSE))</f>
        <v/>
      </c>
      <c r="U21" s="619" t="str">
        <f>IF(U$19="","",HLOOKUP(U$19,woningen_gebouwen_gegevens,ROWS(bibliotheek!$E$13:$E$14),FALSE))</f>
        <v/>
      </c>
      <c r="V21" s="619" t="str">
        <f>IF(V$19="","",HLOOKUP(V$19,woningen_gebouwen_gegevens,ROWS(bibliotheek!$E$13:$E$14),FALSE))</f>
        <v/>
      </c>
      <c r="W21" s="619" t="str">
        <f>IF(W$19="","",HLOOKUP(W$19,woningen_gebouwen_gegevens,ROWS(bibliotheek!$E$13:$E$14),FALSE))</f>
        <v/>
      </c>
      <c r="X21" s="388"/>
      <c r="Y21" s="181"/>
      <c r="Z21" s="389"/>
      <c r="AA21" s="453" t="str">
        <f>IF(AA$19="","",HLOOKUP(AA$19,woningen_gebouwen_gegevens,ROWS(bibliotheek!$E$13:$E$14),FALSE))</f>
        <v/>
      </c>
      <c r="AB21" s="453" t="str">
        <f>IF(AB$19="","",HLOOKUP(AB$19,woningen_gebouwen_gegevens,ROWS(bibliotheek!$E$13:$E$14),FALSE))</f>
        <v/>
      </c>
      <c r="AC21" s="453" t="str">
        <f>IF(AC$19="","",HLOOKUP(AC$19,woningen_gebouwen_gegevens,ROWS(bibliotheek!$E$13:$E$14),FALSE))</f>
        <v/>
      </c>
      <c r="AD21" s="453" t="str">
        <f>IF(AD$19="","",HLOOKUP(AD$19,woningen_gebouwen_gegevens,ROWS(bibliotheek!$E$13:$E$14),FALSE))</f>
        <v/>
      </c>
      <c r="AE21" s="453" t="str">
        <f>IF(AE$19="","",HLOOKUP(AE$19,woningen_gebouwen_gegevens,ROWS(bibliotheek!$E$13:$E$14),FALSE))</f>
        <v/>
      </c>
      <c r="AF21" s="453" t="str">
        <f>IF(AF$19="","",HLOOKUP(AF$19,woningen_gebouwen_gegevens,ROWS(bibliotheek!$E$13:$E$14),FALSE))</f>
        <v/>
      </c>
      <c r="AG21" s="453" t="str">
        <f>IF(AG$19="","",HLOOKUP(AG$19,woningen_gebouwen_gegevens,ROWS(bibliotheek!$E$13:$E$14),FALSE))</f>
        <v/>
      </c>
      <c r="AH21" s="453" t="str">
        <f>IF(AH$19="","",HLOOKUP(AH$19,woningen_gebouwen_gegevens,ROWS(bibliotheek!$E$13:$E$14),FALSE))</f>
        <v/>
      </c>
      <c r="AI21" s="453" t="str">
        <f>IF(AI$19="","",HLOOKUP(AI$19,woningen_gebouwen_gegevens,ROWS(bibliotheek!$E$13:$E$14),FALSE))</f>
        <v/>
      </c>
      <c r="AJ21" s="388"/>
      <c r="AK21" s="181"/>
      <c r="AL21" s="389"/>
      <c r="AM21" s="453" t="str">
        <f>IF(AM$19="","",HLOOKUP(AM$19,woningen_gebouwen_gegevens,ROWS(bibliotheek!$E$13:$E$14),FALSE))</f>
        <v/>
      </c>
      <c r="AN21" s="453" t="str">
        <f>IF(AN$19="","",HLOOKUP(AN$19,woningen_gebouwen_gegevens,ROWS(bibliotheek!$E$13:$E$14),FALSE))</f>
        <v/>
      </c>
      <c r="AO21" s="453" t="str">
        <f>IF(AO$19="","",HLOOKUP(AO$19,woningen_gebouwen_gegevens,ROWS(bibliotheek!$E$13:$E$14),FALSE))</f>
        <v/>
      </c>
      <c r="AP21" s="453" t="str">
        <f>IF(AP$19="","",HLOOKUP(AP$19,woningen_gebouwen_gegevens,ROWS(bibliotheek!$E$13:$E$14),FALSE))</f>
        <v/>
      </c>
      <c r="AQ21" s="453" t="str">
        <f>IF(AQ$19="","",HLOOKUP(AQ$19,woningen_gebouwen_gegevens,ROWS(bibliotheek!$E$13:$E$14),FALSE))</f>
        <v/>
      </c>
      <c r="AR21" s="453" t="str">
        <f>IF(AR$19="","",HLOOKUP(AR$19,woningen_gebouwen_gegevens,ROWS(bibliotheek!$E$13:$E$14),FALSE))</f>
        <v/>
      </c>
      <c r="AS21" s="453" t="str">
        <f>IF(AS$19="","",HLOOKUP(AS$19,woningen_gebouwen_gegevens,ROWS(bibliotheek!$E$13:$E$14),FALSE))</f>
        <v/>
      </c>
      <c r="AT21" s="453" t="str">
        <f>IF(AT$19="","",HLOOKUP(AT$19,woningen_gebouwen_gegevens,ROWS(bibliotheek!$E$13:$E$14),FALSE))</f>
        <v/>
      </c>
      <c r="AU21" s="453" t="str">
        <f>IF(AU$19="","",HLOOKUP(AU$19,woningen_gebouwen_gegevens,ROWS(bibliotheek!$E$13:$E$14),FALSE))</f>
        <v/>
      </c>
      <c r="AV21" s="388"/>
      <c r="AW21" s="181"/>
      <c r="AX21" s="389"/>
      <c r="AY21" s="453" t="str">
        <f>IF(AY$19="","",HLOOKUP(AY$19,woningen_gebouwen_gegevens,ROWS(bibliotheek!$E$13:$E$14),FALSE))</f>
        <v/>
      </c>
      <c r="AZ21" s="453" t="str">
        <f>IF(AZ$19="","",HLOOKUP(AZ$19,woningen_gebouwen_gegevens,ROWS(bibliotheek!$E$13:$E$14),FALSE))</f>
        <v/>
      </c>
      <c r="BA21" s="453" t="str">
        <f>IF(BA$19="","",HLOOKUP(BA$19,woningen_gebouwen_gegevens,ROWS(bibliotheek!$E$13:$E$14),FALSE))</f>
        <v/>
      </c>
      <c r="BB21" s="453" t="str">
        <f>IF(BB$19="","",HLOOKUP(BB$19,woningen_gebouwen_gegevens,ROWS(bibliotheek!$E$13:$E$14),FALSE))</f>
        <v/>
      </c>
      <c r="BC21" s="453" t="str">
        <f>IF(BC$19="","",HLOOKUP(BC$19,woningen_gebouwen_gegevens,ROWS(bibliotheek!$E$13:$E$14),FALSE))</f>
        <v/>
      </c>
      <c r="BD21" s="453" t="str">
        <f>IF(BD$19="","",HLOOKUP(BD$19,woningen_gebouwen_gegevens,ROWS(bibliotheek!$E$13:$E$14),FALSE))</f>
        <v/>
      </c>
      <c r="BE21" s="453" t="str">
        <f>IF(BE$19="","",HLOOKUP(BE$19,woningen_gebouwen_gegevens,ROWS(bibliotheek!$E$13:$E$14),FALSE))</f>
        <v/>
      </c>
      <c r="BF21" s="453" t="str">
        <f>IF(BF$19="","",HLOOKUP(BF$19,woningen_gebouwen_gegevens,ROWS(bibliotheek!$E$13:$E$14),FALSE))</f>
        <v/>
      </c>
      <c r="BG21" s="453" t="str">
        <f>IF(BG$19="","",HLOOKUP(BG$19,woningen_gebouwen_gegevens,ROWS(bibliotheek!$E$13:$E$14),FALSE))</f>
        <v/>
      </c>
      <c r="BH21" s="258"/>
    </row>
    <row r="22" spans="1:60" x14ac:dyDescent="0.2">
      <c r="A22" s="648"/>
      <c r="B22" s="739" t="s">
        <v>120</v>
      </c>
      <c r="C22" s="656" t="s">
        <v>113</v>
      </c>
      <c r="D22" s="747"/>
      <c r="E22" s="220" t="s">
        <v>125</v>
      </c>
      <c r="F22" s="220"/>
      <c r="G22" s="220"/>
      <c r="H22" s="221" t="s">
        <v>70</v>
      </c>
      <c r="I22" s="129"/>
      <c r="J22" s="719"/>
      <c r="K22" s="294"/>
      <c r="L22" s="294"/>
      <c r="M22" s="228"/>
      <c r="N22" s="100"/>
      <c r="O22" s="453" t="str">
        <f>IF(O$19="","",HLOOKUP(O$19,woningen_gebouwen_gegevens,ROWS(bibliotheek!$E$13:$E$15),FALSE))</f>
        <v/>
      </c>
      <c r="P22" s="453" t="str">
        <f>IF(P$19="","",HLOOKUP(P$19,woningen_gebouwen_gegevens,ROWS(bibliotheek!$E$13:$E$15),FALSE))</f>
        <v/>
      </c>
      <c r="Q22" s="453" t="str">
        <f>IF(Q$19="","",HLOOKUP(Q$19,woningen_gebouwen_gegevens,ROWS(bibliotheek!$E$13:$E$15),FALSE))</f>
        <v/>
      </c>
      <c r="R22" s="453" t="str">
        <f>IF(R$19="","",HLOOKUP(R$19,woningen_gebouwen_gegevens,ROWS(bibliotheek!$E$13:$E$15),FALSE))</f>
        <v/>
      </c>
      <c r="S22" s="453" t="str">
        <f>IF(S$19="","",HLOOKUP(S$19,woningen_gebouwen_gegevens,ROWS(bibliotheek!$E$13:$E$15),FALSE))</f>
        <v/>
      </c>
      <c r="T22" s="453" t="str">
        <f>IF(T$19="","",HLOOKUP(T$19,woningen_gebouwen_gegevens,ROWS(bibliotheek!$E$13:$E$15),FALSE))</f>
        <v/>
      </c>
      <c r="U22" s="453" t="str">
        <f>IF(U$19="","",HLOOKUP(U$19,woningen_gebouwen_gegevens,ROWS(bibliotheek!$E$13:$E$15),FALSE))</f>
        <v/>
      </c>
      <c r="V22" s="453" t="str">
        <f>IF(V$19="","",HLOOKUP(V$19,woningen_gebouwen_gegevens,ROWS(bibliotheek!$E$13:$E$15),FALSE))</f>
        <v/>
      </c>
      <c r="W22" s="453" t="str">
        <f>IF(W$19="","",HLOOKUP(W$19,woningen_gebouwen_gegevens,ROWS(bibliotheek!$E$13:$E$15),FALSE))</f>
        <v/>
      </c>
      <c r="X22" s="101"/>
      <c r="Y22" s="228"/>
      <c r="Z22" s="100"/>
      <c r="AA22" s="453" t="str">
        <f>IF(AA$19="","",HLOOKUP(AA$19,woningen_gebouwen_gegevens,ROWS(bibliotheek!$E$13:$E$15),FALSE))</f>
        <v/>
      </c>
      <c r="AB22" s="453" t="str">
        <f>IF(AB$19="","",HLOOKUP(AB$19,woningen_gebouwen_gegevens,ROWS(bibliotheek!$E$13:$E$15),FALSE))</f>
        <v/>
      </c>
      <c r="AC22" s="453" t="str">
        <f>IF(AC$19="","",HLOOKUP(AC$19,woningen_gebouwen_gegevens,ROWS(bibliotheek!$E$13:$E$15),FALSE))</f>
        <v/>
      </c>
      <c r="AD22" s="453" t="str">
        <f>IF(AD$19="","",HLOOKUP(AD$19,woningen_gebouwen_gegevens,ROWS(bibliotheek!$E$13:$E$15),FALSE))</f>
        <v/>
      </c>
      <c r="AE22" s="453" t="str">
        <f>IF(AE$19="","",HLOOKUP(AE$19,woningen_gebouwen_gegevens,ROWS(bibliotheek!$E$13:$E$15),FALSE))</f>
        <v/>
      </c>
      <c r="AF22" s="453" t="str">
        <f>IF(AF$19="","",HLOOKUP(AF$19,woningen_gebouwen_gegevens,ROWS(bibliotheek!$E$13:$E$15),FALSE))</f>
        <v/>
      </c>
      <c r="AG22" s="453" t="str">
        <f>IF(AG$19="","",HLOOKUP(AG$19,woningen_gebouwen_gegevens,ROWS(bibliotheek!$E$13:$E$15),FALSE))</f>
        <v/>
      </c>
      <c r="AH22" s="453" t="str">
        <f>IF(AH$19="","",HLOOKUP(AH$19,woningen_gebouwen_gegevens,ROWS(bibliotheek!$E$13:$E$15),FALSE))</f>
        <v/>
      </c>
      <c r="AI22" s="453" t="str">
        <f>IF(AI$19="","",HLOOKUP(AI$19,woningen_gebouwen_gegevens,ROWS(bibliotheek!$E$13:$E$15),FALSE))</f>
        <v/>
      </c>
      <c r="AJ22" s="101"/>
      <c r="AK22" s="228"/>
      <c r="AL22" s="100"/>
      <c r="AM22" s="453" t="str">
        <f>IF(AM$19="","",HLOOKUP(AM$19,woningen_gebouwen_gegevens,ROWS(bibliotheek!$E$13:$E$15),FALSE))</f>
        <v/>
      </c>
      <c r="AN22" s="453" t="str">
        <f>IF(AN$19="","",HLOOKUP(AN$19,woningen_gebouwen_gegevens,ROWS(bibliotheek!$E$13:$E$15),FALSE))</f>
        <v/>
      </c>
      <c r="AO22" s="453" t="str">
        <f>IF(AO$19="","",HLOOKUP(AO$19,woningen_gebouwen_gegevens,ROWS(bibliotheek!$E$13:$E$15),FALSE))</f>
        <v/>
      </c>
      <c r="AP22" s="453" t="str">
        <f>IF(AP$19="","",HLOOKUP(AP$19,woningen_gebouwen_gegevens,ROWS(bibliotheek!$E$13:$E$15),FALSE))</f>
        <v/>
      </c>
      <c r="AQ22" s="453" t="str">
        <f>IF(AQ$19="","",HLOOKUP(AQ$19,woningen_gebouwen_gegevens,ROWS(bibliotheek!$E$13:$E$15),FALSE))</f>
        <v/>
      </c>
      <c r="AR22" s="453" t="str">
        <f>IF(AR$19="","",HLOOKUP(AR$19,woningen_gebouwen_gegevens,ROWS(bibliotheek!$E$13:$E$15),FALSE))</f>
        <v/>
      </c>
      <c r="AS22" s="453" t="str">
        <f>IF(AS$19="","",HLOOKUP(AS$19,woningen_gebouwen_gegevens,ROWS(bibliotheek!$E$13:$E$15),FALSE))</f>
        <v/>
      </c>
      <c r="AT22" s="453" t="str">
        <f>IF(AT$19="","",HLOOKUP(AT$19,woningen_gebouwen_gegevens,ROWS(bibliotheek!$E$13:$E$15),FALSE))</f>
        <v/>
      </c>
      <c r="AU22" s="453" t="str">
        <f>IF(AU$19="","",HLOOKUP(AU$19,woningen_gebouwen_gegevens,ROWS(bibliotheek!$E$13:$E$15),FALSE))</f>
        <v/>
      </c>
      <c r="AV22" s="101"/>
      <c r="AW22" s="228"/>
      <c r="AX22" s="100"/>
      <c r="AY22" s="453" t="str">
        <f>IF(AY$19="","",HLOOKUP(AY$19,woningen_gebouwen_gegevens,ROWS(bibliotheek!$E$13:$E$15),FALSE))</f>
        <v/>
      </c>
      <c r="AZ22" s="453" t="str">
        <f>IF(AZ$19="","",HLOOKUP(AZ$19,woningen_gebouwen_gegevens,ROWS(bibliotheek!$E$13:$E$15),FALSE))</f>
        <v/>
      </c>
      <c r="BA22" s="453" t="str">
        <f>IF(BA$19="","",HLOOKUP(BA$19,woningen_gebouwen_gegevens,ROWS(bibliotheek!$E$13:$E$15),FALSE))</f>
        <v/>
      </c>
      <c r="BB22" s="453" t="str">
        <f>IF(BB$19="","",HLOOKUP(BB$19,woningen_gebouwen_gegevens,ROWS(bibliotheek!$E$13:$E$15),FALSE))</f>
        <v/>
      </c>
      <c r="BC22" s="453" t="str">
        <f>IF(BC$19="","",HLOOKUP(BC$19,woningen_gebouwen_gegevens,ROWS(bibliotheek!$E$13:$E$15),FALSE))</f>
        <v/>
      </c>
      <c r="BD22" s="453" t="str">
        <f>IF(BD$19="","",HLOOKUP(BD$19,woningen_gebouwen_gegevens,ROWS(bibliotheek!$E$13:$E$15),FALSE))</f>
        <v/>
      </c>
      <c r="BE22" s="453" t="str">
        <f>IF(BE$19="","",HLOOKUP(BE$19,woningen_gebouwen_gegevens,ROWS(bibliotheek!$E$13:$E$15),FALSE))</f>
        <v/>
      </c>
      <c r="BF22" s="453" t="str">
        <f>IF(BF$19="","",HLOOKUP(BF$19,woningen_gebouwen_gegevens,ROWS(bibliotheek!$E$13:$E$15),FALSE))</f>
        <v/>
      </c>
      <c r="BG22" s="453" t="str">
        <f>IF(BG$19="","",HLOOKUP(BG$19,woningen_gebouwen_gegevens,ROWS(bibliotheek!$E$13:$E$15),FALSE))</f>
        <v/>
      </c>
      <c r="BH22" s="259"/>
    </row>
    <row r="23" spans="1:60" ht="18.75" x14ac:dyDescent="0.2">
      <c r="A23" s="648"/>
      <c r="B23" s="739" t="s">
        <v>120</v>
      </c>
      <c r="C23" s="739" t="s">
        <v>104</v>
      </c>
      <c r="D23" s="747"/>
      <c r="E23" s="236" t="s">
        <v>126</v>
      </c>
      <c r="F23" s="236"/>
      <c r="G23" s="236"/>
      <c r="H23" s="89"/>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38"/>
    </row>
    <row r="24" spans="1:60" x14ac:dyDescent="0.2">
      <c r="A24" s="648"/>
      <c r="B24" s="739" t="s">
        <v>120</v>
      </c>
      <c r="C24" s="656" t="s">
        <v>127</v>
      </c>
      <c r="D24" s="747"/>
      <c r="E24" s="316" t="s">
        <v>128</v>
      </c>
      <c r="F24" s="316"/>
      <c r="G24" s="316"/>
      <c r="H24" s="361" t="s">
        <v>129</v>
      </c>
      <c r="I24" s="131"/>
      <c r="J24" s="225">
        <f>M24+Y24+AK24+AW24</f>
        <v>0</v>
      </c>
      <c r="K24" s="102"/>
      <c r="L24" s="102"/>
      <c r="M24" s="469">
        <f>SUM(N24:X24)</f>
        <v>0</v>
      </c>
      <c r="N24" s="103"/>
      <c r="O24" s="618">
        <f>IF('woningen|utiliteit'!L18="",0,IF(O25&lt;&gt;"",O25,'woningen|utiliteit'!L21))</f>
        <v>0</v>
      </c>
      <c r="P24" s="618">
        <f>IF('woningen|utiliteit'!M18="",0,IF(P25&lt;&gt;"",P25,'woningen|utiliteit'!M21))</f>
        <v>0</v>
      </c>
      <c r="Q24" s="619">
        <f>IF('woningen|utiliteit'!N18="",0,IF(Q25&lt;&gt;"",Q25,'woningen|utiliteit'!N21))</f>
        <v>0</v>
      </c>
      <c r="R24" s="619">
        <f>IF('woningen|utiliteit'!O18="",0,IF(R25&lt;&gt;"",R25,'woningen|utiliteit'!O21))</f>
        <v>0</v>
      </c>
      <c r="S24" s="619">
        <f>IF('woningen|utiliteit'!P18="",0,IF(S25&lt;&gt;"",S25,'woningen|utiliteit'!P21))</f>
        <v>0</v>
      </c>
      <c r="T24" s="619">
        <f>IF('woningen|utiliteit'!Q18="",0,IF(T25&lt;&gt;"",T25,'woningen|utiliteit'!Q21))</f>
        <v>0</v>
      </c>
      <c r="U24" s="619">
        <f>IF('woningen|utiliteit'!R18="",0,IF(U25&lt;&gt;"",U25,'woningen|utiliteit'!R21))</f>
        <v>0</v>
      </c>
      <c r="V24" s="619">
        <f>IF('woningen|utiliteit'!S18="",0,IF(V25&lt;&gt;"",V25,'woningen|utiliteit'!S21))</f>
        <v>0</v>
      </c>
      <c r="W24" s="618">
        <f>IF('woningen|utiliteit'!T18="",0,IF(W25&lt;&gt;"",W25,'woningen|utiliteit'!T21))</f>
        <v>0</v>
      </c>
      <c r="X24" s="104"/>
      <c r="Y24" s="229">
        <f>SUM(Z24:AJ24)</f>
        <v>0</v>
      </c>
      <c r="Z24" s="103"/>
      <c r="AA24" s="618">
        <f>IF('woningen|utiliteit'!L32="",0,IF(AA25&lt;&gt;"",AA25,'woningen|utiliteit'!L35))</f>
        <v>0</v>
      </c>
      <c r="AB24" s="618">
        <f>IF('woningen|utiliteit'!M32="",0,IF(AB25&lt;&gt;"",AB25,'woningen|utiliteit'!M35))</f>
        <v>0</v>
      </c>
      <c r="AC24" s="619">
        <f>IF('woningen|utiliteit'!N32="",0,IF(AC25&lt;&gt;"",AC25,'woningen|utiliteit'!N35))</f>
        <v>0</v>
      </c>
      <c r="AD24" s="619">
        <f>IF('woningen|utiliteit'!O32="",0,IF(AD25&lt;&gt;"",AD25,'woningen|utiliteit'!O35))</f>
        <v>0</v>
      </c>
      <c r="AE24" s="619">
        <f>IF('woningen|utiliteit'!P32="",0,IF(AE25&lt;&gt;"",AE25,'woningen|utiliteit'!P35))</f>
        <v>0</v>
      </c>
      <c r="AF24" s="619">
        <f>IF('woningen|utiliteit'!Q32="",0,IF(AF25&lt;&gt;"",AF25,'woningen|utiliteit'!Q35))</f>
        <v>0</v>
      </c>
      <c r="AG24" s="619">
        <f>IF('woningen|utiliteit'!R32="",0,IF(AG25&lt;&gt;"",AG25,'woningen|utiliteit'!R35))</f>
        <v>0</v>
      </c>
      <c r="AH24" s="619">
        <f>IF('woningen|utiliteit'!S32="",0,IF(AH25&lt;&gt;"",AH25,'woningen|utiliteit'!S35))</f>
        <v>0</v>
      </c>
      <c r="AI24" s="618">
        <f>IF('woningen|utiliteit'!T32="",0,IF(AI25&lt;&gt;"",AI25,'woningen|utiliteit'!T35))</f>
        <v>0</v>
      </c>
      <c r="AJ24" s="104"/>
      <c r="AK24" s="229">
        <f>SUM(AL24:AV24)</f>
        <v>0</v>
      </c>
      <c r="AL24" s="103"/>
      <c r="AM24" s="618">
        <f>IF('woningen|utiliteit'!L46="",0,IF(AM25&lt;&gt;"",AM25,'woningen|utiliteit'!L49))</f>
        <v>0</v>
      </c>
      <c r="AN24" s="618">
        <f>IF('woningen|utiliteit'!M46="",0,IF(AN25&lt;&gt;"",AN25,'woningen|utiliteit'!M49))</f>
        <v>0</v>
      </c>
      <c r="AO24" s="619">
        <f>IF('woningen|utiliteit'!N46="",0,IF(AO25&lt;&gt;"",AO25,'woningen|utiliteit'!N49))</f>
        <v>0</v>
      </c>
      <c r="AP24" s="619">
        <f>IF('woningen|utiliteit'!O46="",0,IF(AP25&lt;&gt;"",AP25,'woningen|utiliteit'!O49))</f>
        <v>0</v>
      </c>
      <c r="AQ24" s="619">
        <f>IF('woningen|utiliteit'!P46="",0,IF(AQ25&lt;&gt;"",AQ25,'woningen|utiliteit'!P49))</f>
        <v>0</v>
      </c>
      <c r="AR24" s="619">
        <f>IF('woningen|utiliteit'!Q46="",0,IF(AR25&lt;&gt;"",AR25,'woningen|utiliteit'!Q49))</f>
        <v>0</v>
      </c>
      <c r="AS24" s="619">
        <f>IF('woningen|utiliteit'!R46="",0,IF(AS25&lt;&gt;"",AS25,'woningen|utiliteit'!R49))</f>
        <v>0</v>
      </c>
      <c r="AT24" s="619">
        <f>IF('woningen|utiliteit'!S46="",0,IF(AT25&lt;&gt;"",AT25,'woningen|utiliteit'!S49))</f>
        <v>0</v>
      </c>
      <c r="AU24" s="618">
        <f>IF('woningen|utiliteit'!T46="",0,IF(AU25&lt;&gt;"",AU25,'woningen|utiliteit'!T49))</f>
        <v>0</v>
      </c>
      <c r="AV24" s="104"/>
      <c r="AW24" s="229">
        <f>SUM(AX24:BH24)</f>
        <v>0</v>
      </c>
      <c r="AX24" s="103"/>
      <c r="AY24" s="618">
        <f>IF('woningen|utiliteit'!L60="",0,IF(AY25&lt;&gt;"",AY25,'woningen|utiliteit'!L63))</f>
        <v>0</v>
      </c>
      <c r="AZ24" s="618">
        <f>IF('woningen|utiliteit'!M60="",0,IF(AZ25&lt;&gt;"",AZ25,'woningen|utiliteit'!M63))</f>
        <v>0</v>
      </c>
      <c r="BA24" s="619">
        <f>IF('woningen|utiliteit'!N60="",0,IF(BA25&lt;&gt;"",BA25,'woningen|utiliteit'!N63))</f>
        <v>0</v>
      </c>
      <c r="BB24" s="619">
        <f>IF('woningen|utiliteit'!O60="",0,IF(BB25&lt;&gt;"",BB25,'woningen|utiliteit'!O63))</f>
        <v>0</v>
      </c>
      <c r="BC24" s="619">
        <f>IF('woningen|utiliteit'!P60="",0,IF(BC25&lt;&gt;"",BC25,'woningen|utiliteit'!P63))</f>
        <v>0</v>
      </c>
      <c r="BD24" s="619">
        <f>IF('woningen|utiliteit'!Q60="",0,IF(BD25&lt;&gt;"",BD25,'woningen|utiliteit'!Q63))</f>
        <v>0</v>
      </c>
      <c r="BE24" s="619">
        <f>IF('woningen|utiliteit'!R60="",0,IF(BE25&lt;&gt;"",BE25,'woningen|utiliteit'!R63))</f>
        <v>0</v>
      </c>
      <c r="BF24" s="619">
        <f>IF('woningen|utiliteit'!S60="",0,IF(BF25&lt;&gt;"",BF25,'woningen|utiliteit'!S63))</f>
        <v>0</v>
      </c>
      <c r="BG24" s="618">
        <f>IF('woningen|utiliteit'!T60="",0,IF(BG25&lt;&gt;"",BG25,'woningen|utiliteit'!T63))</f>
        <v>0</v>
      </c>
      <c r="BH24" s="258"/>
    </row>
    <row r="25" spans="1:60" x14ac:dyDescent="0.2">
      <c r="A25" s="648"/>
      <c r="B25" s="739" t="s">
        <v>120</v>
      </c>
      <c r="C25" s="656" t="s">
        <v>127</v>
      </c>
      <c r="D25" s="747"/>
      <c r="E25" s="412" t="s">
        <v>82</v>
      </c>
      <c r="F25" s="317"/>
      <c r="G25" s="317"/>
      <c r="H25" s="360"/>
      <c r="I25" s="97"/>
      <c r="J25" s="362"/>
      <c r="K25" s="105"/>
      <c r="L25" s="105"/>
      <c r="M25" s="467"/>
      <c r="N25" s="106"/>
      <c r="O25" s="325"/>
      <c r="P25" s="325"/>
      <c r="Q25" s="325"/>
      <c r="R25" s="325"/>
      <c r="S25" s="325"/>
      <c r="T25" s="325"/>
      <c r="U25" s="325"/>
      <c r="V25" s="325"/>
      <c r="W25" s="325"/>
      <c r="X25" s="98"/>
      <c r="Y25" s="238"/>
      <c r="Z25" s="106"/>
      <c r="AA25" s="325"/>
      <c r="AB25" s="325"/>
      <c r="AC25" s="325"/>
      <c r="AD25" s="325"/>
      <c r="AE25" s="325"/>
      <c r="AF25" s="325"/>
      <c r="AG25" s="325"/>
      <c r="AH25" s="325"/>
      <c r="AI25" s="325"/>
      <c r="AJ25" s="98"/>
      <c r="AK25" s="238"/>
      <c r="AL25" s="106"/>
      <c r="AM25" s="325"/>
      <c r="AN25" s="325"/>
      <c r="AO25" s="325"/>
      <c r="AP25" s="325"/>
      <c r="AQ25" s="325"/>
      <c r="AR25" s="325"/>
      <c r="AS25" s="325"/>
      <c r="AT25" s="325"/>
      <c r="AU25" s="325"/>
      <c r="AV25" s="98"/>
      <c r="AW25" s="238"/>
      <c r="AX25" s="106"/>
      <c r="AY25" s="325"/>
      <c r="AZ25" s="325"/>
      <c r="BA25" s="325"/>
      <c r="BB25" s="325"/>
      <c r="BC25" s="325"/>
      <c r="BD25" s="325"/>
      <c r="BE25" s="325"/>
      <c r="BF25" s="325"/>
      <c r="BG25" s="325"/>
      <c r="BH25" s="214"/>
    </row>
    <row r="26" spans="1:60" x14ac:dyDescent="0.2">
      <c r="A26" s="648"/>
      <c r="B26" s="739" t="s">
        <v>120</v>
      </c>
      <c r="C26" s="656" t="s">
        <v>113</v>
      </c>
      <c r="D26" s="747"/>
      <c r="E26" s="316" t="s">
        <v>130</v>
      </c>
      <c r="F26" s="220"/>
      <c r="G26" s="220"/>
      <c r="H26" s="183" t="s">
        <v>77</v>
      </c>
      <c r="I26" s="107"/>
      <c r="J26" s="225">
        <f>M26+Y26+AK26+AW26</f>
        <v>0</v>
      </c>
      <c r="K26" s="102"/>
      <c r="L26" s="102"/>
      <c r="M26" s="249">
        <f>SUM(N26:X26)</f>
        <v>0</v>
      </c>
      <c r="N26" s="108"/>
      <c r="O26" s="620">
        <f t="shared" ref="O26:W26" si="16">IF(O$21=woning,O$24,0)</f>
        <v>0</v>
      </c>
      <c r="P26" s="620">
        <f t="shared" si="16"/>
        <v>0</v>
      </c>
      <c r="Q26" s="620">
        <f t="shared" si="16"/>
        <v>0</v>
      </c>
      <c r="R26" s="620">
        <f t="shared" si="16"/>
        <v>0</v>
      </c>
      <c r="S26" s="620">
        <f t="shared" si="16"/>
        <v>0</v>
      </c>
      <c r="T26" s="620">
        <f t="shared" si="16"/>
        <v>0</v>
      </c>
      <c r="U26" s="620">
        <f t="shared" si="16"/>
        <v>0</v>
      </c>
      <c r="V26" s="620">
        <f t="shared" si="16"/>
        <v>0</v>
      </c>
      <c r="W26" s="620">
        <f t="shared" si="16"/>
        <v>0</v>
      </c>
      <c r="X26" s="109"/>
      <c r="Y26" s="469">
        <f>SUM(Z26:AJ26)</f>
        <v>0</v>
      </c>
      <c r="Z26" s="108"/>
      <c r="AA26" s="620">
        <f t="shared" ref="AA26:AI26" si="17">IF(AA$21=woning,AA$24,0)</f>
        <v>0</v>
      </c>
      <c r="AB26" s="620">
        <f t="shared" si="17"/>
        <v>0</v>
      </c>
      <c r="AC26" s="620">
        <f t="shared" si="17"/>
        <v>0</v>
      </c>
      <c r="AD26" s="620">
        <f t="shared" si="17"/>
        <v>0</v>
      </c>
      <c r="AE26" s="620">
        <f t="shared" si="17"/>
        <v>0</v>
      </c>
      <c r="AF26" s="620">
        <f t="shared" si="17"/>
        <v>0</v>
      </c>
      <c r="AG26" s="620">
        <f t="shared" si="17"/>
        <v>0</v>
      </c>
      <c r="AH26" s="620">
        <f t="shared" si="17"/>
        <v>0</v>
      </c>
      <c r="AI26" s="620">
        <f t="shared" si="17"/>
        <v>0</v>
      </c>
      <c r="AJ26" s="109"/>
      <c r="AK26" s="229">
        <f>SUM(AL26:AV26)</f>
        <v>0</v>
      </c>
      <c r="AL26" s="108"/>
      <c r="AM26" s="620">
        <f>IF(AM$21=woning,AM$24,0)</f>
        <v>0</v>
      </c>
      <c r="AN26" s="620">
        <f t="shared" ref="AN26:AU26" si="18">IF(AN$21=woning,AN$24,0)</f>
        <v>0</v>
      </c>
      <c r="AO26" s="620">
        <f t="shared" si="18"/>
        <v>0</v>
      </c>
      <c r="AP26" s="620">
        <f t="shared" si="18"/>
        <v>0</v>
      </c>
      <c r="AQ26" s="620">
        <f t="shared" si="18"/>
        <v>0</v>
      </c>
      <c r="AR26" s="620">
        <f t="shared" si="18"/>
        <v>0</v>
      </c>
      <c r="AS26" s="620">
        <f t="shared" si="18"/>
        <v>0</v>
      </c>
      <c r="AT26" s="620">
        <f t="shared" si="18"/>
        <v>0</v>
      </c>
      <c r="AU26" s="620">
        <f t="shared" si="18"/>
        <v>0</v>
      </c>
      <c r="AV26" s="109"/>
      <c r="AW26" s="469">
        <f>SUM(AX26:BH26)</f>
        <v>0</v>
      </c>
      <c r="AX26" s="108"/>
      <c r="AY26" s="620">
        <f t="shared" ref="AY26:BG26" si="19">IF(AY$21=woning,AY$24,0)</f>
        <v>0</v>
      </c>
      <c r="AZ26" s="620">
        <f t="shared" si="19"/>
        <v>0</v>
      </c>
      <c r="BA26" s="620">
        <f t="shared" si="19"/>
        <v>0</v>
      </c>
      <c r="BB26" s="620">
        <f t="shared" si="19"/>
        <v>0</v>
      </c>
      <c r="BC26" s="620">
        <f t="shared" si="19"/>
        <v>0</v>
      </c>
      <c r="BD26" s="620">
        <f t="shared" si="19"/>
        <v>0</v>
      </c>
      <c r="BE26" s="620">
        <f t="shared" si="19"/>
        <v>0</v>
      </c>
      <c r="BF26" s="620">
        <f t="shared" si="19"/>
        <v>0</v>
      </c>
      <c r="BG26" s="620">
        <f t="shared" si="19"/>
        <v>0</v>
      </c>
      <c r="BH26" s="214"/>
    </row>
    <row r="27" spans="1:60" x14ac:dyDescent="0.2">
      <c r="A27" s="648"/>
      <c r="B27" s="739" t="s">
        <v>120</v>
      </c>
      <c r="C27" s="656" t="s">
        <v>113</v>
      </c>
      <c r="D27" s="747"/>
      <c r="E27" s="316" t="s">
        <v>131</v>
      </c>
      <c r="F27" s="220"/>
      <c r="G27" s="220"/>
      <c r="H27" s="183" t="s">
        <v>77</v>
      </c>
      <c r="I27" s="107"/>
      <c r="J27" s="225">
        <f>M27+Y27+AK27+AW27</f>
        <v>0</v>
      </c>
      <c r="K27" s="102"/>
      <c r="L27" s="102"/>
      <c r="M27" s="249">
        <f>SUM(N27:X27)</f>
        <v>0</v>
      </c>
      <c r="N27" s="108"/>
      <c r="O27" s="620">
        <f t="shared" ref="O27:W27" si="20">IF(O$21=woongebouw,O$24,0)</f>
        <v>0</v>
      </c>
      <c r="P27" s="620">
        <f t="shared" si="20"/>
        <v>0</v>
      </c>
      <c r="Q27" s="620">
        <f t="shared" si="20"/>
        <v>0</v>
      </c>
      <c r="R27" s="620">
        <f t="shared" si="20"/>
        <v>0</v>
      </c>
      <c r="S27" s="620">
        <f t="shared" si="20"/>
        <v>0</v>
      </c>
      <c r="T27" s="620">
        <f t="shared" si="20"/>
        <v>0</v>
      </c>
      <c r="U27" s="620">
        <f t="shared" si="20"/>
        <v>0</v>
      </c>
      <c r="V27" s="620">
        <f t="shared" si="20"/>
        <v>0</v>
      </c>
      <c r="W27" s="620">
        <f t="shared" si="20"/>
        <v>0</v>
      </c>
      <c r="X27" s="109"/>
      <c r="Y27" s="469">
        <f>SUM(Z27:AJ27)</f>
        <v>0</v>
      </c>
      <c r="Z27" s="108"/>
      <c r="AA27" s="620">
        <f t="shared" ref="AA27:AI27" si="21">IF(AA$21=woongebouw,AA$24,0)</f>
        <v>0</v>
      </c>
      <c r="AB27" s="620">
        <f t="shared" si="21"/>
        <v>0</v>
      </c>
      <c r="AC27" s="620">
        <f t="shared" si="21"/>
        <v>0</v>
      </c>
      <c r="AD27" s="620">
        <f t="shared" si="21"/>
        <v>0</v>
      </c>
      <c r="AE27" s="620">
        <f t="shared" si="21"/>
        <v>0</v>
      </c>
      <c r="AF27" s="620">
        <f t="shared" si="21"/>
        <v>0</v>
      </c>
      <c r="AG27" s="620">
        <f t="shared" si="21"/>
        <v>0</v>
      </c>
      <c r="AH27" s="620">
        <f t="shared" si="21"/>
        <v>0</v>
      </c>
      <c r="AI27" s="620">
        <f t="shared" si="21"/>
        <v>0</v>
      </c>
      <c r="AJ27" s="109"/>
      <c r="AK27" s="229">
        <f>SUM(AL27:AV27)</f>
        <v>0</v>
      </c>
      <c r="AL27" s="108"/>
      <c r="AM27" s="620">
        <f>IF(AM$21=woongebouw,AM$24,0)</f>
        <v>0</v>
      </c>
      <c r="AN27" s="620">
        <f t="shared" ref="AN27:AU27" si="22">IF(AN$21=woongebouw,AN$24,0)</f>
        <v>0</v>
      </c>
      <c r="AO27" s="620">
        <f t="shared" si="22"/>
        <v>0</v>
      </c>
      <c r="AP27" s="620">
        <f t="shared" si="22"/>
        <v>0</v>
      </c>
      <c r="AQ27" s="620">
        <f t="shared" si="22"/>
        <v>0</v>
      </c>
      <c r="AR27" s="620">
        <f t="shared" si="22"/>
        <v>0</v>
      </c>
      <c r="AS27" s="620">
        <f t="shared" si="22"/>
        <v>0</v>
      </c>
      <c r="AT27" s="620">
        <f t="shared" si="22"/>
        <v>0</v>
      </c>
      <c r="AU27" s="620">
        <f t="shared" si="22"/>
        <v>0</v>
      </c>
      <c r="AV27" s="109"/>
      <c r="AW27" s="469">
        <f>SUM(AX27:BH27)</f>
        <v>0</v>
      </c>
      <c r="AX27" s="108"/>
      <c r="AY27" s="620">
        <f t="shared" ref="AY27:BG27" si="23">IF(AY$21=woongebouw,AY$24,0)</f>
        <v>0</v>
      </c>
      <c r="AZ27" s="620">
        <f t="shared" si="23"/>
        <v>0</v>
      </c>
      <c r="BA27" s="620">
        <f t="shared" si="23"/>
        <v>0</v>
      </c>
      <c r="BB27" s="620">
        <f t="shared" si="23"/>
        <v>0</v>
      </c>
      <c r="BC27" s="620">
        <f t="shared" si="23"/>
        <v>0</v>
      </c>
      <c r="BD27" s="620">
        <f t="shared" si="23"/>
        <v>0</v>
      </c>
      <c r="BE27" s="620">
        <f t="shared" si="23"/>
        <v>0</v>
      </c>
      <c r="BF27" s="620">
        <f t="shared" si="23"/>
        <v>0</v>
      </c>
      <c r="BG27" s="620">
        <f t="shared" si="23"/>
        <v>0</v>
      </c>
      <c r="BH27" s="214"/>
    </row>
    <row r="28" spans="1:60" x14ac:dyDescent="0.2">
      <c r="A28" s="648"/>
      <c r="B28" s="739" t="s">
        <v>120</v>
      </c>
      <c r="C28" s="656" t="s">
        <v>113</v>
      </c>
      <c r="D28" s="747"/>
      <c r="E28" s="316" t="s">
        <v>78</v>
      </c>
      <c r="F28" s="220"/>
      <c r="G28" s="220"/>
      <c r="H28" s="183" t="s">
        <v>79</v>
      </c>
      <c r="I28" s="107"/>
      <c r="J28" s="225">
        <f>M28+Y28+AK28+AW28</f>
        <v>0</v>
      </c>
      <c r="K28" s="102"/>
      <c r="L28" s="102"/>
      <c r="M28" s="468">
        <f>SUM(N28:X28)</f>
        <v>0</v>
      </c>
      <c r="N28" s="108"/>
      <c r="O28" s="620">
        <f>O24-O27-O26</f>
        <v>0</v>
      </c>
      <c r="P28" s="620">
        <f t="shared" ref="P28:W28" si="24">P24-P27-P26</f>
        <v>0</v>
      </c>
      <c r="Q28" s="620">
        <f t="shared" si="24"/>
        <v>0</v>
      </c>
      <c r="R28" s="620">
        <f t="shared" si="24"/>
        <v>0</v>
      </c>
      <c r="S28" s="620">
        <f t="shared" si="24"/>
        <v>0</v>
      </c>
      <c r="T28" s="620">
        <f t="shared" si="24"/>
        <v>0</v>
      </c>
      <c r="U28" s="620">
        <f t="shared" si="24"/>
        <v>0</v>
      </c>
      <c r="V28" s="620">
        <f t="shared" si="24"/>
        <v>0</v>
      </c>
      <c r="W28" s="620">
        <f t="shared" si="24"/>
        <v>0</v>
      </c>
      <c r="X28" s="109"/>
      <c r="Y28" s="249">
        <f>SUM(Z28:AJ28)</f>
        <v>0</v>
      </c>
      <c r="Z28" s="108"/>
      <c r="AA28" s="620">
        <f t="shared" ref="AA28:AI28" si="25">AA24-AA27-AA26</f>
        <v>0</v>
      </c>
      <c r="AB28" s="620">
        <f t="shared" si="25"/>
        <v>0</v>
      </c>
      <c r="AC28" s="620">
        <f t="shared" si="25"/>
        <v>0</v>
      </c>
      <c r="AD28" s="620">
        <f t="shared" si="25"/>
        <v>0</v>
      </c>
      <c r="AE28" s="620">
        <f t="shared" si="25"/>
        <v>0</v>
      </c>
      <c r="AF28" s="620">
        <f t="shared" si="25"/>
        <v>0</v>
      </c>
      <c r="AG28" s="620">
        <f t="shared" si="25"/>
        <v>0</v>
      </c>
      <c r="AH28" s="620">
        <f t="shared" si="25"/>
        <v>0</v>
      </c>
      <c r="AI28" s="620">
        <f t="shared" si="25"/>
        <v>0</v>
      </c>
      <c r="AJ28" s="109"/>
      <c r="AK28" s="469">
        <f>SUM(AL28:AV28)</f>
        <v>0</v>
      </c>
      <c r="AL28" s="108"/>
      <c r="AM28" s="620">
        <f t="shared" ref="AM28:AU28" si="26">AM24-AM27-AM26</f>
        <v>0</v>
      </c>
      <c r="AN28" s="620">
        <f t="shared" si="26"/>
        <v>0</v>
      </c>
      <c r="AO28" s="620">
        <f t="shared" si="26"/>
        <v>0</v>
      </c>
      <c r="AP28" s="620">
        <f t="shared" si="26"/>
        <v>0</v>
      </c>
      <c r="AQ28" s="620">
        <f t="shared" si="26"/>
        <v>0</v>
      </c>
      <c r="AR28" s="620">
        <f t="shared" si="26"/>
        <v>0</v>
      </c>
      <c r="AS28" s="620">
        <f t="shared" si="26"/>
        <v>0</v>
      </c>
      <c r="AT28" s="620">
        <f t="shared" si="26"/>
        <v>0</v>
      </c>
      <c r="AU28" s="620">
        <f t="shared" si="26"/>
        <v>0</v>
      </c>
      <c r="AV28" s="109"/>
      <c r="AW28" s="249">
        <f>SUM(AX28:BH28)</f>
        <v>0</v>
      </c>
      <c r="AX28" s="108"/>
      <c r="AY28" s="620">
        <f t="shared" ref="AY28:BG28" si="27">AY24-AY27-AY26</f>
        <v>0</v>
      </c>
      <c r="AZ28" s="620">
        <f t="shared" si="27"/>
        <v>0</v>
      </c>
      <c r="BA28" s="620">
        <f t="shared" si="27"/>
        <v>0</v>
      </c>
      <c r="BB28" s="620">
        <f t="shared" si="27"/>
        <v>0</v>
      </c>
      <c r="BC28" s="620">
        <f t="shared" si="27"/>
        <v>0</v>
      </c>
      <c r="BD28" s="620">
        <f t="shared" si="27"/>
        <v>0</v>
      </c>
      <c r="BE28" s="620">
        <f t="shared" si="27"/>
        <v>0</v>
      </c>
      <c r="BF28" s="620">
        <f t="shared" si="27"/>
        <v>0</v>
      </c>
      <c r="BG28" s="620">
        <f t="shared" si="27"/>
        <v>0</v>
      </c>
      <c r="BH28" s="214"/>
    </row>
    <row r="29" spans="1:60" x14ac:dyDescent="0.2">
      <c r="A29" s="648"/>
      <c r="B29" s="739" t="s">
        <v>120</v>
      </c>
      <c r="C29" s="656" t="s">
        <v>113</v>
      </c>
      <c r="D29" s="747"/>
      <c r="E29" s="220" t="s">
        <v>132</v>
      </c>
      <c r="F29" s="220"/>
      <c r="G29" s="220"/>
      <c r="H29" s="183" t="s">
        <v>64</v>
      </c>
      <c r="I29" s="107"/>
      <c r="J29" s="639"/>
      <c r="K29" s="816"/>
      <c r="L29" s="816"/>
      <c r="M29" s="639">
        <f>SUM(M26:M28)</f>
        <v>0</v>
      </c>
      <c r="N29" s="108"/>
      <c r="O29" s="620">
        <f>$M24</f>
        <v>0</v>
      </c>
      <c r="P29" s="620">
        <f t="shared" ref="P29:W29" si="28">$M24</f>
        <v>0</v>
      </c>
      <c r="Q29" s="620">
        <f t="shared" si="28"/>
        <v>0</v>
      </c>
      <c r="R29" s="620">
        <f t="shared" si="28"/>
        <v>0</v>
      </c>
      <c r="S29" s="620">
        <f t="shared" si="28"/>
        <v>0</v>
      </c>
      <c r="T29" s="620">
        <f t="shared" si="28"/>
        <v>0</v>
      </c>
      <c r="U29" s="620">
        <f t="shared" si="28"/>
        <v>0</v>
      </c>
      <c r="V29" s="620">
        <f t="shared" si="28"/>
        <v>0</v>
      </c>
      <c r="W29" s="620">
        <f t="shared" si="28"/>
        <v>0</v>
      </c>
      <c r="X29" s="109"/>
      <c r="Y29" s="639">
        <f>SUM(Y26:Y28)</f>
        <v>0</v>
      </c>
      <c r="Z29" s="108"/>
      <c r="AA29" s="620">
        <f>$Y24</f>
        <v>0</v>
      </c>
      <c r="AB29" s="620">
        <f t="shared" ref="AB29:AI29" si="29">$Y24</f>
        <v>0</v>
      </c>
      <c r="AC29" s="620">
        <f t="shared" si="29"/>
        <v>0</v>
      </c>
      <c r="AD29" s="620">
        <f t="shared" si="29"/>
        <v>0</v>
      </c>
      <c r="AE29" s="620">
        <f t="shared" si="29"/>
        <v>0</v>
      </c>
      <c r="AF29" s="620">
        <f t="shared" si="29"/>
        <v>0</v>
      </c>
      <c r="AG29" s="620">
        <f t="shared" si="29"/>
        <v>0</v>
      </c>
      <c r="AH29" s="620">
        <f t="shared" si="29"/>
        <v>0</v>
      </c>
      <c r="AI29" s="620">
        <f t="shared" si="29"/>
        <v>0</v>
      </c>
      <c r="AJ29" s="109"/>
      <c r="AK29" s="639">
        <f>SUM(AK26:AK28)</f>
        <v>0</v>
      </c>
      <c r="AL29" s="108"/>
      <c r="AM29" s="620">
        <f t="shared" ref="AM29:AU29" si="30">$AK24</f>
        <v>0</v>
      </c>
      <c r="AN29" s="620">
        <f t="shared" si="30"/>
        <v>0</v>
      </c>
      <c r="AO29" s="620">
        <f t="shared" si="30"/>
        <v>0</v>
      </c>
      <c r="AP29" s="620">
        <f t="shared" si="30"/>
        <v>0</v>
      </c>
      <c r="AQ29" s="620">
        <f t="shared" si="30"/>
        <v>0</v>
      </c>
      <c r="AR29" s="620">
        <f t="shared" si="30"/>
        <v>0</v>
      </c>
      <c r="AS29" s="620">
        <f t="shared" si="30"/>
        <v>0</v>
      </c>
      <c r="AT29" s="620">
        <f t="shared" si="30"/>
        <v>0</v>
      </c>
      <c r="AU29" s="620">
        <f t="shared" si="30"/>
        <v>0</v>
      </c>
      <c r="AV29" s="109"/>
      <c r="AW29" s="639"/>
      <c r="AX29" s="639">
        <f>SUM(AX26:AX28)</f>
        <v>0</v>
      </c>
      <c r="AY29" s="620">
        <f>$AW24</f>
        <v>0</v>
      </c>
      <c r="AZ29" s="620">
        <f t="shared" ref="AZ29:BG29" si="31">$AW24</f>
        <v>0</v>
      </c>
      <c r="BA29" s="620">
        <f t="shared" si="31"/>
        <v>0</v>
      </c>
      <c r="BB29" s="620">
        <f t="shared" si="31"/>
        <v>0</v>
      </c>
      <c r="BC29" s="620">
        <f t="shared" si="31"/>
        <v>0</v>
      </c>
      <c r="BD29" s="620">
        <f t="shared" si="31"/>
        <v>0</v>
      </c>
      <c r="BE29" s="620">
        <f t="shared" si="31"/>
        <v>0</v>
      </c>
      <c r="BF29" s="620">
        <f t="shared" si="31"/>
        <v>0</v>
      </c>
      <c r="BG29" s="620">
        <f t="shared" si="31"/>
        <v>0</v>
      </c>
      <c r="BH29" s="214"/>
    </row>
    <row r="30" spans="1:60" ht="18.75" x14ac:dyDescent="0.2">
      <c r="A30" s="648"/>
      <c r="B30" s="739" t="s">
        <v>120</v>
      </c>
      <c r="C30" s="739" t="s">
        <v>104</v>
      </c>
      <c r="D30" s="747"/>
      <c r="E30" s="236" t="s">
        <v>133</v>
      </c>
      <c r="F30" s="236"/>
      <c r="G30" s="236"/>
      <c r="H30" s="89"/>
      <c r="I30" s="236"/>
      <c r="J30" s="236"/>
      <c r="K30" s="236"/>
      <c r="L30" s="236"/>
      <c r="M30" s="236"/>
      <c r="N30" s="236"/>
      <c r="O30" s="236"/>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38"/>
    </row>
    <row r="31" spans="1:60" x14ac:dyDescent="0.2">
      <c r="A31" s="648"/>
      <c r="B31" s="739" t="s">
        <v>120</v>
      </c>
      <c r="C31" s="656" t="s">
        <v>113</v>
      </c>
      <c r="D31" s="747"/>
      <c r="E31" s="316" t="s">
        <v>80</v>
      </c>
      <c r="F31" s="220" t="s">
        <v>134</v>
      </c>
      <c r="G31" s="220"/>
      <c r="H31" s="221" t="s">
        <v>81</v>
      </c>
      <c r="I31" s="90"/>
      <c r="J31" s="227">
        <f>M31+Y31+AK31+AW31</f>
        <v>0</v>
      </c>
      <c r="K31" s="294"/>
      <c r="L31" s="294"/>
      <c r="M31" s="227">
        <f>SUMPRODUCT(N$24:X$24,N31:X31)</f>
        <v>0</v>
      </c>
      <c r="N31" s="100"/>
      <c r="O31" s="184">
        <f>IF(O$19="",0,'woningen|utiliteit'!L24)</f>
        <v>0</v>
      </c>
      <c r="P31" s="184">
        <f>IF(P$19="",0,'woningen|utiliteit'!M24)</f>
        <v>0</v>
      </c>
      <c r="Q31" s="184">
        <f>IF(Q$19="",0,'woningen|utiliteit'!N24)</f>
        <v>0</v>
      </c>
      <c r="R31" s="184">
        <f>IF(R$19="",0,'woningen|utiliteit'!O24)</f>
        <v>0</v>
      </c>
      <c r="S31" s="184">
        <f>IF(S$19="",0,'woningen|utiliteit'!P24)</f>
        <v>0</v>
      </c>
      <c r="T31" s="184">
        <f>IF(T$19="",0,'woningen|utiliteit'!Q24)</f>
        <v>0</v>
      </c>
      <c r="U31" s="184">
        <f>IF(U$19="",0,'woningen|utiliteit'!R24)</f>
        <v>0</v>
      </c>
      <c r="V31" s="184">
        <f>IF(V$19="",0,'woningen|utiliteit'!S24)</f>
        <v>0</v>
      </c>
      <c r="W31" s="184">
        <f>IF(W$19="",0,'woningen|utiliteit'!T24)</f>
        <v>0</v>
      </c>
      <c r="X31" s="110"/>
      <c r="Y31" s="227">
        <f>SUMPRODUCT(Z$24:AJ$24,Z31:AJ31)</f>
        <v>0</v>
      </c>
      <c r="Z31" s="100"/>
      <c r="AA31" s="184">
        <f>IF(AA$19="",0,'woningen|utiliteit'!L38)</f>
        <v>0</v>
      </c>
      <c r="AB31" s="184">
        <f>IF(AB$19="",0,'woningen|utiliteit'!M38)</f>
        <v>0</v>
      </c>
      <c r="AC31" s="184">
        <f>IF(AC$19="",0,'woningen|utiliteit'!N38)</f>
        <v>0</v>
      </c>
      <c r="AD31" s="184">
        <f>IF(AD$19="",0,'woningen|utiliteit'!O38)</f>
        <v>0</v>
      </c>
      <c r="AE31" s="184">
        <f>IF(AE$19="",0,'woningen|utiliteit'!P38)</f>
        <v>0</v>
      </c>
      <c r="AF31" s="184">
        <f>IF(AF$19="",0,'woningen|utiliteit'!Q38)</f>
        <v>0</v>
      </c>
      <c r="AG31" s="184">
        <f>IF(AG$19="",0,'woningen|utiliteit'!R38)</f>
        <v>0</v>
      </c>
      <c r="AH31" s="184">
        <f>IF(AH$19="",0,'woningen|utiliteit'!S38)</f>
        <v>0</v>
      </c>
      <c r="AI31" s="184">
        <f>IF(AI$19="",0,'woningen|utiliteit'!T38)</f>
        <v>0</v>
      </c>
      <c r="AJ31" s="110"/>
      <c r="AK31" s="227">
        <f>SUMPRODUCT(AL$24:AV$24,AL31:AV31)</f>
        <v>0</v>
      </c>
      <c r="AL31" s="100"/>
      <c r="AM31" s="184">
        <f>IF(AM$19="",0,'woningen|utiliteit'!L52)</f>
        <v>0</v>
      </c>
      <c r="AN31" s="184">
        <f>IF(AN$19="",0,'woningen|utiliteit'!M52)</f>
        <v>0</v>
      </c>
      <c r="AO31" s="184">
        <f>IF(AO$19="",0,'woningen|utiliteit'!N52)</f>
        <v>0</v>
      </c>
      <c r="AP31" s="184">
        <f>IF(AP$19="",0,'woningen|utiliteit'!O52)</f>
        <v>0</v>
      </c>
      <c r="AQ31" s="184">
        <f>IF(AQ$19="",0,'woningen|utiliteit'!P52)</f>
        <v>0</v>
      </c>
      <c r="AR31" s="184">
        <f>IF(AR$19="",0,'woningen|utiliteit'!Q52)</f>
        <v>0</v>
      </c>
      <c r="AS31" s="184">
        <f>IF(AS$19="",0,'woningen|utiliteit'!R52)</f>
        <v>0</v>
      </c>
      <c r="AT31" s="184">
        <f>IF(AT$19="",0,'woningen|utiliteit'!S52)</f>
        <v>0</v>
      </c>
      <c r="AU31" s="184">
        <f>IF(AU$19="",0,'woningen|utiliteit'!T52)</f>
        <v>0</v>
      </c>
      <c r="AV31" s="110"/>
      <c r="AW31" s="227">
        <f>SUMPRODUCT(AX$24:BH$24,AX31:BH31)</f>
        <v>0</v>
      </c>
      <c r="AX31" s="100"/>
      <c r="AY31" s="184">
        <f>IF(AY$19="",0,'woningen|utiliteit'!L66)</f>
        <v>0</v>
      </c>
      <c r="AZ31" s="184">
        <f>IF(AZ$19="",0,'woningen|utiliteit'!M66)</f>
        <v>0</v>
      </c>
      <c r="BA31" s="184">
        <f>IF(BA$19="",0,'woningen|utiliteit'!N66)</f>
        <v>0</v>
      </c>
      <c r="BB31" s="184">
        <f>IF(BB$19="",0,'woningen|utiliteit'!O66)</f>
        <v>0</v>
      </c>
      <c r="BC31" s="184">
        <f>IF(BC$19="",0,'woningen|utiliteit'!P66)</f>
        <v>0</v>
      </c>
      <c r="BD31" s="184">
        <f>IF(BD$19="",0,'woningen|utiliteit'!Q66)</f>
        <v>0</v>
      </c>
      <c r="BE31" s="184">
        <f>IF(BE$19="",0,'woningen|utiliteit'!R66)</f>
        <v>0</v>
      </c>
      <c r="BF31" s="184">
        <f>IF(BF$19="",0,'woningen|utiliteit'!S66)</f>
        <v>0</v>
      </c>
      <c r="BG31" s="184">
        <f>IF(BG$19="",0,'woningen|utiliteit'!T66)</f>
        <v>0</v>
      </c>
      <c r="BH31" s="214"/>
    </row>
    <row r="32" spans="1:60" x14ac:dyDescent="0.2">
      <c r="A32" s="653"/>
      <c r="B32" s="739" t="s">
        <v>120</v>
      </c>
      <c r="C32" s="656" t="s">
        <v>113</v>
      </c>
      <c r="D32" s="747"/>
      <c r="E32" s="687"/>
      <c r="F32" s="220" t="s">
        <v>135</v>
      </c>
      <c r="G32" s="220"/>
      <c r="H32" s="221" t="s">
        <v>136</v>
      </c>
      <c r="I32" s="111"/>
      <c r="J32" s="227"/>
      <c r="K32" s="817"/>
      <c r="L32" s="817"/>
      <c r="M32" s="717"/>
      <c r="N32" s="718"/>
      <c r="O32" s="637">
        <f>O24*O31</f>
        <v>0</v>
      </c>
      <c r="P32" s="637">
        <f t="shared" ref="P32:W32" si="32">P24*P31</f>
        <v>0</v>
      </c>
      <c r="Q32" s="637">
        <f t="shared" si="32"/>
        <v>0</v>
      </c>
      <c r="R32" s="637">
        <f t="shared" si="32"/>
        <v>0</v>
      </c>
      <c r="S32" s="637">
        <f t="shared" si="32"/>
        <v>0</v>
      </c>
      <c r="T32" s="637">
        <f>T24*T31</f>
        <v>0</v>
      </c>
      <c r="U32" s="637">
        <f t="shared" si="32"/>
        <v>0</v>
      </c>
      <c r="V32" s="637">
        <f t="shared" si="32"/>
        <v>0</v>
      </c>
      <c r="W32" s="637">
        <f t="shared" si="32"/>
        <v>0</v>
      </c>
      <c r="X32" s="113"/>
      <c r="Y32" s="717"/>
      <c r="Z32" s="718"/>
      <c r="AA32" s="637">
        <f t="shared" ref="AA32:AI32" si="33">AA24*AA31</f>
        <v>0</v>
      </c>
      <c r="AB32" s="637">
        <f t="shared" si="33"/>
        <v>0</v>
      </c>
      <c r="AC32" s="637">
        <f t="shared" si="33"/>
        <v>0</v>
      </c>
      <c r="AD32" s="637">
        <f t="shared" si="33"/>
        <v>0</v>
      </c>
      <c r="AE32" s="637">
        <f t="shared" si="33"/>
        <v>0</v>
      </c>
      <c r="AF32" s="637">
        <f t="shared" si="33"/>
        <v>0</v>
      </c>
      <c r="AG32" s="637">
        <f t="shared" si="33"/>
        <v>0</v>
      </c>
      <c r="AH32" s="637">
        <f t="shared" si="33"/>
        <v>0</v>
      </c>
      <c r="AI32" s="637">
        <f t="shared" si="33"/>
        <v>0</v>
      </c>
      <c r="AJ32" s="113"/>
      <c r="AK32" s="717"/>
      <c r="AL32" s="718"/>
      <c r="AM32" s="637">
        <f t="shared" ref="AM32:AU32" si="34">AM24*AM31</f>
        <v>0</v>
      </c>
      <c r="AN32" s="637">
        <f t="shared" si="34"/>
        <v>0</v>
      </c>
      <c r="AO32" s="637">
        <f t="shared" si="34"/>
        <v>0</v>
      </c>
      <c r="AP32" s="637">
        <f t="shared" si="34"/>
        <v>0</v>
      </c>
      <c r="AQ32" s="637">
        <f t="shared" si="34"/>
        <v>0</v>
      </c>
      <c r="AR32" s="637">
        <f t="shared" si="34"/>
        <v>0</v>
      </c>
      <c r="AS32" s="637">
        <f t="shared" si="34"/>
        <v>0</v>
      </c>
      <c r="AT32" s="637">
        <f t="shared" si="34"/>
        <v>0</v>
      </c>
      <c r="AU32" s="637">
        <f t="shared" si="34"/>
        <v>0</v>
      </c>
      <c r="AV32" s="113"/>
      <c r="AW32" s="717"/>
      <c r="AX32" s="718"/>
      <c r="AY32" s="637">
        <f t="shared" ref="AY32:BG32" si="35">AY24*AY31</f>
        <v>0</v>
      </c>
      <c r="AZ32" s="637">
        <f t="shared" si="35"/>
        <v>0</v>
      </c>
      <c r="BA32" s="637">
        <f t="shared" si="35"/>
        <v>0</v>
      </c>
      <c r="BB32" s="637">
        <f t="shared" si="35"/>
        <v>0</v>
      </c>
      <c r="BC32" s="637">
        <f t="shared" si="35"/>
        <v>0</v>
      </c>
      <c r="BD32" s="637">
        <f t="shared" si="35"/>
        <v>0</v>
      </c>
      <c r="BE32" s="637">
        <f t="shared" si="35"/>
        <v>0</v>
      </c>
      <c r="BF32" s="637">
        <f t="shared" si="35"/>
        <v>0</v>
      </c>
      <c r="BG32" s="637">
        <f t="shared" si="35"/>
        <v>0</v>
      </c>
      <c r="BH32" s="214"/>
    </row>
    <row r="33" spans="1:60" x14ac:dyDescent="0.2">
      <c r="A33" s="653"/>
      <c r="B33" s="739" t="s">
        <v>120</v>
      </c>
      <c r="C33" s="656" t="s">
        <v>113</v>
      </c>
      <c r="D33" s="747"/>
      <c r="E33" s="317"/>
      <c r="F33" s="220" t="s">
        <v>137</v>
      </c>
      <c r="G33" s="220"/>
      <c r="H33" s="221" t="s">
        <v>136</v>
      </c>
      <c r="I33" s="111"/>
      <c r="J33" s="227"/>
      <c r="K33" s="817"/>
      <c r="L33" s="817"/>
      <c r="M33" s="227"/>
      <c r="N33" s="112"/>
      <c r="O33" s="453">
        <f>SUMPRODUCT($N24:$X24,$N31:$X31)</f>
        <v>0</v>
      </c>
      <c r="P33" s="453">
        <f t="shared" ref="P33:W33" si="36">SUMPRODUCT($N24:$X24,$N31:$X31)</f>
        <v>0</v>
      </c>
      <c r="Q33" s="453">
        <f t="shared" si="36"/>
        <v>0</v>
      </c>
      <c r="R33" s="453">
        <f t="shared" si="36"/>
        <v>0</v>
      </c>
      <c r="S33" s="453">
        <f t="shared" si="36"/>
        <v>0</v>
      </c>
      <c r="T33" s="453">
        <f t="shared" si="36"/>
        <v>0</v>
      </c>
      <c r="U33" s="453">
        <f t="shared" si="36"/>
        <v>0</v>
      </c>
      <c r="V33" s="453">
        <f t="shared" si="36"/>
        <v>0</v>
      </c>
      <c r="W33" s="453">
        <f t="shared" si="36"/>
        <v>0</v>
      </c>
      <c r="X33" s="113"/>
      <c r="Y33" s="227"/>
      <c r="Z33" s="112"/>
      <c r="AA33" s="453">
        <f t="shared" ref="AA33:AI33" si="37">SUMPRODUCT($Z$24:$AJ$24,$Z$31:$AJ$31)</f>
        <v>0</v>
      </c>
      <c r="AB33" s="453">
        <f t="shared" si="37"/>
        <v>0</v>
      </c>
      <c r="AC33" s="453">
        <f t="shared" si="37"/>
        <v>0</v>
      </c>
      <c r="AD33" s="453">
        <f t="shared" si="37"/>
        <v>0</v>
      </c>
      <c r="AE33" s="453">
        <f t="shared" si="37"/>
        <v>0</v>
      </c>
      <c r="AF33" s="453">
        <f t="shared" si="37"/>
        <v>0</v>
      </c>
      <c r="AG33" s="453">
        <f t="shared" si="37"/>
        <v>0</v>
      </c>
      <c r="AH33" s="453">
        <f t="shared" si="37"/>
        <v>0</v>
      </c>
      <c r="AI33" s="453">
        <f t="shared" si="37"/>
        <v>0</v>
      </c>
      <c r="AJ33" s="113"/>
      <c r="AK33" s="227"/>
      <c r="AL33" s="112"/>
      <c r="AM33" s="453">
        <f>SUMPRODUCT($AL$24:$AV$24,$AL$31:$AV$31)</f>
        <v>0</v>
      </c>
      <c r="AN33" s="453">
        <f t="shared" ref="AN33:AU33" si="38">SUMPRODUCT($AL$24:$AV$24,$AL$31:$AV$31)</f>
        <v>0</v>
      </c>
      <c r="AO33" s="453">
        <f t="shared" si="38"/>
        <v>0</v>
      </c>
      <c r="AP33" s="453">
        <f t="shared" si="38"/>
        <v>0</v>
      </c>
      <c r="AQ33" s="453">
        <f t="shared" si="38"/>
        <v>0</v>
      </c>
      <c r="AR33" s="453">
        <f t="shared" si="38"/>
        <v>0</v>
      </c>
      <c r="AS33" s="453">
        <f t="shared" si="38"/>
        <v>0</v>
      </c>
      <c r="AT33" s="453">
        <f t="shared" si="38"/>
        <v>0</v>
      </c>
      <c r="AU33" s="453">
        <f t="shared" si="38"/>
        <v>0</v>
      </c>
      <c r="AV33" s="113"/>
      <c r="AW33" s="227"/>
      <c r="AX33" s="112"/>
      <c r="AY33" s="453">
        <f>SUMPRODUCT($AX$24:$BH$24,$AX$31:$BH$31)</f>
        <v>0</v>
      </c>
      <c r="AZ33" s="453">
        <f t="shared" ref="AZ33:BG33" si="39">SUMPRODUCT($AX$24:$BH$24,$AX$31:$BH$31)</f>
        <v>0</v>
      </c>
      <c r="BA33" s="453">
        <f t="shared" si="39"/>
        <v>0</v>
      </c>
      <c r="BB33" s="453">
        <f t="shared" si="39"/>
        <v>0</v>
      </c>
      <c r="BC33" s="453">
        <f t="shared" si="39"/>
        <v>0</v>
      </c>
      <c r="BD33" s="453">
        <f t="shared" si="39"/>
        <v>0</v>
      </c>
      <c r="BE33" s="453">
        <f t="shared" si="39"/>
        <v>0</v>
      </c>
      <c r="BF33" s="453">
        <f t="shared" si="39"/>
        <v>0</v>
      </c>
      <c r="BG33" s="453">
        <f t="shared" si="39"/>
        <v>0</v>
      </c>
      <c r="BH33" s="214"/>
    </row>
    <row r="34" spans="1:60" x14ac:dyDescent="0.2">
      <c r="A34" s="653"/>
      <c r="B34" s="739" t="s">
        <v>120</v>
      </c>
      <c r="C34" s="656" t="s">
        <v>113</v>
      </c>
      <c r="D34" s="747"/>
      <c r="E34" s="220" t="s">
        <v>138</v>
      </c>
      <c r="F34" s="220"/>
      <c r="G34" s="220"/>
      <c r="H34" s="221" t="s">
        <v>139</v>
      </c>
      <c r="I34" s="90"/>
      <c r="J34" s="227"/>
      <c r="K34" s="294"/>
      <c r="L34" s="294"/>
      <c r="M34" s="227"/>
      <c r="N34" s="100"/>
      <c r="O34" s="184" t="str">
        <f>IF(O$19="","",HLOOKUP(O$19,woningen_gebouwen_gegevens,ROWS(bibliotheek!$E$13:$E$26),FALSE))</f>
        <v/>
      </c>
      <c r="P34" s="184" t="str">
        <f>IF(P$19="","",HLOOKUP(P$19,woningen_gebouwen_gegevens,ROWS(bibliotheek!$E$13:$E$26),FALSE))</f>
        <v/>
      </c>
      <c r="Q34" s="184" t="str">
        <f>IF(Q$19="","",HLOOKUP(Q$19,woningen_gebouwen_gegevens,ROWS(bibliotheek!$E$13:$E$26),FALSE))</f>
        <v/>
      </c>
      <c r="R34" s="184" t="str">
        <f>IF(R$19="","",HLOOKUP(R$19,woningen_gebouwen_gegevens,ROWS(bibliotheek!$E$13:$E$26),FALSE))</f>
        <v/>
      </c>
      <c r="S34" s="184" t="str">
        <f>IF(S$19="","",HLOOKUP(S$19,woningen_gebouwen_gegevens,ROWS(bibliotheek!$E$13:$E$26),FALSE))</f>
        <v/>
      </c>
      <c r="T34" s="184" t="str">
        <f>IF(T$19="","",HLOOKUP(T$19,woningen_gebouwen_gegevens,ROWS(bibliotheek!$E$13:$E$26),FALSE))</f>
        <v/>
      </c>
      <c r="U34" s="184" t="str">
        <f>IF(U$19="","",HLOOKUP(U$19,woningen_gebouwen_gegevens,ROWS(bibliotheek!$E$13:$E$26),FALSE))</f>
        <v/>
      </c>
      <c r="V34" s="184" t="str">
        <f>IF(V$19="","",HLOOKUP(V$19,woningen_gebouwen_gegevens,ROWS(bibliotheek!$E$13:$E$26),FALSE))</f>
        <v/>
      </c>
      <c r="W34" s="184" t="str">
        <f>IF(W$19="","",HLOOKUP(W$19,woningen_gebouwen_gegevens,ROWS(bibliotheek!$E$13:$E$26),FALSE))</f>
        <v/>
      </c>
      <c r="X34" s="110"/>
      <c r="Y34" s="227"/>
      <c r="Z34" s="100"/>
      <c r="AA34" s="184" t="str">
        <f>IF(AA$19="","",HLOOKUP(AA$19,woningen_gebouwen_gegevens,ROWS(bibliotheek!$E$13:$E$26),FALSE))</f>
        <v/>
      </c>
      <c r="AB34" s="184" t="str">
        <f>IF(AB$19="","",HLOOKUP(AB$19,woningen_gebouwen_gegevens,ROWS(bibliotheek!$E$13:$E$26),FALSE))</f>
        <v/>
      </c>
      <c r="AC34" s="184" t="str">
        <f>IF(AC$19="","",HLOOKUP(AC$19,woningen_gebouwen_gegevens,ROWS(bibliotheek!$E$13:$E$26),FALSE))</f>
        <v/>
      </c>
      <c r="AD34" s="184" t="str">
        <f>IF(AD$19="","",HLOOKUP(AD$19,woningen_gebouwen_gegevens,ROWS(bibliotheek!$E$13:$E$26),FALSE))</f>
        <v/>
      </c>
      <c r="AE34" s="184" t="str">
        <f>IF(AE$19="","",HLOOKUP(AE$19,woningen_gebouwen_gegevens,ROWS(bibliotheek!$E$13:$E$26),FALSE))</f>
        <v/>
      </c>
      <c r="AF34" s="184" t="str">
        <f>IF(AF$19="","",HLOOKUP(AF$19,woningen_gebouwen_gegevens,ROWS(bibliotheek!$E$13:$E$26),FALSE))</f>
        <v/>
      </c>
      <c r="AG34" s="184" t="str">
        <f>IF(AG$19="","",HLOOKUP(AG$19,woningen_gebouwen_gegevens,ROWS(bibliotheek!$E$13:$E$26),FALSE))</f>
        <v/>
      </c>
      <c r="AH34" s="184" t="str">
        <f>IF(AH$19="","",HLOOKUP(AH$19,woningen_gebouwen_gegevens,ROWS(bibliotheek!$E$13:$E$26),FALSE))</f>
        <v/>
      </c>
      <c r="AI34" s="184" t="str">
        <f>IF(AI$19="","",HLOOKUP(AI$19,woningen_gebouwen_gegevens,ROWS(bibliotheek!$E$13:$E$26),FALSE))</f>
        <v/>
      </c>
      <c r="AJ34" s="110"/>
      <c r="AK34" s="227"/>
      <c r="AL34" s="100"/>
      <c r="AM34" s="184" t="str">
        <f>IF(AM$19="","",HLOOKUP(AM$19,woningen_gebouwen_gegevens,ROWS(bibliotheek!$E$13:$E$26),FALSE))</f>
        <v/>
      </c>
      <c r="AN34" s="184" t="str">
        <f>IF(AN$19="","",HLOOKUP(AN$19,woningen_gebouwen_gegevens,ROWS(bibliotheek!$E$13:$E$26),FALSE))</f>
        <v/>
      </c>
      <c r="AO34" s="184" t="str">
        <f>IF(AO$19="","",HLOOKUP(AO$19,woningen_gebouwen_gegevens,ROWS(bibliotheek!$E$13:$E$26),FALSE))</f>
        <v/>
      </c>
      <c r="AP34" s="184" t="str">
        <f>IF(AP$19="","",HLOOKUP(AP$19,woningen_gebouwen_gegevens,ROWS(bibliotheek!$E$13:$E$26),FALSE))</f>
        <v/>
      </c>
      <c r="AQ34" s="184" t="str">
        <f>IF(AQ$19="","",HLOOKUP(AQ$19,woningen_gebouwen_gegevens,ROWS(bibliotheek!$E$13:$E$26),FALSE))</f>
        <v/>
      </c>
      <c r="AR34" s="184" t="str">
        <f>IF(AR$19="","",HLOOKUP(AR$19,woningen_gebouwen_gegevens,ROWS(bibliotheek!$E$13:$E$26),FALSE))</f>
        <v/>
      </c>
      <c r="AS34" s="184" t="str">
        <f>IF(AS$19="","",HLOOKUP(AS$19,woningen_gebouwen_gegevens,ROWS(bibliotheek!$E$13:$E$26),FALSE))</f>
        <v/>
      </c>
      <c r="AT34" s="184" t="str">
        <f>IF(AT$19="","",HLOOKUP(AT$19,woningen_gebouwen_gegevens,ROWS(bibliotheek!$E$13:$E$26),FALSE))</f>
        <v/>
      </c>
      <c r="AU34" s="184" t="str">
        <f>IF(AU$19="","",HLOOKUP(AU$19,woningen_gebouwen_gegevens,ROWS(bibliotheek!$E$13:$E$26),FALSE))</f>
        <v/>
      </c>
      <c r="AV34" s="110"/>
      <c r="AW34" s="227"/>
      <c r="AX34" s="100"/>
      <c r="AY34" s="184" t="str">
        <f>IF(AY$19="","",HLOOKUP(AY$19,woningen_gebouwen_gegevens,ROWS(bibliotheek!$E$13:$E$26),FALSE))</f>
        <v/>
      </c>
      <c r="AZ34" s="184" t="str">
        <f>IF(AZ$19="","",HLOOKUP(AZ$19,woningen_gebouwen_gegevens,ROWS(bibliotheek!$E$13:$E$26),FALSE))</f>
        <v/>
      </c>
      <c r="BA34" s="184" t="str">
        <f>IF(BA$19="","",HLOOKUP(BA$19,woningen_gebouwen_gegevens,ROWS(bibliotheek!$E$13:$E$26),FALSE))</f>
        <v/>
      </c>
      <c r="BB34" s="184" t="str">
        <f>IF(BB$19="","",HLOOKUP(BB$19,woningen_gebouwen_gegevens,ROWS(bibliotheek!$E$13:$E$26),FALSE))</f>
        <v/>
      </c>
      <c r="BC34" s="184" t="str">
        <f>IF(BC$19="","",HLOOKUP(BC$19,woningen_gebouwen_gegevens,ROWS(bibliotheek!$E$13:$E$26),FALSE))</f>
        <v/>
      </c>
      <c r="BD34" s="184" t="str">
        <f>IF(BD$19="","",HLOOKUP(BD$19,woningen_gebouwen_gegevens,ROWS(bibliotheek!$E$13:$E$26),FALSE))</f>
        <v/>
      </c>
      <c r="BE34" s="184" t="str">
        <f>IF(BE$19="","",HLOOKUP(BE$19,woningen_gebouwen_gegevens,ROWS(bibliotheek!$E$13:$E$26),FALSE))</f>
        <v/>
      </c>
      <c r="BF34" s="184" t="str">
        <f>IF(BF$19="","",HLOOKUP(BF$19,woningen_gebouwen_gegevens,ROWS(bibliotheek!$E$13:$E$26),FALSE))</f>
        <v/>
      </c>
      <c r="BG34" s="184" t="str">
        <f>IF(BG$19="","",HLOOKUP(BG$19,woningen_gebouwen_gegevens,ROWS(bibliotheek!$E$13:$E$26),FALSE))</f>
        <v/>
      </c>
      <c r="BH34" s="214"/>
    </row>
    <row r="35" spans="1:60" x14ac:dyDescent="0.2">
      <c r="A35" s="653"/>
      <c r="B35" s="739" t="s">
        <v>120</v>
      </c>
      <c r="C35" s="656" t="s">
        <v>113</v>
      </c>
      <c r="D35" s="747"/>
      <c r="E35" s="220" t="s">
        <v>140</v>
      </c>
      <c r="F35" s="220"/>
      <c r="G35" s="220"/>
      <c r="H35" s="221" t="s">
        <v>139</v>
      </c>
      <c r="I35" s="90"/>
      <c r="J35" s="227"/>
      <c r="K35" s="294"/>
      <c r="L35" s="294"/>
      <c r="M35" s="227"/>
      <c r="N35" s="100"/>
      <c r="O35" s="184" t="str">
        <f>IF(O$19="","",HLOOKUP(O$19,woningen_gebouwen_gegevens,ROWS(bibliotheek!$E$13:$E$27),FALSE))</f>
        <v/>
      </c>
      <c r="P35" s="184" t="str">
        <f>IF(P$19="","",HLOOKUP(P$19,woningen_gebouwen_gegevens,ROWS(bibliotheek!$E$13:$E$27),FALSE))</f>
        <v/>
      </c>
      <c r="Q35" s="184" t="str">
        <f>IF(Q$19="","",HLOOKUP(Q$19,woningen_gebouwen_gegevens,ROWS(bibliotheek!$E$13:$E$27),FALSE))</f>
        <v/>
      </c>
      <c r="R35" s="184" t="str">
        <f>IF(R$19="","",HLOOKUP(R$19,woningen_gebouwen_gegevens,ROWS(bibliotheek!$E$13:$E$27),FALSE))</f>
        <v/>
      </c>
      <c r="S35" s="184" t="str">
        <f>IF(S$19="","",HLOOKUP(S$19,woningen_gebouwen_gegevens,ROWS(bibliotheek!$E$13:$E$27),FALSE))</f>
        <v/>
      </c>
      <c r="T35" s="184" t="str">
        <f>IF(T$19="","",HLOOKUP(T$19,woningen_gebouwen_gegevens,ROWS(bibliotheek!$E$13:$E$27),FALSE))</f>
        <v/>
      </c>
      <c r="U35" s="184" t="str">
        <f>IF(U$19="","",HLOOKUP(U$19,woningen_gebouwen_gegevens,ROWS(bibliotheek!$E$13:$E$27),FALSE))</f>
        <v/>
      </c>
      <c r="V35" s="184" t="str">
        <f>IF(V$19="","",HLOOKUP(V$19,woningen_gebouwen_gegevens,ROWS(bibliotheek!$E$13:$E$27),FALSE))</f>
        <v/>
      </c>
      <c r="W35" s="184" t="str">
        <f>IF(W$19="","",HLOOKUP(W$19,woningen_gebouwen_gegevens,ROWS(bibliotheek!$E$13:$E$27),FALSE))</f>
        <v/>
      </c>
      <c r="X35" s="110"/>
      <c r="Y35" s="227"/>
      <c r="Z35" s="100"/>
      <c r="AA35" s="184" t="str">
        <f>IF(AA$19="","",HLOOKUP(AA$19,woningen_gebouwen_gegevens,ROWS(bibliotheek!$E$13:$E$27),FALSE))</f>
        <v/>
      </c>
      <c r="AB35" s="184" t="str">
        <f>IF(AB$19="","",HLOOKUP(AB$19,woningen_gebouwen_gegevens,ROWS(bibliotheek!$E$13:$E$27),FALSE))</f>
        <v/>
      </c>
      <c r="AC35" s="184" t="str">
        <f>IF(AC$19="","",HLOOKUP(AC$19,woningen_gebouwen_gegevens,ROWS(bibliotheek!$E$13:$E$27),FALSE))</f>
        <v/>
      </c>
      <c r="AD35" s="184" t="str">
        <f>IF(AD$19="","",HLOOKUP(AD$19,woningen_gebouwen_gegevens,ROWS(bibliotheek!$E$13:$E$27),FALSE))</f>
        <v/>
      </c>
      <c r="AE35" s="184" t="str">
        <f>IF(AE$19="","",HLOOKUP(AE$19,woningen_gebouwen_gegevens,ROWS(bibliotheek!$E$13:$E$27),FALSE))</f>
        <v/>
      </c>
      <c r="AF35" s="184" t="str">
        <f>IF(AF$19="","",HLOOKUP(AF$19,woningen_gebouwen_gegevens,ROWS(bibliotheek!$E$13:$E$27),FALSE))</f>
        <v/>
      </c>
      <c r="AG35" s="184" t="str">
        <f>IF(AG$19="","",HLOOKUP(AG$19,woningen_gebouwen_gegevens,ROWS(bibliotheek!$E$13:$E$27),FALSE))</f>
        <v/>
      </c>
      <c r="AH35" s="184" t="str">
        <f>IF(AH$19="","",HLOOKUP(AH$19,woningen_gebouwen_gegevens,ROWS(bibliotheek!$E$13:$E$27),FALSE))</f>
        <v/>
      </c>
      <c r="AI35" s="184" t="str">
        <f>IF(AI$19="","",HLOOKUP(AI$19,woningen_gebouwen_gegevens,ROWS(bibliotheek!$E$13:$E$27),FALSE))</f>
        <v/>
      </c>
      <c r="AJ35" s="110"/>
      <c r="AK35" s="227"/>
      <c r="AL35" s="100"/>
      <c r="AM35" s="184" t="str">
        <f>IF(AM$19="","",HLOOKUP(AM$19,woningen_gebouwen_gegevens,ROWS(bibliotheek!$E$13:$E$27),FALSE))</f>
        <v/>
      </c>
      <c r="AN35" s="184" t="str">
        <f>IF(AN$19="","",HLOOKUP(AN$19,woningen_gebouwen_gegevens,ROWS(bibliotheek!$E$13:$E$27),FALSE))</f>
        <v/>
      </c>
      <c r="AO35" s="184" t="str">
        <f>IF(AO$19="","",HLOOKUP(AO$19,woningen_gebouwen_gegevens,ROWS(bibliotheek!$E$13:$E$27),FALSE))</f>
        <v/>
      </c>
      <c r="AP35" s="184" t="str">
        <f>IF(AP$19="","",HLOOKUP(AP$19,woningen_gebouwen_gegevens,ROWS(bibliotheek!$E$13:$E$27),FALSE))</f>
        <v/>
      </c>
      <c r="AQ35" s="184" t="str">
        <f>IF(AQ$19="","",HLOOKUP(AQ$19,woningen_gebouwen_gegevens,ROWS(bibliotheek!$E$13:$E$27),FALSE))</f>
        <v/>
      </c>
      <c r="AR35" s="184" t="str">
        <f>IF(AR$19="","",HLOOKUP(AR$19,woningen_gebouwen_gegevens,ROWS(bibliotheek!$E$13:$E$27),FALSE))</f>
        <v/>
      </c>
      <c r="AS35" s="184" t="str">
        <f>IF(AS$19="","",HLOOKUP(AS$19,woningen_gebouwen_gegevens,ROWS(bibliotheek!$E$13:$E$27),FALSE))</f>
        <v/>
      </c>
      <c r="AT35" s="184" t="str">
        <f>IF(AT$19="","",HLOOKUP(AT$19,woningen_gebouwen_gegevens,ROWS(bibliotheek!$E$13:$E$27),FALSE))</f>
        <v/>
      </c>
      <c r="AU35" s="184" t="str">
        <f>IF(AU$19="","",HLOOKUP(AU$19,woningen_gebouwen_gegevens,ROWS(bibliotheek!$E$13:$E$27),FALSE))</f>
        <v/>
      </c>
      <c r="AV35" s="110"/>
      <c r="AW35" s="227"/>
      <c r="AX35" s="100"/>
      <c r="AY35" s="184" t="str">
        <f>IF(AY$19="","",HLOOKUP(AY$19,woningen_gebouwen_gegevens,ROWS(bibliotheek!$E$13:$E$27),FALSE))</f>
        <v/>
      </c>
      <c r="AZ35" s="184" t="str">
        <f>IF(AZ$19="","",HLOOKUP(AZ$19,woningen_gebouwen_gegevens,ROWS(bibliotheek!$E$13:$E$27),FALSE))</f>
        <v/>
      </c>
      <c r="BA35" s="184" t="str">
        <f>IF(BA$19="","",HLOOKUP(BA$19,woningen_gebouwen_gegevens,ROWS(bibliotheek!$E$13:$E$27),FALSE))</f>
        <v/>
      </c>
      <c r="BB35" s="184" t="str">
        <f>IF(BB$19="","",HLOOKUP(BB$19,woningen_gebouwen_gegevens,ROWS(bibliotheek!$E$13:$E$27),FALSE))</f>
        <v/>
      </c>
      <c r="BC35" s="184" t="str">
        <f>IF(BC$19="","",HLOOKUP(BC$19,woningen_gebouwen_gegevens,ROWS(bibliotheek!$E$13:$E$27),FALSE))</f>
        <v/>
      </c>
      <c r="BD35" s="184" t="str">
        <f>IF(BD$19="","",HLOOKUP(BD$19,woningen_gebouwen_gegevens,ROWS(bibliotheek!$E$13:$E$27),FALSE))</f>
        <v/>
      </c>
      <c r="BE35" s="184" t="str">
        <f>IF(BE$19="","",HLOOKUP(BE$19,woningen_gebouwen_gegevens,ROWS(bibliotheek!$E$13:$E$27),FALSE))</f>
        <v/>
      </c>
      <c r="BF35" s="184" t="str">
        <f>IF(BF$19="","",HLOOKUP(BF$19,woningen_gebouwen_gegevens,ROWS(bibliotheek!$E$13:$E$27),FALSE))</f>
        <v/>
      </c>
      <c r="BG35" s="184" t="str">
        <f>IF(BG$19="","",HLOOKUP(BG$19,woningen_gebouwen_gegevens,ROWS(bibliotheek!$E$13:$E$27),FALSE))</f>
        <v/>
      </c>
      <c r="BH35" s="214"/>
    </row>
    <row r="36" spans="1:60" x14ac:dyDescent="0.2">
      <c r="A36" s="653"/>
      <c r="B36" s="739" t="s">
        <v>120</v>
      </c>
      <c r="C36" s="656" t="s">
        <v>113</v>
      </c>
      <c r="D36" s="747"/>
      <c r="E36" s="90"/>
      <c r="F36" s="90"/>
      <c r="G36" s="90"/>
      <c r="H36" s="96"/>
      <c r="I36" s="90"/>
      <c r="J36" s="93"/>
      <c r="K36" s="90"/>
      <c r="L36" s="90"/>
      <c r="M36" s="93"/>
      <c r="N36" s="93"/>
      <c r="O36" s="93"/>
      <c r="P36" s="93"/>
      <c r="Q36" s="93"/>
      <c r="R36" s="93"/>
      <c r="S36" s="93"/>
      <c r="T36" s="93"/>
      <c r="U36" s="93"/>
      <c r="V36" s="93"/>
      <c r="W36" s="93"/>
      <c r="X36" s="93"/>
      <c r="Y36" s="93"/>
      <c r="Z36" s="90"/>
      <c r="AA36" s="93"/>
      <c r="AB36" s="93"/>
      <c r="AC36" s="93"/>
      <c r="AD36" s="93"/>
      <c r="AE36" s="93"/>
      <c r="AF36" s="93"/>
      <c r="AG36" s="93"/>
      <c r="AH36" s="93"/>
      <c r="AI36" s="93"/>
      <c r="AJ36" s="93"/>
      <c r="AK36" s="93"/>
      <c r="AL36" s="90"/>
      <c r="AM36" s="93"/>
      <c r="AN36" s="93"/>
      <c r="AO36" s="93"/>
      <c r="AP36" s="93"/>
      <c r="AQ36" s="93"/>
      <c r="AR36" s="93"/>
      <c r="AS36" s="93"/>
      <c r="AT36" s="93"/>
      <c r="AU36" s="93"/>
      <c r="AV36" s="93"/>
      <c r="AW36" s="93"/>
      <c r="AX36" s="90"/>
      <c r="AY36" s="93"/>
      <c r="AZ36" s="93"/>
      <c r="BA36" s="93"/>
      <c r="BB36" s="93"/>
      <c r="BC36" s="93"/>
      <c r="BD36" s="93"/>
      <c r="BE36" s="93"/>
      <c r="BF36" s="93"/>
      <c r="BG36" s="93"/>
      <c r="BH36" s="1"/>
    </row>
    <row r="37" spans="1:60" x14ac:dyDescent="0.2">
      <c r="A37" s="653"/>
      <c r="B37" s="492" t="s">
        <v>141</v>
      </c>
      <c r="C37" s="656" t="s">
        <v>104</v>
      </c>
      <c r="D37" s="747"/>
      <c r="E37" s="90"/>
      <c r="F37" s="90"/>
      <c r="G37" s="90"/>
      <c r="H37" s="96"/>
      <c r="I37" s="90"/>
      <c r="J37" s="93"/>
      <c r="K37" s="90"/>
      <c r="L37" s="90"/>
      <c r="M37" s="93"/>
      <c r="N37" s="93"/>
      <c r="O37" s="93"/>
      <c r="P37" s="93"/>
      <c r="Q37" s="93"/>
      <c r="R37" s="93"/>
      <c r="S37" s="93"/>
      <c r="T37" s="93"/>
      <c r="U37" s="93"/>
      <c r="V37" s="93"/>
      <c r="W37" s="93"/>
      <c r="X37" s="93"/>
      <c r="Y37" s="93"/>
      <c r="Z37" s="90"/>
      <c r="AA37" s="93"/>
      <c r="AB37" s="93"/>
      <c r="AC37" s="93"/>
      <c r="AD37" s="93"/>
      <c r="AE37" s="93"/>
      <c r="AF37" s="93"/>
      <c r="AG37" s="93"/>
      <c r="AH37" s="93"/>
      <c r="AI37" s="93"/>
      <c r="AJ37" s="93"/>
      <c r="AK37" s="93"/>
      <c r="AL37" s="90"/>
      <c r="AM37" s="93"/>
      <c r="AN37" s="93"/>
      <c r="AO37" s="93"/>
      <c r="AP37" s="93"/>
      <c r="AQ37" s="93"/>
      <c r="AR37" s="93"/>
      <c r="AS37" s="93"/>
      <c r="AT37" s="93"/>
      <c r="AU37" s="93"/>
      <c r="AV37" s="93"/>
      <c r="AW37" s="93"/>
      <c r="AX37" s="90"/>
      <c r="AY37" s="93"/>
      <c r="AZ37" s="93"/>
      <c r="BA37" s="93"/>
      <c r="BB37" s="93"/>
      <c r="BC37" s="93"/>
      <c r="BD37" s="93"/>
      <c r="BE37" s="93"/>
      <c r="BF37" s="93"/>
      <c r="BG37" s="93"/>
      <c r="BH37" s="1"/>
    </row>
    <row r="38" spans="1:60" s="2" customFormat="1" ht="21" x14ac:dyDescent="0.2">
      <c r="A38" s="654"/>
      <c r="B38" s="492" t="s">
        <v>141</v>
      </c>
      <c r="C38" s="739" t="s">
        <v>104</v>
      </c>
      <c r="D38" s="749"/>
      <c r="E38" s="253" t="s">
        <v>142</v>
      </c>
      <c r="F38" s="253"/>
      <c r="G38" s="253"/>
      <c r="H38" s="253"/>
      <c r="I38" s="146"/>
      <c r="J38" s="318"/>
      <c r="K38" s="142"/>
      <c r="L38" s="142"/>
      <c r="M38" s="319" t="str">
        <f>M$10</f>
        <v>totaal</v>
      </c>
      <c r="N38" s="234"/>
      <c r="O38" s="320" t="str">
        <f t="shared" ref="O38:W38" si="40">O$17</f>
        <v/>
      </c>
      <c r="P38" s="320" t="str">
        <f t="shared" si="40"/>
        <v/>
      </c>
      <c r="Q38" s="320" t="str">
        <f t="shared" si="40"/>
        <v/>
      </c>
      <c r="R38" s="320" t="str">
        <f t="shared" si="40"/>
        <v/>
      </c>
      <c r="S38" s="320" t="str">
        <f t="shared" si="40"/>
        <v/>
      </c>
      <c r="T38" s="320" t="str">
        <f t="shared" si="40"/>
        <v/>
      </c>
      <c r="U38" s="320" t="str">
        <f t="shared" si="40"/>
        <v/>
      </c>
      <c r="V38" s="320" t="str">
        <f t="shared" si="40"/>
        <v/>
      </c>
      <c r="W38" s="320" t="str">
        <f t="shared" si="40"/>
        <v/>
      </c>
      <c r="X38" s="214"/>
      <c r="Y38" s="319" t="str">
        <f>Y$10</f>
        <v>totaal</v>
      </c>
      <c r="Z38" s="234"/>
      <c r="AA38" s="320" t="str">
        <f t="shared" ref="AA38:AI38" si="41">AA$17</f>
        <v/>
      </c>
      <c r="AB38" s="320" t="str">
        <f t="shared" si="41"/>
        <v/>
      </c>
      <c r="AC38" s="320" t="str">
        <f t="shared" si="41"/>
        <v/>
      </c>
      <c r="AD38" s="320" t="str">
        <f t="shared" si="41"/>
        <v/>
      </c>
      <c r="AE38" s="320" t="str">
        <f t="shared" si="41"/>
        <v/>
      </c>
      <c r="AF38" s="320" t="str">
        <f t="shared" si="41"/>
        <v/>
      </c>
      <c r="AG38" s="320" t="str">
        <f t="shared" si="41"/>
        <v/>
      </c>
      <c r="AH38" s="320" t="str">
        <f t="shared" si="41"/>
        <v/>
      </c>
      <c r="AI38" s="320" t="str">
        <f t="shared" si="41"/>
        <v/>
      </c>
      <c r="AJ38" s="214"/>
      <c r="AK38" s="319" t="str">
        <f>AK$10</f>
        <v>totaal</v>
      </c>
      <c r="AL38" s="234"/>
      <c r="AM38" s="320" t="str">
        <f>AM$17</f>
        <v/>
      </c>
      <c r="AN38" s="320" t="str">
        <f t="shared" ref="AN38:AU38" si="42">AN$17</f>
        <v/>
      </c>
      <c r="AO38" s="320" t="str">
        <f t="shared" si="42"/>
        <v/>
      </c>
      <c r="AP38" s="320" t="str">
        <f t="shared" si="42"/>
        <v/>
      </c>
      <c r="AQ38" s="320" t="str">
        <f t="shared" si="42"/>
        <v/>
      </c>
      <c r="AR38" s="320" t="str">
        <f t="shared" si="42"/>
        <v/>
      </c>
      <c r="AS38" s="320" t="str">
        <f t="shared" si="42"/>
        <v/>
      </c>
      <c r="AT38" s="320" t="str">
        <f t="shared" si="42"/>
        <v/>
      </c>
      <c r="AU38" s="320" t="str">
        <f t="shared" si="42"/>
        <v/>
      </c>
      <c r="AV38" s="214"/>
      <c r="AW38" s="319" t="str">
        <f>AW$10</f>
        <v>totaal</v>
      </c>
      <c r="AX38" s="234"/>
      <c r="AY38" s="320" t="str">
        <f>AY$17</f>
        <v/>
      </c>
      <c r="AZ38" s="320" t="str">
        <f t="shared" ref="AZ38:BG38" si="43">AZ$17</f>
        <v/>
      </c>
      <c r="BA38" s="320" t="str">
        <f t="shared" si="43"/>
        <v/>
      </c>
      <c r="BB38" s="320" t="str">
        <f t="shared" si="43"/>
        <v/>
      </c>
      <c r="BC38" s="320" t="str">
        <f t="shared" si="43"/>
        <v/>
      </c>
      <c r="BD38" s="320" t="str">
        <f t="shared" si="43"/>
        <v/>
      </c>
      <c r="BE38" s="320" t="str">
        <f t="shared" si="43"/>
        <v/>
      </c>
      <c r="BF38" s="320" t="str">
        <f t="shared" si="43"/>
        <v/>
      </c>
      <c r="BG38" s="320" t="str">
        <f t="shared" si="43"/>
        <v/>
      </c>
      <c r="BH38" s="1"/>
    </row>
    <row r="39" spans="1:60" ht="18.75" x14ac:dyDescent="0.2">
      <c r="A39" s="653"/>
      <c r="B39" s="492" t="s">
        <v>141</v>
      </c>
      <c r="C39" s="656" t="s">
        <v>127</v>
      </c>
      <c r="D39" s="747"/>
      <c r="E39" s="236" t="s">
        <v>143</v>
      </c>
      <c r="F39" s="236"/>
      <c r="G39" s="236"/>
      <c r="H39" s="89"/>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38"/>
    </row>
    <row r="40" spans="1:60" x14ac:dyDescent="0.2">
      <c r="A40" s="653"/>
      <c r="B40" s="492" t="s">
        <v>141</v>
      </c>
      <c r="C40" s="739" t="s">
        <v>127</v>
      </c>
      <c r="D40" s="750" t="s">
        <v>50</v>
      </c>
      <c r="E40" s="713" t="s">
        <v>144</v>
      </c>
      <c r="F40" s="713"/>
      <c r="G40" s="713"/>
      <c r="H40" s="183" t="s">
        <v>70</v>
      </c>
      <c r="I40" s="210"/>
      <c r="J40" s="711"/>
      <c r="K40" s="90"/>
      <c r="L40" s="90"/>
      <c r="M40" s="224"/>
      <c r="N40" s="236"/>
      <c r="O40" s="184" t="str">
        <f t="shared" ref="O40:W40" si="44">IF(O$19="","",IF(AND(O41&lt;&gt;"",
ISERROR(MATCH(O41,isolatiepakketten_gebouwschil_namen,0))=FALSE),O41,
INDEX(referentiepakketten_bij_gebouwen,MATCH(O$19,woningen_gebouwen_namen,0))))</f>
        <v/>
      </c>
      <c r="P40" s="184" t="str">
        <f t="shared" si="44"/>
        <v/>
      </c>
      <c r="Q40" s="184" t="str">
        <f t="shared" si="44"/>
        <v/>
      </c>
      <c r="R40" s="184" t="str">
        <f t="shared" si="44"/>
        <v/>
      </c>
      <c r="S40" s="184" t="str">
        <f t="shared" si="44"/>
        <v/>
      </c>
      <c r="T40" s="184" t="str">
        <f t="shared" si="44"/>
        <v/>
      </c>
      <c r="U40" s="184" t="str">
        <f t="shared" si="44"/>
        <v/>
      </c>
      <c r="V40" s="184" t="str">
        <f t="shared" si="44"/>
        <v/>
      </c>
      <c r="W40" s="184" t="str">
        <f t="shared" si="44"/>
        <v/>
      </c>
      <c r="X40" s="767"/>
      <c r="Y40" s="224"/>
      <c r="Z40" s="236"/>
      <c r="AA40" s="184" t="str">
        <f t="shared" ref="AA40:AI40" si="45">IF(AA$19="","",IF(AND(AA41&lt;&gt;"",
ISERROR(MATCH(AA41,isolatiepakketten_gebouwschil_namen,0))=FALSE),AA41,
INDEX(referentiepakketten_bij_gebouwen,MATCH(AA$19,woningen_gebouwen_namen,0))))</f>
        <v/>
      </c>
      <c r="AB40" s="184" t="str">
        <f t="shared" si="45"/>
        <v/>
      </c>
      <c r="AC40" s="184" t="str">
        <f t="shared" si="45"/>
        <v/>
      </c>
      <c r="AD40" s="184" t="str">
        <f t="shared" si="45"/>
        <v/>
      </c>
      <c r="AE40" s="184" t="str">
        <f t="shared" si="45"/>
        <v/>
      </c>
      <c r="AF40" s="184" t="str">
        <f t="shared" si="45"/>
        <v/>
      </c>
      <c r="AG40" s="184" t="str">
        <f t="shared" si="45"/>
        <v/>
      </c>
      <c r="AH40" s="184" t="str">
        <f t="shared" si="45"/>
        <v/>
      </c>
      <c r="AI40" s="184" t="str">
        <f t="shared" si="45"/>
        <v/>
      </c>
      <c r="AJ40" s="767"/>
      <c r="AK40" s="224"/>
      <c r="AL40" s="236"/>
      <c r="AM40" s="184" t="str">
        <f t="shared" ref="AM40:AU40" si="46">IF(AM$19="","",IF(AND(AM41&lt;&gt;"",
ISERROR(MATCH(AM41,isolatiepakketten_gebouwschil_namen,0))=FALSE),AM41,
INDEX(referentiepakketten_bij_gebouwen,MATCH(AM$19,woningen_gebouwen_namen,0))))</f>
        <v/>
      </c>
      <c r="AN40" s="184" t="str">
        <f t="shared" si="46"/>
        <v/>
      </c>
      <c r="AO40" s="184" t="str">
        <f t="shared" si="46"/>
        <v/>
      </c>
      <c r="AP40" s="184" t="str">
        <f t="shared" si="46"/>
        <v/>
      </c>
      <c r="AQ40" s="184" t="str">
        <f t="shared" si="46"/>
        <v/>
      </c>
      <c r="AR40" s="184" t="str">
        <f t="shared" si="46"/>
        <v/>
      </c>
      <c r="AS40" s="184" t="str">
        <f t="shared" si="46"/>
        <v/>
      </c>
      <c r="AT40" s="184" t="str">
        <f t="shared" si="46"/>
        <v/>
      </c>
      <c r="AU40" s="184" t="str">
        <f t="shared" si="46"/>
        <v/>
      </c>
      <c r="AV40" s="767"/>
      <c r="AW40" s="224"/>
      <c r="AX40" s="236"/>
      <c r="AY40" s="184" t="str">
        <f t="shared" ref="AY40:BG40" si="47">IF(AY$19="","",IF(AND(AY41&lt;&gt;"",
ISERROR(MATCH(AY41,isolatiepakketten_gebouwschil_namen,0))=FALSE),AY41,
INDEX(referentiepakketten_bij_gebouwen,MATCH(AY$19,woningen_gebouwen_namen,0))))</f>
        <v/>
      </c>
      <c r="AZ40" s="184" t="str">
        <f t="shared" si="47"/>
        <v/>
      </c>
      <c r="BA40" s="184" t="str">
        <f t="shared" si="47"/>
        <v/>
      </c>
      <c r="BB40" s="184" t="str">
        <f t="shared" si="47"/>
        <v/>
      </c>
      <c r="BC40" s="184" t="str">
        <f t="shared" si="47"/>
        <v/>
      </c>
      <c r="BD40" s="184" t="str">
        <f t="shared" si="47"/>
        <v/>
      </c>
      <c r="BE40" s="184" t="str">
        <f t="shared" si="47"/>
        <v/>
      </c>
      <c r="BF40" s="184" t="str">
        <f t="shared" si="47"/>
        <v/>
      </c>
      <c r="BG40" s="184" t="str">
        <f t="shared" si="47"/>
        <v/>
      </c>
      <c r="BH40" s="260"/>
    </row>
    <row r="41" spans="1:60" x14ac:dyDescent="0.2">
      <c r="A41" s="653"/>
      <c r="B41" s="492" t="s">
        <v>141</v>
      </c>
      <c r="C41" s="739" t="s">
        <v>127</v>
      </c>
      <c r="D41" s="747"/>
      <c r="E41" s="412" t="s">
        <v>1130</v>
      </c>
      <c r="F41" s="286"/>
      <c r="G41" s="286"/>
      <c r="H41" s="183" t="s">
        <v>70</v>
      </c>
      <c r="I41" s="210"/>
      <c r="J41" s="711"/>
      <c r="K41" s="90"/>
      <c r="L41" s="90"/>
      <c r="M41" s="224"/>
      <c r="N41" s="236"/>
      <c r="O41" s="1051"/>
      <c r="P41" s="1051"/>
      <c r="Q41" s="1051"/>
      <c r="R41" s="1051"/>
      <c r="S41" s="1051"/>
      <c r="T41" s="1051"/>
      <c r="U41" s="1051"/>
      <c r="V41" s="1051"/>
      <c r="W41" s="1051"/>
      <c r="X41" s="767"/>
      <c r="Y41" s="224"/>
      <c r="Z41" s="236"/>
      <c r="AA41" s="1051"/>
      <c r="AB41" s="1051"/>
      <c r="AC41" s="1051"/>
      <c r="AD41" s="1051"/>
      <c r="AE41" s="1051"/>
      <c r="AF41" s="1051"/>
      <c r="AG41" s="1051"/>
      <c r="AH41" s="1051"/>
      <c r="AI41" s="1051"/>
      <c r="AJ41" s="767"/>
      <c r="AK41" s="224"/>
      <c r="AL41" s="236"/>
      <c r="AM41" s="1051"/>
      <c r="AN41" s="1051"/>
      <c r="AO41" s="1051"/>
      <c r="AP41" s="1051"/>
      <c r="AQ41" s="1051"/>
      <c r="AR41" s="1051"/>
      <c r="AS41" s="1051"/>
      <c r="AT41" s="1051"/>
      <c r="AU41" s="1051"/>
      <c r="AV41" s="767"/>
      <c r="AW41" s="224"/>
      <c r="AX41" s="236"/>
      <c r="AY41" s="1051"/>
      <c r="AZ41" s="1051"/>
      <c r="BA41" s="1051"/>
      <c r="BB41" s="1051"/>
      <c r="BC41" s="1051"/>
      <c r="BD41" s="1051"/>
      <c r="BE41" s="1051"/>
      <c r="BF41" s="1051"/>
      <c r="BG41" s="1051"/>
      <c r="BH41" s="260"/>
    </row>
    <row r="42" spans="1:60" s="38" customFormat="1" ht="25.5" x14ac:dyDescent="0.2">
      <c r="A42" s="655"/>
      <c r="B42" s="492" t="s">
        <v>141</v>
      </c>
      <c r="C42" s="656" t="s">
        <v>127</v>
      </c>
      <c r="D42" s="751"/>
      <c r="E42" s="182" t="s">
        <v>145</v>
      </c>
      <c r="F42" s="182"/>
      <c r="G42" s="182"/>
      <c r="H42" s="183" t="s">
        <v>70</v>
      </c>
      <c r="I42" s="114"/>
      <c r="J42" s="711"/>
      <c r="K42" s="97"/>
      <c r="L42" s="97"/>
      <c r="M42" s="224"/>
      <c r="N42" s="99"/>
      <c r="O42" s="886" t="s">
        <v>146</v>
      </c>
      <c r="P42" s="886" t="s">
        <v>146</v>
      </c>
      <c r="Q42" s="886" t="s">
        <v>146</v>
      </c>
      <c r="R42" s="886" t="s">
        <v>146</v>
      </c>
      <c r="S42" s="886" t="s">
        <v>146</v>
      </c>
      <c r="T42" s="886" t="s">
        <v>146</v>
      </c>
      <c r="U42" s="886" t="s">
        <v>146</v>
      </c>
      <c r="V42" s="886" t="s">
        <v>146</v>
      </c>
      <c r="W42" s="886" t="s">
        <v>146</v>
      </c>
      <c r="X42" s="768"/>
      <c r="Y42" s="224"/>
      <c r="Z42" s="769"/>
      <c r="AA42" s="886" t="s">
        <v>146</v>
      </c>
      <c r="AB42" s="886" t="s">
        <v>146</v>
      </c>
      <c r="AC42" s="886" t="s">
        <v>146</v>
      </c>
      <c r="AD42" s="886" t="s">
        <v>146</v>
      </c>
      <c r="AE42" s="886" t="s">
        <v>146</v>
      </c>
      <c r="AF42" s="886" t="s">
        <v>146</v>
      </c>
      <c r="AG42" s="886" t="s">
        <v>146</v>
      </c>
      <c r="AH42" s="886" t="s">
        <v>146</v>
      </c>
      <c r="AI42" s="886" t="s">
        <v>146</v>
      </c>
      <c r="AJ42" s="768"/>
      <c r="AK42" s="224"/>
      <c r="AL42" s="770"/>
      <c r="AM42" s="886" t="s">
        <v>146</v>
      </c>
      <c r="AN42" s="886" t="s">
        <v>146</v>
      </c>
      <c r="AO42" s="886" t="s">
        <v>146</v>
      </c>
      <c r="AP42" s="886" t="s">
        <v>146</v>
      </c>
      <c r="AQ42" s="886" t="s">
        <v>146</v>
      </c>
      <c r="AR42" s="886" t="s">
        <v>146</v>
      </c>
      <c r="AS42" s="886" t="s">
        <v>146</v>
      </c>
      <c r="AT42" s="886" t="s">
        <v>146</v>
      </c>
      <c r="AU42" s="886" t="s">
        <v>146</v>
      </c>
      <c r="AV42" s="768"/>
      <c r="AW42" s="224"/>
      <c r="AX42" s="770"/>
      <c r="AY42" s="886" t="s">
        <v>146</v>
      </c>
      <c r="AZ42" s="886" t="s">
        <v>146</v>
      </c>
      <c r="BA42" s="886" t="s">
        <v>146</v>
      </c>
      <c r="BB42" s="886" t="s">
        <v>146</v>
      </c>
      <c r="BC42" s="886" t="s">
        <v>146</v>
      </c>
      <c r="BD42" s="886" t="s">
        <v>146</v>
      </c>
      <c r="BE42" s="886" t="s">
        <v>146</v>
      </c>
      <c r="BF42" s="886" t="s">
        <v>146</v>
      </c>
      <c r="BG42" s="886" t="s">
        <v>146</v>
      </c>
      <c r="BH42" s="262"/>
    </row>
    <row r="43" spans="1:60" ht="25.5" x14ac:dyDescent="0.2">
      <c r="A43" s="655"/>
      <c r="B43" s="492" t="s">
        <v>141</v>
      </c>
      <c r="C43" s="739" t="s">
        <v>127</v>
      </c>
      <c r="D43" s="751"/>
      <c r="E43" s="182" t="s">
        <v>147</v>
      </c>
      <c r="F43" s="182"/>
      <c r="G43" s="182"/>
      <c r="H43" s="183" t="s">
        <v>70</v>
      </c>
      <c r="I43" s="114"/>
      <c r="J43" s="224"/>
      <c r="K43" s="97"/>
      <c r="L43" s="97"/>
      <c r="M43" s="224"/>
      <c r="N43" s="99"/>
      <c r="O43" s="886" t="s">
        <v>148</v>
      </c>
      <c r="P43" s="886" t="s">
        <v>148</v>
      </c>
      <c r="Q43" s="886" t="s">
        <v>148</v>
      </c>
      <c r="R43" s="886" t="s">
        <v>148</v>
      </c>
      <c r="S43" s="886" t="s">
        <v>148</v>
      </c>
      <c r="T43" s="886" t="s">
        <v>148</v>
      </c>
      <c r="U43" s="886" t="s">
        <v>148</v>
      </c>
      <c r="V43" s="886" t="s">
        <v>148</v>
      </c>
      <c r="W43" s="886" t="s">
        <v>148</v>
      </c>
      <c r="X43" s="768"/>
      <c r="Y43" s="224"/>
      <c r="Z43" s="236"/>
      <c r="AA43" s="886" t="s">
        <v>148</v>
      </c>
      <c r="AB43" s="886" t="s">
        <v>148</v>
      </c>
      <c r="AC43" s="886" t="s">
        <v>148</v>
      </c>
      <c r="AD43" s="886" t="s">
        <v>148</v>
      </c>
      <c r="AE43" s="886" t="s">
        <v>148</v>
      </c>
      <c r="AF43" s="886" t="s">
        <v>148</v>
      </c>
      <c r="AG43" s="886" t="s">
        <v>148</v>
      </c>
      <c r="AH43" s="886" t="s">
        <v>148</v>
      </c>
      <c r="AI43" s="886" t="s">
        <v>148</v>
      </c>
      <c r="AJ43" s="768"/>
      <c r="AK43" s="224"/>
      <c r="AL43" s="770"/>
      <c r="AM43" s="886" t="s">
        <v>148</v>
      </c>
      <c r="AN43" s="886" t="s">
        <v>148</v>
      </c>
      <c r="AO43" s="886" t="s">
        <v>148</v>
      </c>
      <c r="AP43" s="886" t="s">
        <v>148</v>
      </c>
      <c r="AQ43" s="886" t="s">
        <v>148</v>
      </c>
      <c r="AR43" s="886" t="s">
        <v>148</v>
      </c>
      <c r="AS43" s="886" t="s">
        <v>148</v>
      </c>
      <c r="AT43" s="886" t="s">
        <v>148</v>
      </c>
      <c r="AU43" s="886" t="s">
        <v>148</v>
      </c>
      <c r="AV43" s="768"/>
      <c r="AW43" s="224"/>
      <c r="AX43" s="770"/>
      <c r="AY43" s="886" t="s">
        <v>148</v>
      </c>
      <c r="AZ43" s="886" t="s">
        <v>148</v>
      </c>
      <c r="BA43" s="886" t="s">
        <v>148</v>
      </c>
      <c r="BB43" s="886" t="s">
        <v>148</v>
      </c>
      <c r="BC43" s="886" t="s">
        <v>148</v>
      </c>
      <c r="BD43" s="886" t="s">
        <v>148</v>
      </c>
      <c r="BE43" s="886" t="s">
        <v>148</v>
      </c>
      <c r="BF43" s="886" t="s">
        <v>148</v>
      </c>
      <c r="BG43" s="886" t="s">
        <v>148</v>
      </c>
      <c r="BH43" s="262"/>
    </row>
    <row r="44" spans="1:60" x14ac:dyDescent="0.2">
      <c r="A44" s="655"/>
      <c r="B44" s="492" t="s">
        <v>141</v>
      </c>
      <c r="C44" s="739" t="s">
        <v>127</v>
      </c>
      <c r="D44" s="750" t="s">
        <v>50</v>
      </c>
      <c r="E44" s="182" t="s">
        <v>149</v>
      </c>
      <c r="F44" s="182"/>
      <c r="G44" s="182"/>
      <c r="H44" s="183" t="s">
        <v>150</v>
      </c>
      <c r="I44" s="210"/>
      <c r="J44" s="224"/>
      <c r="K44" s="90"/>
      <c r="L44" s="90"/>
      <c r="M44" s="224"/>
      <c r="N44" s="99"/>
      <c r="O44" s="887">
        <v>1</v>
      </c>
      <c r="P44" s="887">
        <v>1</v>
      </c>
      <c r="Q44" s="887">
        <v>1</v>
      </c>
      <c r="R44" s="887">
        <v>1</v>
      </c>
      <c r="S44" s="887">
        <v>1</v>
      </c>
      <c r="T44" s="887">
        <v>1</v>
      </c>
      <c r="U44" s="887">
        <v>1</v>
      </c>
      <c r="V44" s="887">
        <v>1</v>
      </c>
      <c r="W44" s="887">
        <v>1</v>
      </c>
      <c r="X44" s="767"/>
      <c r="Y44" s="224"/>
      <c r="Z44" s="236"/>
      <c r="AA44" s="887">
        <v>1</v>
      </c>
      <c r="AB44" s="887">
        <v>1</v>
      </c>
      <c r="AC44" s="887">
        <v>1</v>
      </c>
      <c r="AD44" s="887">
        <v>1</v>
      </c>
      <c r="AE44" s="887">
        <v>1</v>
      </c>
      <c r="AF44" s="887">
        <v>1</v>
      </c>
      <c r="AG44" s="887">
        <v>1</v>
      </c>
      <c r="AH44" s="887">
        <v>1</v>
      </c>
      <c r="AI44" s="887">
        <v>1</v>
      </c>
      <c r="AJ44" s="767"/>
      <c r="AK44" s="224"/>
      <c r="AL44" s="771"/>
      <c r="AM44" s="887">
        <v>1</v>
      </c>
      <c r="AN44" s="887">
        <v>1</v>
      </c>
      <c r="AO44" s="887">
        <v>1</v>
      </c>
      <c r="AP44" s="887">
        <v>1</v>
      </c>
      <c r="AQ44" s="887">
        <v>1</v>
      </c>
      <c r="AR44" s="887">
        <v>1</v>
      </c>
      <c r="AS44" s="887">
        <v>1</v>
      </c>
      <c r="AT44" s="887">
        <v>1</v>
      </c>
      <c r="AU44" s="887">
        <v>1</v>
      </c>
      <c r="AV44" s="767"/>
      <c r="AW44" s="224"/>
      <c r="AX44" s="771"/>
      <c r="AY44" s="887">
        <v>1</v>
      </c>
      <c r="AZ44" s="887">
        <v>1</v>
      </c>
      <c r="BA44" s="887">
        <v>1</v>
      </c>
      <c r="BB44" s="887">
        <v>1</v>
      </c>
      <c r="BC44" s="887">
        <v>1</v>
      </c>
      <c r="BD44" s="887">
        <v>1</v>
      </c>
      <c r="BE44" s="887">
        <v>1</v>
      </c>
      <c r="BF44" s="887">
        <v>1</v>
      </c>
      <c r="BG44" s="887">
        <v>1</v>
      </c>
      <c r="BH44" s="261"/>
    </row>
    <row r="45" spans="1:60" x14ac:dyDescent="0.2">
      <c r="A45" s="655"/>
      <c r="B45" s="492" t="s">
        <v>141</v>
      </c>
      <c r="C45" s="739" t="s">
        <v>127</v>
      </c>
      <c r="D45" s="750" t="s">
        <v>50</v>
      </c>
      <c r="E45" s="182" t="s">
        <v>151</v>
      </c>
      <c r="F45" s="182"/>
      <c r="G45" s="182"/>
      <c r="H45" s="183" t="s">
        <v>152</v>
      </c>
      <c r="I45" s="210"/>
      <c r="J45" s="282"/>
      <c r="K45" s="294"/>
      <c r="L45" s="294"/>
      <c r="M45" s="282"/>
      <c r="N45" s="99"/>
      <c r="O45" s="888"/>
      <c r="P45" s="888"/>
      <c r="Q45" s="888"/>
      <c r="R45" s="888"/>
      <c r="S45" s="888"/>
      <c r="T45" s="888"/>
      <c r="U45" s="888"/>
      <c r="V45" s="888"/>
      <c r="W45" s="888"/>
      <c r="X45" s="772"/>
      <c r="Y45" s="282"/>
      <c r="Z45" s="279"/>
      <c r="AA45" s="888"/>
      <c r="AB45" s="888"/>
      <c r="AC45" s="888"/>
      <c r="AD45" s="888"/>
      <c r="AE45" s="888"/>
      <c r="AF45" s="888"/>
      <c r="AG45" s="888"/>
      <c r="AH45" s="888"/>
      <c r="AI45" s="888"/>
      <c r="AJ45" s="772"/>
      <c r="AK45" s="282"/>
      <c r="AL45" s="773"/>
      <c r="AM45" s="888"/>
      <c r="AN45" s="888"/>
      <c r="AO45" s="888"/>
      <c r="AP45" s="888"/>
      <c r="AQ45" s="888"/>
      <c r="AR45" s="888"/>
      <c r="AS45" s="888"/>
      <c r="AT45" s="888"/>
      <c r="AU45" s="888"/>
      <c r="AV45" s="772"/>
      <c r="AW45" s="282"/>
      <c r="AX45" s="773"/>
      <c r="AY45" s="888"/>
      <c r="AZ45" s="888"/>
      <c r="BA45" s="888"/>
      <c r="BB45" s="888"/>
      <c r="BC45" s="888"/>
      <c r="BD45" s="888"/>
      <c r="BE45" s="888"/>
      <c r="BF45" s="888"/>
      <c r="BG45" s="888"/>
      <c r="BH45" s="261"/>
    </row>
    <row r="46" spans="1:60" x14ac:dyDescent="0.2">
      <c r="A46" s="655"/>
      <c r="B46" s="492" t="s">
        <v>141</v>
      </c>
      <c r="C46" s="739" t="s">
        <v>127</v>
      </c>
      <c r="D46" s="751"/>
      <c r="E46" s="182" t="s">
        <v>153</v>
      </c>
      <c r="F46" s="182"/>
      <c r="G46" s="182"/>
      <c r="H46" s="183" t="s">
        <v>70</v>
      </c>
      <c r="I46" s="114"/>
      <c r="J46" s="711"/>
      <c r="K46" s="97"/>
      <c r="L46" s="97"/>
      <c r="M46" s="224"/>
      <c r="N46" s="99"/>
      <c r="O46" s="886"/>
      <c r="P46" s="886"/>
      <c r="Q46" s="886"/>
      <c r="R46" s="886"/>
      <c r="S46" s="886"/>
      <c r="T46" s="886"/>
      <c r="U46" s="886"/>
      <c r="V46" s="886"/>
      <c r="W46" s="886"/>
      <c r="X46" s="768"/>
      <c r="Y46" s="224"/>
      <c r="Z46" s="236"/>
      <c r="AA46" s="886"/>
      <c r="AB46" s="886"/>
      <c r="AC46" s="886"/>
      <c r="AD46" s="886"/>
      <c r="AE46" s="886"/>
      <c r="AF46" s="886"/>
      <c r="AG46" s="886"/>
      <c r="AH46" s="886"/>
      <c r="AI46" s="886"/>
      <c r="AJ46" s="768"/>
      <c r="AK46" s="224"/>
      <c r="AL46" s="770"/>
      <c r="AM46" s="886"/>
      <c r="AN46" s="886"/>
      <c r="AO46" s="886"/>
      <c r="AP46" s="886"/>
      <c r="AQ46" s="886"/>
      <c r="AR46" s="886"/>
      <c r="AS46" s="886"/>
      <c r="AT46" s="886"/>
      <c r="AU46" s="886"/>
      <c r="AV46" s="768"/>
      <c r="AW46" s="224"/>
      <c r="AX46" s="770"/>
      <c r="AY46" s="886"/>
      <c r="AZ46" s="886"/>
      <c r="BA46" s="886"/>
      <c r="BB46" s="886"/>
      <c r="BC46" s="886"/>
      <c r="BD46" s="886"/>
      <c r="BE46" s="886"/>
      <c r="BF46" s="886"/>
      <c r="BG46" s="886"/>
      <c r="BH46" s="262"/>
    </row>
    <row r="47" spans="1:60" x14ac:dyDescent="0.2">
      <c r="A47" s="655"/>
      <c r="B47" s="492" t="s">
        <v>141</v>
      </c>
      <c r="C47" s="739" t="s">
        <v>127</v>
      </c>
      <c r="D47" s="751"/>
      <c r="E47" s="182" t="s">
        <v>155</v>
      </c>
      <c r="F47" s="182"/>
      <c r="G47" s="182"/>
      <c r="H47" s="183" t="s">
        <v>70</v>
      </c>
      <c r="I47" s="114"/>
      <c r="J47" s="711"/>
      <c r="K47" s="97"/>
      <c r="L47" s="97"/>
      <c r="M47" s="224"/>
      <c r="N47" s="99"/>
      <c r="O47" s="886" t="s">
        <v>156</v>
      </c>
      <c r="P47" s="886" t="s">
        <v>156</v>
      </c>
      <c r="Q47" s="886" t="s">
        <v>156</v>
      </c>
      <c r="R47" s="886" t="s">
        <v>156</v>
      </c>
      <c r="S47" s="886" t="s">
        <v>156</v>
      </c>
      <c r="T47" s="886" t="s">
        <v>156</v>
      </c>
      <c r="U47" s="886" t="s">
        <v>156</v>
      </c>
      <c r="V47" s="886" t="s">
        <v>156</v>
      </c>
      <c r="W47" s="886" t="s">
        <v>156</v>
      </c>
      <c r="X47" s="768"/>
      <c r="Y47" s="224"/>
      <c r="Z47" s="236"/>
      <c r="AA47" s="886" t="s">
        <v>156</v>
      </c>
      <c r="AB47" s="886" t="s">
        <v>156</v>
      </c>
      <c r="AC47" s="886" t="s">
        <v>156</v>
      </c>
      <c r="AD47" s="886" t="s">
        <v>156</v>
      </c>
      <c r="AE47" s="886" t="s">
        <v>156</v>
      </c>
      <c r="AF47" s="886" t="s">
        <v>156</v>
      </c>
      <c r="AG47" s="886" t="s">
        <v>156</v>
      </c>
      <c r="AH47" s="886" t="s">
        <v>156</v>
      </c>
      <c r="AI47" s="886" t="s">
        <v>156</v>
      </c>
      <c r="AJ47" s="768"/>
      <c r="AK47" s="224"/>
      <c r="AL47" s="770"/>
      <c r="AM47" s="886" t="s">
        <v>156</v>
      </c>
      <c r="AN47" s="886" t="s">
        <v>156</v>
      </c>
      <c r="AO47" s="886" t="s">
        <v>156</v>
      </c>
      <c r="AP47" s="886" t="s">
        <v>156</v>
      </c>
      <c r="AQ47" s="886" t="s">
        <v>156</v>
      </c>
      <c r="AR47" s="886" t="s">
        <v>156</v>
      </c>
      <c r="AS47" s="886" t="s">
        <v>156</v>
      </c>
      <c r="AT47" s="886" t="s">
        <v>156</v>
      </c>
      <c r="AU47" s="886" t="s">
        <v>156</v>
      </c>
      <c r="AV47" s="768"/>
      <c r="AW47" s="224"/>
      <c r="AX47" s="770"/>
      <c r="AY47" s="886" t="s">
        <v>156</v>
      </c>
      <c r="AZ47" s="886" t="s">
        <v>156</v>
      </c>
      <c r="BA47" s="886" t="s">
        <v>156</v>
      </c>
      <c r="BB47" s="886" t="s">
        <v>156</v>
      </c>
      <c r="BC47" s="886" t="s">
        <v>156</v>
      </c>
      <c r="BD47" s="886" t="s">
        <v>156</v>
      </c>
      <c r="BE47" s="886" t="s">
        <v>156</v>
      </c>
      <c r="BF47" s="886" t="s">
        <v>156</v>
      </c>
      <c r="BG47" s="886" t="s">
        <v>156</v>
      </c>
      <c r="BH47" s="262"/>
    </row>
    <row r="48" spans="1:60" x14ac:dyDescent="0.2">
      <c r="A48" s="655"/>
      <c r="B48" s="492" t="s">
        <v>141</v>
      </c>
      <c r="C48" s="739" t="s">
        <v>127</v>
      </c>
      <c r="D48" s="750" t="s">
        <v>50</v>
      </c>
      <c r="E48" s="182" t="s">
        <v>157</v>
      </c>
      <c r="F48" s="182"/>
      <c r="G48" s="182"/>
      <c r="H48" s="183" t="s">
        <v>150</v>
      </c>
      <c r="I48" s="210"/>
      <c r="J48" s="224"/>
      <c r="K48" s="90"/>
      <c r="L48" s="90"/>
      <c r="M48" s="224"/>
      <c r="N48" s="99"/>
      <c r="O48" s="887">
        <v>0</v>
      </c>
      <c r="P48" s="887">
        <v>0</v>
      </c>
      <c r="Q48" s="887">
        <v>0</v>
      </c>
      <c r="R48" s="887">
        <v>0</v>
      </c>
      <c r="S48" s="887">
        <v>0</v>
      </c>
      <c r="T48" s="887">
        <v>0</v>
      </c>
      <c r="U48" s="887">
        <v>0</v>
      </c>
      <c r="V48" s="887">
        <v>0</v>
      </c>
      <c r="W48" s="887">
        <v>0</v>
      </c>
      <c r="X48" s="767"/>
      <c r="Y48" s="224"/>
      <c r="Z48" s="236"/>
      <c r="AA48" s="887">
        <v>0</v>
      </c>
      <c r="AB48" s="887">
        <v>0</v>
      </c>
      <c r="AC48" s="887">
        <v>0</v>
      </c>
      <c r="AD48" s="887">
        <v>0</v>
      </c>
      <c r="AE48" s="887">
        <v>0</v>
      </c>
      <c r="AF48" s="887">
        <v>0</v>
      </c>
      <c r="AG48" s="887">
        <v>0</v>
      </c>
      <c r="AH48" s="887">
        <v>0</v>
      </c>
      <c r="AI48" s="887">
        <v>0</v>
      </c>
      <c r="AJ48" s="767"/>
      <c r="AK48" s="224"/>
      <c r="AL48" s="771"/>
      <c r="AM48" s="887">
        <v>0</v>
      </c>
      <c r="AN48" s="887">
        <v>0</v>
      </c>
      <c r="AO48" s="887">
        <v>0</v>
      </c>
      <c r="AP48" s="887">
        <v>0</v>
      </c>
      <c r="AQ48" s="887">
        <v>0</v>
      </c>
      <c r="AR48" s="887">
        <v>0</v>
      </c>
      <c r="AS48" s="887">
        <v>0</v>
      </c>
      <c r="AT48" s="887">
        <v>0</v>
      </c>
      <c r="AU48" s="887">
        <v>0</v>
      </c>
      <c r="AV48" s="767"/>
      <c r="AW48" s="224"/>
      <c r="AX48" s="771"/>
      <c r="AY48" s="887">
        <v>0</v>
      </c>
      <c r="AZ48" s="887">
        <v>0</v>
      </c>
      <c r="BA48" s="887">
        <v>0</v>
      </c>
      <c r="BB48" s="887">
        <v>0</v>
      </c>
      <c r="BC48" s="887">
        <v>0</v>
      </c>
      <c r="BD48" s="887">
        <v>0</v>
      </c>
      <c r="BE48" s="887">
        <v>0</v>
      </c>
      <c r="BF48" s="887">
        <v>0</v>
      </c>
      <c r="BG48" s="887">
        <v>0</v>
      </c>
      <c r="BH48" s="261"/>
    </row>
    <row r="49" spans="1:60" ht="18.75" x14ac:dyDescent="0.2">
      <c r="A49" s="653"/>
      <c r="B49" s="492" t="s">
        <v>158</v>
      </c>
      <c r="C49" s="739" t="s">
        <v>104</v>
      </c>
      <c r="D49" s="749"/>
      <c r="E49" s="708" t="s">
        <v>159</v>
      </c>
      <c r="F49" s="167"/>
      <c r="G49" s="167"/>
      <c r="H49" s="89"/>
      <c r="I49" s="169"/>
      <c r="J49" s="170"/>
      <c r="K49" s="142"/>
      <c r="L49" s="142"/>
      <c r="M49" s="186"/>
      <c r="N49" s="186"/>
      <c r="O49" s="186"/>
      <c r="P49" s="186"/>
      <c r="Q49" s="186"/>
      <c r="R49" s="186"/>
      <c r="S49" s="186"/>
      <c r="T49" s="186"/>
      <c r="U49" s="186"/>
      <c r="V49" s="186"/>
      <c r="W49" s="186"/>
      <c r="X49" s="173"/>
      <c r="Y49" s="172"/>
      <c r="Z49" s="172"/>
      <c r="AA49" s="172"/>
      <c r="AB49" s="172"/>
      <c r="AC49" s="172"/>
      <c r="AD49" s="172"/>
      <c r="AE49" s="172"/>
      <c r="AF49" s="172"/>
      <c r="AG49" s="172"/>
      <c r="AH49" s="172"/>
      <c r="AI49" s="172"/>
      <c r="AJ49" s="173"/>
      <c r="AK49" s="172"/>
      <c r="AL49" s="172"/>
      <c r="AM49" s="172"/>
      <c r="AN49" s="172"/>
      <c r="AO49" s="172"/>
      <c r="AP49" s="172"/>
      <c r="AQ49" s="172"/>
      <c r="AR49" s="172"/>
      <c r="AS49" s="172"/>
      <c r="AT49" s="172"/>
      <c r="AU49" s="172"/>
      <c r="AV49" s="173"/>
      <c r="AW49" s="172"/>
      <c r="AX49" s="172"/>
      <c r="AY49" s="172"/>
      <c r="AZ49" s="172"/>
      <c r="BA49" s="172"/>
      <c r="BB49" s="172"/>
      <c r="BC49" s="172"/>
      <c r="BD49" s="172"/>
      <c r="BE49" s="172"/>
      <c r="BF49" s="172"/>
      <c r="BG49" s="172"/>
      <c r="BH49" s="263"/>
    </row>
    <row r="50" spans="1:60" x14ac:dyDescent="0.2">
      <c r="A50" s="655"/>
      <c r="B50" s="492" t="s">
        <v>141</v>
      </c>
      <c r="C50" s="739" t="s">
        <v>127</v>
      </c>
      <c r="D50" s="751"/>
      <c r="E50" s="182" t="s">
        <v>160</v>
      </c>
      <c r="F50" s="182"/>
      <c r="G50" s="182"/>
      <c r="H50" s="183" t="s">
        <v>70</v>
      </c>
      <c r="I50" s="116"/>
      <c r="J50" s="774" t="str">
        <f>IF(COUNTIF(N50:X50,"nee")&gt;0,"nee: locatie 1",
IF(COUNTIF(Z50:AJ50,"nee")&gt;0,"nee: locatie 2",
IF(COUNTIF(AL50:AV50,"nee")&gt;0,"nee: locatie 3",
IF(COUNTIF(AX50:BH50,"nee")&gt;0,"nee: locatie 4",
"OK"))))</f>
        <v>OK</v>
      </c>
      <c r="K50" s="818"/>
      <c r="L50" s="818"/>
      <c r="M50" s="224"/>
      <c r="N50" s="775"/>
      <c r="O50" s="776" t="str">
        <f>IF(OR(O$19="",O$24=0),"",IF(OR(O$40="",O$42="",AND(O$42&lt;&gt;bibliotheek!$E$51,O$43=""),O$44="",AND(O$21&lt;&gt;woning,O$21&lt;&gt;woongebouw,O$45=""),AND(O$21&lt;&gt;woning,O$21&lt;&gt;woongebouw,O$46=""),AND(OR(O$21=woning,O$21=woongebouw),O$47=""),O$48=""),"nee","ja"))</f>
        <v/>
      </c>
      <c r="P50" s="776" t="str">
        <f>IF(OR(P$19="",P$24=0),"",IF(OR(P$40="",P$42="",AND(P$42&lt;&gt;bibliotheek!$E$51,P$43=""),P$44="",AND(P$21&lt;&gt;woning,P$21&lt;&gt;woongebouw,P$45=""),AND(P$21&lt;&gt;woning,P$21&lt;&gt;woongebouw,P$46=""),AND(OR(P$21=woning,P$21=woongebouw),P$47=""),P$48=""),"nee","ja"))</f>
        <v/>
      </c>
      <c r="Q50" s="776" t="str">
        <f>IF(OR(Q$19="",Q$24=0),"",IF(OR(Q$40="",Q$42="",AND(Q$42&lt;&gt;bibliotheek!$E$51,Q$43=""),Q$44="",AND(Q$21&lt;&gt;woning,Q$21&lt;&gt;woongebouw,Q$45=""),AND(Q$21&lt;&gt;woning,Q$21&lt;&gt;woongebouw,Q$46=""),AND(OR(Q$21=woning,Q$21=woongebouw),Q$47=""),Q$48=""),"nee","ja"))</f>
        <v/>
      </c>
      <c r="R50" s="776" t="str">
        <f>IF(OR(R$19="",R$24=0),"",IF(OR(R$40="",R$42="",AND(R$42&lt;&gt;bibliotheek!$E$51,R$43=""),R$44="",AND(R$21&lt;&gt;woning,R$21&lt;&gt;woongebouw,R$45=""),AND(R$21&lt;&gt;woning,R$21&lt;&gt;woongebouw,R$46=""),AND(OR(R$21=woning,R$21=woongebouw),R$47=""),R$48=""),"nee","ja"))</f>
        <v/>
      </c>
      <c r="S50" s="776" t="str">
        <f>IF(OR(S$19="",S$24=0),"",IF(OR(S$40="",S$42="",AND(S$42&lt;&gt;bibliotheek!$E$51,S$43=""),S$44="",AND(S$21&lt;&gt;woning,S$21&lt;&gt;woongebouw,S$45=""),AND(S$21&lt;&gt;woning,S$21&lt;&gt;woongebouw,S$46=""),AND(OR(S$21=woning,S$21=woongebouw),S$47=""),S$48=""),"nee","ja"))</f>
        <v/>
      </c>
      <c r="T50" s="776" t="str">
        <f>IF(OR(T$19="",T$24=0),"",IF(OR(T$40="",T$42="",AND(T$42&lt;&gt;bibliotheek!$E$51,T$43=""),T$44="",AND(T$21&lt;&gt;woning,T$21&lt;&gt;woongebouw,T$45=""),AND(T$21&lt;&gt;woning,T$21&lt;&gt;woongebouw,T$46=""),AND(OR(T$21=woning,T$21=woongebouw),T$47=""),T$48=""),"nee","ja"))</f>
        <v/>
      </c>
      <c r="U50" s="776" t="str">
        <f>IF(OR(U$19="",U$24=0),"",IF(OR(U$40="",U$42="",AND(U$42&lt;&gt;bibliotheek!$E$51,U$43=""),U$44="",AND(U$21&lt;&gt;woning,U$21&lt;&gt;woongebouw,U$45=""),AND(U$21&lt;&gt;woning,U$21&lt;&gt;woongebouw,U$46=""),AND(OR(U$21=woning,U$21=woongebouw),U$47=""),U$48=""),"nee","ja"))</f>
        <v/>
      </c>
      <c r="V50" s="776" t="str">
        <f>IF(OR(V$19="",V$24=0),"",IF(OR(V$40="",V$42="",AND(V$42&lt;&gt;bibliotheek!$E$51,V$43=""),V$44="",AND(V$21&lt;&gt;woning,V$21&lt;&gt;woongebouw,V$45=""),AND(V$21&lt;&gt;woning,V$21&lt;&gt;woongebouw,V$46=""),AND(OR(V$21=woning,V$21=woongebouw),V$47=""),V$48=""),"nee","ja"))</f>
        <v/>
      </c>
      <c r="W50" s="776" t="str">
        <f>IF(OR(W$19="",W$24=0),"",IF(OR(W$40="",W$42="",AND(W$42&lt;&gt;bibliotheek!$E$51,W$43=""),W$44="",AND(W$21&lt;&gt;woning,W$21&lt;&gt;woongebouw,W$45=""),AND(W$21&lt;&gt;woning,W$21&lt;&gt;woongebouw,W$46=""),AND(OR(W$21=woning,W$21=woongebouw),W$47=""),W$48=""),"nee","ja"))</f>
        <v/>
      </c>
      <c r="X50" s="777"/>
      <c r="Y50" s="224"/>
      <c r="Z50" s="236"/>
      <c r="AA50" s="776" t="str">
        <f>IF(OR(AA$19="",AA$24=0),"",IF(OR(AA$40="",AA$42="",AND(AA$42&lt;&gt;bibliotheek!$E$51,AA$43=""),AA$44="",AND(AA$21&lt;&gt;woning,AA$21&lt;&gt;woongebouw,AA$45=""),AND(AA$21&lt;&gt;woning,AA$21&lt;&gt;woongebouw,AA$46=""),AND(OR(AA$21=woning,AA$21=woongebouw),AA$47=""),AA$48=""),"nee","ja"))</f>
        <v/>
      </c>
      <c r="AB50" s="776" t="str">
        <f>IF(OR(AB$19="",AB$24=0),"",IF(OR(AB$40="",AB$42="",AND(AB$42&lt;&gt;bibliotheek!$E$51,AB$43=""),AB$44="",AND(AB$21&lt;&gt;woning,AB$21&lt;&gt;woongebouw,AB$45=""),AND(AB$21&lt;&gt;woning,AB$21&lt;&gt;woongebouw,AB$46=""),AND(OR(AB$21=woning,AB$21=woongebouw),AB$47=""),AB$48=""),"nee","ja"))</f>
        <v/>
      </c>
      <c r="AC50" s="776" t="str">
        <f>IF(OR(AC$19="",AC$24=0),"",IF(OR(AC$40="",AC$42="",AND(AC$42&lt;&gt;bibliotheek!$E$51,AC$43=""),AC$44="",AND(AC$21&lt;&gt;woning,AC$21&lt;&gt;woongebouw,AC$45=""),AND(AC$21&lt;&gt;woning,AC$21&lt;&gt;woongebouw,AC$46=""),AND(OR(AC$21=woning,AC$21=woongebouw),AC$47=""),AC$48=""),"nee","ja"))</f>
        <v/>
      </c>
      <c r="AD50" s="776" t="str">
        <f>IF(OR(AD$19="",AD$24=0),"",IF(OR(AD$40="",AD$42="",AND(AD$42&lt;&gt;bibliotheek!$E$51,AD$43=""),AD$44="",AND(AD$21&lt;&gt;woning,AD$21&lt;&gt;woongebouw,AD$45=""),AND(AD$21&lt;&gt;woning,AD$21&lt;&gt;woongebouw,AD$46=""),AND(OR(AD$21=woning,AD$21=woongebouw),AD$47=""),AD$48=""),"nee","ja"))</f>
        <v/>
      </c>
      <c r="AE50" s="776" t="str">
        <f>IF(OR(AE$19="",AE$24=0),"",IF(OR(AE$40="",AE$42="",AND(AE$42&lt;&gt;bibliotheek!$E$51,AE$43=""),AE$44="",AND(AE$21&lt;&gt;woning,AE$21&lt;&gt;woongebouw,AE$45=""),AND(AE$21&lt;&gt;woning,AE$21&lt;&gt;woongebouw,AE$46=""),AND(OR(AE$21=woning,AE$21=woongebouw),AE$47=""),AE$48=""),"nee","ja"))</f>
        <v/>
      </c>
      <c r="AF50" s="776" t="str">
        <f>IF(OR(AF$19="",AF$24=0),"",IF(OR(AF$40="",AF$42="",AND(AF$42&lt;&gt;bibliotheek!$E$51,AF$43=""),AF$44="",AND(AF$21&lt;&gt;woning,AF$21&lt;&gt;woongebouw,AF$45=""),AND(AF$21&lt;&gt;woning,AF$21&lt;&gt;woongebouw,AF$46=""),AND(OR(AF$21=woning,AF$21=woongebouw),AF$47=""),AF$48=""),"nee","ja"))</f>
        <v/>
      </c>
      <c r="AG50" s="776" t="str">
        <f>IF(OR(AG$19="",AG$24=0),"",IF(OR(AG$40="",AG$42="",AND(AG$42&lt;&gt;bibliotheek!$E$51,AG$43=""),AG$44="",AND(AG$21&lt;&gt;woning,AG$21&lt;&gt;woongebouw,AG$45=""),AND(AG$21&lt;&gt;woning,AG$21&lt;&gt;woongebouw,AG$46=""),AND(OR(AG$21=woning,AG$21=woongebouw),AG$47=""),AG$48=""),"nee","ja"))</f>
        <v/>
      </c>
      <c r="AH50" s="776" t="str">
        <f>IF(OR(AH$19="",AH$24=0),"",IF(OR(AH$40="",AH$42="",AND(AH$42&lt;&gt;bibliotheek!$E$51,AH$43=""),AH$44="",AND(AH$21&lt;&gt;woning,AH$21&lt;&gt;woongebouw,AH$45=""),AND(AH$21&lt;&gt;woning,AH$21&lt;&gt;woongebouw,AH$46=""),AND(OR(AH$21=woning,AH$21=woongebouw),AH$47=""),AH$48=""),"nee","ja"))</f>
        <v/>
      </c>
      <c r="AI50" s="776" t="str">
        <f>IF(OR(AI$19="",AI$24=0),"",IF(OR(AI$40="",AI$42="",AND(AI$42&lt;&gt;bibliotheek!$E$51,AI$43=""),AI$44="",AND(AI$21&lt;&gt;woning,AI$21&lt;&gt;woongebouw,AI$45=""),AND(AI$21&lt;&gt;woning,AI$21&lt;&gt;woongebouw,AI$46=""),AND(OR(AI$21=woning,AI$21=woongebouw),AI$47=""),AI$48=""),"nee","ja"))</f>
        <v/>
      </c>
      <c r="AJ50" s="777"/>
      <c r="AK50" s="224"/>
      <c r="AL50" s="778"/>
      <c r="AM50" s="776" t="str">
        <f>IF(OR(AM$19="",AM$24=0),"",IF(OR(AM$40="",AM$42="",AND(AM$42&lt;&gt;bibliotheek!$E$51,AM$43=""),AM$44="",AND(AM$21&lt;&gt;woning,AM$21&lt;&gt;woongebouw,AM$45=""),AND(AM$21&lt;&gt;woning,AM$21&lt;&gt;woongebouw,AM$46=""),AND(OR(AM$21=woning,AM$21=woongebouw),AM$47=""),AM$48=""),"nee","ja"))</f>
        <v/>
      </c>
      <c r="AN50" s="776" t="str">
        <f>IF(OR(AN$19="",AN$24=0),"",IF(OR(AN$40="",AN$42="",AND(AN$42&lt;&gt;bibliotheek!$E$51,AN$43=""),AN$44="",AND(AN$21&lt;&gt;woning,AN$21&lt;&gt;woongebouw,AN$45=""),AND(AN$21&lt;&gt;woning,AN$21&lt;&gt;woongebouw,AN$46=""),AND(OR(AN$21=woning,AN$21=woongebouw),AN$47=""),AN$48=""),"nee","ja"))</f>
        <v/>
      </c>
      <c r="AO50" s="776" t="str">
        <f>IF(OR(AO$19="",AO$24=0),"",IF(OR(AO$40="",AO$42="",AND(AO$42&lt;&gt;bibliotheek!$E$51,AO$43=""),AO$44="",AND(AO$21&lt;&gt;woning,AO$21&lt;&gt;woongebouw,AO$45=""),AND(AO$21&lt;&gt;woning,AO$21&lt;&gt;woongebouw,AO$46=""),AND(OR(AO$21=woning,AO$21=woongebouw),AO$47=""),AO$48=""),"nee","ja"))</f>
        <v/>
      </c>
      <c r="AP50" s="776" t="str">
        <f>IF(OR(AP$19="",AP$24=0),"",IF(OR(AP$40="",AP$42="",AND(AP$42&lt;&gt;bibliotheek!$E$51,AP$43=""),AP$44="",AND(AP$21&lt;&gt;woning,AP$21&lt;&gt;woongebouw,AP$45=""),AND(AP$21&lt;&gt;woning,AP$21&lt;&gt;woongebouw,AP$46=""),AND(OR(AP$21=woning,AP$21=woongebouw),AP$47=""),AP$48=""),"nee","ja"))</f>
        <v/>
      </c>
      <c r="AQ50" s="776" t="str">
        <f>IF(OR(AQ$19="",AQ$24=0),"",IF(OR(AQ$40="",AQ$42="",AND(AQ$42&lt;&gt;bibliotheek!$E$51,AQ$43=""),AQ$44="",AND(AQ$21&lt;&gt;woning,AQ$21&lt;&gt;woongebouw,AQ$45=""),AND(AQ$21&lt;&gt;woning,AQ$21&lt;&gt;woongebouw,AQ$46=""),AND(OR(AQ$21=woning,AQ$21=woongebouw),AQ$47=""),AQ$48=""),"nee","ja"))</f>
        <v/>
      </c>
      <c r="AR50" s="776" t="str">
        <f>IF(OR(AR$19="",AR$24=0),"",IF(OR(AR$40="",AR$42="",AND(AR$42&lt;&gt;bibliotheek!$E$51,AR$43=""),AR$44="",AND(AR$21&lt;&gt;woning,AR$21&lt;&gt;woongebouw,AR$45=""),AND(AR$21&lt;&gt;woning,AR$21&lt;&gt;woongebouw,AR$46=""),AND(OR(AR$21=woning,AR$21=woongebouw),AR$47=""),AR$48=""),"nee","ja"))</f>
        <v/>
      </c>
      <c r="AS50" s="776" t="str">
        <f>IF(OR(AS$19="",AS$24=0),"",IF(OR(AS$40="",AS$42="",AND(AS$42&lt;&gt;bibliotheek!$E$51,AS$43=""),AS$44="",AND(AS$21&lt;&gt;woning,AS$21&lt;&gt;woongebouw,AS$45=""),AND(AS$21&lt;&gt;woning,AS$21&lt;&gt;woongebouw,AS$46=""),AND(OR(AS$21=woning,AS$21=woongebouw),AS$47=""),AS$48=""),"nee","ja"))</f>
        <v/>
      </c>
      <c r="AT50" s="776" t="str">
        <f>IF(OR(AT$19="",AT$24=0),"",IF(OR(AT$40="",AT$42="",AND(AT$42&lt;&gt;bibliotheek!$E$51,AT$43=""),AT$44="",AND(AT$21&lt;&gt;woning,AT$21&lt;&gt;woongebouw,AT$45=""),AND(AT$21&lt;&gt;woning,AT$21&lt;&gt;woongebouw,AT$46=""),AND(OR(AT$21=woning,AT$21=woongebouw),AT$47=""),AT$48=""),"nee","ja"))</f>
        <v/>
      </c>
      <c r="AU50" s="776" t="str">
        <f>IF(OR(AU$19="",AU$24=0),"",IF(OR(AU$40="",AU$42="",AND(AU$42&lt;&gt;bibliotheek!$E$51,AU$43=""),AU$44="",AND(AU$21&lt;&gt;woning,AU$21&lt;&gt;woongebouw,AU$45=""),AND(AU$21&lt;&gt;woning,AU$21&lt;&gt;woongebouw,AU$46=""),AND(OR(AU$21=woning,AU$21=woongebouw),AU$47=""),AU$48=""),"nee","ja"))</f>
        <v/>
      </c>
      <c r="AV50" s="777"/>
      <c r="AW50" s="224"/>
      <c r="AX50" s="778"/>
      <c r="AY50" s="776" t="str">
        <f>IF(OR(AY$19="",AY$24=0),"",IF(OR(AY$40="",AY$42="",AND(AY$42&lt;&gt;bibliotheek!$E$51,AY$43=""),AY$44="",AND(AY$21&lt;&gt;woning,AY$21&lt;&gt;woongebouw,AY$45=""),AND(AY$21&lt;&gt;woning,AY$21&lt;&gt;woongebouw,AY$46=""),AND(OR(AY$21=woning,AY$21=woongebouw),AY$47=""),AY$48=""),"nee","ja"))</f>
        <v/>
      </c>
      <c r="AZ50" s="776" t="str">
        <f>IF(OR(AZ$19="",AZ$24=0),"",IF(OR(AZ$40="",AZ$42="",AND(AZ$42&lt;&gt;bibliotheek!$E$51,AZ$43=""),AZ$44="",AND(AZ$21&lt;&gt;woning,AZ$21&lt;&gt;woongebouw,AZ$45=""),AND(AZ$21&lt;&gt;woning,AZ$21&lt;&gt;woongebouw,AZ$46=""),AND(OR(AZ$21=woning,AZ$21=woongebouw),AZ$47=""),AZ$48=""),"nee","ja"))</f>
        <v/>
      </c>
      <c r="BA50" s="776" t="str">
        <f>IF(OR(BA$19="",BA$24=0),"",IF(OR(BA$40="",BA$42="",AND(BA$42&lt;&gt;bibliotheek!$E$51,BA$43=""),BA$44="",AND(BA$21&lt;&gt;woning,BA$21&lt;&gt;woongebouw,BA$45=""),AND(BA$21&lt;&gt;woning,BA$21&lt;&gt;woongebouw,BA$46=""),AND(OR(BA$21=woning,BA$21=woongebouw),BA$47=""),BA$48=""),"nee","ja"))</f>
        <v/>
      </c>
      <c r="BB50" s="776" t="str">
        <f>IF(OR(BB$19="",BB$24=0),"",IF(OR(BB$40="",BB$42="",AND(BB$42&lt;&gt;bibliotheek!$E$51,BB$43=""),BB$44="",AND(BB$21&lt;&gt;woning,BB$21&lt;&gt;woongebouw,BB$45=""),AND(BB$21&lt;&gt;woning,BB$21&lt;&gt;woongebouw,BB$46=""),AND(OR(BB$21=woning,BB$21=woongebouw),BB$47=""),BB$48=""),"nee","ja"))</f>
        <v/>
      </c>
      <c r="BC50" s="776" t="str">
        <f>IF(OR(BC$19="",BC$24=0),"",IF(OR(BC$40="",BC$42="",AND(BC$42&lt;&gt;bibliotheek!$E$51,BC$43=""),BC$44="",AND(BC$21&lt;&gt;woning,BC$21&lt;&gt;woongebouw,BC$45=""),AND(BC$21&lt;&gt;woning,BC$21&lt;&gt;woongebouw,BC$46=""),AND(OR(BC$21=woning,BC$21=woongebouw),BC$47=""),BC$48=""),"nee","ja"))</f>
        <v/>
      </c>
      <c r="BD50" s="776" t="str">
        <f>IF(OR(BD$19="",BD$24=0),"",IF(OR(BD$40="",BD$42="",AND(BD$42&lt;&gt;bibliotheek!$E$51,BD$43=""),BD$44="",AND(BD$21&lt;&gt;woning,BD$21&lt;&gt;woongebouw,BD$45=""),AND(BD$21&lt;&gt;woning,BD$21&lt;&gt;woongebouw,BD$46=""),AND(OR(BD$21=woning,BD$21=woongebouw),BD$47=""),BD$48=""),"nee","ja"))</f>
        <v/>
      </c>
      <c r="BE50" s="776" t="str">
        <f>IF(OR(BE$19="",BE$24=0),"",IF(OR(BE$40="",BE$42="",AND(BE$42&lt;&gt;bibliotheek!$E$51,BE$43=""),BE$44="",AND(BE$21&lt;&gt;woning,BE$21&lt;&gt;woongebouw,BE$45=""),AND(BE$21&lt;&gt;woning,BE$21&lt;&gt;woongebouw,BE$46=""),AND(OR(BE$21=woning,BE$21=woongebouw),BE$47=""),BE$48=""),"nee","ja"))</f>
        <v/>
      </c>
      <c r="BF50" s="776" t="str">
        <f>IF(OR(BF$19="",BF$24=0),"",IF(OR(BF$40="",BF$42="",AND(BF$42&lt;&gt;bibliotheek!$E$51,BF$43=""),BF$44="",AND(BF$21&lt;&gt;woning,BF$21&lt;&gt;woongebouw,BF$45=""),AND(BF$21&lt;&gt;woning,BF$21&lt;&gt;woongebouw,BF$46=""),AND(OR(BF$21=woning,BF$21=woongebouw),BF$47=""),BF$48=""),"nee","ja"))</f>
        <v/>
      </c>
      <c r="BG50" s="776" t="str">
        <f>IF(OR(BG$19="",BG$24=0),"",IF(OR(BG$40="",BG$42="",AND(BG$42&lt;&gt;bibliotheek!$E$51,BG$43=""),BG$44="",AND(BG$21&lt;&gt;woning,BG$21&lt;&gt;woongebouw,BG$45=""),AND(BG$21&lt;&gt;woning,BG$21&lt;&gt;woongebouw,BG$46=""),AND(OR(BG$21=woning,BG$21=woongebouw),BG$47=""),BG$48=""),"nee","ja"))</f>
        <v/>
      </c>
      <c r="BH50" s="261"/>
    </row>
    <row r="51" spans="1:60" ht="18.75" x14ac:dyDescent="0.2">
      <c r="A51" s="653"/>
      <c r="B51" s="492" t="s">
        <v>158</v>
      </c>
      <c r="C51" s="739" t="s">
        <v>104</v>
      </c>
      <c r="D51" s="749"/>
      <c r="E51" s="708" t="s">
        <v>161</v>
      </c>
      <c r="F51" s="167"/>
      <c r="G51" s="167"/>
      <c r="H51" s="89"/>
      <c r="I51" s="169"/>
      <c r="J51" s="170"/>
      <c r="K51" s="142"/>
      <c r="L51" s="142"/>
      <c r="M51" s="186"/>
      <c r="N51" s="186"/>
      <c r="O51" s="186"/>
      <c r="P51" s="186"/>
      <c r="Q51" s="186"/>
      <c r="R51" s="186"/>
      <c r="S51" s="186"/>
      <c r="T51" s="186"/>
      <c r="U51" s="186"/>
      <c r="V51" s="186"/>
      <c r="W51" s="186"/>
      <c r="X51" s="186"/>
      <c r="Y51" s="172"/>
      <c r="Z51" s="172"/>
      <c r="AA51" s="172"/>
      <c r="AB51" s="172"/>
      <c r="AC51" s="172"/>
      <c r="AD51" s="172"/>
      <c r="AE51" s="172"/>
      <c r="AF51" s="172"/>
      <c r="AG51" s="172"/>
      <c r="AH51" s="172"/>
      <c r="AI51" s="172"/>
      <c r="AJ51" s="173"/>
      <c r="AK51" s="172"/>
      <c r="AL51" s="172"/>
      <c r="AM51" s="172"/>
      <c r="AN51" s="172"/>
      <c r="AO51" s="172"/>
      <c r="AP51" s="172"/>
      <c r="AQ51" s="172"/>
      <c r="AR51" s="172"/>
      <c r="AS51" s="172"/>
      <c r="AT51" s="172"/>
      <c r="AU51" s="172"/>
      <c r="AV51" s="173"/>
      <c r="AW51" s="172"/>
      <c r="AX51" s="172"/>
      <c r="AY51" s="172"/>
      <c r="AZ51" s="172"/>
      <c r="BA51" s="172"/>
      <c r="BB51" s="172"/>
      <c r="BC51" s="172"/>
      <c r="BD51" s="172"/>
      <c r="BE51" s="172"/>
      <c r="BF51" s="172"/>
      <c r="BG51" s="172"/>
      <c r="BH51" s="263"/>
    </row>
    <row r="52" spans="1:60" x14ac:dyDescent="0.2">
      <c r="A52" s="655"/>
      <c r="B52" s="492" t="s">
        <v>141</v>
      </c>
      <c r="C52" s="739" t="s">
        <v>127</v>
      </c>
      <c r="D52" s="751"/>
      <c r="E52" s="182" t="s">
        <v>162</v>
      </c>
      <c r="F52" s="182"/>
      <c r="G52" s="182"/>
      <c r="H52" s="183" t="s">
        <v>163</v>
      </c>
      <c r="I52" s="116"/>
      <c r="J52" s="224"/>
      <c r="K52" s="819"/>
      <c r="L52" s="819"/>
      <c r="M52" s="224"/>
      <c r="N52" s="99"/>
      <c r="O52" s="1052" t="str">
        <f ca="1">IF(OR(O$19="",O$40=""),"",
SUMPRODUCT(
OFFSET(bibliotheek!$H$19,0,MATCH(O$19,woningen_gebouwen_namen,0)-1,ROWS(bibliotheek!$I$19:$I$24),1),
OFFSET(bibliotheek!$H$40,0,MATCH(O$40,isolatiepakketten_gebouwschil_namen,0)-1,ROWS(bibliotheek!$I$19:$I$24),1)) /
HLOOKUP(O$19,woningen_gebouwen_gegevens,ROWS(bibliotheek!$E$13:$E$25),FALSE))</f>
        <v/>
      </c>
      <c r="P52" s="1052" t="str">
        <f ca="1">IF(OR(P$19="",P$40=""),"",
SUMPRODUCT(
OFFSET(bibliotheek!$H$19,0,MATCH(P$19,woningen_gebouwen_namen,0)-1,ROWS(bibliotheek!$I$19:$I$24),1),
OFFSET(bibliotheek!$H$40,0,MATCH(P$40,isolatiepakketten_gebouwschil_namen,0)-1,ROWS(bibliotheek!$I$19:$I$24),1)) /
HLOOKUP(P$19,woningen_gebouwen_gegevens,ROWS(bibliotheek!$E$13:$E$25),FALSE))</f>
        <v/>
      </c>
      <c r="Q52" s="1052" t="str">
        <f ca="1">IF(OR(Q$19="",Q$40=""),"",
SUMPRODUCT(
OFFSET(bibliotheek!$H$19,0,MATCH(Q$19,woningen_gebouwen_namen,0)-1,ROWS(bibliotheek!$I$19:$I$24),1),
OFFSET(bibliotheek!$H$40,0,MATCH(Q$40,isolatiepakketten_gebouwschil_namen,0)-1,ROWS(bibliotheek!$I$19:$I$24),1)) /
HLOOKUP(Q$19,woningen_gebouwen_gegevens,ROWS(bibliotheek!$E$13:$E$25),FALSE))</f>
        <v/>
      </c>
      <c r="R52" s="1052" t="str">
        <f ca="1">IF(OR(R$19="",R$40=""),"",
SUMPRODUCT(
OFFSET(bibliotheek!$H$19,0,MATCH(R$19,woningen_gebouwen_namen,0)-1,ROWS(bibliotheek!$I$19:$I$24),1),
OFFSET(bibliotheek!$H$40,0,MATCH(R$40,isolatiepakketten_gebouwschil_namen,0)-1,ROWS(bibliotheek!$I$19:$I$24),1)) /
HLOOKUP(R$19,woningen_gebouwen_gegevens,ROWS(bibliotheek!$E$13:$E$25),FALSE))</f>
        <v/>
      </c>
      <c r="S52" s="1052" t="str">
        <f ca="1">IF(OR(S$19="",S$40=""),"",
SUMPRODUCT(
OFFSET(bibliotheek!$H$19,0,MATCH(S$19,woningen_gebouwen_namen,0)-1,ROWS(bibliotheek!$I$19:$I$24),1),
OFFSET(bibliotheek!$H$40,0,MATCH(S$40,isolatiepakketten_gebouwschil_namen,0)-1,ROWS(bibliotheek!$I$19:$I$24),1)) /
HLOOKUP(S$19,woningen_gebouwen_gegevens,ROWS(bibliotheek!$E$13:$E$25),FALSE))</f>
        <v/>
      </c>
      <c r="T52" s="1052" t="str">
        <f ca="1">IF(OR(T$19="",T$40=""),"",
SUMPRODUCT(
OFFSET(bibliotheek!$H$19,0,MATCH(T$19,woningen_gebouwen_namen,0)-1,ROWS(bibliotheek!$I$19:$I$24),1),
OFFSET(bibliotheek!$H$40,0,MATCH(T$40,isolatiepakketten_gebouwschil_namen,0)-1,ROWS(bibliotheek!$I$19:$I$24),1)) /
HLOOKUP(T$19,woningen_gebouwen_gegevens,ROWS(bibliotheek!$E$13:$E$25),FALSE))</f>
        <v/>
      </c>
      <c r="U52" s="1052" t="str">
        <f ca="1">IF(OR(U$19="",U$40=""),"",
SUMPRODUCT(
OFFSET(bibliotheek!$H$19,0,MATCH(U$19,woningen_gebouwen_namen,0)-1,ROWS(bibliotheek!$I$19:$I$24),1),
OFFSET(bibliotheek!$H$40,0,MATCH(U$40,isolatiepakketten_gebouwschil_namen,0)-1,ROWS(bibliotheek!$I$19:$I$24),1)) /
HLOOKUP(U$19,woningen_gebouwen_gegevens,ROWS(bibliotheek!$E$13:$E$25),FALSE))</f>
        <v/>
      </c>
      <c r="V52" s="1052" t="str">
        <f ca="1">IF(OR(V$19="",V$40=""),"",
SUMPRODUCT(
OFFSET(bibliotheek!$H$19,0,MATCH(V$19,woningen_gebouwen_namen,0)-1,ROWS(bibliotheek!$I$19:$I$24),1),
OFFSET(bibliotheek!$H$40,0,MATCH(V$40,isolatiepakketten_gebouwschil_namen,0)-1,ROWS(bibliotheek!$I$19:$I$24),1)) /
HLOOKUP(V$19,woningen_gebouwen_gegevens,ROWS(bibliotheek!$E$13:$E$25),FALSE))</f>
        <v/>
      </c>
      <c r="W52" s="1052" t="str">
        <f ca="1">IF(OR(W$19="",W$40=""),"",
SUMPRODUCT(
OFFSET(bibliotheek!$H$19,0,MATCH(W$19,woningen_gebouwen_namen,0)-1,ROWS(bibliotheek!$I$19:$I$24),1),
OFFSET(bibliotheek!$H$40,0,MATCH(W$40,isolatiepakketten_gebouwschil_namen,0)-1,ROWS(bibliotheek!$I$19:$I$24),1)) /
HLOOKUP(W$19,woningen_gebouwen_gegevens,ROWS(bibliotheek!$E$13:$E$25),FALSE))</f>
        <v/>
      </c>
      <c r="X52" s="211"/>
      <c r="Y52" s="224"/>
      <c r="Z52" s="236"/>
      <c r="AA52" s="237" t="str">
        <f ca="1">IF(OR(AA$19="",AA$40=""),"",
SUMPRODUCT(
OFFSET(bibliotheek!$H$19,0,MATCH(AA$19,woningen_gebouwen_namen,0)-1,ROWS(bibliotheek!$I$19:$I$24),1),
OFFSET(bibliotheek!$H$40,0,MATCH(AA$40,isolatiepakketten_gebouwschil_namen,0)-1,ROWS(bibliotheek!$I$19:$I$24),1)) /
HLOOKUP(AA$19,woningen_gebouwen_gegevens,ROWS(bibliotheek!$E$13:$E$25),FALSE))</f>
        <v/>
      </c>
      <c r="AB52" s="237" t="str">
        <f ca="1">IF(OR(AB$19="",AB$40=""),"",
SUMPRODUCT(
OFFSET(bibliotheek!$H$19,0,MATCH(AB$19,woningen_gebouwen_namen,0)-1,ROWS(bibliotheek!$I$19:$I$24),1),
OFFSET(bibliotheek!$H$40,0,MATCH(AB$40,isolatiepakketten_gebouwschil_namen,0)-1,ROWS(bibliotheek!$I$19:$I$24),1)) /
HLOOKUP(AB$19,woningen_gebouwen_gegevens,ROWS(bibliotheek!$E$13:$E$25),FALSE))</f>
        <v/>
      </c>
      <c r="AC52" s="237" t="str">
        <f ca="1">IF(OR(AC$19="",AC$40=""),"",
SUMPRODUCT(
OFFSET(bibliotheek!$H$19,0,MATCH(AC$19,woningen_gebouwen_namen,0)-1,ROWS(bibliotheek!$I$19:$I$24),1),
OFFSET(bibliotheek!$H$40,0,MATCH(AC$40,isolatiepakketten_gebouwschil_namen,0)-1,ROWS(bibliotheek!$I$19:$I$24),1)) /
HLOOKUP(AC$19,woningen_gebouwen_gegevens,ROWS(bibliotheek!$E$13:$E$25),FALSE))</f>
        <v/>
      </c>
      <c r="AD52" s="237" t="str">
        <f ca="1">IF(OR(AD$19="",AD$40=""),"",
SUMPRODUCT(
OFFSET(bibliotheek!$H$19,0,MATCH(AD$19,woningen_gebouwen_namen,0)-1,ROWS(bibliotheek!$I$19:$I$24),1),
OFFSET(bibliotheek!$H$40,0,MATCH(AD$40,isolatiepakketten_gebouwschil_namen,0)-1,ROWS(bibliotheek!$I$19:$I$24),1)) /
HLOOKUP(AD$19,woningen_gebouwen_gegevens,ROWS(bibliotheek!$E$13:$E$25),FALSE))</f>
        <v/>
      </c>
      <c r="AE52" s="237" t="str">
        <f ca="1">IF(OR(AE$19="",AE$40=""),"",
SUMPRODUCT(
OFFSET(bibliotheek!$H$19,0,MATCH(AE$19,woningen_gebouwen_namen,0)-1,ROWS(bibliotheek!$I$19:$I$24),1),
OFFSET(bibliotheek!$H$40,0,MATCH(AE$40,isolatiepakketten_gebouwschil_namen,0)-1,ROWS(bibliotheek!$I$19:$I$24),1)) /
HLOOKUP(AE$19,woningen_gebouwen_gegevens,ROWS(bibliotheek!$E$13:$E$25),FALSE))</f>
        <v/>
      </c>
      <c r="AF52" s="237" t="str">
        <f ca="1">IF(OR(AF$19="",AF$40=""),"",
SUMPRODUCT(
OFFSET(bibliotheek!$H$19,0,MATCH(AF$19,woningen_gebouwen_namen,0)-1,ROWS(bibliotheek!$I$19:$I$24),1),
OFFSET(bibliotheek!$H$40,0,MATCH(AF$40,isolatiepakketten_gebouwschil_namen,0)-1,ROWS(bibliotheek!$I$19:$I$24),1)) /
HLOOKUP(AF$19,woningen_gebouwen_gegevens,ROWS(bibliotheek!$E$13:$E$25),FALSE))</f>
        <v/>
      </c>
      <c r="AG52" s="237" t="str">
        <f ca="1">IF(OR(AG$19="",AG$40=""),"",
SUMPRODUCT(
OFFSET(bibliotheek!$H$19,0,MATCH(AG$19,woningen_gebouwen_namen,0)-1,ROWS(bibliotheek!$I$19:$I$24),1),
OFFSET(bibliotheek!$H$40,0,MATCH(AG$40,isolatiepakketten_gebouwschil_namen,0)-1,ROWS(bibliotheek!$I$19:$I$24),1)) /
HLOOKUP(AG$19,woningen_gebouwen_gegevens,ROWS(bibliotheek!$E$13:$E$25),FALSE))</f>
        <v/>
      </c>
      <c r="AH52" s="237" t="str">
        <f ca="1">IF(OR(AH$19="",AH$40=""),"",
SUMPRODUCT(
OFFSET(bibliotheek!$H$19,0,MATCH(AH$19,woningen_gebouwen_namen,0)-1,ROWS(bibliotheek!$I$19:$I$24),1),
OFFSET(bibliotheek!$H$40,0,MATCH(AH$40,isolatiepakketten_gebouwschil_namen,0)-1,ROWS(bibliotheek!$I$19:$I$24),1)) /
HLOOKUP(AH$19,woningen_gebouwen_gegevens,ROWS(bibliotheek!$E$13:$E$25),FALSE))</f>
        <v/>
      </c>
      <c r="AI52" s="237" t="str">
        <f ca="1">IF(OR(AI$19="",AI$40=""),"",
SUMPRODUCT(
OFFSET(bibliotheek!$H$19,0,MATCH(AI$19,woningen_gebouwen_namen,0)-1,ROWS(bibliotheek!$I$19:$I$24),1),
OFFSET(bibliotheek!$H$40,0,MATCH(AI$40,isolatiepakketten_gebouwschil_namen,0)-1,ROWS(bibliotheek!$I$19:$I$24),1)) /
HLOOKUP(AI$19,woningen_gebouwen_gegevens,ROWS(bibliotheek!$E$13:$E$25),FALSE))</f>
        <v/>
      </c>
      <c r="AJ52" s="211"/>
      <c r="AK52" s="224"/>
      <c r="AL52" s="212"/>
      <c r="AM52" s="237" t="str">
        <f ca="1">IF(OR(AM$19="",AM$40=""),"",
SUMPRODUCT(
OFFSET(bibliotheek!$H$19,0,MATCH(AM$19,woningen_gebouwen_namen,0)-1,ROWS(bibliotheek!$I$19:$I$24),1),
OFFSET(bibliotheek!$H$40,0,MATCH(AM$40,isolatiepakketten_gebouwschil_namen,0)-1,ROWS(bibliotheek!$I$19:$I$24),1)) /
HLOOKUP(AM$19,woningen_gebouwen_gegevens,ROWS(bibliotheek!$E$13:$E$25),FALSE))</f>
        <v/>
      </c>
      <c r="AN52" s="237" t="str">
        <f ca="1">IF(OR(AN$19="",AN$40=""),"",
SUMPRODUCT(
OFFSET(bibliotheek!$H$19,0,MATCH(AN$19,woningen_gebouwen_namen,0)-1,ROWS(bibliotheek!$I$19:$I$24),1),
OFFSET(bibliotheek!$H$40,0,MATCH(AN$40,isolatiepakketten_gebouwschil_namen,0)-1,ROWS(bibliotheek!$I$19:$I$24),1)) /
HLOOKUP(AN$19,woningen_gebouwen_gegevens,ROWS(bibliotheek!$E$13:$E$25),FALSE))</f>
        <v/>
      </c>
      <c r="AO52" s="237" t="str">
        <f ca="1">IF(OR(AO$19="",AO$40=""),"",
SUMPRODUCT(
OFFSET(bibliotheek!$H$19,0,MATCH(AO$19,woningen_gebouwen_namen,0)-1,ROWS(bibliotheek!$I$19:$I$24),1),
OFFSET(bibliotheek!$H$40,0,MATCH(AO$40,isolatiepakketten_gebouwschil_namen,0)-1,ROWS(bibliotheek!$I$19:$I$24),1)) /
HLOOKUP(AO$19,woningen_gebouwen_gegevens,ROWS(bibliotheek!$E$13:$E$25),FALSE))</f>
        <v/>
      </c>
      <c r="AP52" s="237" t="str">
        <f ca="1">IF(OR(AP$19="",AP$40=""),"",
SUMPRODUCT(
OFFSET(bibliotheek!$H$19,0,MATCH(AP$19,woningen_gebouwen_namen,0)-1,ROWS(bibliotheek!$I$19:$I$24),1),
OFFSET(bibliotheek!$H$40,0,MATCH(AP$40,isolatiepakketten_gebouwschil_namen,0)-1,ROWS(bibliotheek!$I$19:$I$24),1)) /
HLOOKUP(AP$19,woningen_gebouwen_gegevens,ROWS(bibliotheek!$E$13:$E$25),FALSE))</f>
        <v/>
      </c>
      <c r="AQ52" s="237" t="str">
        <f ca="1">IF(OR(AQ$19="",AQ$40=""),"",
SUMPRODUCT(
OFFSET(bibliotheek!$H$19,0,MATCH(AQ$19,woningen_gebouwen_namen,0)-1,ROWS(bibliotheek!$I$19:$I$24),1),
OFFSET(bibliotheek!$H$40,0,MATCH(AQ$40,isolatiepakketten_gebouwschil_namen,0)-1,ROWS(bibliotheek!$I$19:$I$24),1)) /
HLOOKUP(AQ$19,woningen_gebouwen_gegevens,ROWS(bibliotheek!$E$13:$E$25),FALSE))</f>
        <v/>
      </c>
      <c r="AR52" s="237" t="str">
        <f ca="1">IF(OR(AR$19="",AR$40=""),"",
SUMPRODUCT(
OFFSET(bibliotheek!$H$19,0,MATCH(AR$19,woningen_gebouwen_namen,0)-1,ROWS(bibliotheek!$I$19:$I$24),1),
OFFSET(bibliotheek!$H$40,0,MATCH(AR$40,isolatiepakketten_gebouwschil_namen,0)-1,ROWS(bibliotheek!$I$19:$I$24),1)) /
HLOOKUP(AR$19,woningen_gebouwen_gegevens,ROWS(bibliotheek!$E$13:$E$25),FALSE))</f>
        <v/>
      </c>
      <c r="AS52" s="237" t="str">
        <f ca="1">IF(OR(AS$19="",AS$40=""),"",
SUMPRODUCT(
OFFSET(bibliotheek!$H$19,0,MATCH(AS$19,woningen_gebouwen_namen,0)-1,ROWS(bibliotheek!$I$19:$I$24),1),
OFFSET(bibliotheek!$H$40,0,MATCH(AS$40,isolatiepakketten_gebouwschil_namen,0)-1,ROWS(bibliotheek!$I$19:$I$24),1)) /
HLOOKUP(AS$19,woningen_gebouwen_gegevens,ROWS(bibliotheek!$E$13:$E$25),FALSE))</f>
        <v/>
      </c>
      <c r="AT52" s="237" t="str">
        <f ca="1">IF(OR(AT$19="",AT$40=""),"",
SUMPRODUCT(
OFFSET(bibliotheek!$H$19,0,MATCH(AT$19,woningen_gebouwen_namen,0)-1,ROWS(bibliotheek!$I$19:$I$24),1),
OFFSET(bibliotheek!$H$40,0,MATCH(AT$40,isolatiepakketten_gebouwschil_namen,0)-1,ROWS(bibliotheek!$I$19:$I$24),1)) /
HLOOKUP(AT$19,woningen_gebouwen_gegevens,ROWS(bibliotheek!$E$13:$E$25),FALSE))</f>
        <v/>
      </c>
      <c r="AU52" s="237" t="str">
        <f ca="1">IF(OR(AU$19="",AU$40=""),"",
SUMPRODUCT(
OFFSET(bibliotheek!$H$19,0,MATCH(AU$19,woningen_gebouwen_namen,0)-1,ROWS(bibliotheek!$I$19:$I$24),1),
OFFSET(bibliotheek!$H$40,0,MATCH(AU$40,isolatiepakketten_gebouwschil_namen,0)-1,ROWS(bibliotheek!$I$19:$I$24),1)) /
HLOOKUP(AU$19,woningen_gebouwen_gegevens,ROWS(bibliotheek!$E$13:$E$25),FALSE))</f>
        <v/>
      </c>
      <c r="AV52" s="211"/>
      <c r="AW52" s="224"/>
      <c r="AX52" s="212"/>
      <c r="AY52" s="237" t="str">
        <f ca="1">IF(OR(AY$19="",AY$40=""),"",
SUMPRODUCT(
OFFSET(bibliotheek!$H$19,0,MATCH(AY$19,woningen_gebouwen_namen,0)-1,ROWS(bibliotheek!$I$19:$I$24),1),
OFFSET(bibliotheek!$H$40,0,MATCH(AY$40,isolatiepakketten_gebouwschil_namen,0)-1,ROWS(bibliotheek!$I$19:$I$24),1)) /
HLOOKUP(AY$19,woningen_gebouwen_gegevens,ROWS(bibliotheek!$E$13:$E$25),FALSE))</f>
        <v/>
      </c>
      <c r="AZ52" s="237" t="str">
        <f ca="1">IF(OR(AZ$19="",AZ$40=""),"",
SUMPRODUCT(
OFFSET(bibliotheek!$H$19,0,MATCH(AZ$19,woningen_gebouwen_namen,0)-1,ROWS(bibliotheek!$I$19:$I$24),1),
OFFSET(bibliotheek!$H$40,0,MATCH(AZ$40,isolatiepakketten_gebouwschil_namen,0)-1,ROWS(bibliotheek!$I$19:$I$24),1)) /
HLOOKUP(AZ$19,woningen_gebouwen_gegevens,ROWS(bibliotheek!$E$13:$E$25),FALSE))</f>
        <v/>
      </c>
      <c r="BA52" s="237" t="str">
        <f ca="1">IF(OR(BA$19="",BA$40=""),"",
SUMPRODUCT(
OFFSET(bibliotheek!$H$19,0,MATCH(BA$19,woningen_gebouwen_namen,0)-1,ROWS(bibliotheek!$I$19:$I$24),1),
OFFSET(bibliotheek!$H$40,0,MATCH(BA$40,isolatiepakketten_gebouwschil_namen,0)-1,ROWS(bibliotheek!$I$19:$I$24),1)) /
HLOOKUP(BA$19,woningen_gebouwen_gegevens,ROWS(bibliotheek!$E$13:$E$25),FALSE))</f>
        <v/>
      </c>
      <c r="BB52" s="237" t="str">
        <f ca="1">IF(OR(BB$19="",BB$40=""),"",
SUMPRODUCT(
OFFSET(bibliotheek!$H$19,0,MATCH(BB$19,woningen_gebouwen_namen,0)-1,ROWS(bibliotheek!$I$19:$I$24),1),
OFFSET(bibliotheek!$H$40,0,MATCH(BB$40,isolatiepakketten_gebouwschil_namen,0)-1,ROWS(bibliotheek!$I$19:$I$24),1)) /
HLOOKUP(BB$19,woningen_gebouwen_gegevens,ROWS(bibliotheek!$E$13:$E$25),FALSE))</f>
        <v/>
      </c>
      <c r="BC52" s="237" t="str">
        <f ca="1">IF(OR(BC$19="",BC$40=""),"",
SUMPRODUCT(
OFFSET(bibliotheek!$H$19,0,MATCH(BC$19,woningen_gebouwen_namen,0)-1,ROWS(bibliotheek!$I$19:$I$24),1),
OFFSET(bibliotheek!$H$40,0,MATCH(BC$40,isolatiepakketten_gebouwschil_namen,0)-1,ROWS(bibliotheek!$I$19:$I$24),1)) /
HLOOKUP(BC$19,woningen_gebouwen_gegevens,ROWS(bibliotheek!$E$13:$E$25),FALSE))</f>
        <v/>
      </c>
      <c r="BD52" s="237" t="str">
        <f ca="1">IF(OR(BD$19="",BD$40=""),"",
SUMPRODUCT(
OFFSET(bibliotheek!$H$19,0,MATCH(BD$19,woningen_gebouwen_namen,0)-1,ROWS(bibliotheek!$I$19:$I$24),1),
OFFSET(bibliotheek!$H$40,0,MATCH(BD$40,isolatiepakketten_gebouwschil_namen,0)-1,ROWS(bibliotheek!$I$19:$I$24),1)) /
HLOOKUP(BD$19,woningen_gebouwen_gegevens,ROWS(bibliotheek!$E$13:$E$25),FALSE))</f>
        <v/>
      </c>
      <c r="BE52" s="237" t="str">
        <f ca="1">IF(OR(BE$19="",BE$40=""),"",
SUMPRODUCT(
OFFSET(bibliotheek!$H$19,0,MATCH(BE$19,woningen_gebouwen_namen,0)-1,ROWS(bibliotheek!$I$19:$I$24),1),
OFFSET(bibliotheek!$H$40,0,MATCH(BE$40,isolatiepakketten_gebouwschil_namen,0)-1,ROWS(bibliotheek!$I$19:$I$24),1)) /
HLOOKUP(BE$19,woningen_gebouwen_gegevens,ROWS(bibliotheek!$E$13:$E$25),FALSE))</f>
        <v/>
      </c>
      <c r="BF52" s="237" t="str">
        <f ca="1">IF(OR(BF$19="",BF$40=""),"",
SUMPRODUCT(
OFFSET(bibliotheek!$H$19,0,MATCH(BF$19,woningen_gebouwen_namen,0)-1,ROWS(bibliotheek!$I$19:$I$24),1),
OFFSET(bibliotheek!$H$40,0,MATCH(BF$40,isolatiepakketten_gebouwschil_namen,0)-1,ROWS(bibliotheek!$I$19:$I$24),1)) /
HLOOKUP(BF$19,woningen_gebouwen_gegevens,ROWS(bibliotheek!$E$13:$E$25),FALSE))</f>
        <v/>
      </c>
      <c r="BG52" s="237" t="str">
        <f ca="1">IF(OR(BG$19="",BG$40=""),"",
SUMPRODUCT(
OFFSET(bibliotheek!$H$19,0,MATCH(BG$19,woningen_gebouwen_namen,0)-1,ROWS(bibliotheek!$I$19:$I$24),1),
OFFSET(bibliotheek!$H$40,0,MATCH(BG$40,isolatiepakketten_gebouwschil_namen,0)-1,ROWS(bibliotheek!$I$19:$I$24),1)) /
HLOOKUP(BG$19,woningen_gebouwen_gegevens,ROWS(bibliotheek!$E$13:$E$25),FALSE))</f>
        <v/>
      </c>
      <c r="BH52" s="261"/>
    </row>
    <row r="53" spans="1:60" s="2" customFormat="1" x14ac:dyDescent="0.2">
      <c r="A53" s="927"/>
      <c r="B53" s="741" t="s">
        <v>141</v>
      </c>
      <c r="C53" s="739" t="s">
        <v>127</v>
      </c>
      <c r="D53" s="751" t="s">
        <v>50</v>
      </c>
      <c r="E53" s="316" t="s">
        <v>164</v>
      </c>
      <c r="F53" s="316"/>
      <c r="G53" s="316"/>
      <c r="H53" s="354" t="s">
        <v>70</v>
      </c>
      <c r="I53" s="116"/>
      <c r="J53" s="928"/>
      <c r="K53" s="819"/>
      <c r="L53" s="819"/>
      <c r="M53" s="1056">
        <f>IF(SUMPRODUCT(N32:X32,N60:X60)=0,0,SUMPRODUCT(N53:X53,N32:X32,N60:X60)/SUMPRODUCT(N32:X32,N60:X60))</f>
        <v>0</v>
      </c>
      <c r="N53" s="103"/>
      <c r="O53" s="1053">
        <f t="shared" ref="O53:W53" si="48">IF(OR(O$19="",O$24=0,O$40=""),0,IF($G$6=FALSE,1,IF(O54&lt;&gt;"",O54,O55)))</f>
        <v>0</v>
      </c>
      <c r="P53" s="1053">
        <f t="shared" si="48"/>
        <v>0</v>
      </c>
      <c r="Q53" s="1053">
        <f t="shared" si="48"/>
        <v>0</v>
      </c>
      <c r="R53" s="1053">
        <f t="shared" si="48"/>
        <v>0</v>
      </c>
      <c r="S53" s="1053">
        <f t="shared" si="48"/>
        <v>0</v>
      </c>
      <c r="T53" s="1053">
        <f t="shared" si="48"/>
        <v>0</v>
      </c>
      <c r="U53" s="1053">
        <f t="shared" si="48"/>
        <v>0</v>
      </c>
      <c r="V53" s="1053">
        <f t="shared" si="48"/>
        <v>0</v>
      </c>
      <c r="W53" s="1053">
        <f t="shared" si="48"/>
        <v>0</v>
      </c>
      <c r="X53" s="211"/>
      <c r="Y53" s="1056">
        <f>IF(SUMPRODUCT(Z32:AJ32,Z60:AJ60)=0,0,SUMPRODUCT(Z53:AJ53,Z32:AJ32,Z60:AJ60)/SUMPRODUCT(Z32:AJ32,Z60:AJ60))</f>
        <v>0</v>
      </c>
      <c r="Z53" s="103"/>
      <c r="AA53" s="1052">
        <f t="shared" ref="AA53:AI53" si="49">IF(OR(AA$19="",AA$24=0,AA$40=""),0,IF($G$6=FALSE,1,IF(AA54&lt;&gt;"",AA54,AA55)))</f>
        <v>0</v>
      </c>
      <c r="AB53" s="1052">
        <f t="shared" si="49"/>
        <v>0</v>
      </c>
      <c r="AC53" s="1052">
        <f t="shared" si="49"/>
        <v>0</v>
      </c>
      <c r="AD53" s="1052">
        <f t="shared" si="49"/>
        <v>0</v>
      </c>
      <c r="AE53" s="1052">
        <f t="shared" si="49"/>
        <v>0</v>
      </c>
      <c r="AF53" s="1052">
        <f t="shared" si="49"/>
        <v>0</v>
      </c>
      <c r="AG53" s="1052">
        <f t="shared" si="49"/>
        <v>0</v>
      </c>
      <c r="AH53" s="1052">
        <f t="shared" si="49"/>
        <v>0</v>
      </c>
      <c r="AI53" s="1052">
        <f t="shared" si="49"/>
        <v>0</v>
      </c>
      <c r="AJ53" s="211"/>
      <c r="AK53" s="1056">
        <f>IF(SUMPRODUCT(AL32:AV32,AL60:AV60)=0,0,SUMPRODUCT(AL53:AV53,AL32:AV32,AL60:AV60)/SUMPRODUCT(AL32:AV32,AL60:AV60))</f>
        <v>0</v>
      </c>
      <c r="AL53" s="103"/>
      <c r="AM53" s="1052">
        <f t="shared" ref="AM53:AU53" si="50">IF(OR(AM$19="",AM$24=0,AM$40=""),0,IF($G$6=FALSE,1,IF(AM54&lt;&gt;"",AM54,AM55)))</f>
        <v>0</v>
      </c>
      <c r="AN53" s="1052">
        <f t="shared" si="50"/>
        <v>0</v>
      </c>
      <c r="AO53" s="1052">
        <f t="shared" si="50"/>
        <v>0</v>
      </c>
      <c r="AP53" s="1052">
        <f t="shared" si="50"/>
        <v>0</v>
      </c>
      <c r="AQ53" s="1052">
        <f t="shared" si="50"/>
        <v>0</v>
      </c>
      <c r="AR53" s="1052">
        <f t="shared" si="50"/>
        <v>0</v>
      </c>
      <c r="AS53" s="1052">
        <f t="shared" si="50"/>
        <v>0</v>
      </c>
      <c r="AT53" s="1052">
        <f t="shared" si="50"/>
        <v>0</v>
      </c>
      <c r="AU53" s="1052">
        <f t="shared" si="50"/>
        <v>0</v>
      </c>
      <c r="AV53" s="211"/>
      <c r="AW53" s="1056">
        <f>IF(SUMPRODUCT(AX32:BH32,AX60:BH60)=0,0,SUMPRODUCT(AX53:BH53,AX32:BH32,AX60:BH60)/SUMPRODUCT(AX32:BH32,AX60:BH60))</f>
        <v>0</v>
      </c>
      <c r="AX53" s="103"/>
      <c r="AY53" s="1052">
        <f t="shared" ref="AY53:BG53" si="51">IF(OR(AY$19="",AY$24=0,AY$40=""),0,IF($G$6=FALSE,1,IF(AY54&lt;&gt;"",AY54,AY55)))</f>
        <v>0</v>
      </c>
      <c r="AZ53" s="1052">
        <f t="shared" si="51"/>
        <v>0</v>
      </c>
      <c r="BA53" s="1052">
        <f t="shared" si="51"/>
        <v>0</v>
      </c>
      <c r="BB53" s="1052">
        <f t="shared" si="51"/>
        <v>0</v>
      </c>
      <c r="BC53" s="1052">
        <f t="shared" si="51"/>
        <v>0</v>
      </c>
      <c r="BD53" s="1052">
        <f t="shared" si="51"/>
        <v>0</v>
      </c>
      <c r="BE53" s="1052">
        <f t="shared" si="51"/>
        <v>0</v>
      </c>
      <c r="BF53" s="1052">
        <f t="shared" si="51"/>
        <v>0</v>
      </c>
      <c r="BG53" s="1052">
        <f t="shared" si="51"/>
        <v>0</v>
      </c>
      <c r="BH53" s="261"/>
    </row>
    <row r="54" spans="1:60" s="2" customFormat="1" x14ac:dyDescent="0.2">
      <c r="A54" s="927"/>
      <c r="B54" s="741" t="s">
        <v>141</v>
      </c>
      <c r="C54" s="739" t="s">
        <v>127</v>
      </c>
      <c r="D54" s="748"/>
      <c r="E54" s="455" t="s">
        <v>165</v>
      </c>
      <c r="F54" s="687"/>
      <c r="G54" s="687"/>
      <c r="H54" s="929"/>
      <c r="I54" s="116"/>
      <c r="J54" s="930"/>
      <c r="K54" s="819"/>
      <c r="L54" s="819"/>
      <c r="M54" s="931"/>
      <c r="N54" s="294"/>
      <c r="O54" s="1054"/>
      <c r="P54" s="1054"/>
      <c r="Q54" s="1054"/>
      <c r="R54" s="1054"/>
      <c r="S54" s="1054"/>
      <c r="T54" s="1054"/>
      <c r="U54" s="1054"/>
      <c r="V54" s="1054"/>
      <c r="W54" s="1054"/>
      <c r="X54" s="211"/>
      <c r="Y54" s="931"/>
      <c r="Z54" s="294"/>
      <c r="AA54" s="1054"/>
      <c r="AB54" s="1054"/>
      <c r="AC54" s="1054"/>
      <c r="AD54" s="1054"/>
      <c r="AE54" s="1054"/>
      <c r="AF54" s="1054"/>
      <c r="AG54" s="1054"/>
      <c r="AH54" s="1054"/>
      <c r="AI54" s="1054"/>
      <c r="AJ54" s="211"/>
      <c r="AK54" s="931"/>
      <c r="AL54" s="294"/>
      <c r="AM54" s="1054"/>
      <c r="AN54" s="1054"/>
      <c r="AO54" s="1054"/>
      <c r="AP54" s="1054"/>
      <c r="AQ54" s="1054"/>
      <c r="AR54" s="1054"/>
      <c r="AS54" s="1054"/>
      <c r="AT54" s="1054"/>
      <c r="AU54" s="1054"/>
      <c r="AV54" s="211"/>
      <c r="AW54" s="931"/>
      <c r="AX54" s="294"/>
      <c r="AY54" s="1054"/>
      <c r="AZ54" s="1054"/>
      <c r="BA54" s="1054"/>
      <c r="BB54" s="1054"/>
      <c r="BC54" s="1054"/>
      <c r="BD54" s="1054"/>
      <c r="BE54" s="1054"/>
      <c r="BF54" s="1054"/>
      <c r="BG54" s="1054"/>
      <c r="BH54" s="261"/>
    </row>
    <row r="55" spans="1:60" s="2" customFormat="1" x14ac:dyDescent="0.2">
      <c r="A55" s="927"/>
      <c r="B55" s="741" t="s">
        <v>141</v>
      </c>
      <c r="C55" s="739" t="s">
        <v>127</v>
      </c>
      <c r="D55" s="748"/>
      <c r="E55" s="932" t="s">
        <v>166</v>
      </c>
      <c r="F55" s="933"/>
      <c r="G55" s="933"/>
      <c r="H55" s="934"/>
      <c r="I55" s="935"/>
      <c r="J55" s="936"/>
      <c r="K55" s="937"/>
      <c r="L55" s="937"/>
      <c r="M55" s="938"/>
      <c r="N55" s="718"/>
      <c r="O55" s="1055" t="str" cm="1">
        <f t="array" ref="O55">IF(O24=0,"",ROUND(INDEX(Correctiefactoren,ROWS(bibliotheek!$E$278:$E$279),MATCH(O$21,bibliotheek!$E$278:$U$278,0))*O$52^INDEX(Correctiefactoren,ROWS(bibliotheek!$E$278:$E$280),MATCH(O$21,bibliotheek!$E$278:$U$278,0)),2))</f>
        <v/>
      </c>
      <c r="P55" s="1055" t="str" cm="1">
        <f t="array" ref="P55">IF(P24=0,"",ROUND(INDEX(Correctiefactoren,ROWS(bibliotheek!$E$278:$E$279),MATCH(P$21,bibliotheek!$E$278:$U$278,0))*P$52^INDEX(Correctiefactoren,ROWS(bibliotheek!$E$278:$E$280),MATCH(P$21,bibliotheek!$E$278:$U$278,0)),2))</f>
        <v/>
      </c>
      <c r="Q55" s="1055" t="str" cm="1">
        <f t="array" ref="Q55">IF(Q24=0,"",ROUND(INDEX(Correctiefactoren,ROWS(bibliotheek!$E$278:$E$279),MATCH(Q$21,bibliotheek!$E$278:$U$278,0))*Q$52^INDEX(Correctiefactoren,ROWS(bibliotheek!$E$278:$E$280),MATCH(Q$21,bibliotheek!$E$278:$U$278,0)),2))</f>
        <v/>
      </c>
      <c r="R55" s="1055" t="str" cm="1">
        <f t="array" ref="R55">IF(R24=0,"",ROUND(INDEX(Correctiefactoren,ROWS(bibliotheek!$E$278:$E$279),MATCH(R$21,bibliotheek!$E$278:$U$278,0))*R$52^INDEX(Correctiefactoren,ROWS(bibliotheek!$E$278:$E$280),MATCH(R$21,bibliotheek!$E$278:$U$278,0)),2))</f>
        <v/>
      </c>
      <c r="S55" s="1055" t="str" cm="1">
        <f t="array" ref="S55">IF(S24=0,"",ROUND(INDEX(Correctiefactoren,ROWS(bibliotheek!$E$278:$E$279),MATCH(S$21,bibliotheek!$E$278:$U$278,0))*S$52^INDEX(Correctiefactoren,ROWS(bibliotheek!$E$278:$E$280),MATCH(S$21,bibliotheek!$E$278:$U$278,0)),2))</f>
        <v/>
      </c>
      <c r="T55" s="1055" t="str" cm="1">
        <f t="array" ref="T55">IF(T24=0,"",ROUND(INDEX(Correctiefactoren,ROWS(bibliotheek!$E$278:$E$279),MATCH(T$21,bibliotheek!$E$278:$U$278,0))*T$52^INDEX(Correctiefactoren,ROWS(bibliotheek!$E$278:$E$280),MATCH(T$21,bibliotheek!$E$278:$U$278,0)),2))</f>
        <v/>
      </c>
      <c r="U55" s="1055" t="str" cm="1">
        <f t="array" ref="U55">IF(U24=0,"",ROUND(INDEX(Correctiefactoren,ROWS(bibliotheek!$E$278:$E$279),MATCH(U$21,bibliotheek!$E$278:$U$278,0))*U$52^INDEX(Correctiefactoren,ROWS(bibliotheek!$E$278:$E$280),MATCH(U$21,bibliotheek!$E$278:$U$278,0)),2))</f>
        <v/>
      </c>
      <c r="V55" s="1055" t="str" cm="1">
        <f t="array" ref="V55">IF(V24=0,"",ROUND(INDEX(Correctiefactoren,ROWS(bibliotheek!$E$278:$E$279),MATCH(V$21,bibliotheek!$E$278:$U$278,0))*V$52^INDEX(Correctiefactoren,ROWS(bibliotheek!$E$278:$E$280),MATCH(V$21,bibliotheek!$E$278:$U$278,0)),2))</f>
        <v/>
      </c>
      <c r="W55" s="1055" t="str" cm="1">
        <f t="array" ref="W55">IF(W24=0,"",ROUND(INDEX(Correctiefactoren,ROWS(bibliotheek!$E$278:$E$279),MATCH(W$21,bibliotheek!$E$278:$U$278,0))*W$52^INDEX(Correctiefactoren,ROWS(bibliotheek!$E$278:$E$280),MATCH(W$21,bibliotheek!$E$278:$U$278,0)),2))</f>
        <v/>
      </c>
      <c r="X55" s="939"/>
      <c r="Y55" s="938"/>
      <c r="Z55" s="718"/>
      <c r="AA55" s="1057" t="str" cm="1">
        <f t="array" ref="AA55">IF(AA24=0,"",ROUND(INDEX(Correctiefactoren,ROWS(bibliotheek!$E$278:$E$279),MATCH(AA$21,bibliotheek!$E$278:$U$278,0))*AA$52^INDEX(Correctiefactoren,ROWS(bibliotheek!$E$278:$E$280),MATCH(AA$21,bibliotheek!$E$278:$U$278,0)),2))</f>
        <v/>
      </c>
      <c r="AB55" s="1057" t="str" cm="1">
        <f t="array" ref="AB55">IF(AB24=0,"",ROUND(INDEX(Correctiefactoren,ROWS(bibliotheek!$E$278:$E$279),MATCH(AB$21,bibliotheek!$E$278:$U$278,0))*AB$52^INDEX(Correctiefactoren,ROWS(bibliotheek!$E$278:$E$280),MATCH(AB$21,bibliotheek!$E$278:$U$278,0)),2))</f>
        <v/>
      </c>
      <c r="AC55" s="1057" t="str" cm="1">
        <f t="array" ref="AC55">IF(AC24=0,"",ROUND(INDEX(Correctiefactoren,ROWS(bibliotheek!$E$278:$E$279),MATCH(AC$21,bibliotheek!$E$278:$U$278,0))*AC$52^INDEX(Correctiefactoren,ROWS(bibliotheek!$E$278:$E$280),MATCH(AC$21,bibliotheek!$E$278:$U$278,0)),2))</f>
        <v/>
      </c>
      <c r="AD55" s="1057" t="str" cm="1">
        <f t="array" ref="AD55">IF(AD24=0,"",ROUND(INDEX(Correctiefactoren,ROWS(bibliotheek!$E$278:$E$279),MATCH(AD$21,bibliotheek!$E$278:$U$278,0))*AD$52^INDEX(Correctiefactoren,ROWS(bibliotheek!$E$278:$E$280),MATCH(AD$21,bibliotheek!$E$278:$U$278,0)),2))</f>
        <v/>
      </c>
      <c r="AE55" s="1057" t="str" cm="1">
        <f t="array" ref="AE55">IF(AE24=0,"",ROUND(INDEX(Correctiefactoren,ROWS(bibliotheek!$E$278:$E$279),MATCH(AE$21,bibliotheek!$E$278:$U$278,0))*AE$52^INDEX(Correctiefactoren,ROWS(bibliotheek!$E$278:$E$280),MATCH(AE$21,bibliotheek!$E$278:$U$278,0)),2))</f>
        <v/>
      </c>
      <c r="AF55" s="1057" t="str" cm="1">
        <f t="array" ref="AF55">IF(AF24=0,"",ROUND(INDEX(Correctiefactoren,ROWS(bibliotheek!$E$278:$E$279),MATCH(AF$21,bibliotheek!$E$278:$U$278,0))*AF$52^INDEX(Correctiefactoren,ROWS(bibliotheek!$E$278:$E$280),MATCH(AF$21,bibliotheek!$E$278:$U$278,0)),2))</f>
        <v/>
      </c>
      <c r="AG55" s="1057" t="str" cm="1">
        <f t="array" ref="AG55">IF(AG24=0,"",ROUND(INDEX(Correctiefactoren,ROWS(bibliotheek!$E$278:$E$279),MATCH(AG$21,bibliotheek!$E$278:$U$278,0))*AG$52^INDEX(Correctiefactoren,ROWS(bibliotheek!$E$278:$E$280),MATCH(AG$21,bibliotheek!$E$278:$U$278,0)),2))</f>
        <v/>
      </c>
      <c r="AH55" s="1057" t="str" cm="1">
        <f t="array" ref="AH55">IF(AH24=0,"",ROUND(INDEX(Correctiefactoren,ROWS(bibliotheek!$E$278:$E$279),MATCH(AH$21,bibliotheek!$E$278:$U$278,0))*AH$52^INDEX(Correctiefactoren,ROWS(bibliotheek!$E$278:$E$280),MATCH(AH$21,bibliotheek!$E$278:$U$278,0)),2))</f>
        <v/>
      </c>
      <c r="AI55" s="1057" t="str" cm="1">
        <f t="array" ref="AI55">IF(AI24=0,"",ROUND(INDEX(Correctiefactoren,ROWS(bibliotheek!$E$278:$E$279),MATCH(AI$21,bibliotheek!$E$278:$U$278,0))*AI$52^INDEX(Correctiefactoren,ROWS(bibliotheek!$E$278:$E$280),MATCH(AI$21,bibliotheek!$E$278:$U$278,0)),2))</f>
        <v/>
      </c>
      <c r="AJ55" s="939"/>
      <c r="AK55" s="938"/>
      <c r="AL55" s="718"/>
      <c r="AM55" s="1057" t="str" cm="1">
        <f t="array" ref="AM55">IF(AM24=0,"",ROUND(INDEX(Correctiefactoren,ROWS(bibliotheek!$E$278:$E$279),MATCH(AM$21,bibliotheek!$E$278:$U$278,0))*AM$52^INDEX(Correctiefactoren,ROWS(bibliotheek!$E$278:$E$280),MATCH(AM$21,bibliotheek!$E$278:$U$278,0)),2))</f>
        <v/>
      </c>
      <c r="AN55" s="1057" t="str" cm="1">
        <f t="array" ref="AN55">IF(AN24=0,"",ROUND(INDEX(Correctiefactoren,ROWS(bibliotheek!$E$278:$E$279),MATCH(AN$21,bibliotheek!$E$278:$U$278,0))*AN$52^INDEX(Correctiefactoren,ROWS(bibliotheek!$E$278:$E$280),MATCH(AN$21,bibliotheek!$E$278:$U$278,0)),2))</f>
        <v/>
      </c>
      <c r="AO55" s="1057" t="str" cm="1">
        <f t="array" ref="AO55">IF(AO24=0,"",ROUND(INDEX(Correctiefactoren,ROWS(bibliotheek!$E$278:$E$279),MATCH(AO$21,bibliotheek!$E$278:$U$278,0))*AO$52^INDEX(Correctiefactoren,ROWS(bibliotheek!$E$278:$E$280),MATCH(AO$21,bibliotheek!$E$278:$U$278,0)),2))</f>
        <v/>
      </c>
      <c r="AP55" s="1057" t="str" cm="1">
        <f t="array" ref="AP55">IF(AP24=0,"",ROUND(INDEX(Correctiefactoren,ROWS(bibliotheek!$E$278:$E$279),MATCH(AP$21,bibliotheek!$E$278:$U$278,0))*AP$52^INDEX(Correctiefactoren,ROWS(bibliotheek!$E$278:$E$280),MATCH(AP$21,bibliotheek!$E$278:$U$278,0)),2))</f>
        <v/>
      </c>
      <c r="AQ55" s="1057" t="str" cm="1">
        <f t="array" ref="AQ55">IF(AQ24=0,"",ROUND(INDEX(Correctiefactoren,ROWS(bibliotheek!$E$278:$E$279),MATCH(AQ$21,bibliotheek!$E$278:$U$278,0))*AQ$52^INDEX(Correctiefactoren,ROWS(bibliotheek!$E$278:$E$280),MATCH(AQ$21,bibliotheek!$E$278:$U$278,0)),2))</f>
        <v/>
      </c>
      <c r="AR55" s="1057" t="str" cm="1">
        <f t="array" ref="AR55">IF(AR24=0,"",ROUND(INDEX(Correctiefactoren,ROWS(bibliotheek!$E$278:$E$279),MATCH(AR$21,bibliotheek!$E$278:$U$278,0))*AR$52^INDEX(Correctiefactoren,ROWS(bibliotheek!$E$278:$E$280),MATCH(AR$21,bibliotheek!$E$278:$U$278,0)),2))</f>
        <v/>
      </c>
      <c r="AS55" s="1057" t="str" cm="1">
        <f t="array" ref="AS55">IF(AS24=0,"",ROUND(INDEX(Correctiefactoren,ROWS(bibliotheek!$E$278:$E$279),MATCH(AS$21,bibliotheek!$E$278:$U$278,0))*AS$52^INDEX(Correctiefactoren,ROWS(bibliotheek!$E$278:$E$280),MATCH(AS$21,bibliotheek!$E$278:$U$278,0)),2))</f>
        <v/>
      </c>
      <c r="AT55" s="1057" t="str" cm="1">
        <f t="array" ref="AT55">IF(AT24=0,"",ROUND(INDEX(Correctiefactoren,ROWS(bibliotheek!$E$278:$E$279),MATCH(AT$21,bibliotheek!$E$278:$U$278,0))*AT$52^INDEX(Correctiefactoren,ROWS(bibliotheek!$E$278:$E$280),MATCH(AT$21,bibliotheek!$E$278:$U$278,0)),2))</f>
        <v/>
      </c>
      <c r="AU55" s="1057" t="str" cm="1">
        <f t="array" ref="AU55">IF(AU24=0,"",ROUND(INDEX(Correctiefactoren,ROWS(bibliotheek!$E$278:$E$279),MATCH(AU$21,bibliotheek!$E$278:$U$278,0))*AU$52^INDEX(Correctiefactoren,ROWS(bibliotheek!$E$278:$E$280),MATCH(AU$21,bibliotheek!$E$278:$U$278,0)),2))</f>
        <v/>
      </c>
      <c r="AV55" s="939"/>
      <c r="AW55" s="938"/>
      <c r="AX55" s="718"/>
      <c r="AY55" s="1057" t="str" cm="1">
        <f t="array" ref="AY55">IF(AY24=0,"",ROUND(INDEX(Correctiefactoren,ROWS(bibliotheek!$E$278:$E$279),MATCH(AY$21,bibliotheek!$E$278:$U$278,0))*AY$52^INDEX(Correctiefactoren,ROWS(bibliotheek!$E$278:$E$280),MATCH(AY$21,bibliotheek!$E$278:$U$278,0)),2))</f>
        <v/>
      </c>
      <c r="AZ55" s="1057" t="str" cm="1">
        <f t="array" ref="AZ55">IF(AZ24=0,"",ROUND(INDEX(Correctiefactoren,ROWS(bibliotheek!$E$278:$E$279),MATCH(AZ$21,bibliotheek!$E$278:$U$278,0))*AZ$52^INDEX(Correctiefactoren,ROWS(bibliotheek!$E$278:$E$280),MATCH(AZ$21,bibliotheek!$E$278:$U$278,0)),2))</f>
        <v/>
      </c>
      <c r="BA55" s="1057" t="str" cm="1">
        <f t="array" ref="BA55">IF(BA24=0,"",ROUND(INDEX(Correctiefactoren,ROWS(bibliotheek!$E$278:$E$279),MATCH(BA$21,bibliotheek!$E$278:$U$278,0))*BA$52^INDEX(Correctiefactoren,ROWS(bibliotheek!$E$278:$E$280),MATCH(BA$21,bibliotheek!$E$278:$U$278,0)),2))</f>
        <v/>
      </c>
      <c r="BB55" s="1057" t="str" cm="1">
        <f t="array" ref="BB55">IF(BB24=0,"",ROUND(INDEX(Correctiefactoren,ROWS(bibliotheek!$E$278:$E$279),MATCH(BB$21,bibliotheek!$E$278:$U$278,0))*BB$52^INDEX(Correctiefactoren,ROWS(bibliotheek!$E$278:$E$280),MATCH(BB$21,bibliotheek!$E$278:$U$278,0)),2))</f>
        <v/>
      </c>
      <c r="BC55" s="1057" t="str" cm="1">
        <f t="array" ref="BC55">IF(BC24=0,"",ROUND(INDEX(Correctiefactoren,ROWS(bibliotheek!$E$278:$E$279),MATCH(BC$21,bibliotheek!$E$278:$U$278,0))*BC$52^INDEX(Correctiefactoren,ROWS(bibliotheek!$E$278:$E$280),MATCH(BC$21,bibliotheek!$E$278:$U$278,0)),2))</f>
        <v/>
      </c>
      <c r="BD55" s="1057" t="str" cm="1">
        <f t="array" ref="BD55">IF(BD24=0,"",ROUND(INDEX(Correctiefactoren,ROWS(bibliotheek!$E$278:$E$279),MATCH(BD$21,bibliotheek!$E$278:$U$278,0))*BD$52^INDEX(Correctiefactoren,ROWS(bibliotheek!$E$278:$E$280),MATCH(BD$21,bibliotheek!$E$278:$U$278,0)),2))</f>
        <v/>
      </c>
      <c r="BE55" s="1057" t="str" cm="1">
        <f t="array" ref="BE55">IF(BE24=0,"",ROUND(INDEX(Correctiefactoren,ROWS(bibliotheek!$E$278:$E$279),MATCH(BE$21,bibliotheek!$E$278:$U$278,0))*BE$52^INDEX(Correctiefactoren,ROWS(bibliotheek!$E$278:$E$280),MATCH(BE$21,bibliotheek!$E$278:$U$278,0)),2))</f>
        <v/>
      </c>
      <c r="BF55" s="1057" t="str" cm="1">
        <f t="array" ref="BF55">IF(BF24=0,"",ROUND(INDEX(Correctiefactoren,ROWS(bibliotheek!$E$278:$E$279),MATCH(BF$21,bibliotheek!$E$278:$U$278,0))*BF$52^INDEX(Correctiefactoren,ROWS(bibliotheek!$E$278:$E$280),MATCH(BF$21,bibliotheek!$E$278:$U$278,0)),2))</f>
        <v/>
      </c>
      <c r="BG55" s="1057" t="str" cm="1">
        <f t="array" ref="BG55">IF(BG24=0,"",ROUND(INDEX(Correctiefactoren,ROWS(bibliotheek!$E$278:$E$279),MATCH(BG$21,bibliotheek!$E$278:$U$278,0))*BG$52^INDEX(Correctiefactoren,ROWS(bibliotheek!$E$278:$E$280),MATCH(BG$21,bibliotheek!$E$278:$U$278,0)),2))</f>
        <v/>
      </c>
      <c r="BH55" s="261"/>
    </row>
    <row r="56" spans="1:60" x14ac:dyDescent="0.2">
      <c r="A56" s="653"/>
      <c r="B56" s="492" t="s">
        <v>158</v>
      </c>
      <c r="C56" s="656" t="s">
        <v>104</v>
      </c>
      <c r="D56" s="747"/>
      <c r="E56" s="90"/>
      <c r="F56" s="90"/>
      <c r="G56" s="90"/>
      <c r="H56" s="96"/>
      <c r="I56" s="116"/>
      <c r="J56" s="93"/>
      <c r="K56" s="819"/>
      <c r="L56" s="819"/>
      <c r="M56" s="93"/>
      <c r="N56" s="93"/>
      <c r="O56" s="93"/>
      <c r="P56" s="93"/>
      <c r="Q56" s="93"/>
      <c r="R56" s="93"/>
      <c r="S56" s="93"/>
      <c r="T56" s="93"/>
      <c r="U56" s="93"/>
      <c r="V56" s="93"/>
      <c r="W56" s="93"/>
      <c r="X56" s="93"/>
      <c r="Y56" s="93"/>
      <c r="Z56" s="90"/>
      <c r="AA56" s="93"/>
      <c r="AB56" s="93"/>
      <c r="AC56" s="93"/>
      <c r="AD56" s="93"/>
      <c r="AE56" s="93"/>
      <c r="AF56" s="93"/>
      <c r="AG56" s="93"/>
      <c r="AH56" s="93"/>
      <c r="AI56" s="93"/>
      <c r="AJ56" s="93"/>
      <c r="AK56" s="93"/>
      <c r="AL56" s="90"/>
      <c r="AM56" s="93"/>
      <c r="AN56" s="93"/>
      <c r="AO56" s="93"/>
      <c r="AP56" s="93"/>
      <c r="AQ56" s="93"/>
      <c r="AR56" s="93"/>
      <c r="AS56" s="93"/>
      <c r="AT56" s="93"/>
      <c r="AU56" s="93"/>
      <c r="AV56" s="93"/>
      <c r="AW56" s="93"/>
      <c r="AX56" s="90"/>
      <c r="AY56" s="93"/>
      <c r="AZ56" s="93"/>
      <c r="BA56" s="93"/>
      <c r="BB56" s="93"/>
      <c r="BC56" s="93"/>
      <c r="BD56" s="93"/>
      <c r="BE56" s="93"/>
      <c r="BF56" s="93"/>
      <c r="BG56" s="93"/>
      <c r="BH56" s="1"/>
    </row>
    <row r="57" spans="1:60" x14ac:dyDescent="0.2">
      <c r="A57" s="653"/>
      <c r="B57" s="492" t="s">
        <v>158</v>
      </c>
      <c r="C57" s="739" t="s">
        <v>104</v>
      </c>
      <c r="D57" s="747"/>
      <c r="E57" s="90"/>
      <c r="F57" s="90"/>
      <c r="G57" s="90"/>
      <c r="H57" s="96"/>
      <c r="I57" s="90"/>
      <c r="J57" s="93"/>
      <c r="K57" s="90"/>
      <c r="L57" s="90"/>
      <c r="M57" s="93"/>
      <c r="N57" s="93"/>
      <c r="O57" s="93"/>
      <c r="P57" s="93"/>
      <c r="Q57" s="93"/>
      <c r="R57" s="93"/>
      <c r="S57" s="93"/>
      <c r="T57" s="93"/>
      <c r="U57" s="93"/>
      <c r="V57" s="93"/>
      <c r="W57" s="93"/>
      <c r="X57" s="93"/>
      <c r="Y57" s="93"/>
      <c r="Z57" s="90"/>
      <c r="AA57" s="93"/>
      <c r="AB57" s="93"/>
      <c r="AC57" s="93"/>
      <c r="AD57" s="93"/>
      <c r="AE57" s="93"/>
      <c r="AF57" s="93"/>
      <c r="AG57" s="93"/>
      <c r="AH57" s="93"/>
      <c r="AI57" s="93"/>
      <c r="AJ57" s="93"/>
      <c r="AK57" s="93"/>
      <c r="AL57" s="90"/>
      <c r="AM57" s="93"/>
      <c r="AN57" s="93"/>
      <c r="AO57" s="93"/>
      <c r="AP57" s="93"/>
      <c r="AQ57" s="93"/>
      <c r="AR57" s="93"/>
      <c r="AS57" s="93"/>
      <c r="AT57" s="93"/>
      <c r="AU57" s="93"/>
      <c r="AV57" s="93"/>
      <c r="AW57" s="93"/>
      <c r="AX57" s="90"/>
      <c r="AY57" s="93"/>
      <c r="AZ57" s="93"/>
      <c r="BA57" s="93"/>
      <c r="BB57" s="93"/>
      <c r="BC57" s="93"/>
      <c r="BD57" s="93"/>
      <c r="BE57" s="93"/>
      <c r="BF57" s="93"/>
      <c r="BG57" s="93"/>
      <c r="BH57" s="1"/>
    </row>
    <row r="58" spans="1:60" s="2" customFormat="1" ht="21" x14ac:dyDescent="0.2">
      <c r="A58" s="654"/>
      <c r="B58" s="492" t="s">
        <v>158</v>
      </c>
      <c r="C58" s="739" t="s">
        <v>104</v>
      </c>
      <c r="D58" s="749"/>
      <c r="E58" s="253" t="s">
        <v>167</v>
      </c>
      <c r="F58" s="253"/>
      <c r="G58" s="253"/>
      <c r="H58" s="253"/>
      <c r="I58" s="146"/>
      <c r="J58" s="318" t="str">
        <f>J$10&amp;" MWh"</f>
        <v>totaal MWh</v>
      </c>
      <c r="K58" s="142"/>
      <c r="L58" s="142"/>
      <c r="M58" s="319" t="str">
        <f>M$10&amp;" MWh"</f>
        <v>totaal MWh</v>
      </c>
      <c r="N58" s="234"/>
      <c r="O58" s="320" t="str">
        <f t="shared" ref="O58:W58" si="52">O$17</f>
        <v/>
      </c>
      <c r="P58" s="320" t="str">
        <f t="shared" si="52"/>
        <v/>
      </c>
      <c r="Q58" s="320" t="str">
        <f t="shared" si="52"/>
        <v/>
      </c>
      <c r="R58" s="320" t="str">
        <f t="shared" si="52"/>
        <v/>
      </c>
      <c r="S58" s="320" t="str">
        <f t="shared" si="52"/>
        <v/>
      </c>
      <c r="T58" s="320" t="str">
        <f t="shared" si="52"/>
        <v/>
      </c>
      <c r="U58" s="320" t="str">
        <f t="shared" si="52"/>
        <v/>
      </c>
      <c r="V58" s="320" t="str">
        <f t="shared" si="52"/>
        <v/>
      </c>
      <c r="W58" s="320" t="str">
        <f t="shared" si="52"/>
        <v/>
      </c>
      <c r="X58" s="214"/>
      <c r="Y58" s="319" t="str">
        <f>Y$10&amp;" MWh"</f>
        <v>totaal MWh</v>
      </c>
      <c r="Z58" s="234"/>
      <c r="AA58" s="320" t="str">
        <f t="shared" ref="AA58:AI58" si="53">AA$17</f>
        <v/>
      </c>
      <c r="AB58" s="320" t="str">
        <f t="shared" si="53"/>
        <v/>
      </c>
      <c r="AC58" s="320" t="str">
        <f t="shared" si="53"/>
        <v/>
      </c>
      <c r="AD58" s="320" t="str">
        <f t="shared" si="53"/>
        <v/>
      </c>
      <c r="AE58" s="320" t="str">
        <f t="shared" si="53"/>
        <v/>
      </c>
      <c r="AF58" s="320" t="str">
        <f t="shared" si="53"/>
        <v/>
      </c>
      <c r="AG58" s="320" t="str">
        <f t="shared" si="53"/>
        <v/>
      </c>
      <c r="AH58" s="320" t="str">
        <f t="shared" si="53"/>
        <v/>
      </c>
      <c r="AI58" s="320" t="str">
        <f t="shared" si="53"/>
        <v/>
      </c>
      <c r="AJ58" s="214"/>
      <c r="AK58" s="319" t="str">
        <f>AK$10&amp;" MWh"</f>
        <v>totaal MWh</v>
      </c>
      <c r="AL58" s="234"/>
      <c r="AM58" s="320" t="str">
        <f>AM$17</f>
        <v/>
      </c>
      <c r="AN58" s="320" t="str">
        <f t="shared" ref="AN58:AU58" si="54">AN$17</f>
        <v/>
      </c>
      <c r="AO58" s="320" t="str">
        <f t="shared" si="54"/>
        <v/>
      </c>
      <c r="AP58" s="320" t="str">
        <f t="shared" si="54"/>
        <v/>
      </c>
      <c r="AQ58" s="320" t="str">
        <f t="shared" si="54"/>
        <v/>
      </c>
      <c r="AR58" s="320" t="str">
        <f t="shared" si="54"/>
        <v/>
      </c>
      <c r="AS58" s="320" t="str">
        <f t="shared" si="54"/>
        <v/>
      </c>
      <c r="AT58" s="320" t="str">
        <f t="shared" si="54"/>
        <v/>
      </c>
      <c r="AU58" s="320" t="str">
        <f t="shared" si="54"/>
        <v/>
      </c>
      <c r="AV58" s="214"/>
      <c r="AW58" s="319" t="str">
        <f>AW$10&amp;" MWh"</f>
        <v>totaal MWh</v>
      </c>
      <c r="AX58" s="234"/>
      <c r="AY58" s="320" t="str">
        <f>AY$17</f>
        <v/>
      </c>
      <c r="AZ58" s="320" t="str">
        <f t="shared" ref="AZ58:BG58" si="55">AZ$17</f>
        <v/>
      </c>
      <c r="BA58" s="320" t="str">
        <f t="shared" si="55"/>
        <v/>
      </c>
      <c r="BB58" s="320" t="str">
        <f t="shared" si="55"/>
        <v/>
      </c>
      <c r="BC58" s="320" t="str">
        <f t="shared" si="55"/>
        <v/>
      </c>
      <c r="BD58" s="320" t="str">
        <f t="shared" si="55"/>
        <v/>
      </c>
      <c r="BE58" s="320" t="str">
        <f t="shared" si="55"/>
        <v/>
      </c>
      <c r="BF58" s="320" t="str">
        <f t="shared" si="55"/>
        <v/>
      </c>
      <c r="BG58" s="320" t="str">
        <f t="shared" si="55"/>
        <v/>
      </c>
      <c r="BH58" s="1"/>
    </row>
    <row r="59" spans="1:60" ht="18.75" x14ac:dyDescent="0.2">
      <c r="A59" s="653"/>
      <c r="B59" s="492" t="s">
        <v>158</v>
      </c>
      <c r="C59" s="739" t="s">
        <v>104</v>
      </c>
      <c r="D59" s="749"/>
      <c r="E59" s="708" t="s">
        <v>168</v>
      </c>
      <c r="F59" s="167"/>
      <c r="G59" s="167"/>
      <c r="H59" s="89"/>
      <c r="I59" s="169"/>
      <c r="J59" s="170"/>
      <c r="K59" s="142"/>
      <c r="L59" s="142"/>
      <c r="M59" s="186"/>
      <c r="N59" s="186"/>
      <c r="O59" s="186"/>
      <c r="P59" s="186"/>
      <c r="Q59" s="186"/>
      <c r="R59" s="186"/>
      <c r="S59" s="186"/>
      <c r="T59" s="186"/>
      <c r="U59" s="186"/>
      <c r="V59" s="186"/>
      <c r="W59" s="186"/>
      <c r="X59" s="173"/>
      <c r="Y59" s="172"/>
      <c r="Z59" s="172"/>
      <c r="AA59" s="172"/>
      <c r="AB59" s="172"/>
      <c r="AC59" s="172"/>
      <c r="AD59" s="172"/>
      <c r="AE59" s="172"/>
      <c r="AF59" s="172"/>
      <c r="AG59" s="172"/>
      <c r="AH59" s="172"/>
      <c r="AI59" s="172"/>
      <c r="AJ59" s="173"/>
      <c r="AK59" s="172"/>
      <c r="AL59" s="172"/>
      <c r="AM59" s="172"/>
      <c r="AN59" s="172"/>
      <c r="AO59" s="172"/>
      <c r="AP59" s="172"/>
      <c r="AQ59" s="172"/>
      <c r="AR59" s="172"/>
      <c r="AS59" s="172"/>
      <c r="AT59" s="172"/>
      <c r="AU59" s="172"/>
      <c r="AV59" s="173"/>
      <c r="AW59" s="172"/>
      <c r="AX59" s="172"/>
      <c r="AY59" s="172"/>
      <c r="AZ59" s="172"/>
      <c r="BA59" s="172"/>
      <c r="BB59" s="172"/>
      <c r="BC59" s="172"/>
      <c r="BD59" s="172"/>
      <c r="BE59" s="172"/>
      <c r="BF59" s="172"/>
      <c r="BG59" s="172"/>
      <c r="BH59" s="263"/>
    </row>
    <row r="60" spans="1:60" x14ac:dyDescent="0.2">
      <c r="A60" s="653"/>
      <c r="B60" s="492" t="s">
        <v>158</v>
      </c>
      <c r="C60" s="656" t="s">
        <v>113</v>
      </c>
      <c r="D60" s="750" t="s">
        <v>50</v>
      </c>
      <c r="E60" s="482" t="str">
        <f>$O$10</f>
        <v>verwarming</v>
      </c>
      <c r="F60" s="359"/>
      <c r="G60" s="359"/>
      <c r="H60" s="358" t="s">
        <v>169</v>
      </c>
      <c r="I60" s="321"/>
      <c r="J60" s="323">
        <f t="shared" ref="J60:J66" si="56">M60+Y60+AK60+AW60</f>
        <v>0</v>
      </c>
      <c r="K60" s="142"/>
      <c r="L60" s="142"/>
      <c r="M60" s="323">
        <f t="shared" ref="M60:M66" si="57">SUMPRODUCT(N$24:X$24,N$31:X$31,N60:X60)/1000</f>
        <v>0</v>
      </c>
      <c r="N60" s="321"/>
      <c r="O60" s="322">
        <f t="shared" ref="O60:W60" si="58">IF(OR(O$19="",O$40="",O$42=""),0,O$53*MAX(warmtebehoefte_verwarming_ondergrens,
VLOOKUP(O$42,warmtebehoefte_verwarming_snijpunt,MATCH(O$21,warmtebehoefte_verwarming_gebruiksfuncties,0),FALSE)+
VLOOKUP(O$42,warmtebehoefte_verwarming_C,MATCH(O$21,warmtebehoefte_verwarming_gebruiksfuncties,0),FALSE)*
O$52*O$34^VLOOKUP(O$42,warmtebehoefte_verwarming_n,MATCH(O$21,warmtebehoefte_verwarming_gebruiksfuncties,0),FALSE)))</f>
        <v>0</v>
      </c>
      <c r="P60" s="322">
        <f t="shared" si="58"/>
        <v>0</v>
      </c>
      <c r="Q60" s="322">
        <f t="shared" si="58"/>
        <v>0</v>
      </c>
      <c r="R60" s="322">
        <f t="shared" si="58"/>
        <v>0</v>
      </c>
      <c r="S60" s="322">
        <f t="shared" si="58"/>
        <v>0</v>
      </c>
      <c r="T60" s="322">
        <f t="shared" si="58"/>
        <v>0</v>
      </c>
      <c r="U60" s="322">
        <f t="shared" si="58"/>
        <v>0</v>
      </c>
      <c r="V60" s="322">
        <f t="shared" si="58"/>
        <v>0</v>
      </c>
      <c r="W60" s="322">
        <f t="shared" si="58"/>
        <v>0</v>
      </c>
      <c r="X60" s="142"/>
      <c r="Y60" s="323">
        <f t="shared" ref="Y60:Y66" si="59">SUMPRODUCT(Z$24:AJ$24,Z$31:AJ$31,Z60:AJ60)/1000</f>
        <v>0</v>
      </c>
      <c r="Z60" s="321"/>
      <c r="AA60" s="322">
        <f t="shared" ref="AA60:AI60" si="60">IF(OR(AA$19="",AA$40="",AA$42=""),0,AA$53*MAX(warmtebehoefte_verwarming_ondergrens,
VLOOKUP(AA$42,warmtebehoefte_verwarming_snijpunt,MATCH(AA$21,warmtebehoefte_verwarming_gebruiksfuncties,0),FALSE)+
VLOOKUP(AA$42,warmtebehoefte_verwarming_C,MATCH(AA$21,warmtebehoefte_verwarming_gebruiksfuncties,0),FALSE)*
AA$52*AA$34^VLOOKUP(AA$42,warmtebehoefte_verwarming_n,MATCH(AA$21,warmtebehoefte_verwarming_gebruiksfuncties,0),FALSE)))</f>
        <v>0</v>
      </c>
      <c r="AB60" s="322">
        <f t="shared" si="60"/>
        <v>0</v>
      </c>
      <c r="AC60" s="322">
        <f t="shared" si="60"/>
        <v>0</v>
      </c>
      <c r="AD60" s="322">
        <f t="shared" si="60"/>
        <v>0</v>
      </c>
      <c r="AE60" s="322">
        <f t="shared" si="60"/>
        <v>0</v>
      </c>
      <c r="AF60" s="322">
        <f t="shared" si="60"/>
        <v>0</v>
      </c>
      <c r="AG60" s="322">
        <f t="shared" si="60"/>
        <v>0</v>
      </c>
      <c r="AH60" s="322">
        <f t="shared" si="60"/>
        <v>0</v>
      </c>
      <c r="AI60" s="322">
        <f t="shared" si="60"/>
        <v>0</v>
      </c>
      <c r="AJ60" s="142"/>
      <c r="AK60" s="323">
        <f t="shared" ref="AK60:AK66" si="61">SUMPRODUCT(AL$24:AV$24,AL$31:AV$31,AL60:AV60)/1000</f>
        <v>0</v>
      </c>
      <c r="AL60" s="321"/>
      <c r="AM60" s="322">
        <f t="shared" ref="AM60:AU60" si="62">IF(OR(AM$19="",AM$40="",AM$42=""),0,AM$53*MAX(warmtebehoefte_verwarming_ondergrens,
VLOOKUP(AM$42,warmtebehoefte_verwarming_snijpunt,MATCH(AM$21,warmtebehoefte_verwarming_gebruiksfuncties,0),FALSE)+
VLOOKUP(AM$42,warmtebehoefte_verwarming_C,MATCH(AM$21,warmtebehoefte_verwarming_gebruiksfuncties,0),FALSE)*
AM$52*AM$34^VLOOKUP(AM$42,warmtebehoefte_verwarming_n,MATCH(AM$21,warmtebehoefte_verwarming_gebruiksfuncties,0),FALSE)))</f>
        <v>0</v>
      </c>
      <c r="AN60" s="322">
        <f t="shared" si="62"/>
        <v>0</v>
      </c>
      <c r="AO60" s="322">
        <f t="shared" si="62"/>
        <v>0</v>
      </c>
      <c r="AP60" s="322">
        <f t="shared" si="62"/>
        <v>0</v>
      </c>
      <c r="AQ60" s="322">
        <f t="shared" si="62"/>
        <v>0</v>
      </c>
      <c r="AR60" s="322">
        <f t="shared" si="62"/>
        <v>0</v>
      </c>
      <c r="AS60" s="322">
        <f t="shared" si="62"/>
        <v>0</v>
      </c>
      <c r="AT60" s="322">
        <f t="shared" si="62"/>
        <v>0</v>
      </c>
      <c r="AU60" s="322">
        <f t="shared" si="62"/>
        <v>0</v>
      </c>
      <c r="AV60" s="142"/>
      <c r="AW60" s="323">
        <f t="shared" ref="AW60:AW66" si="63">SUMPRODUCT(AX$24:BH$24,AX$31:BH$31,AX60:BH60)/1000</f>
        <v>0</v>
      </c>
      <c r="AX60" s="321"/>
      <c r="AY60" s="322">
        <f t="shared" ref="AY60:BG60" si="64">IF(OR(AY$19="",AY$40="",AY$42=""),0,AY$53*MAX(warmtebehoefte_verwarming_ondergrens,
VLOOKUP(AY$42,warmtebehoefte_verwarming_snijpunt,MATCH(AY$21,warmtebehoefte_verwarming_gebruiksfuncties,0),FALSE)+
VLOOKUP(AY$42,warmtebehoefte_verwarming_C,MATCH(AY$21,warmtebehoefte_verwarming_gebruiksfuncties,0),FALSE)*
AY$52*AY$34^VLOOKUP(AY$42,warmtebehoefte_verwarming_n,MATCH(AY$21,warmtebehoefte_verwarming_gebruiksfuncties,0),FALSE)))</f>
        <v>0</v>
      </c>
      <c r="AZ60" s="322">
        <f t="shared" si="64"/>
        <v>0</v>
      </c>
      <c r="BA60" s="322">
        <f t="shared" si="64"/>
        <v>0</v>
      </c>
      <c r="BB60" s="322">
        <f t="shared" si="64"/>
        <v>0</v>
      </c>
      <c r="BC60" s="322">
        <f t="shared" si="64"/>
        <v>0</v>
      </c>
      <c r="BD60" s="322">
        <f t="shared" si="64"/>
        <v>0</v>
      </c>
      <c r="BE60" s="322">
        <f t="shared" si="64"/>
        <v>0</v>
      </c>
      <c r="BF60" s="322">
        <f t="shared" si="64"/>
        <v>0</v>
      </c>
      <c r="BG60" s="322">
        <f t="shared" si="64"/>
        <v>0</v>
      </c>
      <c r="BH60" s="255"/>
    </row>
    <row r="61" spans="1:60" x14ac:dyDescent="0.2">
      <c r="A61" s="653"/>
      <c r="B61" s="492" t="s">
        <v>158</v>
      </c>
      <c r="C61" s="656" t="s">
        <v>113</v>
      </c>
      <c r="D61" s="750" t="s">
        <v>50</v>
      </c>
      <c r="E61" s="358" t="str">
        <f>$P$10</f>
        <v>koeling</v>
      </c>
      <c r="F61" s="359"/>
      <c r="G61" s="359"/>
      <c r="H61" s="358" t="s">
        <v>169</v>
      </c>
      <c r="I61" s="321"/>
      <c r="J61" s="323">
        <f t="shared" si="56"/>
        <v>0</v>
      </c>
      <c r="K61" s="142"/>
      <c r="L61" s="142"/>
      <c r="M61" s="323">
        <f t="shared" si="57"/>
        <v>0</v>
      </c>
      <c r="N61" s="321"/>
      <c r="O61" s="322">
        <f t="shared" ref="O61:W61" si="65">IF(OR(O$19="",O$40="",O$42=""),0,MAX(koudebehoefte_koeling_ondergrens,
VLOOKUP(O$42,koudebehoefte_snijpunt,MATCH(O$21,warmtebehoefte_verwarming_gebruiksfuncties,0),FALSE)
+VLOOKUP(O$42,koudebehoefte_C1,MATCH(O$21,warmtebehoefte_verwarming_gebruiksfuncties,0),FALSE)
*O$31^VLOOKUP(O$42,koudebehoefte_n1,MATCH(O$21,warmtebehoefte_verwarming_gebruiksfuncties,0),FALSE)
+VLOOKUP(O$42,koudebehoefte_C2,MATCH(O$21,warmtebehoefte_verwarming_gebruiksfuncties,0),FALSE)
*O$34^VLOOKUP(O$42,koudebehoefte_n2,MATCH(O$21,warmtebehoefte_verwarming_gebruiksfuncties,0),FALSE)
+VLOOKUP(O$42,koudebehoefte_C3,MATCH(O$21,warmtebehoefte_verwarming_gebruiksfuncties,0),FALSE)
*O$52^VLOOKUP(O$42,koudebehoefte_n3,MATCH(O$21,warmtebehoefte_verwarming_gebruiksfuncties,0),FALSE)
+VLOOKUP(O$42,koudebehoefte_C4,MATCH(O$21,warmtebehoefte_verwarming_gebruiksfuncties,0),FALSE)
*O$35^VLOOKUP(O$42,koudebehoefte_n4,MATCH(O$21,warmtebehoefte_verwarming_gebruiksfuncties,0),FALSE)))</f>
        <v>0</v>
      </c>
      <c r="P61" s="322">
        <f t="shared" si="65"/>
        <v>0</v>
      </c>
      <c r="Q61" s="322">
        <f t="shared" si="65"/>
        <v>0</v>
      </c>
      <c r="R61" s="322">
        <f t="shared" si="65"/>
        <v>0</v>
      </c>
      <c r="S61" s="322">
        <f t="shared" si="65"/>
        <v>0</v>
      </c>
      <c r="T61" s="322">
        <f t="shared" si="65"/>
        <v>0</v>
      </c>
      <c r="U61" s="322">
        <f t="shared" si="65"/>
        <v>0</v>
      </c>
      <c r="V61" s="322">
        <f t="shared" si="65"/>
        <v>0</v>
      </c>
      <c r="W61" s="322">
        <f t="shared" si="65"/>
        <v>0</v>
      </c>
      <c r="X61" s="142"/>
      <c r="Y61" s="323">
        <f t="shared" si="59"/>
        <v>0</v>
      </c>
      <c r="Z61" s="321"/>
      <c r="AA61" s="322">
        <f t="shared" ref="AA61:AI61" si="66">IF(OR(AA$19="",AA$40="",AA$42=""),0,MAX(koudebehoefte_koeling_ondergrens,
VLOOKUP(AA$42,koudebehoefte_snijpunt,MATCH(AA$21,warmtebehoefte_verwarming_gebruiksfuncties,0),FALSE)
+VLOOKUP(AA$42,koudebehoefte_C1,MATCH(AA$21,warmtebehoefte_verwarming_gebruiksfuncties,0),FALSE)
*AA$31^VLOOKUP(AA$42,koudebehoefte_n1,MATCH(AA$21,warmtebehoefte_verwarming_gebruiksfuncties,0),FALSE)
+VLOOKUP(AA$42,koudebehoefte_C2,MATCH(AA$21,warmtebehoefte_verwarming_gebruiksfuncties,0),FALSE)
*AA$34^VLOOKUP(AA$42,koudebehoefte_n2,MATCH(AA$21,warmtebehoefte_verwarming_gebruiksfuncties,0),FALSE)
+VLOOKUP(AA$42,koudebehoefte_C3,MATCH(AA$21,warmtebehoefte_verwarming_gebruiksfuncties,0),FALSE)
*AA$52^VLOOKUP(AA$42,koudebehoefte_n3,MATCH(AA$21,warmtebehoefte_verwarming_gebruiksfuncties,0),FALSE)
+VLOOKUP(AA$42,koudebehoefte_C4,MATCH(AA$21,warmtebehoefte_verwarming_gebruiksfuncties,0),FALSE)
*AA$35^VLOOKUP(AA$42,koudebehoefte_n4,MATCH(AA$21,warmtebehoefte_verwarming_gebruiksfuncties,0),FALSE)))</f>
        <v>0</v>
      </c>
      <c r="AB61" s="322">
        <f t="shared" si="66"/>
        <v>0</v>
      </c>
      <c r="AC61" s="322">
        <f t="shared" si="66"/>
        <v>0</v>
      </c>
      <c r="AD61" s="322">
        <f t="shared" si="66"/>
        <v>0</v>
      </c>
      <c r="AE61" s="322">
        <f t="shared" si="66"/>
        <v>0</v>
      </c>
      <c r="AF61" s="322">
        <f t="shared" si="66"/>
        <v>0</v>
      </c>
      <c r="AG61" s="322">
        <f t="shared" si="66"/>
        <v>0</v>
      </c>
      <c r="AH61" s="322">
        <f t="shared" si="66"/>
        <v>0</v>
      </c>
      <c r="AI61" s="322">
        <f t="shared" si="66"/>
        <v>0</v>
      </c>
      <c r="AJ61" s="142"/>
      <c r="AK61" s="323">
        <f t="shared" si="61"/>
        <v>0</v>
      </c>
      <c r="AL61" s="321"/>
      <c r="AM61" s="322">
        <f t="shared" ref="AM61:AU61" si="67">IF(OR(AM$19="",AM$40="",AM$42=""),0,MAX(koudebehoefte_koeling_ondergrens,
VLOOKUP(AM$42,koudebehoefte_snijpunt,MATCH(AM$21,warmtebehoefte_verwarming_gebruiksfuncties,0),FALSE)
+VLOOKUP(AM$42,koudebehoefte_C1,MATCH(AM$21,warmtebehoefte_verwarming_gebruiksfuncties,0),FALSE)
*AM$31^VLOOKUP(AM$42,koudebehoefte_n1,MATCH(AM$21,warmtebehoefte_verwarming_gebruiksfuncties,0),FALSE)
+VLOOKUP(AM$42,koudebehoefte_C2,MATCH(AM$21,warmtebehoefte_verwarming_gebruiksfuncties,0),FALSE)
*AM$34^VLOOKUP(AM$42,koudebehoefte_n2,MATCH(AM$21,warmtebehoefte_verwarming_gebruiksfuncties,0),FALSE)
+VLOOKUP(AM$42,koudebehoefte_C3,MATCH(AM$21,warmtebehoefte_verwarming_gebruiksfuncties,0),FALSE)
*AM$52^VLOOKUP(AM$42,koudebehoefte_n3,MATCH(AM$21,warmtebehoefte_verwarming_gebruiksfuncties,0),FALSE)
+VLOOKUP(AM$42,koudebehoefte_C4,MATCH(AM$21,warmtebehoefte_verwarming_gebruiksfuncties,0),FALSE)
*AM$35^VLOOKUP(AM$42,koudebehoefte_n4,MATCH(AM$21,warmtebehoefte_verwarming_gebruiksfuncties,0),FALSE)))</f>
        <v>0</v>
      </c>
      <c r="AN61" s="322">
        <f t="shared" si="67"/>
        <v>0</v>
      </c>
      <c r="AO61" s="322">
        <f t="shared" si="67"/>
        <v>0</v>
      </c>
      <c r="AP61" s="322">
        <f t="shared" si="67"/>
        <v>0</v>
      </c>
      <c r="AQ61" s="322">
        <f t="shared" si="67"/>
        <v>0</v>
      </c>
      <c r="AR61" s="322">
        <f t="shared" si="67"/>
        <v>0</v>
      </c>
      <c r="AS61" s="322">
        <f t="shared" si="67"/>
        <v>0</v>
      </c>
      <c r="AT61" s="322">
        <f t="shared" si="67"/>
        <v>0</v>
      </c>
      <c r="AU61" s="322">
        <f t="shared" si="67"/>
        <v>0</v>
      </c>
      <c r="AV61" s="142"/>
      <c r="AW61" s="323">
        <f t="shared" si="63"/>
        <v>0</v>
      </c>
      <c r="AX61" s="321"/>
      <c r="AY61" s="322">
        <f t="shared" ref="AY61:BG61" si="68">IF(OR(AY$19="",AY$40="",AY$42=""),0,MAX(koudebehoefte_koeling_ondergrens,
VLOOKUP(AY$42,koudebehoefte_snijpunt,MATCH(AY$21,warmtebehoefte_verwarming_gebruiksfuncties,0),FALSE)
+VLOOKUP(AY$42,koudebehoefte_C1,MATCH(AY$21,warmtebehoefte_verwarming_gebruiksfuncties,0),FALSE)
*AY$31^VLOOKUP(AY$42,koudebehoefte_n1,MATCH(AY$21,warmtebehoefte_verwarming_gebruiksfuncties,0),FALSE)
+VLOOKUP(AY$42,koudebehoefte_C2,MATCH(AY$21,warmtebehoefte_verwarming_gebruiksfuncties,0),FALSE)
*AY$34^VLOOKUP(AY$42,koudebehoefte_n2,MATCH(AY$21,warmtebehoefte_verwarming_gebruiksfuncties,0),FALSE)
+VLOOKUP(AY$42,koudebehoefte_C3,MATCH(AY$21,warmtebehoefte_verwarming_gebruiksfuncties,0),FALSE)
*AY$52^VLOOKUP(AY$42,koudebehoefte_n3,MATCH(AY$21,warmtebehoefte_verwarming_gebruiksfuncties,0),FALSE)
+VLOOKUP(AY$42,koudebehoefte_C4,MATCH(AY$21,warmtebehoefte_verwarming_gebruiksfuncties,0),FALSE)
*AY$35^VLOOKUP(AY$42,koudebehoefte_n4,MATCH(AY$21,warmtebehoefte_verwarming_gebruiksfuncties,0),FALSE)))</f>
        <v>0</v>
      </c>
      <c r="AZ61" s="322">
        <f t="shared" si="68"/>
        <v>0</v>
      </c>
      <c r="BA61" s="322">
        <f t="shared" si="68"/>
        <v>0</v>
      </c>
      <c r="BB61" s="322">
        <f t="shared" si="68"/>
        <v>0</v>
      </c>
      <c r="BC61" s="322">
        <f t="shared" si="68"/>
        <v>0</v>
      </c>
      <c r="BD61" s="322">
        <f t="shared" si="68"/>
        <v>0</v>
      </c>
      <c r="BE61" s="322">
        <f t="shared" si="68"/>
        <v>0</v>
      </c>
      <c r="BF61" s="322">
        <f t="shared" si="68"/>
        <v>0</v>
      </c>
      <c r="BG61" s="322">
        <f t="shared" si="68"/>
        <v>0</v>
      </c>
      <c r="BH61" s="255"/>
    </row>
    <row r="62" spans="1:60" x14ac:dyDescent="0.2">
      <c r="A62" s="653"/>
      <c r="B62" s="492" t="s">
        <v>158</v>
      </c>
      <c r="C62" s="656" t="s">
        <v>113</v>
      </c>
      <c r="D62" s="750" t="s">
        <v>50</v>
      </c>
      <c r="E62" s="358" t="str">
        <f>$Q$10</f>
        <v>tapwater</v>
      </c>
      <c r="F62" s="359"/>
      <c r="G62" s="359"/>
      <c r="H62" s="358" t="s">
        <v>169</v>
      </c>
      <c r="I62" s="321"/>
      <c r="J62" s="323">
        <f t="shared" si="56"/>
        <v>0</v>
      </c>
      <c r="K62" s="142"/>
      <c r="L62" s="142"/>
      <c r="M62" s="323">
        <f t="shared" si="57"/>
        <v>0</v>
      </c>
      <c r="N62" s="321"/>
      <c r="O62" s="322">
        <f t="shared" ref="O62:W62" si="69">IF(OR(O$19="",O$31=0),0,
IF(OR(O$21=woning,O$21=woongebouw),IF(O$31&gt;100,1.28+0.01*O$31,MAX(1,2.28-1.28/70*(100-O$31)))*856/O$31,
INDEX(warmtapwater_specifieke_warmtebehoefte_waarden,MATCH(O$21,warmtapwater_specifieke_warmtebehoefte_gebruiksfuncties,0)))*O$44)</f>
        <v>0</v>
      </c>
      <c r="P62" s="322">
        <f t="shared" si="69"/>
        <v>0</v>
      </c>
      <c r="Q62" s="322">
        <f t="shared" si="69"/>
        <v>0</v>
      </c>
      <c r="R62" s="322">
        <f t="shared" si="69"/>
        <v>0</v>
      </c>
      <c r="S62" s="322">
        <f t="shared" si="69"/>
        <v>0</v>
      </c>
      <c r="T62" s="322">
        <f t="shared" si="69"/>
        <v>0</v>
      </c>
      <c r="U62" s="322">
        <f t="shared" si="69"/>
        <v>0</v>
      </c>
      <c r="V62" s="322">
        <f t="shared" si="69"/>
        <v>0</v>
      </c>
      <c r="W62" s="322">
        <f t="shared" si="69"/>
        <v>0</v>
      </c>
      <c r="X62" s="142"/>
      <c r="Y62" s="323">
        <f t="shared" si="59"/>
        <v>0</v>
      </c>
      <c r="Z62" s="321"/>
      <c r="AA62" s="322">
        <f t="shared" ref="AA62:AI62" si="70">IF(OR(AA$19="",AA$31=0),0,
IF(OR(AA$21=woning,AA$21=woongebouw),IF(AA$31&gt;100,1.28+0.01*AA$31,MAX(1,2.28-1.28/70*(100-AA$31)))*856/AA$31,
INDEX(warmtapwater_specifieke_warmtebehoefte_waarden,MATCH(AA$21,warmtapwater_specifieke_warmtebehoefte_gebruiksfuncties,0)))*AA$44)</f>
        <v>0</v>
      </c>
      <c r="AB62" s="322">
        <f t="shared" si="70"/>
        <v>0</v>
      </c>
      <c r="AC62" s="322">
        <f t="shared" si="70"/>
        <v>0</v>
      </c>
      <c r="AD62" s="322">
        <f t="shared" si="70"/>
        <v>0</v>
      </c>
      <c r="AE62" s="322">
        <f t="shared" si="70"/>
        <v>0</v>
      </c>
      <c r="AF62" s="322">
        <f t="shared" si="70"/>
        <v>0</v>
      </c>
      <c r="AG62" s="322">
        <f t="shared" si="70"/>
        <v>0</v>
      </c>
      <c r="AH62" s="322">
        <f t="shared" si="70"/>
        <v>0</v>
      </c>
      <c r="AI62" s="322">
        <f t="shared" si="70"/>
        <v>0</v>
      </c>
      <c r="AJ62" s="142"/>
      <c r="AK62" s="323">
        <f t="shared" si="61"/>
        <v>0</v>
      </c>
      <c r="AL62" s="321"/>
      <c r="AM62" s="322">
        <f t="shared" ref="AM62:AU62" si="71">IF(OR(AM$19="",AM$31=0),0,
IF(OR(AM$21=woning,AM$21=woongebouw),IF(AM$31&gt;100,1.28+0.01*AM$31,MAX(1,2.28-1.28/70*(100-AM$31)))*856/AM$31,
INDEX(warmtapwater_specifieke_warmtebehoefte_waarden,MATCH(AM$21,warmtapwater_specifieke_warmtebehoefte_gebruiksfuncties,0)))*AM$44)</f>
        <v>0</v>
      </c>
      <c r="AN62" s="322">
        <f t="shared" si="71"/>
        <v>0</v>
      </c>
      <c r="AO62" s="322">
        <f t="shared" si="71"/>
        <v>0</v>
      </c>
      <c r="AP62" s="322">
        <f t="shared" si="71"/>
        <v>0</v>
      </c>
      <c r="AQ62" s="322">
        <f t="shared" si="71"/>
        <v>0</v>
      </c>
      <c r="AR62" s="322">
        <f t="shared" si="71"/>
        <v>0</v>
      </c>
      <c r="AS62" s="322">
        <f t="shared" si="71"/>
        <v>0</v>
      </c>
      <c r="AT62" s="322">
        <f t="shared" si="71"/>
        <v>0</v>
      </c>
      <c r="AU62" s="322">
        <f t="shared" si="71"/>
        <v>0</v>
      </c>
      <c r="AV62" s="142"/>
      <c r="AW62" s="323">
        <f t="shared" si="63"/>
        <v>0</v>
      </c>
      <c r="AX62" s="321"/>
      <c r="AY62" s="322">
        <f t="shared" ref="AY62:BG62" si="72">IF(OR(AY$19="",AY$31=0),0,
IF(OR(AY$21=woning,AY$21=woongebouw),IF(AY$31&gt;100,1.28+0.01*AY$31,MAX(1,2.28-1.28/70*(100-AY$31)))*856/AY$31,
INDEX(warmtapwater_specifieke_warmtebehoefte_waarden,MATCH(AY$21,warmtapwater_specifieke_warmtebehoefte_gebruiksfuncties,0)))*AY$44)</f>
        <v>0</v>
      </c>
      <c r="AZ62" s="322">
        <f t="shared" si="72"/>
        <v>0</v>
      </c>
      <c r="BA62" s="322">
        <f t="shared" si="72"/>
        <v>0</v>
      </c>
      <c r="BB62" s="322">
        <f t="shared" si="72"/>
        <v>0</v>
      </c>
      <c r="BC62" s="322">
        <f t="shared" si="72"/>
        <v>0</v>
      </c>
      <c r="BD62" s="322">
        <f t="shared" si="72"/>
        <v>0</v>
      </c>
      <c r="BE62" s="322">
        <f t="shared" si="72"/>
        <v>0</v>
      </c>
      <c r="BF62" s="322">
        <f t="shared" si="72"/>
        <v>0</v>
      </c>
      <c r="BG62" s="322">
        <f t="shared" si="72"/>
        <v>0</v>
      </c>
      <c r="BH62" s="255"/>
    </row>
    <row r="63" spans="1:60" x14ac:dyDescent="0.2">
      <c r="A63" s="653"/>
      <c r="B63" s="492" t="s">
        <v>158</v>
      </c>
      <c r="C63" s="656" t="s">
        <v>113</v>
      </c>
      <c r="D63" s="750" t="s">
        <v>50</v>
      </c>
      <c r="E63" s="358" t="str">
        <f>$R$10</f>
        <v>verlichting</v>
      </c>
      <c r="F63" s="359"/>
      <c r="G63" s="359"/>
      <c r="H63" s="358" t="s">
        <v>169</v>
      </c>
      <c r="I63" s="321"/>
      <c r="J63" s="323">
        <f t="shared" si="56"/>
        <v>0</v>
      </c>
      <c r="K63" s="142"/>
      <c r="L63" s="142"/>
      <c r="M63" s="323">
        <f t="shared" si="57"/>
        <v>0</v>
      </c>
      <c r="N63" s="321"/>
      <c r="O63" s="322">
        <f t="shared" ref="O63:W63" si="73">IF(OR(O$19="",AND(O$21&lt;&gt;woning,O$21&lt;&gt;woongebouw,O$46="")),0,
(INDEX(verlichting_parameters_a,MATCH(O$21,verlichting_parameters_gebruiksfuncties,0))+
INDEX(verlichting_parameters_b,MATCH(O$21,verlichting_parameters_gebruiksfuncties,0))*IF(O$45="",INDEX(verlichting_vermogen_forfaitair,MATCH(O$21,verlichting_parameters_gebruiksfuncties,0)),O$45))*
IF(OR(O$21=woning,O$21=woongebouw),1,INDEX(verlichtingsregeling_waarden,MATCH(O$46,verlichtingsregeling_kopregel,0))))</f>
        <v>0</v>
      </c>
      <c r="P63" s="322">
        <f t="shared" si="73"/>
        <v>0</v>
      </c>
      <c r="Q63" s="322">
        <f t="shared" si="73"/>
        <v>0</v>
      </c>
      <c r="R63" s="322">
        <f t="shared" si="73"/>
        <v>0</v>
      </c>
      <c r="S63" s="322">
        <f t="shared" si="73"/>
        <v>0</v>
      </c>
      <c r="T63" s="322">
        <f t="shared" si="73"/>
        <v>0</v>
      </c>
      <c r="U63" s="322">
        <f t="shared" si="73"/>
        <v>0</v>
      </c>
      <c r="V63" s="322">
        <f t="shared" si="73"/>
        <v>0</v>
      </c>
      <c r="W63" s="322">
        <f t="shared" si="73"/>
        <v>0</v>
      </c>
      <c r="X63" s="142"/>
      <c r="Y63" s="323">
        <f t="shared" si="59"/>
        <v>0</v>
      </c>
      <c r="Z63" s="321"/>
      <c r="AA63" s="322">
        <f t="shared" ref="AA63:AI63" si="74">IF(OR(AA$19="",AND(AA$21&lt;&gt;woning,AA$21&lt;&gt;woongebouw,AA$46="")),0,
(INDEX(verlichting_parameters_a,MATCH(AA$21,verlichting_parameters_gebruiksfuncties,0))+
INDEX(verlichting_parameters_b,MATCH(AA$21,verlichting_parameters_gebruiksfuncties,0))*IF(AA$45="",INDEX(verlichting_vermogen_forfaitair,MATCH(AA$21,verlichting_parameters_gebruiksfuncties,0)),AA$45))*
IF(OR(AA$21=woning,AA$21=woongebouw),1,INDEX(verlichtingsregeling_waarden,MATCH(AA$46,verlichtingsregeling_kopregel,0))))</f>
        <v>0</v>
      </c>
      <c r="AB63" s="322">
        <f t="shared" si="74"/>
        <v>0</v>
      </c>
      <c r="AC63" s="322">
        <f t="shared" si="74"/>
        <v>0</v>
      </c>
      <c r="AD63" s="322">
        <f t="shared" si="74"/>
        <v>0</v>
      </c>
      <c r="AE63" s="322">
        <f t="shared" si="74"/>
        <v>0</v>
      </c>
      <c r="AF63" s="322">
        <f t="shared" si="74"/>
        <v>0</v>
      </c>
      <c r="AG63" s="322">
        <f t="shared" si="74"/>
        <v>0</v>
      </c>
      <c r="AH63" s="322">
        <f t="shared" si="74"/>
        <v>0</v>
      </c>
      <c r="AI63" s="322">
        <f t="shared" si="74"/>
        <v>0</v>
      </c>
      <c r="AJ63" s="142"/>
      <c r="AK63" s="323">
        <f t="shared" si="61"/>
        <v>0</v>
      </c>
      <c r="AL63" s="321"/>
      <c r="AM63" s="322">
        <f t="shared" ref="AM63:AU63" si="75">IF(OR(AM$19="",AND(AM$21&lt;&gt;woning,AM$21&lt;&gt;woongebouw,AM$46="")),0,
(INDEX(verlichting_parameters_a,MATCH(AM$21,verlichting_parameters_gebruiksfuncties,0))+
INDEX(verlichting_parameters_b,MATCH(AM$21,verlichting_parameters_gebruiksfuncties,0))*IF(AM$45="",INDEX(verlichting_vermogen_forfaitair,MATCH(AM$21,verlichting_parameters_gebruiksfuncties,0)),AM$45))*
IF(OR(AM$21=woning,AM$21=woongebouw),1,INDEX(verlichtingsregeling_waarden,MATCH(AM$46,verlichtingsregeling_kopregel,0))))</f>
        <v>0</v>
      </c>
      <c r="AN63" s="322">
        <f t="shared" si="75"/>
        <v>0</v>
      </c>
      <c r="AO63" s="322">
        <f t="shared" si="75"/>
        <v>0</v>
      </c>
      <c r="AP63" s="322">
        <f t="shared" si="75"/>
        <v>0</v>
      </c>
      <c r="AQ63" s="322">
        <f t="shared" si="75"/>
        <v>0</v>
      </c>
      <c r="AR63" s="322">
        <f t="shared" si="75"/>
        <v>0</v>
      </c>
      <c r="AS63" s="322">
        <f t="shared" si="75"/>
        <v>0</v>
      </c>
      <c r="AT63" s="322">
        <f t="shared" si="75"/>
        <v>0</v>
      </c>
      <c r="AU63" s="322">
        <f t="shared" si="75"/>
        <v>0</v>
      </c>
      <c r="AV63" s="142"/>
      <c r="AW63" s="323">
        <f t="shared" si="63"/>
        <v>0</v>
      </c>
      <c r="AX63" s="321"/>
      <c r="AY63" s="322">
        <f t="shared" ref="AY63:BG63" si="76">IF(OR(AY$19="",AND(AY$21&lt;&gt;woning,AY$21&lt;&gt;woongebouw,AY$46="")),0,
(INDEX(verlichting_parameters_a,MATCH(AY$21,verlichting_parameters_gebruiksfuncties,0))+
INDEX(verlichting_parameters_b,MATCH(AY$21,verlichting_parameters_gebruiksfuncties,0))*IF(AY$45="",INDEX(verlichting_vermogen_forfaitair,MATCH(AY$21,verlichting_parameters_gebruiksfuncties,0)),AY$45))*
IF(OR(AY$21=woning,AY$21=woongebouw),1,INDEX(verlichtingsregeling_waarden,MATCH(AY$46,verlichtingsregeling_kopregel,0))))</f>
        <v>0</v>
      </c>
      <c r="AZ63" s="322">
        <f t="shared" si="76"/>
        <v>0</v>
      </c>
      <c r="BA63" s="322">
        <f t="shared" si="76"/>
        <v>0</v>
      </c>
      <c r="BB63" s="322">
        <f t="shared" si="76"/>
        <v>0</v>
      </c>
      <c r="BC63" s="322">
        <f t="shared" si="76"/>
        <v>0</v>
      </c>
      <c r="BD63" s="322">
        <f t="shared" si="76"/>
        <v>0</v>
      </c>
      <c r="BE63" s="322">
        <f t="shared" si="76"/>
        <v>0</v>
      </c>
      <c r="BF63" s="322">
        <f t="shared" si="76"/>
        <v>0</v>
      </c>
      <c r="BG63" s="322">
        <f t="shared" si="76"/>
        <v>0</v>
      </c>
      <c r="BH63" s="255"/>
    </row>
    <row r="64" spans="1:60" x14ac:dyDescent="0.2">
      <c r="A64" s="653"/>
      <c r="B64" s="492" t="s">
        <v>158</v>
      </c>
      <c r="C64" s="656" t="s">
        <v>113</v>
      </c>
      <c r="D64" s="750" t="s">
        <v>50</v>
      </c>
      <c r="E64" s="358" t="str">
        <f>$S$10</f>
        <v>ventilatoren</v>
      </c>
      <c r="F64" s="359"/>
      <c r="G64" s="359"/>
      <c r="H64" s="358" t="s">
        <v>169</v>
      </c>
      <c r="I64" s="321"/>
      <c r="J64" s="323">
        <f t="shared" si="56"/>
        <v>0</v>
      </c>
      <c r="K64" s="142"/>
      <c r="L64" s="142"/>
      <c r="M64" s="323">
        <f t="shared" si="57"/>
        <v>0</v>
      </c>
      <c r="N64" s="321"/>
      <c r="O64" s="322">
        <f t="shared" ref="O64:W64" si="77">IFERROR(IF(OR(O$19="",O$42=""),0,
IF(INDEX(ventilatiesystemen_code_eenvoudig,MATCH(O$42,ventilatiesystemen_namen,0))="A",0,
IF(INDEX(ventilatiesystemen_code_eenvoudig,MATCH(O$42,ventilatiesystemen_namen,0))="C",VLOOKUP(O$43,ventilatorenergie_ventilatiesysteem_B_C,MATCH(O$21,ventilatorenergie_ventilatiesysteem_B_C_kopregel,0),FALSE),
VLOOKUP(O$43,ventilatorenergie_ventilatiesysteem_D,MATCH(O$21,ventilatorenergie_ventilatiesysteem_D_kopregel,0),FALSE)  ))),0)</f>
        <v>0</v>
      </c>
      <c r="P64" s="322">
        <f t="shared" si="77"/>
        <v>0</v>
      </c>
      <c r="Q64" s="322">
        <f t="shared" si="77"/>
        <v>0</v>
      </c>
      <c r="R64" s="322">
        <f t="shared" si="77"/>
        <v>0</v>
      </c>
      <c r="S64" s="322">
        <f t="shared" si="77"/>
        <v>0</v>
      </c>
      <c r="T64" s="322">
        <f t="shared" si="77"/>
        <v>0</v>
      </c>
      <c r="U64" s="322">
        <f t="shared" si="77"/>
        <v>0</v>
      </c>
      <c r="V64" s="322">
        <f t="shared" si="77"/>
        <v>0</v>
      </c>
      <c r="W64" s="322">
        <f t="shared" si="77"/>
        <v>0</v>
      </c>
      <c r="X64" s="142"/>
      <c r="Y64" s="323">
        <f t="shared" si="59"/>
        <v>0</v>
      </c>
      <c r="Z64" s="321"/>
      <c r="AA64" s="322">
        <f t="shared" ref="AA64:AI64" si="78">IFERROR(IF(OR(AA$19="",AA$42=""),0,
IF(INDEX(ventilatiesystemen_code_eenvoudig,MATCH(AA$42,ventilatiesystemen_namen,0))="A",0,
IF(INDEX(ventilatiesystemen_code_eenvoudig,MATCH(AA$42,ventilatiesystemen_namen,0))="C",VLOOKUP(AA$43,ventilatorenergie_ventilatiesysteem_B_C,MATCH(AA$21,ventilatorenergie_ventilatiesysteem_B_C_kopregel,0),FALSE),
VLOOKUP(AA$43,ventilatorenergie_ventilatiesysteem_D,MATCH(AA$21,ventilatorenergie_ventilatiesysteem_D_kopregel,0),FALSE)  ))),0)</f>
        <v>0</v>
      </c>
      <c r="AB64" s="322">
        <f t="shared" si="78"/>
        <v>0</v>
      </c>
      <c r="AC64" s="322">
        <f t="shared" si="78"/>
        <v>0</v>
      </c>
      <c r="AD64" s="322">
        <f t="shared" si="78"/>
        <v>0</v>
      </c>
      <c r="AE64" s="322">
        <f t="shared" si="78"/>
        <v>0</v>
      </c>
      <c r="AF64" s="322">
        <f t="shared" si="78"/>
        <v>0</v>
      </c>
      <c r="AG64" s="322">
        <f t="shared" si="78"/>
        <v>0</v>
      </c>
      <c r="AH64" s="322">
        <f t="shared" si="78"/>
        <v>0</v>
      </c>
      <c r="AI64" s="322">
        <f t="shared" si="78"/>
        <v>0</v>
      </c>
      <c r="AJ64" s="142"/>
      <c r="AK64" s="323">
        <f t="shared" si="61"/>
        <v>0</v>
      </c>
      <c r="AL64" s="321"/>
      <c r="AM64" s="322">
        <f t="shared" ref="AM64:AU64" si="79">IFERROR(IF(OR(AM$19="",AM$42=""),0,
IF(INDEX(ventilatiesystemen_code_eenvoudig,MATCH(AM$42,ventilatiesystemen_namen,0))="A",0,
IF(INDEX(ventilatiesystemen_code_eenvoudig,MATCH(AM$42,ventilatiesystemen_namen,0))="C",VLOOKUP(AM$43,ventilatorenergie_ventilatiesysteem_B_C,MATCH(AM$21,ventilatorenergie_ventilatiesysteem_B_C_kopregel,0),FALSE),
VLOOKUP(AM$43,ventilatorenergie_ventilatiesysteem_D,MATCH(AM$21,ventilatorenergie_ventilatiesysteem_D_kopregel,0),FALSE)  ))),0)</f>
        <v>0</v>
      </c>
      <c r="AN64" s="322">
        <f t="shared" si="79"/>
        <v>0</v>
      </c>
      <c r="AO64" s="322">
        <f t="shared" si="79"/>
        <v>0</v>
      </c>
      <c r="AP64" s="322">
        <f t="shared" si="79"/>
        <v>0</v>
      </c>
      <c r="AQ64" s="322">
        <f t="shared" si="79"/>
        <v>0</v>
      </c>
      <c r="AR64" s="322">
        <f t="shared" si="79"/>
        <v>0</v>
      </c>
      <c r="AS64" s="322">
        <f t="shared" si="79"/>
        <v>0</v>
      </c>
      <c r="AT64" s="322">
        <f t="shared" si="79"/>
        <v>0</v>
      </c>
      <c r="AU64" s="322">
        <f t="shared" si="79"/>
        <v>0</v>
      </c>
      <c r="AV64" s="142"/>
      <c r="AW64" s="323">
        <f t="shared" si="63"/>
        <v>0</v>
      </c>
      <c r="AX64" s="321"/>
      <c r="AY64" s="322">
        <f t="shared" ref="AY64:BG64" si="80">IFERROR(IF(OR(AY$19="",AY$42=""),0,
IF(INDEX(ventilatiesystemen_code_eenvoudig,MATCH(AY$42,ventilatiesystemen_namen,0))="A",0,
IF(INDEX(ventilatiesystemen_code_eenvoudig,MATCH(AY$42,ventilatiesystemen_namen,0))="C",VLOOKUP(AY$43,ventilatorenergie_ventilatiesysteem_B_C,MATCH(AY$21,ventilatorenergie_ventilatiesysteem_B_C_kopregel,0),FALSE),
VLOOKUP(AY$43,ventilatorenergie_ventilatiesysteem_D,MATCH(AY$21,ventilatorenergie_ventilatiesysteem_D_kopregel,0),FALSE)  ))),0)</f>
        <v>0</v>
      </c>
      <c r="AZ64" s="322">
        <f t="shared" si="80"/>
        <v>0</v>
      </c>
      <c r="BA64" s="322">
        <f t="shared" si="80"/>
        <v>0</v>
      </c>
      <c r="BB64" s="322">
        <f t="shared" si="80"/>
        <v>0</v>
      </c>
      <c r="BC64" s="322">
        <f t="shared" si="80"/>
        <v>0</v>
      </c>
      <c r="BD64" s="322">
        <f t="shared" si="80"/>
        <v>0</v>
      </c>
      <c r="BE64" s="322">
        <f t="shared" si="80"/>
        <v>0</v>
      </c>
      <c r="BF64" s="322">
        <f t="shared" si="80"/>
        <v>0</v>
      </c>
      <c r="BG64" s="322">
        <f t="shared" si="80"/>
        <v>0</v>
      </c>
      <c r="BH64" s="255"/>
    </row>
    <row r="65" spans="1:60" x14ac:dyDescent="0.2">
      <c r="A65" s="653"/>
      <c r="B65" s="492" t="s">
        <v>158</v>
      </c>
      <c r="C65" s="656" t="s">
        <v>113</v>
      </c>
      <c r="D65" s="750" t="s">
        <v>50</v>
      </c>
      <c r="E65" s="482" t="str">
        <f>$T$10</f>
        <v>kookgas</v>
      </c>
      <c r="F65" s="359"/>
      <c r="G65" s="359"/>
      <c r="H65" s="358" t="s">
        <v>169</v>
      </c>
      <c r="I65" s="321"/>
      <c r="J65" s="323">
        <f t="shared" si="56"/>
        <v>0</v>
      </c>
      <c r="K65" s="142"/>
      <c r="L65" s="142"/>
      <c r="M65" s="323">
        <f t="shared" si="57"/>
        <v>0</v>
      </c>
      <c r="N65" s="321"/>
      <c r="O65" s="322">
        <f t="shared" ref="O65:W65" si="81">IF(OR(O$19="",O$31=0,O$47=elektriciteit,AND(O$21&lt;&gt;woning,O$21&lt;&gt;woongebouw)),0,koken_gas/O$31)</f>
        <v>0</v>
      </c>
      <c r="P65" s="322">
        <f t="shared" si="81"/>
        <v>0</v>
      </c>
      <c r="Q65" s="322">
        <f t="shared" si="81"/>
        <v>0</v>
      </c>
      <c r="R65" s="322">
        <f t="shared" si="81"/>
        <v>0</v>
      </c>
      <c r="S65" s="322">
        <f t="shared" si="81"/>
        <v>0</v>
      </c>
      <c r="T65" s="322">
        <f t="shared" si="81"/>
        <v>0</v>
      </c>
      <c r="U65" s="322">
        <f t="shared" si="81"/>
        <v>0</v>
      </c>
      <c r="V65" s="322">
        <f t="shared" si="81"/>
        <v>0</v>
      </c>
      <c r="W65" s="322">
        <f t="shared" si="81"/>
        <v>0</v>
      </c>
      <c r="X65" s="142"/>
      <c r="Y65" s="323">
        <f t="shared" si="59"/>
        <v>0</v>
      </c>
      <c r="Z65" s="321"/>
      <c r="AA65" s="322">
        <f t="shared" ref="AA65:AI65" si="82">IF(OR(AA$19="",AA$31=0,AA$47=elektriciteit,AND(AA$21&lt;&gt;woning,AA$21&lt;&gt;woongebouw)),0,koken_gas/AA$31)</f>
        <v>0</v>
      </c>
      <c r="AB65" s="322">
        <f t="shared" si="82"/>
        <v>0</v>
      </c>
      <c r="AC65" s="322">
        <f t="shared" si="82"/>
        <v>0</v>
      </c>
      <c r="AD65" s="322">
        <f t="shared" si="82"/>
        <v>0</v>
      </c>
      <c r="AE65" s="322">
        <f t="shared" si="82"/>
        <v>0</v>
      </c>
      <c r="AF65" s="322">
        <f t="shared" si="82"/>
        <v>0</v>
      </c>
      <c r="AG65" s="322">
        <f t="shared" si="82"/>
        <v>0</v>
      </c>
      <c r="AH65" s="322">
        <f t="shared" si="82"/>
        <v>0</v>
      </c>
      <c r="AI65" s="322">
        <f t="shared" si="82"/>
        <v>0</v>
      </c>
      <c r="AJ65" s="142"/>
      <c r="AK65" s="323">
        <f t="shared" si="61"/>
        <v>0</v>
      </c>
      <c r="AL65" s="321"/>
      <c r="AM65" s="322">
        <f t="shared" ref="AM65:AU65" si="83">IF(OR(AM$19="",AM$31=0,AM$47=elektriciteit,AND(AM$21&lt;&gt;woning,AM$21&lt;&gt;woongebouw)),0,koken_gas/AM$31)</f>
        <v>0</v>
      </c>
      <c r="AN65" s="322">
        <f t="shared" si="83"/>
        <v>0</v>
      </c>
      <c r="AO65" s="322">
        <f t="shared" si="83"/>
        <v>0</v>
      </c>
      <c r="AP65" s="322">
        <f t="shared" si="83"/>
        <v>0</v>
      </c>
      <c r="AQ65" s="322">
        <f t="shared" si="83"/>
        <v>0</v>
      </c>
      <c r="AR65" s="322">
        <f t="shared" si="83"/>
        <v>0</v>
      </c>
      <c r="AS65" s="322">
        <f t="shared" si="83"/>
        <v>0</v>
      </c>
      <c r="AT65" s="322">
        <f t="shared" si="83"/>
        <v>0</v>
      </c>
      <c r="AU65" s="322">
        <f t="shared" si="83"/>
        <v>0</v>
      </c>
      <c r="AV65" s="142"/>
      <c r="AW65" s="323">
        <f t="shared" si="63"/>
        <v>0</v>
      </c>
      <c r="AX65" s="321"/>
      <c r="AY65" s="322">
        <f t="shared" ref="AY65:BG65" si="84">IF(OR(AY$19="",AY$31=0,AY$47=elektriciteit,AND(AY$21&lt;&gt;woning,AY$21&lt;&gt;woongebouw)),0,koken_gas/AY$31)</f>
        <v>0</v>
      </c>
      <c r="AZ65" s="322">
        <f t="shared" si="84"/>
        <v>0</v>
      </c>
      <c r="BA65" s="322">
        <f t="shared" si="84"/>
        <v>0</v>
      </c>
      <c r="BB65" s="322">
        <f t="shared" si="84"/>
        <v>0</v>
      </c>
      <c r="BC65" s="322">
        <f t="shared" si="84"/>
        <v>0</v>
      </c>
      <c r="BD65" s="322">
        <f t="shared" si="84"/>
        <v>0</v>
      </c>
      <c r="BE65" s="322">
        <f t="shared" si="84"/>
        <v>0</v>
      </c>
      <c r="BF65" s="322">
        <f t="shared" si="84"/>
        <v>0</v>
      </c>
      <c r="BG65" s="322">
        <f t="shared" si="84"/>
        <v>0</v>
      </c>
      <c r="BH65" s="255"/>
    </row>
    <row r="66" spans="1:60" x14ac:dyDescent="0.2">
      <c r="A66" s="653"/>
      <c r="B66" s="492" t="s">
        <v>158</v>
      </c>
      <c r="C66" s="656" t="s">
        <v>113</v>
      </c>
      <c r="D66" s="750" t="s">
        <v>50</v>
      </c>
      <c r="E66" s="358" t="str">
        <f>$U$10</f>
        <v>overig elektra</v>
      </c>
      <c r="F66" s="359"/>
      <c r="G66" s="359"/>
      <c r="H66" s="358" t="s">
        <v>169</v>
      </c>
      <c r="I66" s="321"/>
      <c r="J66" s="323">
        <f t="shared" si="56"/>
        <v>0</v>
      </c>
      <c r="K66" s="142"/>
      <c r="L66" s="142"/>
      <c r="M66" s="323">
        <f t="shared" si="57"/>
        <v>0</v>
      </c>
      <c r="N66" s="321"/>
      <c r="O66" s="322">
        <f t="shared" ref="O66:W66" si="85">IF(O$19="",0,
IF(OR(O$21=woning,O$21=woongebouw),(1-O$48)*niet_gebouwgebonden_elektriciteitgebruik_woningen_per_m2+IF(O$47=elektriciteit,koken_elektriciteit/O$31,0),
(1-O$48)*INDEX(specifiek_niet_gebouwgebonden_elektriciteitsgebruik_waarden,MATCH(O$21,specifiek_niet_gebouwgebonden_elektriciteitsgebruik_gebruiksfuncties,0))))</f>
        <v>0</v>
      </c>
      <c r="P66" s="322">
        <f t="shared" si="85"/>
        <v>0</v>
      </c>
      <c r="Q66" s="322">
        <f t="shared" si="85"/>
        <v>0</v>
      </c>
      <c r="R66" s="322">
        <f t="shared" si="85"/>
        <v>0</v>
      </c>
      <c r="S66" s="322">
        <f t="shared" si="85"/>
        <v>0</v>
      </c>
      <c r="T66" s="322">
        <f t="shared" si="85"/>
        <v>0</v>
      </c>
      <c r="U66" s="322">
        <f t="shared" si="85"/>
        <v>0</v>
      </c>
      <c r="V66" s="322">
        <f t="shared" si="85"/>
        <v>0</v>
      </c>
      <c r="W66" s="322">
        <f t="shared" si="85"/>
        <v>0</v>
      </c>
      <c r="X66" s="142"/>
      <c r="Y66" s="323">
        <f t="shared" si="59"/>
        <v>0</v>
      </c>
      <c r="Z66" s="321"/>
      <c r="AA66" s="322">
        <f t="shared" ref="AA66:AI66" si="86">IF(AA$19="",0,
IF(OR(AA$21=woning,AA$21=woongebouw),(1-AA$48)*niet_gebouwgebonden_elektriciteitgebruik_woningen_per_m2+IF(AA$47=elektriciteit,koken_elektriciteit/AA$31,0),
(1-AA$48)*INDEX(specifiek_niet_gebouwgebonden_elektriciteitsgebruik_waarden,MATCH(AA$21,specifiek_niet_gebouwgebonden_elektriciteitsgebruik_gebruiksfuncties,0))))</f>
        <v>0</v>
      </c>
      <c r="AB66" s="322">
        <f t="shared" si="86"/>
        <v>0</v>
      </c>
      <c r="AC66" s="322">
        <f t="shared" si="86"/>
        <v>0</v>
      </c>
      <c r="AD66" s="322">
        <f t="shared" si="86"/>
        <v>0</v>
      </c>
      <c r="AE66" s="322">
        <f t="shared" si="86"/>
        <v>0</v>
      </c>
      <c r="AF66" s="322">
        <f t="shared" si="86"/>
        <v>0</v>
      </c>
      <c r="AG66" s="322">
        <f t="shared" si="86"/>
        <v>0</v>
      </c>
      <c r="AH66" s="322">
        <f t="shared" si="86"/>
        <v>0</v>
      </c>
      <c r="AI66" s="322">
        <f t="shared" si="86"/>
        <v>0</v>
      </c>
      <c r="AJ66" s="142"/>
      <c r="AK66" s="323">
        <f t="shared" si="61"/>
        <v>0</v>
      </c>
      <c r="AL66" s="321"/>
      <c r="AM66" s="322">
        <f t="shared" ref="AM66:AU66" si="87">IF(AM$19="",0,
IF(OR(AM$21=woning,AM$21=woongebouw),(1-AM$48)*niet_gebouwgebonden_elektriciteitgebruik_woningen_per_m2+IF(AM$47=elektriciteit,koken_elektriciteit/AM$31,0),
(1-AM$48)*INDEX(specifiek_niet_gebouwgebonden_elektriciteitsgebruik_waarden,MATCH(AM$21,specifiek_niet_gebouwgebonden_elektriciteitsgebruik_gebruiksfuncties,0))))</f>
        <v>0</v>
      </c>
      <c r="AN66" s="322">
        <f t="shared" si="87"/>
        <v>0</v>
      </c>
      <c r="AO66" s="322">
        <f t="shared" si="87"/>
        <v>0</v>
      </c>
      <c r="AP66" s="322">
        <f t="shared" si="87"/>
        <v>0</v>
      </c>
      <c r="AQ66" s="322">
        <f t="shared" si="87"/>
        <v>0</v>
      </c>
      <c r="AR66" s="322">
        <f t="shared" si="87"/>
        <v>0</v>
      </c>
      <c r="AS66" s="322">
        <f t="shared" si="87"/>
        <v>0</v>
      </c>
      <c r="AT66" s="322">
        <f t="shared" si="87"/>
        <v>0</v>
      </c>
      <c r="AU66" s="322">
        <f t="shared" si="87"/>
        <v>0</v>
      </c>
      <c r="AV66" s="142"/>
      <c r="AW66" s="323">
        <f t="shared" si="63"/>
        <v>0</v>
      </c>
      <c r="AX66" s="321"/>
      <c r="AY66" s="322">
        <f t="shared" ref="AY66:BG66" si="88">IF(AY$19="",0,
IF(OR(AY$21=woning,AY$21=woongebouw),(1-AY$48)*niet_gebouwgebonden_elektriciteitgebruik_woningen_per_m2+IF(AY$47=elektriciteit,koken_elektriciteit/AY$31,0),
(1-AY$48)*INDEX(specifiek_niet_gebouwgebonden_elektriciteitsgebruik_waarden,MATCH(AY$21,specifiek_niet_gebouwgebonden_elektriciteitsgebruik_gebruiksfuncties,0))))</f>
        <v>0</v>
      </c>
      <c r="AZ66" s="322">
        <f t="shared" si="88"/>
        <v>0</v>
      </c>
      <c r="BA66" s="322">
        <f t="shared" si="88"/>
        <v>0</v>
      </c>
      <c r="BB66" s="322">
        <f t="shared" si="88"/>
        <v>0</v>
      </c>
      <c r="BC66" s="322">
        <f t="shared" si="88"/>
        <v>0</v>
      </c>
      <c r="BD66" s="322">
        <f t="shared" si="88"/>
        <v>0</v>
      </c>
      <c r="BE66" s="322">
        <f t="shared" si="88"/>
        <v>0</v>
      </c>
      <c r="BF66" s="322">
        <f t="shared" si="88"/>
        <v>0</v>
      </c>
      <c r="BG66" s="322">
        <f t="shared" si="88"/>
        <v>0</v>
      </c>
      <c r="BH66" s="255"/>
    </row>
    <row r="67" spans="1:60" ht="18.75" x14ac:dyDescent="0.2">
      <c r="A67" s="653"/>
      <c r="B67" s="492" t="s">
        <v>158</v>
      </c>
      <c r="C67" s="739" t="s">
        <v>104</v>
      </c>
      <c r="D67" s="750"/>
      <c r="E67" s="166" t="s">
        <v>170</v>
      </c>
      <c r="F67" s="167"/>
      <c r="G67" s="167"/>
      <c r="H67" s="168"/>
      <c r="I67" s="169"/>
      <c r="J67" s="170"/>
      <c r="K67" s="142"/>
      <c r="L67" s="142"/>
      <c r="M67" s="172"/>
      <c r="N67" s="172"/>
      <c r="O67" s="172"/>
      <c r="P67" s="172"/>
      <c r="Q67" s="172"/>
      <c r="R67" s="172"/>
      <c r="S67" s="172"/>
      <c r="T67" s="172"/>
      <c r="U67" s="172"/>
      <c r="V67" s="172"/>
      <c r="W67" s="172"/>
      <c r="X67" s="173"/>
      <c r="Y67" s="172"/>
      <c r="Z67" s="172"/>
      <c r="AA67" s="172"/>
      <c r="AB67" s="172"/>
      <c r="AC67" s="172"/>
      <c r="AD67" s="172"/>
      <c r="AE67" s="172"/>
      <c r="AF67" s="172"/>
      <c r="AG67" s="172"/>
      <c r="AH67" s="172"/>
      <c r="AI67" s="172"/>
      <c r="AJ67" s="173"/>
      <c r="AK67" s="172"/>
      <c r="AL67" s="172"/>
      <c r="AM67" s="172"/>
      <c r="AN67" s="172"/>
      <c r="AO67" s="172"/>
      <c r="AP67" s="172"/>
      <c r="AQ67" s="172"/>
      <c r="AR67" s="172"/>
      <c r="AS67" s="172"/>
      <c r="AT67" s="172"/>
      <c r="AU67" s="172"/>
      <c r="AV67" s="173"/>
      <c r="AW67" s="172"/>
      <c r="AX67" s="172"/>
      <c r="AY67" s="172"/>
      <c r="AZ67" s="172"/>
      <c r="BA67" s="172"/>
      <c r="BB67" s="172"/>
      <c r="BC67" s="172"/>
      <c r="BD67" s="172"/>
      <c r="BE67" s="172"/>
      <c r="BF67" s="172"/>
      <c r="BG67" s="172"/>
      <c r="BH67" s="263"/>
    </row>
    <row r="68" spans="1:60" x14ac:dyDescent="0.2">
      <c r="A68" s="653"/>
      <c r="B68" s="492" t="s">
        <v>158</v>
      </c>
      <c r="C68" s="656" t="s">
        <v>127</v>
      </c>
      <c r="D68" s="750" t="s">
        <v>50</v>
      </c>
      <c r="E68" s="358" t="str">
        <f>$V$10</f>
        <v>mobiliteit</v>
      </c>
      <c r="F68" s="359"/>
      <c r="G68" s="359"/>
      <c r="H68" s="358" t="s">
        <v>171</v>
      </c>
      <c r="I68" s="321"/>
      <c r="J68" s="323">
        <f>M68+Y68+AK68+AW68</f>
        <v>0</v>
      </c>
      <c r="K68" s="142"/>
      <c r="L68" s="142"/>
      <c r="M68" s="323">
        <f>SUMPRODUCT(N$24:X$24,N68:X68)/1000</f>
        <v>0</v>
      </c>
      <c r="N68" s="321"/>
      <c r="O68" s="449"/>
      <c r="P68" s="449"/>
      <c r="Q68" s="449"/>
      <c r="R68" s="449"/>
      <c r="S68" s="449"/>
      <c r="T68" s="449"/>
      <c r="U68" s="449"/>
      <c r="V68" s="449"/>
      <c r="W68" s="449"/>
      <c r="X68" s="142"/>
      <c r="Y68" s="323">
        <f>SUMPRODUCT(Z$24:AJ$24,Z68:AJ68)/1000</f>
        <v>0</v>
      </c>
      <c r="Z68" s="321"/>
      <c r="AA68" s="449"/>
      <c r="AB68" s="449"/>
      <c r="AC68" s="449"/>
      <c r="AD68" s="449"/>
      <c r="AE68" s="449"/>
      <c r="AF68" s="449"/>
      <c r="AG68" s="449"/>
      <c r="AH68" s="449"/>
      <c r="AI68" s="449"/>
      <c r="AJ68" s="142"/>
      <c r="AK68" s="323">
        <f>SUMPRODUCT(AL$24:AV$24,AL68:AV68)/1000</f>
        <v>0</v>
      </c>
      <c r="AL68" s="321"/>
      <c r="AM68" s="449"/>
      <c r="AN68" s="449"/>
      <c r="AO68" s="449"/>
      <c r="AP68" s="449"/>
      <c r="AQ68" s="449"/>
      <c r="AR68" s="449"/>
      <c r="AS68" s="449"/>
      <c r="AT68" s="449"/>
      <c r="AU68" s="449"/>
      <c r="AV68" s="142"/>
      <c r="AW68" s="323">
        <f>SUMPRODUCT(AX$24:BH$24,AX68:BH68)/1000</f>
        <v>0</v>
      </c>
      <c r="AX68" s="321"/>
      <c r="AY68" s="449"/>
      <c r="AZ68" s="449"/>
      <c r="BA68" s="449"/>
      <c r="BB68" s="449"/>
      <c r="BC68" s="449"/>
      <c r="BD68" s="449"/>
      <c r="BE68" s="449"/>
      <c r="BF68" s="449"/>
      <c r="BG68" s="449"/>
      <c r="BH68" s="255"/>
    </row>
    <row r="69" spans="1:60" ht="18.75" x14ac:dyDescent="0.2">
      <c r="A69" s="648"/>
      <c r="B69" s="492" t="s">
        <v>158</v>
      </c>
      <c r="C69" s="739" t="s">
        <v>104</v>
      </c>
      <c r="D69" s="750"/>
      <c r="E69" s="915" t="s">
        <v>172</v>
      </c>
      <c r="F69" s="916"/>
      <c r="G69" s="916"/>
      <c r="H69" s="168"/>
      <c r="I69" s="169"/>
      <c r="J69" s="170"/>
      <c r="K69" s="171"/>
      <c r="L69" s="171"/>
      <c r="M69" s="172"/>
      <c r="N69" s="172"/>
      <c r="O69" s="172"/>
      <c r="P69" s="172"/>
      <c r="Q69" s="172"/>
      <c r="R69" s="172"/>
      <c r="S69" s="172"/>
      <c r="T69" s="172"/>
      <c r="U69" s="172"/>
      <c r="V69" s="172"/>
      <c r="W69" s="172"/>
      <c r="X69" s="173"/>
      <c r="Y69" s="172"/>
      <c r="Z69" s="172"/>
      <c r="AA69" s="172"/>
      <c r="AB69" s="172"/>
      <c r="AC69" s="172"/>
      <c r="AD69" s="172"/>
      <c r="AE69" s="172"/>
      <c r="AF69" s="172"/>
      <c r="AG69" s="172"/>
      <c r="AH69" s="172"/>
      <c r="AI69" s="172"/>
      <c r="AJ69" s="173"/>
      <c r="AK69" s="172"/>
      <c r="AL69" s="172"/>
      <c r="AM69" s="172"/>
      <c r="AN69" s="172"/>
      <c r="AO69" s="172"/>
      <c r="AP69" s="172"/>
      <c r="AQ69" s="172"/>
      <c r="AR69" s="172"/>
      <c r="AS69" s="172"/>
      <c r="AT69" s="172"/>
      <c r="AU69" s="172"/>
      <c r="AV69" s="173"/>
      <c r="AW69" s="172"/>
      <c r="AX69" s="172"/>
      <c r="AY69" s="172"/>
      <c r="AZ69" s="172"/>
      <c r="BA69" s="172"/>
      <c r="BB69" s="172"/>
      <c r="BC69" s="172"/>
      <c r="BD69" s="172"/>
      <c r="BE69" s="172"/>
      <c r="BF69" s="172"/>
      <c r="BG69" s="172"/>
      <c r="BH69" s="263"/>
    </row>
    <row r="70" spans="1:60" x14ac:dyDescent="0.2">
      <c r="A70" s="648"/>
      <c r="B70" s="492" t="s">
        <v>158</v>
      </c>
      <c r="C70" s="656" t="s">
        <v>127</v>
      </c>
      <c r="D70" s="750" t="s">
        <v>50</v>
      </c>
      <c r="E70" s="358" t="s">
        <v>173</v>
      </c>
      <c r="F70" s="359"/>
      <c r="G70" s="359"/>
      <c r="H70" s="358" t="s">
        <v>171</v>
      </c>
      <c r="I70" s="321"/>
      <c r="J70" s="323">
        <f>M70+Y70+AK70+AW70</f>
        <v>0</v>
      </c>
      <c r="K70" s="142"/>
      <c r="L70" s="142"/>
      <c r="M70" s="323">
        <f>SUMPRODUCT(N$24:X$24,N70:X70)/1000</f>
        <v>0</v>
      </c>
      <c r="N70" s="321"/>
      <c r="O70" s="449"/>
      <c r="P70" s="449"/>
      <c r="Q70" s="449"/>
      <c r="R70" s="449"/>
      <c r="S70" s="449"/>
      <c r="T70" s="449"/>
      <c r="U70" s="449"/>
      <c r="V70" s="449"/>
      <c r="W70" s="449"/>
      <c r="X70" s="142"/>
      <c r="Y70" s="323">
        <f>SUMPRODUCT(Z$24:AJ$24,Z70:AJ70)/1000</f>
        <v>0</v>
      </c>
      <c r="Z70" s="321"/>
      <c r="AA70" s="449"/>
      <c r="AB70" s="449"/>
      <c r="AC70" s="449"/>
      <c r="AD70" s="449"/>
      <c r="AE70" s="449"/>
      <c r="AF70" s="449"/>
      <c r="AG70" s="449"/>
      <c r="AH70" s="449"/>
      <c r="AI70" s="449"/>
      <c r="AJ70" s="142"/>
      <c r="AK70" s="323">
        <f>SUMPRODUCT(AL$24:AV$24,AL70:AV70)/1000</f>
        <v>0</v>
      </c>
      <c r="AL70" s="321"/>
      <c r="AM70" s="449"/>
      <c r="AN70" s="449"/>
      <c r="AO70" s="449"/>
      <c r="AP70" s="449"/>
      <c r="AQ70" s="449"/>
      <c r="AR70" s="449"/>
      <c r="AS70" s="449"/>
      <c r="AT70" s="449"/>
      <c r="AU70" s="449"/>
      <c r="AV70" s="142"/>
      <c r="AW70" s="323">
        <f>SUMPRODUCT(AX$24:BH$24,AX70:BH70)/1000</f>
        <v>0</v>
      </c>
      <c r="AX70" s="321"/>
      <c r="AY70" s="449"/>
      <c r="AZ70" s="449"/>
      <c r="BA70" s="449"/>
      <c r="BB70" s="449"/>
      <c r="BC70" s="449"/>
      <c r="BD70" s="449"/>
      <c r="BE70" s="449"/>
      <c r="BF70" s="449"/>
      <c r="BG70" s="449"/>
      <c r="BH70" s="255"/>
    </row>
    <row r="71" spans="1:60" x14ac:dyDescent="0.2">
      <c r="A71" s="648"/>
      <c r="B71" s="492" t="s">
        <v>158</v>
      </c>
      <c r="C71" s="656" t="s">
        <v>127</v>
      </c>
      <c r="D71" s="747"/>
      <c r="E71" s="90"/>
      <c r="F71" s="90"/>
      <c r="G71" s="90"/>
      <c r="H71" s="96"/>
      <c r="I71" s="90"/>
      <c r="J71" s="93"/>
      <c r="K71" s="90"/>
      <c r="L71" s="90"/>
      <c r="M71" s="93"/>
      <c r="N71" s="90"/>
      <c r="O71" s="117"/>
      <c r="P71" s="93"/>
      <c r="Q71" s="117"/>
      <c r="R71" s="117"/>
      <c r="S71" s="117"/>
      <c r="T71" s="117"/>
      <c r="U71" s="117"/>
      <c r="V71" s="117"/>
      <c r="W71" s="117"/>
      <c r="X71" s="93"/>
      <c r="Y71" s="93"/>
      <c r="Z71" s="90"/>
      <c r="AA71" s="117"/>
      <c r="AB71" s="93"/>
      <c r="AC71" s="117"/>
      <c r="AD71" s="117"/>
      <c r="AE71" s="117"/>
      <c r="AF71" s="117"/>
      <c r="AG71" s="117"/>
      <c r="AH71" s="117"/>
      <c r="AI71" s="117"/>
      <c r="AJ71" s="93"/>
      <c r="AK71" s="93"/>
      <c r="AL71" s="90"/>
      <c r="AM71" s="117"/>
      <c r="AN71" s="93"/>
      <c r="AO71" s="117"/>
      <c r="AP71" s="117"/>
      <c r="AQ71" s="117"/>
      <c r="AR71" s="117"/>
      <c r="AS71" s="117"/>
      <c r="AT71" s="117"/>
      <c r="AU71" s="117"/>
      <c r="AV71" s="93"/>
      <c r="AW71" s="93"/>
      <c r="AX71" s="90"/>
      <c r="AY71" s="93"/>
      <c r="AZ71" s="93"/>
      <c r="BA71" s="93"/>
      <c r="BB71" s="93"/>
      <c r="BC71" s="93"/>
      <c r="BD71" s="93"/>
      <c r="BE71" s="93"/>
      <c r="BF71" s="93"/>
      <c r="BG71" s="93"/>
      <c r="BH71" s="1"/>
    </row>
    <row r="72" spans="1:60" x14ac:dyDescent="0.2">
      <c r="A72" s="648"/>
      <c r="B72" s="492" t="s">
        <v>158</v>
      </c>
      <c r="C72" s="656" t="s">
        <v>104</v>
      </c>
      <c r="D72" s="747"/>
      <c r="E72" s="90"/>
      <c r="F72" s="90"/>
      <c r="G72" s="90"/>
      <c r="H72" s="96"/>
      <c r="I72" s="90"/>
      <c r="J72" s="93"/>
      <c r="K72" s="90"/>
      <c r="L72" s="90"/>
      <c r="M72" s="93"/>
      <c r="N72" s="90"/>
      <c r="O72" s="117"/>
      <c r="P72" s="93"/>
      <c r="Q72" s="117"/>
      <c r="R72" s="117"/>
      <c r="S72" s="117"/>
      <c r="T72" s="117"/>
      <c r="U72" s="117"/>
      <c r="V72" s="117"/>
      <c r="W72" s="117"/>
      <c r="X72" s="93"/>
      <c r="Y72" s="93"/>
      <c r="Z72" s="90"/>
      <c r="AA72" s="117"/>
      <c r="AB72" s="93"/>
      <c r="AC72" s="117"/>
      <c r="AD72" s="117"/>
      <c r="AE72" s="117"/>
      <c r="AF72" s="117"/>
      <c r="AG72" s="117"/>
      <c r="AH72" s="117"/>
      <c r="AI72" s="117"/>
      <c r="AJ72" s="93"/>
      <c r="AK72" s="93"/>
      <c r="AL72" s="90"/>
      <c r="AM72" s="117"/>
      <c r="AN72" s="93"/>
      <c r="AO72" s="117"/>
      <c r="AP72" s="117"/>
      <c r="AQ72" s="117"/>
      <c r="AR72" s="117"/>
      <c r="AS72" s="117"/>
      <c r="AT72" s="117"/>
      <c r="AU72" s="117"/>
      <c r="AV72" s="93"/>
      <c r="AW72" s="93"/>
      <c r="AX72" s="90"/>
      <c r="AY72" s="93"/>
      <c r="AZ72" s="93"/>
      <c r="BA72" s="93"/>
      <c r="BB72" s="93"/>
      <c r="BC72" s="93"/>
      <c r="BD72" s="93"/>
      <c r="BE72" s="93"/>
      <c r="BF72" s="93"/>
      <c r="BG72" s="93"/>
      <c r="BH72" s="1"/>
    </row>
    <row r="73" spans="1:60" ht="21" x14ac:dyDescent="0.2">
      <c r="A73" s="648"/>
      <c r="B73" s="492" t="s">
        <v>158</v>
      </c>
      <c r="C73" s="739" t="s">
        <v>104</v>
      </c>
      <c r="D73" s="752"/>
      <c r="E73" s="240" t="s">
        <v>174</v>
      </c>
      <c r="F73" s="240"/>
      <c r="G73" s="240"/>
      <c r="H73" s="240"/>
      <c r="I73" s="88"/>
      <c r="J73" s="241" t="str">
        <f>J$10&amp;" MWh"</f>
        <v>totaal MWh</v>
      </c>
      <c r="K73" s="142"/>
      <c r="L73" s="142"/>
      <c r="M73" s="216" t="str">
        <f>M$10&amp;" MWh"</f>
        <v>totaal MWh</v>
      </c>
      <c r="N73" s="222"/>
      <c r="O73" s="217" t="str">
        <f t="shared" ref="O73:W73" si="89">O$10</f>
        <v>verwarming</v>
      </c>
      <c r="P73" s="217" t="str">
        <f t="shared" si="89"/>
        <v>koeling</v>
      </c>
      <c r="Q73" s="217" t="str">
        <f t="shared" si="89"/>
        <v>tapwater</v>
      </c>
      <c r="R73" s="217" t="str">
        <f t="shared" si="89"/>
        <v>verlichting</v>
      </c>
      <c r="S73" s="217" t="str">
        <f t="shared" si="89"/>
        <v>ventilatoren</v>
      </c>
      <c r="T73" s="217" t="str">
        <f t="shared" si="89"/>
        <v>kookgas</v>
      </c>
      <c r="U73" s="217" t="str">
        <f t="shared" si="89"/>
        <v>overig elektra</v>
      </c>
      <c r="V73" s="217" t="str">
        <f t="shared" si="89"/>
        <v>mobiliteit</v>
      </c>
      <c r="W73" s="217" t="str">
        <f t="shared" si="89"/>
        <v>zonnepanelen</v>
      </c>
      <c r="X73" s="214"/>
      <c r="Y73" s="216" t="str">
        <f>Y$10&amp;" MWh"</f>
        <v>totaal MWh</v>
      </c>
      <c r="Z73" s="222"/>
      <c r="AA73" s="217" t="str">
        <f t="shared" ref="AA73:AI73" si="90">AA$10</f>
        <v>verwarming</v>
      </c>
      <c r="AB73" s="217" t="str">
        <f t="shared" si="90"/>
        <v>koeling</v>
      </c>
      <c r="AC73" s="217" t="str">
        <f t="shared" si="90"/>
        <v>tapwater</v>
      </c>
      <c r="AD73" s="217" t="str">
        <f t="shared" si="90"/>
        <v>verlichting</v>
      </c>
      <c r="AE73" s="217" t="str">
        <f t="shared" si="90"/>
        <v>ventilatoren</v>
      </c>
      <c r="AF73" s="217" t="str">
        <f t="shared" si="90"/>
        <v>kookgas</v>
      </c>
      <c r="AG73" s="217" t="str">
        <f t="shared" si="90"/>
        <v>overig elektra</v>
      </c>
      <c r="AH73" s="217" t="str">
        <f t="shared" si="90"/>
        <v>mobiliteit</v>
      </c>
      <c r="AI73" s="217" t="str">
        <f t="shared" si="90"/>
        <v>zonnepanelen</v>
      </c>
      <c r="AJ73" s="214"/>
      <c r="AK73" s="216" t="str">
        <f>AK$10&amp;" MWh"</f>
        <v>totaal MWh</v>
      </c>
      <c r="AL73" s="222"/>
      <c r="AM73" s="217" t="str">
        <f>AM$10</f>
        <v>verwarming</v>
      </c>
      <c r="AN73" s="217" t="str">
        <f t="shared" ref="AN73:AU73" si="91">AN$10</f>
        <v>koeling</v>
      </c>
      <c r="AO73" s="217" t="str">
        <f t="shared" si="91"/>
        <v>tapwater</v>
      </c>
      <c r="AP73" s="217" t="str">
        <f t="shared" si="91"/>
        <v>verlichting</v>
      </c>
      <c r="AQ73" s="217" t="str">
        <f t="shared" si="91"/>
        <v>ventilatoren</v>
      </c>
      <c r="AR73" s="217" t="str">
        <f t="shared" si="91"/>
        <v>kookgas</v>
      </c>
      <c r="AS73" s="217" t="str">
        <f t="shared" si="91"/>
        <v>overig elektra</v>
      </c>
      <c r="AT73" s="217" t="str">
        <f t="shared" si="91"/>
        <v>mobiliteit</v>
      </c>
      <c r="AU73" s="217" t="str">
        <f t="shared" si="91"/>
        <v>zonnepanelen</v>
      </c>
      <c r="AV73" s="214"/>
      <c r="AW73" s="216" t="str">
        <f>AW$10&amp;" MWh"</f>
        <v>totaal MWh</v>
      </c>
      <c r="AX73" s="222"/>
      <c r="AY73" s="217" t="str">
        <f>AY$10</f>
        <v>verwarming</v>
      </c>
      <c r="AZ73" s="217" t="str">
        <f t="shared" ref="AZ73:BG73" si="92">AZ$10</f>
        <v>koeling</v>
      </c>
      <c r="BA73" s="217" t="str">
        <f t="shared" si="92"/>
        <v>tapwater</v>
      </c>
      <c r="BB73" s="217" t="str">
        <f t="shared" si="92"/>
        <v>verlichting</v>
      </c>
      <c r="BC73" s="217" t="str">
        <f t="shared" si="92"/>
        <v>ventilatoren</v>
      </c>
      <c r="BD73" s="217" t="str">
        <f t="shared" si="92"/>
        <v>kookgas</v>
      </c>
      <c r="BE73" s="217" t="str">
        <f t="shared" si="92"/>
        <v>overig elektra</v>
      </c>
      <c r="BF73" s="217" t="str">
        <f t="shared" si="92"/>
        <v>mobiliteit</v>
      </c>
      <c r="BG73" s="217" t="str">
        <f t="shared" si="92"/>
        <v>zonnepanelen</v>
      </c>
      <c r="BH73" s="1"/>
    </row>
    <row r="74" spans="1:60" ht="18.75" x14ac:dyDescent="0.2">
      <c r="A74" s="648"/>
      <c r="B74" s="492" t="s">
        <v>158</v>
      </c>
      <c r="C74" s="739" t="s">
        <v>104</v>
      </c>
      <c r="D74" s="750"/>
      <c r="E74" s="174" t="s">
        <v>175</v>
      </c>
      <c r="F74" s="175"/>
      <c r="G74" s="175"/>
      <c r="H74" s="176"/>
      <c r="I74" s="177"/>
      <c r="J74" s="141"/>
      <c r="K74" s="178"/>
      <c r="L74" s="178"/>
      <c r="M74" s="141"/>
      <c r="N74" s="141"/>
      <c r="O74" s="141"/>
      <c r="P74" s="141"/>
      <c r="Q74" s="141"/>
      <c r="R74" s="141"/>
      <c r="S74" s="141"/>
      <c r="T74" s="141"/>
      <c r="U74" s="141"/>
      <c r="V74" s="141"/>
      <c r="W74" s="141"/>
      <c r="X74" s="179"/>
      <c r="Y74" s="141"/>
      <c r="Z74" s="141"/>
      <c r="AA74" s="141"/>
      <c r="AB74" s="141"/>
      <c r="AC74" s="141"/>
      <c r="AD74" s="141"/>
      <c r="AE74" s="141"/>
      <c r="AF74" s="141"/>
      <c r="AG74" s="141"/>
      <c r="AH74" s="141"/>
      <c r="AI74" s="141"/>
      <c r="AJ74" s="179"/>
      <c r="AK74" s="141"/>
      <c r="AL74" s="141"/>
      <c r="AM74" s="141"/>
      <c r="AN74" s="141"/>
      <c r="AO74" s="141"/>
      <c r="AP74" s="141"/>
      <c r="AQ74" s="141"/>
      <c r="AR74" s="141"/>
      <c r="AS74" s="141"/>
      <c r="AT74" s="141"/>
      <c r="AU74" s="141"/>
      <c r="AV74" s="179"/>
      <c r="AW74" s="141"/>
      <c r="AX74" s="141"/>
      <c r="AY74" s="141"/>
      <c r="AZ74" s="141"/>
      <c r="BA74" s="141"/>
      <c r="BB74" s="141"/>
      <c r="BC74" s="141"/>
      <c r="BD74" s="141"/>
      <c r="BE74" s="141"/>
      <c r="BF74" s="141"/>
      <c r="BG74" s="141"/>
      <c r="BH74" s="263"/>
    </row>
    <row r="75" spans="1:60" x14ac:dyDescent="0.2">
      <c r="A75" s="648"/>
      <c r="B75" s="492" t="s">
        <v>158</v>
      </c>
      <c r="C75" s="656" t="s">
        <v>113</v>
      </c>
      <c r="D75" s="750" t="s">
        <v>50</v>
      </c>
      <c r="E75" s="358" t="s">
        <v>176</v>
      </c>
      <c r="F75" s="359"/>
      <c r="G75" s="359"/>
      <c r="H75" s="358" t="s">
        <v>177</v>
      </c>
      <c r="I75" s="321"/>
      <c r="J75" s="323">
        <f>M75+Y75+AK75+AW75</f>
        <v>0</v>
      </c>
      <c r="K75" s="142"/>
      <c r="L75" s="142"/>
      <c r="M75" s="323">
        <f>SUM(N75:X75)</f>
        <v>0</v>
      </c>
      <c r="N75" s="321"/>
      <c r="O75" s="322">
        <f>SUMPRODUCT(N24:X24,N31:X31,N60:X60)/1000</f>
        <v>0</v>
      </c>
      <c r="P75" s="322">
        <f>SUMPRODUCT(N24:X24,N31:X31,N61:X61)/1000</f>
        <v>0</v>
      </c>
      <c r="Q75" s="322">
        <f>SUMPRODUCT(N24:X24,N31:X31,N62:X62)/1000</f>
        <v>0</v>
      </c>
      <c r="R75" s="322">
        <f>SUMPRODUCT(N24:X24,N31:X31,N63:X63)/1000</f>
        <v>0</v>
      </c>
      <c r="S75" s="322">
        <f>SUMPRODUCT(N24:X24,N31:X31,N64:X64)/1000</f>
        <v>0</v>
      </c>
      <c r="T75" s="322">
        <f>SUMPRODUCT(N24:X24,N31:X31,N65:X65)/1000</f>
        <v>0</v>
      </c>
      <c r="U75" s="322">
        <f>SUMPRODUCT(N24:X24,N31:X31,N66:X66)/1000</f>
        <v>0</v>
      </c>
      <c r="V75" s="322">
        <f>SUMPRODUCT(N24:X24,N68:X68)/1000</f>
        <v>0</v>
      </c>
      <c r="W75" s="322">
        <f>-SUMPRODUCT(N24:X24,N70:X70)/1000</f>
        <v>0</v>
      </c>
      <c r="X75" s="142"/>
      <c r="Y75" s="323">
        <f>SUM(Z75:AJ75)</f>
        <v>0</v>
      </c>
      <c r="Z75" s="321"/>
      <c r="AA75" s="322">
        <f>SUMPRODUCT(Z24:AJ24,Z31:AJ31,Z60:AJ60)/1000</f>
        <v>0</v>
      </c>
      <c r="AB75" s="322">
        <f>SUMPRODUCT(Z24:AJ24,Z31:AJ31,Z61:AJ61)/1000</f>
        <v>0</v>
      </c>
      <c r="AC75" s="322">
        <f>SUMPRODUCT(Z24:AJ24,Z31:AJ31,Z62:AJ62)/1000</f>
        <v>0</v>
      </c>
      <c r="AD75" s="322">
        <f>SUMPRODUCT(Z24:AJ24,Z31:AJ31,Z63:AJ63)/1000</f>
        <v>0</v>
      </c>
      <c r="AE75" s="322">
        <f>SUMPRODUCT(Z24:AJ24,Z31:AJ31,Z64:AJ64)/1000</f>
        <v>0</v>
      </c>
      <c r="AF75" s="322">
        <f>SUMPRODUCT(Z24:AJ24,Z31:AJ31,Z65:AJ65)/1000</f>
        <v>0</v>
      </c>
      <c r="AG75" s="322">
        <f>SUMPRODUCT(Z24:AJ24,Z31:AJ31,Z66:AJ66)/1000</f>
        <v>0</v>
      </c>
      <c r="AH75" s="322">
        <f>SUMPRODUCT(Z24:AJ24,Z68:AJ68)/1000</f>
        <v>0</v>
      </c>
      <c r="AI75" s="322">
        <f>-SUMPRODUCT(Z24:AJ24,Z70:AJ70)/1000</f>
        <v>0</v>
      </c>
      <c r="AJ75" s="142"/>
      <c r="AK75" s="323">
        <f>SUM(AL75:AV75)</f>
        <v>0</v>
      </c>
      <c r="AL75" s="321"/>
      <c r="AM75" s="322">
        <f>SUMPRODUCT(AL24:AV24,AL31:AV31,AL60:AV60)/1000</f>
        <v>0</v>
      </c>
      <c r="AN75" s="322">
        <f>SUMPRODUCT(AL24:AV24,AL31:AV31,AL61:AV61)/1000</f>
        <v>0</v>
      </c>
      <c r="AO75" s="322">
        <f>SUMPRODUCT(AL24:AV24,AL31:AV31,AL62:AV62)/1000</f>
        <v>0</v>
      </c>
      <c r="AP75" s="322">
        <f>SUMPRODUCT(AL24:AV24,AL31:AV31,AL63:AV63)/1000</f>
        <v>0</v>
      </c>
      <c r="AQ75" s="322">
        <f>SUMPRODUCT(AL24:AV24,AL31:AV31,AL64:AV64)/1000</f>
        <v>0</v>
      </c>
      <c r="AR75" s="322">
        <f>SUMPRODUCT(AL24:AV24,AL31:AV31,AL65:AV65)/1000</f>
        <v>0</v>
      </c>
      <c r="AS75" s="322">
        <f>SUMPRODUCT(AL24:AV24,AL31:AV31,AL66:AV66)/1000</f>
        <v>0</v>
      </c>
      <c r="AT75" s="322">
        <f>SUMPRODUCT(AL24:AV24,AL68:AV68)/1000</f>
        <v>0</v>
      </c>
      <c r="AU75" s="322">
        <f>-SUMPRODUCT(AL24:AV24,AL70:AV70)/1000</f>
        <v>0</v>
      </c>
      <c r="AV75" s="142"/>
      <c r="AW75" s="323">
        <f>SUM(AX75:BH75)</f>
        <v>0</v>
      </c>
      <c r="AX75" s="321"/>
      <c r="AY75" s="322">
        <f>SUMPRODUCT(AX24:BH24,AX31:BH31,AX60:BH60)/1000</f>
        <v>0</v>
      </c>
      <c r="AZ75" s="322">
        <f>SUMPRODUCT(AX24:BH24,AX31:BH31,AX61:BH61)/1000</f>
        <v>0</v>
      </c>
      <c r="BA75" s="322">
        <f>SUMPRODUCT(AX24:BH24,AX31:BH31,AX62:BH62)/1000</f>
        <v>0</v>
      </c>
      <c r="BB75" s="322">
        <f>SUMPRODUCT(AX24:BH24,AX31:BH31,AX63:BH63)/1000</f>
        <v>0</v>
      </c>
      <c r="BC75" s="322">
        <f>SUMPRODUCT(AX24:BH24,AX31:BH31,AX64:BH64)/1000</f>
        <v>0</v>
      </c>
      <c r="BD75" s="322">
        <f>SUMPRODUCT(AX24:BH24,AX31:BH31,AX65:BH65)/1000</f>
        <v>0</v>
      </c>
      <c r="BE75" s="322">
        <f>SUMPRODUCT(AX24:BH24,AX31:BH31,AX66:BH66)/1000</f>
        <v>0</v>
      </c>
      <c r="BF75" s="322">
        <f>SUMPRODUCT(AX24:BH24,AX68:BH68)/1000</f>
        <v>0</v>
      </c>
      <c r="BG75" s="322">
        <f>-SUMPRODUCT(AX24:BH24,AX70:BH70)/1000</f>
        <v>0</v>
      </c>
      <c r="BH75" s="255"/>
    </row>
    <row r="76" spans="1:60" x14ac:dyDescent="0.2">
      <c r="A76" s="648"/>
      <c r="B76" s="492" t="s">
        <v>158</v>
      </c>
      <c r="C76" s="739" t="s">
        <v>104</v>
      </c>
      <c r="D76" s="747"/>
      <c r="E76" s="90"/>
      <c r="F76" s="90"/>
      <c r="G76" s="90"/>
      <c r="H76" s="96"/>
      <c r="I76" s="90"/>
      <c r="J76" s="93"/>
      <c r="K76" s="90"/>
      <c r="L76" s="90"/>
      <c r="M76" s="93"/>
      <c r="N76" s="90"/>
      <c r="O76" s="93"/>
      <c r="P76" s="93"/>
      <c r="Q76" s="93"/>
      <c r="R76" s="93"/>
      <c r="S76" s="93"/>
      <c r="T76" s="93"/>
      <c r="U76" s="93"/>
      <c r="V76" s="93"/>
      <c r="W76" s="93"/>
      <c r="X76" s="93"/>
      <c r="Y76" s="93"/>
      <c r="Z76" s="90"/>
      <c r="AA76" s="122"/>
      <c r="AB76" s="93"/>
      <c r="AC76" s="122"/>
      <c r="AD76" s="93"/>
      <c r="AE76" s="93"/>
      <c r="AF76" s="93"/>
      <c r="AG76" s="93"/>
      <c r="AH76" s="93"/>
      <c r="AI76" s="93"/>
      <c r="AJ76" s="93"/>
      <c r="AK76" s="93"/>
      <c r="AL76" s="90"/>
      <c r="AM76" s="93"/>
      <c r="AN76" s="93"/>
      <c r="AO76" s="93"/>
      <c r="AP76" s="93"/>
      <c r="AQ76" s="93"/>
      <c r="AR76" s="93"/>
      <c r="AS76" s="93"/>
      <c r="AT76" s="93"/>
      <c r="AU76" s="93"/>
      <c r="AV76" s="93"/>
      <c r="AW76" s="93"/>
      <c r="AX76" s="90"/>
      <c r="AY76" s="93"/>
      <c r="AZ76" s="93"/>
      <c r="BA76" s="93"/>
      <c r="BB76" s="93"/>
      <c r="BC76" s="93"/>
      <c r="BD76" s="93"/>
      <c r="BE76" s="93"/>
      <c r="BF76" s="93"/>
      <c r="BG76" s="93"/>
      <c r="BH76" s="1"/>
    </row>
    <row r="77" spans="1:60" x14ac:dyDescent="0.2">
      <c r="A77" s="648"/>
      <c r="B77" s="492" t="s">
        <v>178</v>
      </c>
      <c r="C77" s="656" t="s">
        <v>104</v>
      </c>
      <c r="D77" s="747"/>
      <c r="E77" s="90"/>
      <c r="F77" s="90"/>
      <c r="G77" s="90"/>
      <c r="H77" s="96"/>
      <c r="I77" s="90"/>
      <c r="J77" s="93"/>
      <c r="K77" s="90"/>
      <c r="L77" s="90"/>
      <c r="M77" s="93"/>
      <c r="N77" s="90"/>
      <c r="O77" s="93"/>
      <c r="P77" s="93"/>
      <c r="Q77" s="93"/>
      <c r="R77" s="93"/>
      <c r="S77" s="93"/>
      <c r="T77" s="93"/>
      <c r="U77" s="93"/>
      <c r="V77" s="93"/>
      <c r="W77" s="93"/>
      <c r="X77" s="93"/>
      <c r="Y77" s="93"/>
      <c r="Z77" s="90"/>
      <c r="AA77" s="122"/>
      <c r="AB77" s="122"/>
      <c r="AC77" s="93"/>
      <c r="AD77" s="93"/>
      <c r="AE77" s="93"/>
      <c r="AF77" s="93"/>
      <c r="AG77" s="93"/>
      <c r="AH77" s="93"/>
      <c r="AI77" s="93"/>
      <c r="AJ77" s="93"/>
      <c r="AK77" s="93"/>
      <c r="AL77" s="90"/>
      <c r="AM77" s="93"/>
      <c r="AN77" s="93"/>
      <c r="AO77" s="93"/>
      <c r="AP77" s="93"/>
      <c r="AQ77" s="93"/>
      <c r="AR77" s="93"/>
      <c r="AS77" s="93"/>
      <c r="AT77" s="93"/>
      <c r="AU77" s="93"/>
      <c r="AV77" s="93"/>
      <c r="AW77" s="93"/>
      <c r="AX77" s="90"/>
      <c r="AY77" s="93"/>
      <c r="AZ77" s="93"/>
      <c r="BA77" s="93"/>
      <c r="BB77" s="93"/>
      <c r="BC77" s="93"/>
      <c r="BD77" s="93"/>
      <c r="BE77" s="93"/>
      <c r="BF77" s="93"/>
      <c r="BG77" s="93"/>
      <c r="BH77" s="1"/>
    </row>
    <row r="78" spans="1:60" ht="21" x14ac:dyDescent="0.2">
      <c r="A78" s="648"/>
      <c r="B78" s="492" t="s">
        <v>178</v>
      </c>
      <c r="C78" s="739" t="s">
        <v>104</v>
      </c>
      <c r="D78" s="750" t="s">
        <v>50</v>
      </c>
      <c r="E78" s="240" t="s">
        <v>179</v>
      </c>
      <c r="F78" s="240"/>
      <c r="G78" s="240"/>
      <c r="H78" s="240"/>
      <c r="I78" s="88"/>
      <c r="J78" s="241"/>
      <c r="K78" s="142"/>
      <c r="L78" s="142"/>
      <c r="M78" s="216"/>
      <c r="N78" s="222"/>
      <c r="O78" s="217"/>
      <c r="P78" s="217"/>
      <c r="Q78" s="217"/>
      <c r="R78" s="217"/>
      <c r="S78" s="217"/>
      <c r="T78" s="217"/>
      <c r="U78" s="217"/>
      <c r="V78" s="217"/>
      <c r="W78" s="217"/>
      <c r="X78" s="214"/>
      <c r="Y78" s="216"/>
      <c r="Z78" s="222"/>
      <c r="AA78" s="217"/>
      <c r="AB78" s="217"/>
      <c r="AC78" s="217"/>
      <c r="AD78" s="217"/>
      <c r="AE78" s="217"/>
      <c r="AF78" s="217"/>
      <c r="AG78" s="217"/>
      <c r="AH78" s="217"/>
      <c r="AI78" s="217"/>
      <c r="AJ78" s="214"/>
      <c r="AK78" s="216"/>
      <c r="AL78" s="222"/>
      <c r="AM78" s="217"/>
      <c r="AN78" s="217"/>
      <c r="AO78" s="217"/>
      <c r="AP78" s="217"/>
      <c r="AQ78" s="217"/>
      <c r="AR78" s="217"/>
      <c r="AS78" s="217"/>
      <c r="AT78" s="217"/>
      <c r="AU78" s="217"/>
      <c r="AV78" s="214"/>
      <c r="AW78" s="216"/>
      <c r="AX78" s="222"/>
      <c r="AY78" s="217"/>
      <c r="AZ78" s="217"/>
      <c r="BA78" s="217"/>
      <c r="BB78" s="217"/>
      <c r="BC78" s="217"/>
      <c r="BD78" s="217"/>
      <c r="BE78" s="217"/>
      <c r="BF78" s="217"/>
      <c r="BG78" s="217"/>
      <c r="BH78" s="1"/>
    </row>
    <row r="79" spans="1:60" ht="18.75" x14ac:dyDescent="0.2">
      <c r="A79" s="648"/>
      <c r="B79" s="492" t="s">
        <v>178</v>
      </c>
      <c r="C79" s="739" t="s">
        <v>104</v>
      </c>
      <c r="D79" s="750" t="s">
        <v>50</v>
      </c>
      <c r="E79" s="174" t="s">
        <v>180</v>
      </c>
      <c r="F79" s="175"/>
      <c r="G79" s="175"/>
      <c r="H79" s="176"/>
      <c r="I79" s="177"/>
      <c r="J79" s="141"/>
      <c r="K79" s="178"/>
      <c r="L79" s="178"/>
      <c r="M79" s="141"/>
      <c r="N79" s="141"/>
      <c r="O79" s="141"/>
      <c r="P79" s="141"/>
      <c r="Q79" s="141"/>
      <c r="R79" s="141">
        <v>1</v>
      </c>
      <c r="S79" s="141">
        <v>1</v>
      </c>
      <c r="T79" s="141"/>
      <c r="U79" s="141"/>
      <c r="V79" s="141"/>
      <c r="W79" s="141"/>
      <c r="X79" s="179"/>
      <c r="Y79" s="141"/>
      <c r="Z79" s="141"/>
      <c r="AA79" s="141"/>
      <c r="AB79" s="141"/>
      <c r="AC79" s="141"/>
      <c r="AD79" s="141"/>
      <c r="AE79" s="141"/>
      <c r="AF79" s="141"/>
      <c r="AG79" s="141"/>
      <c r="AH79" s="141"/>
      <c r="AI79" s="141"/>
      <c r="AJ79" s="179"/>
      <c r="AK79" s="141"/>
      <c r="AL79" s="141"/>
      <c r="AM79" s="141"/>
      <c r="AN79" s="141"/>
      <c r="AO79" s="141"/>
      <c r="AP79" s="141"/>
      <c r="AQ79" s="141"/>
      <c r="AR79" s="141"/>
      <c r="AS79" s="141"/>
      <c r="AT79" s="141"/>
      <c r="AU79" s="141"/>
      <c r="AV79" s="179"/>
      <c r="AW79" s="141"/>
      <c r="AX79" s="141"/>
      <c r="AY79" s="141"/>
      <c r="AZ79" s="141"/>
      <c r="BA79" s="141"/>
      <c r="BB79" s="141"/>
      <c r="BC79" s="141"/>
      <c r="BD79" s="141"/>
      <c r="BE79" s="141"/>
      <c r="BF79" s="141"/>
      <c r="BG79" s="141"/>
      <c r="BH79" s="263"/>
    </row>
    <row r="80" spans="1:60" ht="38.25" x14ac:dyDescent="0.2">
      <c r="A80" s="648"/>
      <c r="B80" s="492" t="s">
        <v>178</v>
      </c>
      <c r="C80" s="656" t="s">
        <v>127</v>
      </c>
      <c r="D80" s="747"/>
      <c r="E80" s="183" t="s">
        <v>181</v>
      </c>
      <c r="F80" s="357"/>
      <c r="G80" s="357"/>
      <c r="H80" s="183" t="s">
        <v>70</v>
      </c>
      <c r="I80" s="188"/>
      <c r="J80" s="330" t="str">
        <f>IF(AND(M$31&gt;0,COUNTBLANK(O80:Q80)&gt;0),"kies installatie locatie 1",
IF(AND(Y$31&gt;0,COUNTBLANK(AA80:AC80)&gt;0),"kies installatie locatie 2",
IF(AND(AK$31&gt;0,COUNTBLANK(AM80:AO80)&gt;0),"kies installatie locatie 3",
IF(AND(AW$31&gt;0,COUNTBLANK(AY80:BA80)&gt;0),"kies installatie locatie 4",
"OK"))))</f>
        <v>OK</v>
      </c>
      <c r="K80" s="820"/>
      <c r="L80" s="820"/>
      <c r="M80" s="330"/>
      <c r="N80" s="136"/>
      <c r="O80" s="1038" t="s">
        <v>561</v>
      </c>
      <c r="P80" s="1038" t="s">
        <v>183</v>
      </c>
      <c r="Q80" s="1038" t="s">
        <v>561</v>
      </c>
      <c r="R80" s="190"/>
      <c r="S80" s="190"/>
      <c r="T80" s="190"/>
      <c r="U80" s="190"/>
      <c r="V80" s="190"/>
      <c r="W80" s="190"/>
      <c r="X80" s="179"/>
      <c r="Y80" s="189"/>
      <c r="Z80" s="136"/>
      <c r="AA80" s="1038" t="s">
        <v>561</v>
      </c>
      <c r="AB80" s="1038" t="s">
        <v>183</v>
      </c>
      <c r="AC80" s="1038" t="s">
        <v>561</v>
      </c>
      <c r="AD80" s="190"/>
      <c r="AE80" s="190"/>
      <c r="AF80" s="190"/>
      <c r="AG80" s="190"/>
      <c r="AH80" s="190"/>
      <c r="AI80" s="190"/>
      <c r="AJ80" s="179"/>
      <c r="AK80" s="189"/>
      <c r="AL80" s="136"/>
      <c r="AM80" s="1038" t="s">
        <v>561</v>
      </c>
      <c r="AN80" s="1038" t="s">
        <v>183</v>
      </c>
      <c r="AO80" s="1038" t="s">
        <v>561</v>
      </c>
      <c r="AP80" s="190"/>
      <c r="AQ80" s="190"/>
      <c r="AR80" s="190"/>
      <c r="AS80" s="190"/>
      <c r="AT80" s="190"/>
      <c r="AU80" s="190"/>
      <c r="AV80" s="179"/>
      <c r="AW80" s="189"/>
      <c r="AX80" s="141"/>
      <c r="AY80" s="1038" t="s">
        <v>561</v>
      </c>
      <c r="AZ80" s="1038" t="s">
        <v>183</v>
      </c>
      <c r="BA80" s="1038" t="s">
        <v>561</v>
      </c>
      <c r="BB80" s="190"/>
      <c r="BC80" s="190"/>
      <c r="BD80" s="190"/>
      <c r="BE80" s="190"/>
      <c r="BF80" s="190"/>
      <c r="BG80" s="190"/>
      <c r="BH80" s="263"/>
    </row>
    <row r="81" spans="1:60" x14ac:dyDescent="0.2">
      <c r="A81" s="648"/>
      <c r="B81" s="492" t="s">
        <v>178</v>
      </c>
      <c r="C81" s="656" t="s">
        <v>127</v>
      </c>
      <c r="D81" s="747"/>
      <c r="E81" s="221" t="str">
        <f>bibliotheek!$E$81</f>
        <v>geografisch niveau installatie [keuzelijst]</v>
      </c>
      <c r="F81" s="220"/>
      <c r="G81" s="220"/>
      <c r="H81" s="221" t="s">
        <v>70</v>
      </c>
      <c r="I81" s="146"/>
      <c r="J81" s="230"/>
      <c r="K81" s="121"/>
      <c r="L81" s="121"/>
      <c r="M81" s="230"/>
      <c r="N81" s="129"/>
      <c r="O81" s="348" t="str">
        <f>HLOOKUP(IF(O$80="",referentie_verwarming,O$80),toestellen_RV,ROWS(bibliotheek!$E$79:$E$81),FALSE)</f>
        <v>gebouw</v>
      </c>
      <c r="P81" s="348" t="str">
        <f>HLOOKUP(IF(P$80="",referentie_koeling,P$80),toestellen_KOEL,ROWS(bibliotheek!$E$170:$E$172),FALSE)</f>
        <v>gebouw</v>
      </c>
      <c r="Q81" s="348" t="str">
        <f>HLOOKUP(IF(Q$80="",referentie_warmtapwater,Q$80),toestellen_TAP,ROWS(bibliotheek!$E$136:$E$138),FALSE)</f>
        <v>gebouw</v>
      </c>
      <c r="R81" s="193"/>
      <c r="S81" s="193"/>
      <c r="T81" s="193"/>
      <c r="U81" s="193"/>
      <c r="V81" s="193"/>
      <c r="W81" s="193"/>
      <c r="X81" s="179"/>
      <c r="Y81" s="145"/>
      <c r="Z81" s="129"/>
      <c r="AA81" s="348" t="str">
        <f>HLOOKUP(IF(AA$80="",referentie_verwarming,AA$80),toestellen_RV,ROWS(bibliotheek!$E$79:$E$81),FALSE)</f>
        <v>gebouw</v>
      </c>
      <c r="AB81" s="348" t="str">
        <f>HLOOKUP(IF(AB$80="",referentie_koeling,AB$80),toestellen_KOEL,ROWS(bibliotheek!$E$170:$E$172),FALSE)</f>
        <v>gebouw</v>
      </c>
      <c r="AC81" s="348" t="str">
        <f>HLOOKUP(IF(AC$80="",referentie_warmtapwater,AC$80),toestellen_TAP,ROWS(bibliotheek!$E$136:$E$138),FALSE)</f>
        <v>gebouw</v>
      </c>
      <c r="AD81" s="193"/>
      <c r="AE81" s="193"/>
      <c r="AF81" s="193"/>
      <c r="AG81" s="193"/>
      <c r="AH81" s="193"/>
      <c r="AI81" s="193"/>
      <c r="AJ81" s="179"/>
      <c r="AK81" s="145"/>
      <c r="AL81" s="136"/>
      <c r="AM81" s="348" t="str">
        <f>HLOOKUP(IF(AM$80="",referentie_verwarming,AM$80),toestellen_RV,ROWS(bibliotheek!$E$79:$E$81),FALSE)</f>
        <v>gebouw</v>
      </c>
      <c r="AN81" s="348" t="str">
        <f>HLOOKUP(IF(AN$80="",referentie_koeling,AN$80),toestellen_KOEL,ROWS(bibliotheek!$E$170:$E$172),FALSE)</f>
        <v>gebouw</v>
      </c>
      <c r="AO81" s="348" t="str">
        <f>HLOOKUP(IF(AO$80="",referentie_warmtapwater,AO$80),toestellen_TAP,ROWS(bibliotheek!$E$136:$E$138),FALSE)</f>
        <v>gebouw</v>
      </c>
      <c r="AP81" s="193"/>
      <c r="AQ81" s="193"/>
      <c r="AR81" s="193"/>
      <c r="AS81" s="193"/>
      <c r="AT81" s="193"/>
      <c r="AU81" s="193"/>
      <c r="AV81" s="179"/>
      <c r="AW81" s="145"/>
      <c r="AX81" s="141"/>
      <c r="AY81" s="348" t="str">
        <f>HLOOKUP(IF(AY$80="",referentie_verwarming,AY$80),toestellen_RV,ROWS(bibliotheek!$E$79:$E$81),FALSE)</f>
        <v>gebouw</v>
      </c>
      <c r="AZ81" s="348" t="str">
        <f>HLOOKUP(IF(AZ$80="",referentie_koeling,AZ$80),toestellen_KOEL,ROWS(bibliotheek!$E$170:$E$172),FALSE)</f>
        <v>gebouw</v>
      </c>
      <c r="BA81" s="348" t="str">
        <f>HLOOKUP(IF(BA$80="",referentie_warmtapwater,BA$80),toestellen_TAP,ROWS(bibliotheek!$E$136:$E$138),FALSE)</f>
        <v>gebouw</v>
      </c>
      <c r="BB81" s="193"/>
      <c r="BC81" s="193"/>
      <c r="BD81" s="193"/>
      <c r="BE81" s="193"/>
      <c r="BF81" s="193"/>
      <c r="BG81" s="193"/>
      <c r="BH81" s="214"/>
    </row>
    <row r="82" spans="1:60" ht="18.75" x14ac:dyDescent="0.2">
      <c r="A82" s="648"/>
      <c r="B82" s="492" t="s">
        <v>178</v>
      </c>
      <c r="C82" s="739" t="s">
        <v>104</v>
      </c>
      <c r="D82" s="750" t="s">
        <v>50</v>
      </c>
      <c r="E82" s="194" t="s">
        <v>186</v>
      </c>
      <c r="F82" s="202"/>
      <c r="G82" s="202"/>
      <c r="H82" s="203"/>
      <c r="I82" s="204"/>
      <c r="J82" s="205"/>
      <c r="K82" s="138"/>
      <c r="L82" s="138"/>
      <c r="M82" s="205"/>
      <c r="N82" s="205"/>
      <c r="O82" s="205"/>
      <c r="P82" s="205"/>
      <c r="Q82" s="205"/>
      <c r="R82" s="205"/>
      <c r="S82" s="205"/>
      <c r="T82" s="205"/>
      <c r="U82" s="205"/>
      <c r="V82" s="205"/>
      <c r="W82" s="205"/>
      <c r="X82" s="179"/>
      <c r="Y82" s="205"/>
      <c r="Z82" s="205"/>
      <c r="AA82" s="214"/>
      <c r="AB82" s="214"/>
      <c r="AC82" s="214"/>
      <c r="AD82" s="205"/>
      <c r="AE82" s="205"/>
      <c r="AF82" s="205"/>
      <c r="AG82" s="205"/>
      <c r="AH82" s="205"/>
      <c r="AI82" s="205"/>
      <c r="AJ82" s="179"/>
      <c r="AK82" s="205"/>
      <c r="AL82" s="205"/>
      <c r="AM82" s="205"/>
      <c r="AN82" s="205"/>
      <c r="AO82" s="205"/>
      <c r="AP82" s="205"/>
      <c r="AQ82" s="205"/>
      <c r="AR82" s="205"/>
      <c r="AS82" s="205"/>
      <c r="AT82" s="205"/>
      <c r="AU82" s="205"/>
      <c r="AV82" s="179"/>
      <c r="AW82" s="205"/>
      <c r="AX82" s="141"/>
      <c r="AY82" s="205"/>
      <c r="AZ82" s="205"/>
      <c r="BA82" s="205"/>
      <c r="BB82" s="205"/>
      <c r="BC82" s="205"/>
      <c r="BD82" s="205"/>
      <c r="BE82" s="205"/>
      <c r="BF82" s="205"/>
      <c r="BG82" s="205"/>
      <c r="BH82" s="214"/>
    </row>
    <row r="83" spans="1:60" x14ac:dyDescent="0.2">
      <c r="A83" s="648"/>
      <c r="B83" s="492" t="s">
        <v>178</v>
      </c>
      <c r="C83" s="739" t="s">
        <v>127</v>
      </c>
      <c r="D83" s="747"/>
      <c r="E83" s="354" t="s">
        <v>187</v>
      </c>
      <c r="F83" s="316"/>
      <c r="G83" s="316"/>
      <c r="H83" s="354" t="s">
        <v>70</v>
      </c>
      <c r="I83" s="151"/>
      <c r="J83" s="229"/>
      <c r="K83" s="121"/>
      <c r="L83" s="121"/>
      <c r="M83" s="229"/>
      <c r="N83" s="131"/>
      <c r="O83" s="452">
        <f>IF(O84&lt;&gt;"",O84,HLOOKUP(IF(O$80="",referentie_verwarming,O$80),toestellen_RV,ROWS(bibliotheek!$E$79:$E$86),FALSE))</f>
        <v>1</v>
      </c>
      <c r="P83" s="155">
        <v>1</v>
      </c>
      <c r="Q83" s="452">
        <f>IF(Q84&lt;&gt;"",Q84,HLOOKUP(IF(Q$80="",referentie_warmtapwater,Q$80),toestellen_TAP,ROWS(bibliotheek!$E$136:$E$143),FALSE))</f>
        <v>0.85</v>
      </c>
      <c r="R83" s="156"/>
      <c r="S83" s="156"/>
      <c r="T83" s="156"/>
      <c r="U83" s="156"/>
      <c r="V83" s="156"/>
      <c r="W83" s="156"/>
      <c r="X83" s="87"/>
      <c r="Y83" s="150"/>
      <c r="Z83" s="151"/>
      <c r="AA83" s="452">
        <f>IF(AA84&lt;&gt;"",AA84,HLOOKUP(IF(AA$80="",referentie_verwarming,AA$80),toestellen_RV,ROWS(bibliotheek!$E$79:$E$86),FALSE))</f>
        <v>1</v>
      </c>
      <c r="AB83" s="155">
        <f>1</f>
        <v>1</v>
      </c>
      <c r="AC83" s="452">
        <f>IF(AC84&lt;&gt;"",AC84,HLOOKUP(IF(AC$80="",referentie_warmtapwater,AC$80),toestellen_TAP,ROWS(bibliotheek!$E$136:$E$143),FALSE))</f>
        <v>0.85</v>
      </c>
      <c r="AD83" s="156"/>
      <c r="AE83" s="156"/>
      <c r="AF83" s="156"/>
      <c r="AG83" s="156"/>
      <c r="AH83" s="156"/>
      <c r="AI83" s="156"/>
      <c r="AJ83" s="87"/>
      <c r="AK83" s="150"/>
      <c r="AL83" s="151"/>
      <c r="AM83" s="452">
        <f>IF(AM84&lt;&gt;"",AM84,HLOOKUP(IF(AM$80="",referentie_verwarming,AM$80),toestellen_RV,ROWS(bibliotheek!$E$79:$E$86),FALSE))</f>
        <v>1</v>
      </c>
      <c r="AN83" s="155">
        <f>1</f>
        <v>1</v>
      </c>
      <c r="AO83" s="452">
        <f>IF(AO84&lt;&gt;"",AO84,HLOOKUP(IF(AO$80="",referentie_warmtapwater,AO$80),toestellen_TAP,ROWS(bibliotheek!$E$136:$E$143),FALSE))</f>
        <v>0.85</v>
      </c>
      <c r="AP83" s="156"/>
      <c r="AQ83" s="156"/>
      <c r="AR83" s="156"/>
      <c r="AS83" s="156"/>
      <c r="AT83" s="156"/>
      <c r="AU83" s="156"/>
      <c r="AV83" s="87"/>
      <c r="AW83" s="150"/>
      <c r="AX83" s="151"/>
      <c r="AY83" s="452">
        <f>IF(AY84&lt;&gt;"",AY84,HLOOKUP(IF(AY$80="",referentie_verwarming,AY$80),toestellen_RV,ROWS(bibliotheek!$E$79:$E$86),FALSE))</f>
        <v>1</v>
      </c>
      <c r="AZ83" s="155">
        <f>1</f>
        <v>1</v>
      </c>
      <c r="BA83" s="452">
        <f>IF(BA84&lt;&gt;"",BA84,HLOOKUP(IF(BA$80="",referentie_warmtapwater,BA$80),toestellen_TAP,ROWS(bibliotheek!$E$136:$E$143),FALSE))</f>
        <v>0.85</v>
      </c>
      <c r="BB83" s="195"/>
      <c r="BC83" s="195"/>
      <c r="BD83" s="195"/>
      <c r="BE83" s="195"/>
      <c r="BF83" s="195"/>
      <c r="BG83" s="195"/>
      <c r="BH83" s="255"/>
    </row>
    <row r="84" spans="1:60" x14ac:dyDescent="0.2">
      <c r="A84" s="648"/>
      <c r="B84" s="492" t="s">
        <v>178</v>
      </c>
      <c r="C84" s="739" t="s">
        <v>127</v>
      </c>
      <c r="D84" s="747"/>
      <c r="E84" s="412" t="s">
        <v>188</v>
      </c>
      <c r="F84" s="317"/>
      <c r="G84" s="317"/>
      <c r="H84" s="355" t="s">
        <v>70</v>
      </c>
      <c r="I84" s="153"/>
      <c r="J84" s="362"/>
      <c r="K84" s="121"/>
      <c r="L84" s="121"/>
      <c r="M84" s="239"/>
      <c r="N84" s="196"/>
      <c r="O84" s="337"/>
      <c r="P84" s="343"/>
      <c r="Q84" s="337"/>
      <c r="R84" s="197"/>
      <c r="S84" s="197"/>
      <c r="T84" s="197"/>
      <c r="U84" s="197"/>
      <c r="V84" s="197"/>
      <c r="W84" s="197"/>
      <c r="X84" s="125"/>
      <c r="Y84" s="349"/>
      <c r="Z84" s="196"/>
      <c r="AA84" s="337"/>
      <c r="AB84" s="343"/>
      <c r="AC84" s="337"/>
      <c r="AD84" s="197"/>
      <c r="AE84" s="197"/>
      <c r="AF84" s="197"/>
      <c r="AG84" s="197"/>
      <c r="AH84" s="197"/>
      <c r="AI84" s="197"/>
      <c r="AJ84" s="125"/>
      <c r="AK84" s="349"/>
      <c r="AL84" s="196"/>
      <c r="AM84" s="337"/>
      <c r="AN84" s="343"/>
      <c r="AO84" s="337"/>
      <c r="AP84" s="197"/>
      <c r="AQ84" s="197"/>
      <c r="AR84" s="197"/>
      <c r="AS84" s="197"/>
      <c r="AT84" s="197"/>
      <c r="AU84" s="197"/>
      <c r="AV84" s="125"/>
      <c r="AW84" s="349"/>
      <c r="AX84" s="196"/>
      <c r="AY84" s="337"/>
      <c r="AZ84" s="343"/>
      <c r="BA84" s="337"/>
      <c r="BB84" s="197"/>
      <c r="BC84" s="197"/>
      <c r="BD84" s="197"/>
      <c r="BE84" s="197"/>
      <c r="BF84" s="197"/>
      <c r="BG84" s="197"/>
      <c r="BH84" s="255"/>
    </row>
    <row r="85" spans="1:60" x14ac:dyDescent="0.2">
      <c r="A85" s="648"/>
      <c r="B85" s="492" t="s">
        <v>178</v>
      </c>
      <c r="C85" s="739" t="s">
        <v>127</v>
      </c>
      <c r="D85" s="750"/>
      <c r="E85" s="221" t="s">
        <v>189</v>
      </c>
      <c r="F85" s="220"/>
      <c r="G85" s="220"/>
      <c r="H85" s="221" t="s">
        <v>177</v>
      </c>
      <c r="I85" s="146"/>
      <c r="J85" s="230"/>
      <c r="K85" s="121"/>
      <c r="L85" s="121"/>
      <c r="M85" s="230"/>
      <c r="N85" s="129"/>
      <c r="O85" s="251">
        <f>IF(O$75=0,0,O$75/O$83-O$75)</f>
        <v>0</v>
      </c>
      <c r="P85" s="251">
        <f>IF(P$75=0,0,P$75/P$83-P$75)</f>
        <v>0</v>
      </c>
      <c r="Q85" s="251">
        <f>IF(Q$75=0,0,Q$75/Q$83-Q$75)</f>
        <v>0</v>
      </c>
      <c r="R85" s="147"/>
      <c r="S85" s="147"/>
      <c r="T85" s="147"/>
      <c r="U85" s="147"/>
      <c r="V85" s="147"/>
      <c r="W85" s="147"/>
      <c r="X85" s="125"/>
      <c r="Y85" s="149"/>
      <c r="Z85" s="129"/>
      <c r="AA85" s="251">
        <f>IF(AA$75=0,0,AA$75/AA$83-AA$75)</f>
        <v>0</v>
      </c>
      <c r="AB85" s="251">
        <f>IF(AB$75=0,0,AB$75/AB$83-AB$75)</f>
        <v>0</v>
      </c>
      <c r="AC85" s="251">
        <f>IF(AC$75=0,0,AC$75/AC$83-AC$75)</f>
        <v>0</v>
      </c>
      <c r="AD85" s="147"/>
      <c r="AE85" s="147"/>
      <c r="AF85" s="147"/>
      <c r="AG85" s="147"/>
      <c r="AH85" s="147"/>
      <c r="AI85" s="147"/>
      <c r="AJ85" s="125"/>
      <c r="AK85" s="149"/>
      <c r="AL85" s="129"/>
      <c r="AM85" s="251">
        <f>IF(AM$75=0,0,AM$75/AM$83-AM$75)</f>
        <v>0</v>
      </c>
      <c r="AN85" s="251">
        <f>IF(AN$75=0,0,AN$75/AN$83-AN$75)</f>
        <v>0</v>
      </c>
      <c r="AO85" s="251">
        <f>IF(AO$75=0,0,AO$75/AO$83-AO$75)</f>
        <v>0</v>
      </c>
      <c r="AP85" s="147"/>
      <c r="AQ85" s="147"/>
      <c r="AR85" s="147"/>
      <c r="AS85" s="147"/>
      <c r="AT85" s="147"/>
      <c r="AU85" s="147"/>
      <c r="AV85" s="125"/>
      <c r="AW85" s="149"/>
      <c r="AX85" s="129"/>
      <c r="AY85" s="251">
        <f>IF(AY$75=0,0,AY$75/AY$83-AY$75)</f>
        <v>0</v>
      </c>
      <c r="AZ85" s="251">
        <f>IF(AZ$75=0,0,AZ$75/AZ$83-AZ$75)</f>
        <v>0</v>
      </c>
      <c r="BA85" s="251">
        <f>IF(BA$75=0,0,BA$75/BA$83-BA$75)</f>
        <v>0</v>
      </c>
      <c r="BB85" s="147"/>
      <c r="BC85" s="147"/>
      <c r="BD85" s="147"/>
      <c r="BE85" s="147"/>
      <c r="BF85" s="147"/>
      <c r="BG85" s="147"/>
      <c r="BH85" s="255"/>
    </row>
    <row r="86" spans="1:60" ht="18.75" x14ac:dyDescent="0.2">
      <c r="A86" s="648"/>
      <c r="B86" s="492" t="s">
        <v>178</v>
      </c>
      <c r="C86" s="739" t="s">
        <v>104</v>
      </c>
      <c r="D86" s="750" t="s">
        <v>50</v>
      </c>
      <c r="E86" s="194" t="s">
        <v>190</v>
      </c>
      <c r="F86" s="202"/>
      <c r="G86" s="202"/>
      <c r="H86" s="203"/>
      <c r="I86" s="204"/>
      <c r="J86" s="205"/>
      <c r="K86" s="138"/>
      <c r="L86" s="138"/>
      <c r="M86" s="205"/>
      <c r="N86" s="205"/>
      <c r="O86" s="205"/>
      <c r="P86" s="205"/>
      <c r="Q86" s="205"/>
      <c r="R86" s="205"/>
      <c r="S86" s="205"/>
      <c r="T86" s="205"/>
      <c r="U86" s="205"/>
      <c r="V86" s="205"/>
      <c r="W86" s="205"/>
      <c r="X86" s="163"/>
      <c r="Y86" s="205"/>
      <c r="Z86" s="205"/>
      <c r="AA86" s="205"/>
      <c r="AB86" s="205"/>
      <c r="AC86" s="205"/>
      <c r="AD86" s="205"/>
      <c r="AE86" s="205"/>
      <c r="AF86" s="205"/>
      <c r="AG86" s="205"/>
      <c r="AH86" s="205"/>
      <c r="AI86" s="205"/>
      <c r="AJ86" s="163"/>
      <c r="AK86" s="205"/>
      <c r="AL86" s="205"/>
      <c r="AM86" s="205"/>
      <c r="AN86" s="205"/>
      <c r="AO86" s="205"/>
      <c r="AP86" s="205"/>
      <c r="AQ86" s="205"/>
      <c r="AR86" s="205"/>
      <c r="AS86" s="205"/>
      <c r="AT86" s="205"/>
      <c r="AU86" s="205"/>
      <c r="AV86" s="163"/>
      <c r="AW86" s="205"/>
      <c r="AX86" s="205"/>
      <c r="AY86" s="205"/>
      <c r="AZ86" s="205"/>
      <c r="BA86" s="205"/>
      <c r="BB86" s="205"/>
      <c r="BC86" s="205"/>
      <c r="BD86" s="205"/>
      <c r="BE86" s="205"/>
      <c r="BF86" s="205"/>
      <c r="BG86" s="205"/>
      <c r="BH86" s="214"/>
    </row>
    <row r="87" spans="1:60" x14ac:dyDescent="0.2">
      <c r="A87" s="648"/>
      <c r="B87" s="492" t="s">
        <v>178</v>
      </c>
      <c r="C87" s="739" t="s">
        <v>127</v>
      </c>
      <c r="D87" s="747"/>
      <c r="E87" s="221" t="s">
        <v>190</v>
      </c>
      <c r="F87" s="220"/>
      <c r="G87" s="220"/>
      <c r="H87" s="221" t="s">
        <v>70</v>
      </c>
      <c r="I87" s="146"/>
      <c r="J87" s="230"/>
      <c r="K87" s="121"/>
      <c r="L87" s="121"/>
      <c r="M87" s="230"/>
      <c r="N87" s="129"/>
      <c r="O87" s="1039" t="s">
        <v>191</v>
      </c>
      <c r="P87" s="192"/>
      <c r="Q87" s="1039" t="s">
        <v>191</v>
      </c>
      <c r="R87" s="193"/>
      <c r="S87" s="193"/>
      <c r="T87" s="193"/>
      <c r="U87" s="193"/>
      <c r="V87" s="193"/>
      <c r="W87" s="193"/>
      <c r="X87" s="87"/>
      <c r="Y87" s="145"/>
      <c r="Z87" s="129"/>
      <c r="AA87" s="1039" t="s">
        <v>191</v>
      </c>
      <c r="AB87" s="192"/>
      <c r="AC87" s="1039" t="s">
        <v>191</v>
      </c>
      <c r="AD87" s="193"/>
      <c r="AE87" s="193"/>
      <c r="AF87" s="193"/>
      <c r="AG87" s="193"/>
      <c r="AH87" s="193"/>
      <c r="AI87" s="193"/>
      <c r="AJ87" s="87"/>
      <c r="AK87" s="145"/>
      <c r="AL87" s="129"/>
      <c r="AM87" s="1039" t="s">
        <v>191</v>
      </c>
      <c r="AN87" s="192"/>
      <c r="AO87" s="1039" t="s">
        <v>191</v>
      </c>
      <c r="AP87" s="193"/>
      <c r="AQ87" s="193"/>
      <c r="AR87" s="193"/>
      <c r="AS87" s="193"/>
      <c r="AT87" s="193"/>
      <c r="AU87" s="193"/>
      <c r="AV87" s="87"/>
      <c r="AW87" s="145"/>
      <c r="AX87" s="129"/>
      <c r="AY87" s="1039" t="s">
        <v>191</v>
      </c>
      <c r="AZ87" s="192"/>
      <c r="BA87" s="1039" t="s">
        <v>191</v>
      </c>
      <c r="BB87" s="193"/>
      <c r="BC87" s="193"/>
      <c r="BD87" s="193"/>
      <c r="BE87" s="193"/>
      <c r="BF87" s="193"/>
      <c r="BG87" s="193"/>
      <c r="BH87" s="214"/>
    </row>
    <row r="88" spans="1:60" x14ac:dyDescent="0.2">
      <c r="A88" s="648"/>
      <c r="B88" s="492" t="s">
        <v>178</v>
      </c>
      <c r="C88" s="739" t="s">
        <v>127</v>
      </c>
      <c r="D88" s="750" t="s">
        <v>50</v>
      </c>
      <c r="E88" s="221" t="s">
        <v>192</v>
      </c>
      <c r="F88" s="220"/>
      <c r="G88" s="220"/>
      <c r="H88" s="221" t="s">
        <v>177</v>
      </c>
      <c r="I88" s="146"/>
      <c r="J88" s="230"/>
      <c r="K88" s="121"/>
      <c r="L88" s="121"/>
      <c r="M88" s="230"/>
      <c r="N88" s="129"/>
      <c r="O88" s="207">
        <f>IF(O87="nee",0,(O75+O85)*bijdrage_thermische_zonne_energie_RV)</f>
        <v>0</v>
      </c>
      <c r="P88" s="207"/>
      <c r="Q88" s="207">
        <f>IF(Q87="nee",0,(Q75+Q85)*bijdrage_thermische_zonne_energie_TAP)</f>
        <v>0</v>
      </c>
      <c r="R88" s="147"/>
      <c r="S88" s="147"/>
      <c r="T88" s="147"/>
      <c r="U88" s="147"/>
      <c r="V88" s="147"/>
      <c r="W88" s="147"/>
      <c r="X88" s="684"/>
      <c r="Y88" s="147"/>
      <c r="Z88" s="100"/>
      <c r="AA88" s="207">
        <f>IF(AA87="nee",0,(AA75+AA85)*bijdrage_thermische_zonne_energie_RV)</f>
        <v>0</v>
      </c>
      <c r="AB88" s="207"/>
      <c r="AC88" s="207">
        <f>IF(AC87="nee",0,(AC75+AC85)*bijdrage_thermische_zonne_energie_TAP)</f>
        <v>0</v>
      </c>
      <c r="AD88" s="147"/>
      <c r="AE88" s="147"/>
      <c r="AF88" s="147"/>
      <c r="AG88" s="147"/>
      <c r="AH88" s="147"/>
      <c r="AI88" s="147"/>
      <c r="AJ88" s="684"/>
      <c r="AK88" s="147"/>
      <c r="AL88" s="685"/>
      <c r="AM88" s="207">
        <f>IF(AM87="nee",0,(AM75+AM85)*bijdrage_thermische_zonne_energie_RV)</f>
        <v>0</v>
      </c>
      <c r="AN88" s="207"/>
      <c r="AO88" s="207">
        <f>IF(AO87="nee",0,(AO75+AO85)*bijdrage_thermische_zonne_energie_TAP)</f>
        <v>0</v>
      </c>
      <c r="AP88" s="147"/>
      <c r="AQ88" s="147"/>
      <c r="AR88" s="147"/>
      <c r="AS88" s="147"/>
      <c r="AT88" s="147"/>
      <c r="AU88" s="147"/>
      <c r="AV88" s="684"/>
      <c r="AW88" s="147"/>
      <c r="AX88" s="686"/>
      <c r="AY88" s="207">
        <f>IF(AY87="nee",0,(AY75+AY85)*bijdrage_thermische_zonne_energie_RV)</f>
        <v>0</v>
      </c>
      <c r="AZ88" s="207"/>
      <c r="BA88" s="207">
        <f>IF(BA87="nee",0,(BA75+BA85)*bijdrage_thermische_zonne_energie_TAP)</f>
        <v>0</v>
      </c>
      <c r="BB88" s="193"/>
      <c r="BC88" s="193"/>
      <c r="BD88" s="193"/>
      <c r="BE88" s="193"/>
      <c r="BF88" s="193"/>
      <c r="BG88" s="193"/>
      <c r="BH88" s="214"/>
    </row>
    <row r="89" spans="1:60" ht="18.75" x14ac:dyDescent="0.2">
      <c r="A89" s="648"/>
      <c r="B89" s="492" t="s">
        <v>178</v>
      </c>
      <c r="C89" s="739" t="s">
        <v>104</v>
      </c>
      <c r="D89" s="750" t="s">
        <v>50</v>
      </c>
      <c r="E89" s="194" t="s">
        <v>193</v>
      </c>
      <c r="F89" s="202"/>
      <c r="G89" s="202"/>
      <c r="H89" s="203"/>
      <c r="I89" s="204"/>
      <c r="J89" s="205"/>
      <c r="K89" s="138"/>
      <c r="L89" s="138"/>
      <c r="M89" s="205"/>
      <c r="N89" s="205"/>
      <c r="O89" s="710"/>
      <c r="P89" s="710"/>
      <c r="Q89" s="710"/>
      <c r="R89" s="205"/>
      <c r="S89" s="205"/>
      <c r="T89" s="205"/>
      <c r="U89" s="205"/>
      <c r="V89" s="205"/>
      <c r="W89" s="205"/>
      <c r="X89" s="206"/>
      <c r="Y89" s="205"/>
      <c r="Z89" s="205"/>
      <c r="AA89" s="339"/>
      <c r="AB89" s="339"/>
      <c r="AC89" s="339"/>
      <c r="AD89" s="205"/>
      <c r="AE89" s="205"/>
      <c r="AF89" s="205"/>
      <c r="AG89" s="205"/>
      <c r="AH89" s="205"/>
      <c r="AI89" s="205"/>
      <c r="AJ89" s="206"/>
      <c r="AK89" s="205"/>
      <c r="AL89" s="205"/>
      <c r="AM89" s="339"/>
      <c r="AN89" s="339"/>
      <c r="AO89" s="339"/>
      <c r="AP89" s="205"/>
      <c r="AQ89" s="205"/>
      <c r="AR89" s="205"/>
      <c r="AS89" s="205"/>
      <c r="AT89" s="205"/>
      <c r="AU89" s="205"/>
      <c r="AV89" s="206"/>
      <c r="AW89" s="205"/>
      <c r="AX89" s="205"/>
      <c r="AY89" s="339"/>
      <c r="AZ89" s="339"/>
      <c r="BA89" s="339"/>
      <c r="BB89" s="205"/>
      <c r="BC89" s="205"/>
      <c r="BD89" s="205"/>
      <c r="BE89" s="205"/>
      <c r="BF89" s="205"/>
      <c r="BG89" s="205"/>
      <c r="BH89" s="214"/>
    </row>
    <row r="90" spans="1:60" x14ac:dyDescent="0.2">
      <c r="A90" s="648"/>
      <c r="B90" s="492" t="s">
        <v>178</v>
      </c>
      <c r="C90" s="739" t="s">
        <v>127</v>
      </c>
      <c r="D90" s="747"/>
      <c r="E90" s="354" t="s">
        <v>194</v>
      </c>
      <c r="F90" s="316"/>
      <c r="G90" s="316"/>
      <c r="H90" s="354" t="s">
        <v>195</v>
      </c>
      <c r="I90" s="151"/>
      <c r="J90" s="229"/>
      <c r="K90" s="121"/>
      <c r="L90" s="121"/>
      <c r="M90" s="229"/>
      <c r="N90" s="131"/>
      <c r="O90" s="621">
        <f>IF(M24=0,0,IF(O91&lt;&gt;"",O91,
(HLOOKUP(O80,toestellen_RV,ROWS(bibliotheek!$E$79:$E$88),FALSE)*M26+
HLOOKUP(O80,toestellen_RV,ROWS(bibliotheek!$E$79:$E$89),FALSE)*M27+
HLOOKUP(O80,toestellen_RV,ROWS(bibliotheek!$E$79:$E$90),FALSE)*M28)/M24))</f>
        <v>0</v>
      </c>
      <c r="P90" s="484"/>
      <c r="Q90" s="621">
        <f>IF(M24=0,0,IF(Q91&lt;&gt;"",Q91,
(HLOOKUP(Q80,toestellen_TAP,ROWS(bibliotheek!$E$136:$E$145),FALSE)*M26+
HLOOKUP(Q80,toestellen_TAP,ROWS(bibliotheek!$E$136:$E$146),FALSE)*M27+
HLOOKUP(Q80,toestellen_TAP,ROWS(bibliotheek!$E$136:$E$147),FALSE)*M28)/M24))</f>
        <v>0</v>
      </c>
      <c r="R90" s="195"/>
      <c r="S90" s="195"/>
      <c r="T90" s="195"/>
      <c r="U90" s="195"/>
      <c r="V90" s="195"/>
      <c r="W90" s="195"/>
      <c r="X90" s="127"/>
      <c r="Y90" s="195"/>
      <c r="Z90" s="485"/>
      <c r="AA90" s="621">
        <f>IF(Y24=0,0,IF(AA91&lt;&gt;"",AA91,
(HLOOKUP(AA80,toestellen_RV,ROWS(bibliotheek!$E$79:$E$88),FALSE)*Y26+
HLOOKUP(AA80,toestellen_RV,ROWS(bibliotheek!$E$79:$E$89),FALSE)*Y27+
HLOOKUP(AA80,toestellen_RV,ROWS(bibliotheek!$E$79:$E$90),FALSE)*Y28)/Y24))</f>
        <v>0</v>
      </c>
      <c r="AB90" s="484"/>
      <c r="AC90" s="621">
        <f>IF(Y24=0,0,IF(AC91&lt;&gt;"",AC91,
(HLOOKUP(AC80,toestellen_TAP,ROWS(bibliotheek!$E$136:$E$145),FALSE)*Y26+
HLOOKUP(AC80,toestellen_TAP,ROWS(bibliotheek!$E$136:$E$146),FALSE)*Y27+
HLOOKUP(AC80,toestellen_TAP,ROWS(bibliotheek!$E$136:$E$147),FALSE)*Y28)/Y24))</f>
        <v>0</v>
      </c>
      <c r="AD90" s="195"/>
      <c r="AE90" s="195"/>
      <c r="AF90" s="195"/>
      <c r="AG90" s="195"/>
      <c r="AH90" s="195"/>
      <c r="AI90" s="195"/>
      <c r="AJ90" s="127"/>
      <c r="AK90" s="195"/>
      <c r="AL90" s="485"/>
      <c r="AM90" s="621">
        <f>IF(AK24=0,0,IF(AM91&lt;&gt;"",AM91,
(HLOOKUP(AM80,toestellen_RV,ROWS(bibliotheek!$E$79:$E$88),FALSE)*AK26+
HLOOKUP(AM80,toestellen_RV,ROWS(bibliotheek!$E$79:$E$89),FALSE)*AK27+
HLOOKUP(AM80,toestellen_RV,ROWS(bibliotheek!$E$79:$E$90),FALSE)*AK28)/AK24))</f>
        <v>0</v>
      </c>
      <c r="AN90" s="484"/>
      <c r="AO90" s="621">
        <f>IF(AK24=0,0,IF(AO91&lt;&gt;"",AO91,
(HLOOKUP(AO80,toestellen_TAP,ROWS(bibliotheek!$E$136:$E$145),FALSE)*AK26+
HLOOKUP(AO80,toestellen_TAP,ROWS(bibliotheek!$E$136:$E$146),FALSE)*AK27+
HLOOKUP(AO80,toestellen_TAP,ROWS(bibliotheek!$E$136:$E$147),FALSE)*AK28)/AK24))</f>
        <v>0</v>
      </c>
      <c r="AP90" s="195"/>
      <c r="AQ90" s="195"/>
      <c r="AR90" s="195"/>
      <c r="AS90" s="195"/>
      <c r="AT90" s="195"/>
      <c r="AU90" s="195"/>
      <c r="AV90" s="127"/>
      <c r="AW90" s="195"/>
      <c r="AX90" s="485"/>
      <c r="AY90" s="621">
        <f>IF(AW24=0,0,IF(AY91&lt;&gt;"",AY91,
(HLOOKUP(AY80,toestellen_RV,ROWS(bibliotheek!$E$79:$E$88),FALSE)*AW26+
HLOOKUP(AY80,toestellen_RV,ROWS(bibliotheek!$E$79:$E$89),FALSE)*AW27+
HLOOKUP(AY80,toestellen_RV,ROWS(bibliotheek!$E$79:$E$90),FALSE)*AW28)/AW24))</f>
        <v>0</v>
      </c>
      <c r="AZ90" s="484"/>
      <c r="BA90" s="621">
        <f>IF(AW24=0,0,IF(BA91&lt;&gt;"",BA91,
(HLOOKUP(BA80,toestellen_TAP,ROWS(bibliotheek!$E$136:$E$145),FALSE)*AW26+
HLOOKUP(BA80,toestellen_TAP,ROWS(bibliotheek!$E$136:$E$146),FALSE)*AW27+
HLOOKUP(BA80,toestellen_TAP,ROWS(bibliotheek!$E$136:$E$147),FALSE)*AW28)/AW24))</f>
        <v>0</v>
      </c>
      <c r="BB90" s="195"/>
      <c r="BC90" s="195"/>
      <c r="BD90" s="195"/>
      <c r="BE90" s="195"/>
      <c r="BF90" s="195"/>
      <c r="BG90" s="195"/>
      <c r="BH90" s="255"/>
    </row>
    <row r="91" spans="1:60" x14ac:dyDescent="0.2">
      <c r="A91" s="648"/>
      <c r="B91" s="492" t="s">
        <v>178</v>
      </c>
      <c r="C91" s="739" t="s">
        <v>127</v>
      </c>
      <c r="D91" s="747"/>
      <c r="E91" s="412" t="s">
        <v>196</v>
      </c>
      <c r="F91" s="317"/>
      <c r="G91" s="317"/>
      <c r="H91" s="355" t="s">
        <v>195</v>
      </c>
      <c r="I91" s="153"/>
      <c r="J91" s="362"/>
      <c r="K91" s="121"/>
      <c r="L91" s="121"/>
      <c r="M91" s="239"/>
      <c r="N91" s="196"/>
      <c r="O91" s="338"/>
      <c r="P91" s="344"/>
      <c r="Q91" s="338"/>
      <c r="R91" s="198"/>
      <c r="S91" s="198"/>
      <c r="T91" s="198"/>
      <c r="U91" s="198"/>
      <c r="V91" s="198"/>
      <c r="W91" s="198"/>
      <c r="X91" s="125"/>
      <c r="Y91" s="454"/>
      <c r="Z91" s="371"/>
      <c r="AA91" s="338"/>
      <c r="AB91" s="344"/>
      <c r="AC91" s="338"/>
      <c r="AD91" s="198"/>
      <c r="AE91" s="198"/>
      <c r="AF91" s="198"/>
      <c r="AG91" s="198"/>
      <c r="AH91" s="198"/>
      <c r="AI91" s="198"/>
      <c r="AJ91" s="125"/>
      <c r="AK91" s="454"/>
      <c r="AL91" s="371"/>
      <c r="AM91" s="338"/>
      <c r="AN91" s="344"/>
      <c r="AO91" s="338"/>
      <c r="AP91" s="198"/>
      <c r="AQ91" s="198"/>
      <c r="AR91" s="198"/>
      <c r="AS91" s="198"/>
      <c r="AT91" s="198"/>
      <c r="AU91" s="198"/>
      <c r="AV91" s="125"/>
      <c r="AW91" s="454"/>
      <c r="AX91" s="371"/>
      <c r="AY91" s="338"/>
      <c r="AZ91" s="344"/>
      <c r="BA91" s="338"/>
      <c r="BB91" s="199"/>
      <c r="BC91" s="199"/>
      <c r="BD91" s="199"/>
      <c r="BE91" s="199"/>
      <c r="BF91" s="199"/>
      <c r="BG91" s="199"/>
      <c r="BH91" s="255"/>
    </row>
    <row r="92" spans="1:60" x14ac:dyDescent="0.2">
      <c r="A92" s="648"/>
      <c r="B92" s="492" t="s">
        <v>178</v>
      </c>
      <c r="C92" s="739" t="s">
        <v>127</v>
      </c>
      <c r="D92" s="747"/>
      <c r="E92" s="221" t="s">
        <v>197</v>
      </c>
      <c r="F92" s="220"/>
      <c r="G92" s="220"/>
      <c r="H92" s="221" t="s">
        <v>177</v>
      </c>
      <c r="I92" s="146"/>
      <c r="J92" s="230"/>
      <c r="K92" s="121"/>
      <c r="L92" s="121"/>
      <c r="M92" s="230"/>
      <c r="N92" s="100"/>
      <c r="O92" s="251">
        <f>O$90*M$24</f>
        <v>0</v>
      </c>
      <c r="P92" s="147"/>
      <c r="Q92" s="251">
        <f>Q$90*M$24</f>
        <v>0</v>
      </c>
      <c r="R92" s="147"/>
      <c r="S92" s="147"/>
      <c r="T92" s="147"/>
      <c r="U92" s="147"/>
      <c r="V92" s="147"/>
      <c r="W92" s="147"/>
      <c r="X92" s="125"/>
      <c r="Y92" s="149"/>
      <c r="Z92" s="129"/>
      <c r="AA92" s="251">
        <f>AA$90*Y$24</f>
        <v>0</v>
      </c>
      <c r="AB92" s="147"/>
      <c r="AC92" s="251">
        <f>AC$90*Y$24</f>
        <v>0</v>
      </c>
      <c r="AD92" s="147"/>
      <c r="AE92" s="147"/>
      <c r="AF92" s="147"/>
      <c r="AG92" s="147"/>
      <c r="AH92" s="147"/>
      <c r="AI92" s="147"/>
      <c r="AJ92" s="125"/>
      <c r="AK92" s="149"/>
      <c r="AL92" s="129"/>
      <c r="AM92" s="251">
        <f>AM$90*AK$24</f>
        <v>0</v>
      </c>
      <c r="AN92" s="147"/>
      <c r="AO92" s="251">
        <f>AO$90*AK$24</f>
        <v>0</v>
      </c>
      <c r="AP92" s="147"/>
      <c r="AQ92" s="147"/>
      <c r="AR92" s="147"/>
      <c r="AS92" s="147"/>
      <c r="AT92" s="147"/>
      <c r="AU92" s="147"/>
      <c r="AV92" s="125"/>
      <c r="AW92" s="149"/>
      <c r="AX92" s="129"/>
      <c r="AY92" s="251">
        <f>AY$90*AW$24</f>
        <v>0</v>
      </c>
      <c r="AZ92" s="147"/>
      <c r="BA92" s="251">
        <f>BA$90*AW$24</f>
        <v>0</v>
      </c>
      <c r="BB92" s="147"/>
      <c r="BC92" s="147"/>
      <c r="BD92" s="147"/>
      <c r="BE92" s="147"/>
      <c r="BF92" s="147"/>
      <c r="BG92" s="147"/>
      <c r="BH92" s="255"/>
    </row>
    <row r="93" spans="1:60" ht="18.75" x14ac:dyDescent="0.2">
      <c r="A93" s="648"/>
      <c r="B93" s="492" t="s">
        <v>178</v>
      </c>
      <c r="C93" s="739" t="s">
        <v>104</v>
      </c>
      <c r="D93" s="750" t="s">
        <v>50</v>
      </c>
      <c r="E93" s="194" t="s">
        <v>198</v>
      </c>
      <c r="F93" s="202"/>
      <c r="G93" s="202"/>
      <c r="H93" s="203"/>
      <c r="I93" s="204"/>
      <c r="J93" s="205"/>
      <c r="K93" s="138"/>
      <c r="L93" s="138"/>
      <c r="M93" s="205"/>
      <c r="N93" s="205"/>
      <c r="O93" s="205"/>
      <c r="P93" s="205"/>
      <c r="Q93" s="205"/>
      <c r="R93" s="205"/>
      <c r="S93" s="205"/>
      <c r="T93" s="205"/>
      <c r="U93" s="205"/>
      <c r="V93" s="205"/>
      <c r="W93" s="205"/>
      <c r="X93" s="206"/>
      <c r="Y93" s="205"/>
      <c r="Z93" s="205"/>
      <c r="AA93" s="205"/>
      <c r="AB93" s="205"/>
      <c r="AC93" s="205"/>
      <c r="AD93" s="205"/>
      <c r="AE93" s="205"/>
      <c r="AF93" s="205"/>
      <c r="AG93" s="205"/>
      <c r="AH93" s="205"/>
      <c r="AI93" s="205"/>
      <c r="AJ93" s="206"/>
      <c r="AK93" s="205"/>
      <c r="AL93" s="205"/>
      <c r="AM93" s="205"/>
      <c r="AN93" s="205"/>
      <c r="AO93" s="205"/>
      <c r="AP93" s="205"/>
      <c r="AQ93" s="205"/>
      <c r="AR93" s="205"/>
      <c r="AS93" s="205"/>
      <c r="AT93" s="205"/>
      <c r="AU93" s="205"/>
      <c r="AV93" s="206"/>
      <c r="AW93" s="205"/>
      <c r="AX93" s="205"/>
      <c r="AY93" s="205"/>
      <c r="AZ93" s="205"/>
      <c r="BA93" s="205"/>
      <c r="BB93" s="205"/>
      <c r="BC93" s="205"/>
      <c r="BD93" s="205"/>
      <c r="BE93" s="205"/>
      <c r="BF93" s="205"/>
      <c r="BG93" s="205"/>
      <c r="BH93" s="214"/>
    </row>
    <row r="94" spans="1:60" hidden="1" x14ac:dyDescent="0.2">
      <c r="A94" s="648"/>
      <c r="B94" s="492" t="s">
        <v>178</v>
      </c>
      <c r="C94" s="739" t="s">
        <v>199</v>
      </c>
      <c r="D94" s="747"/>
      <c r="E94" s="221" t="s">
        <v>200</v>
      </c>
      <c r="F94" s="220"/>
      <c r="G94" s="220"/>
      <c r="H94" s="221" t="s">
        <v>177</v>
      </c>
      <c r="I94" s="146"/>
      <c r="J94" s="230"/>
      <c r="K94" s="121"/>
      <c r="L94" s="121"/>
      <c r="M94" s="230"/>
      <c r="N94" s="129"/>
      <c r="O94" s="251">
        <f>IF(O$80="geen",0,O75+O85-O88+O92)</f>
        <v>0</v>
      </c>
      <c r="P94" s="251">
        <f>IF(P$80="geen",0,P75+P85-P88+P92)</f>
        <v>0</v>
      </c>
      <c r="Q94" s="251">
        <f>IF(Q$80="geen",0,Q75+Q85-Q88+Q92)</f>
        <v>0</v>
      </c>
      <c r="R94" s="147"/>
      <c r="S94" s="147"/>
      <c r="T94" s="147"/>
      <c r="U94" s="147"/>
      <c r="V94" s="147"/>
      <c r="W94" s="147"/>
      <c r="X94" s="125"/>
      <c r="Y94" s="149"/>
      <c r="Z94" s="129"/>
      <c r="AA94" s="251">
        <f>IF(AA$80="geen",0,AA75+AA85-AA88+AA92)</f>
        <v>0</v>
      </c>
      <c r="AB94" s="251">
        <f>IF(AB$80="geen",0,AB75+AB85-AB88+AB92)</f>
        <v>0</v>
      </c>
      <c r="AC94" s="251">
        <f>IF(AC$80="geen",0,AC75+AC85-AC88+AC92)</f>
        <v>0</v>
      </c>
      <c r="AD94" s="147"/>
      <c r="AE94" s="147"/>
      <c r="AF94" s="147"/>
      <c r="AG94" s="147"/>
      <c r="AH94" s="147"/>
      <c r="AI94" s="147"/>
      <c r="AJ94" s="125"/>
      <c r="AK94" s="149"/>
      <c r="AL94" s="129"/>
      <c r="AM94" s="251">
        <f>IF(AM$80="geen",0,AM75+AM85-AM88+AM92)</f>
        <v>0</v>
      </c>
      <c r="AN94" s="251">
        <f>IF(AN$80="geen",0,AN75+AN85-AN88+AN92)</f>
        <v>0</v>
      </c>
      <c r="AO94" s="251">
        <f>IF(AO$80="geen",0,AO75+AO85-AO88+AO92)</f>
        <v>0</v>
      </c>
      <c r="AP94" s="147"/>
      <c r="AQ94" s="147"/>
      <c r="AR94" s="147"/>
      <c r="AS94" s="147"/>
      <c r="AT94" s="147"/>
      <c r="AU94" s="147"/>
      <c r="AV94" s="125"/>
      <c r="AW94" s="149"/>
      <c r="AX94" s="129"/>
      <c r="AY94" s="251">
        <f>IF(AY$80="geen",0,AY75+AY85-AY88+AY92)</f>
        <v>0</v>
      </c>
      <c r="AZ94" s="251">
        <f>IF(AZ$80="geen",0,AZ75+AZ85-AZ88+AZ92)</f>
        <v>0</v>
      </c>
      <c r="BA94" s="251">
        <f>IF(BA$80="geen",0,BA75+BA85-BA88+BA92)</f>
        <v>0</v>
      </c>
      <c r="BB94" s="147"/>
      <c r="BC94" s="147"/>
      <c r="BD94" s="147"/>
      <c r="BE94" s="147"/>
      <c r="BF94" s="147"/>
      <c r="BG94" s="147"/>
      <c r="BH94" s="255"/>
    </row>
    <row r="95" spans="1:60" hidden="1" x14ac:dyDescent="0.2">
      <c r="A95" s="648"/>
      <c r="B95" s="492" t="s">
        <v>178</v>
      </c>
      <c r="C95" s="739" t="s">
        <v>199</v>
      </c>
      <c r="D95" s="750" t="s">
        <v>50</v>
      </c>
      <c r="E95" s="221" t="s">
        <v>201</v>
      </c>
      <c r="F95" s="220"/>
      <c r="G95" s="220"/>
      <c r="H95" s="221" t="s">
        <v>202</v>
      </c>
      <c r="I95" s="146"/>
      <c r="J95" s="230"/>
      <c r="K95" s="121"/>
      <c r="L95" s="121"/>
      <c r="M95" s="230"/>
      <c r="N95" s="129"/>
      <c r="O95" s="622">
        <f>IF(OR(O80="geen",O94=0),0,IF(O81=gebouw,O$29,1))</f>
        <v>0</v>
      </c>
      <c r="P95" s="622">
        <f>IF(OR(P80="geen",P94=0),0,IF(P81=gebouw,P$29,1))</f>
        <v>0</v>
      </c>
      <c r="Q95" s="622" t="s">
        <v>70</v>
      </c>
      <c r="R95" s="145"/>
      <c r="S95" s="145"/>
      <c r="T95" s="145"/>
      <c r="U95" s="145"/>
      <c r="V95" s="145"/>
      <c r="W95" s="145"/>
      <c r="X95" s="486"/>
      <c r="Y95" s="149"/>
      <c r="Z95" s="135"/>
      <c r="AA95" s="622">
        <f>IF(OR(AA80="geen",AA94=0),0,IF(AA81=gebouw,AA$29,1))</f>
        <v>0</v>
      </c>
      <c r="AB95" s="622">
        <f>IF(OR(AB80="geen",AB94=0),0,IF(AB81=gebouw,AB$29,1))</f>
        <v>0</v>
      </c>
      <c r="AC95" s="622" t="s">
        <v>70</v>
      </c>
      <c r="AD95" s="145"/>
      <c r="AE95" s="145"/>
      <c r="AF95" s="145"/>
      <c r="AG95" s="145"/>
      <c r="AH95" s="145"/>
      <c r="AI95" s="145"/>
      <c r="AJ95" s="486"/>
      <c r="AK95" s="149"/>
      <c r="AL95" s="135"/>
      <c r="AM95" s="622">
        <f>IF(OR(AM80="geen",AM94=0),0,IF(AM81=gebouw,AM$29,1))</f>
        <v>0</v>
      </c>
      <c r="AN95" s="622">
        <f>IF(OR(AN80="geen",AN94=0),0,IF(AN81=gebouw,AN$29,1))</f>
        <v>0</v>
      </c>
      <c r="AO95" s="622" t="s">
        <v>70</v>
      </c>
      <c r="AP95" s="145"/>
      <c r="AQ95" s="145"/>
      <c r="AR95" s="145"/>
      <c r="AS95" s="145"/>
      <c r="AT95" s="145"/>
      <c r="AU95" s="145"/>
      <c r="AV95" s="486"/>
      <c r="AW95" s="149"/>
      <c r="AX95" s="135"/>
      <c r="AY95" s="622">
        <f>IF(OR(AY80="geen",AY94=0),0,IF(AY81=gebouw,AY$29,1))</f>
        <v>0</v>
      </c>
      <c r="AZ95" s="622">
        <f>IF(OR(AZ80="geen",AZ94=0),0,IF(AZ81=gebouw,AZ$29,1))</f>
        <v>0</v>
      </c>
      <c r="BA95" s="622" t="s">
        <v>70</v>
      </c>
      <c r="BB95" s="147"/>
      <c r="BC95" s="147"/>
      <c r="BD95" s="147"/>
      <c r="BE95" s="147"/>
      <c r="BF95" s="147"/>
      <c r="BG95" s="147"/>
      <c r="BH95" s="255"/>
    </row>
    <row r="96" spans="1:60" hidden="1" x14ac:dyDescent="0.2">
      <c r="A96" s="648"/>
      <c r="B96" s="492" t="s">
        <v>178</v>
      </c>
      <c r="C96" s="739" t="s">
        <v>199</v>
      </c>
      <c r="D96" s="750" t="s">
        <v>50</v>
      </c>
      <c r="E96" s="221" t="s">
        <v>203</v>
      </c>
      <c r="F96" s="220"/>
      <c r="G96" s="220"/>
      <c r="H96" s="221" t="s">
        <v>204</v>
      </c>
      <c r="I96" s="146"/>
      <c r="J96" s="230"/>
      <c r="K96" s="121"/>
      <c r="L96" s="121"/>
      <c r="M96" s="230"/>
      <c r="N96" s="129"/>
      <c r="O96" s="622">
        <f>MROUND(((bibliotheek!$I$121*(O94*1000))/(0.001*bibliotheek!$I$122)*((bibliotheek!$I$123-bibliotheek!$I$125)/(bibliotheek!$I$123-bibliotheek!$I$124))+(O31^0.5*4*3+O31)*bibliotheek!$I$126)/1000,50)</f>
        <v>0</v>
      </c>
      <c r="P96" s="622">
        <f>IF(P80="geen",0,MROUND((P94*1000)*bibliotheek!$I$196,1))</f>
        <v>0</v>
      </c>
      <c r="Q96" s="622" t="s">
        <v>70</v>
      </c>
      <c r="R96" s="145"/>
      <c r="S96" s="145"/>
      <c r="T96" s="145"/>
      <c r="U96" s="145"/>
      <c r="V96" s="145"/>
      <c r="W96" s="145"/>
      <c r="X96" s="486"/>
      <c r="Y96" s="149"/>
      <c r="Z96" s="135"/>
      <c r="AA96" s="622">
        <f>MROUND(((bibliotheek!$I$121*(AA94*1000))/(0.001*bibliotheek!$I$122)*((bibliotheek!$I$123-bibliotheek!$I$125)/(bibliotheek!$I$123-bibliotheek!$I$124))+(AA31^0.5*4*3+AA31)*bibliotheek!$I$126)/1000,50)</f>
        <v>0</v>
      </c>
      <c r="AB96" s="622">
        <f>IF(AB80="geen",0,MROUND((AB94*1000)*bibliotheek!$I$196,1))</f>
        <v>0</v>
      </c>
      <c r="AC96" s="622" t="s">
        <v>70</v>
      </c>
      <c r="AD96" s="145"/>
      <c r="AE96" s="145"/>
      <c r="AF96" s="145"/>
      <c r="AG96" s="145"/>
      <c r="AH96" s="145"/>
      <c r="AI96" s="145"/>
      <c r="AJ96" s="486"/>
      <c r="AK96" s="149"/>
      <c r="AL96" s="135"/>
      <c r="AM96" s="622">
        <f>MROUND(((bibliotheek!$I$121*(AM94*1000))/(0.001*bibliotheek!$I$122)*((bibliotheek!$I$123-bibliotheek!$I$125)/(bibliotheek!$I$123-bibliotheek!$I$124))+(AM31^0.5*4*3+AM31)*bibliotheek!$I$126)/1000,50)</f>
        <v>0</v>
      </c>
      <c r="AN96" s="622">
        <f>IF(AN80="geen",0,MROUND((AN94*1000)*bibliotheek!$I$196,1))</f>
        <v>0</v>
      </c>
      <c r="AO96" s="622" t="s">
        <v>70</v>
      </c>
      <c r="AP96" s="145"/>
      <c r="AQ96" s="145"/>
      <c r="AR96" s="145"/>
      <c r="AS96" s="145"/>
      <c r="AT96" s="145"/>
      <c r="AU96" s="145"/>
      <c r="AV96" s="486"/>
      <c r="AW96" s="149"/>
      <c r="AX96" s="135"/>
      <c r="AY96" s="622">
        <f>MROUND(((bibliotheek!$I$121*(AY94*1000))/(0.001*bibliotheek!$I$122)*((bibliotheek!$I$123-bibliotheek!$I$125)/(bibliotheek!$I$123-bibliotheek!$I$124))+(AY31^0.5*4*3+AY31)*bibliotheek!$I$126)/1000,50)</f>
        <v>0</v>
      </c>
      <c r="AZ96" s="622">
        <f>IF(AZ80="geen",0,MROUND((AZ94*1000)*bibliotheek!$I$196,1))</f>
        <v>0</v>
      </c>
      <c r="BA96" s="622" t="s">
        <v>70</v>
      </c>
      <c r="BB96" s="147"/>
      <c r="BC96" s="147"/>
      <c r="BD96" s="147"/>
      <c r="BE96" s="147"/>
      <c r="BF96" s="147"/>
      <c r="BG96" s="147"/>
      <c r="BH96" s="255"/>
    </row>
    <row r="97" spans="1:60" hidden="1" x14ac:dyDescent="0.2">
      <c r="A97" s="648"/>
      <c r="B97" s="492" t="s">
        <v>178</v>
      </c>
      <c r="C97" s="656" t="s">
        <v>199</v>
      </c>
      <c r="D97" s="747"/>
      <c r="E97" s="90"/>
      <c r="F97" s="90"/>
      <c r="G97" s="90"/>
      <c r="H97" s="96"/>
      <c r="I97" s="90"/>
      <c r="J97" s="93"/>
      <c r="K97" s="90"/>
      <c r="L97" s="90"/>
      <c r="M97" s="93"/>
      <c r="N97" s="90"/>
      <c r="O97" s="93"/>
      <c r="P97" s="93"/>
      <c r="Q97" s="93"/>
      <c r="R97" s="93"/>
      <c r="S97" s="93"/>
      <c r="T97" s="93"/>
      <c r="U97" s="93"/>
      <c r="V97" s="93"/>
      <c r="W97" s="93"/>
      <c r="X97" s="93"/>
      <c r="Y97" s="93"/>
      <c r="Z97" s="90"/>
      <c r="AA97" s="122"/>
      <c r="AB97" s="117"/>
      <c r="AC97" s="122"/>
      <c r="AD97" s="93"/>
      <c r="AE97" s="93"/>
      <c r="AF97" s="93"/>
      <c r="AG97" s="93"/>
      <c r="AH97" s="93"/>
      <c r="AI97" s="93"/>
      <c r="AJ97" s="93"/>
      <c r="AK97" s="93"/>
      <c r="AL97" s="90"/>
      <c r="AM97" s="93"/>
      <c r="AN97" s="117"/>
      <c r="AO97" s="93"/>
      <c r="AP97" s="93"/>
      <c r="AQ97" s="93"/>
      <c r="AR97" s="93"/>
      <c r="AS97" s="93"/>
      <c r="AT97" s="93"/>
      <c r="AU97" s="93"/>
      <c r="AV97" s="93"/>
      <c r="AW97" s="93"/>
      <c r="AX97" s="90"/>
      <c r="AY97" s="93"/>
      <c r="AZ97" s="117"/>
      <c r="BA97" s="93"/>
      <c r="BB97" s="93"/>
      <c r="BC97" s="93"/>
      <c r="BD97" s="93"/>
      <c r="BE97" s="93"/>
      <c r="BF97" s="93"/>
      <c r="BG97" s="93"/>
      <c r="BH97" s="1"/>
    </row>
    <row r="98" spans="1:60" x14ac:dyDescent="0.2">
      <c r="A98" s="648"/>
      <c r="B98" s="492" t="s">
        <v>205</v>
      </c>
      <c r="C98" s="656" t="s">
        <v>104</v>
      </c>
      <c r="D98" s="747"/>
      <c r="E98" s="90"/>
      <c r="F98" s="90"/>
      <c r="G98" s="90"/>
      <c r="H98" s="96"/>
      <c r="I98" s="90"/>
      <c r="J98" s="93"/>
      <c r="K98" s="90"/>
      <c r="L98" s="90"/>
      <c r="M98" s="93"/>
      <c r="N98" s="90"/>
      <c r="O98" s="489"/>
      <c r="P98" s="93"/>
      <c r="Q98" s="93"/>
      <c r="R98" s="93"/>
      <c r="S98" s="93"/>
      <c r="T98" s="93"/>
      <c r="U98" s="93"/>
      <c r="V98" s="93"/>
      <c r="W98" s="93"/>
      <c r="X98" s="93"/>
      <c r="Y98" s="93"/>
      <c r="Z98" s="90"/>
      <c r="AA98" s="93"/>
      <c r="AB98" s="93"/>
      <c r="AC98" s="93"/>
      <c r="AD98" s="93"/>
      <c r="AE98" s="93"/>
      <c r="AF98" s="93"/>
      <c r="AG98" s="93"/>
      <c r="AH98" s="93"/>
      <c r="AI98" s="93"/>
      <c r="AJ98" s="93"/>
      <c r="AK98" s="93"/>
      <c r="AL98" s="90"/>
      <c r="AM98" s="93"/>
      <c r="AN98" s="93"/>
      <c r="AO98" s="93"/>
      <c r="AP98" s="93"/>
      <c r="AQ98" s="93"/>
      <c r="AR98" s="93"/>
      <c r="AS98" s="93"/>
      <c r="AT98" s="93"/>
      <c r="AU98" s="93"/>
      <c r="AV98" s="93"/>
      <c r="AW98" s="93"/>
      <c r="AX98" s="90"/>
      <c r="AY98" s="93"/>
      <c r="AZ98" s="93"/>
      <c r="BA98" s="93"/>
      <c r="BB98" s="93"/>
      <c r="BC98" s="93"/>
      <c r="BD98" s="93"/>
      <c r="BE98" s="93"/>
      <c r="BF98" s="93"/>
      <c r="BG98" s="93"/>
      <c r="BH98" s="1"/>
    </row>
    <row r="99" spans="1:60" ht="21" x14ac:dyDescent="0.2">
      <c r="A99" s="648"/>
      <c r="B99" s="492" t="s">
        <v>205</v>
      </c>
      <c r="C99" s="739" t="s">
        <v>104</v>
      </c>
      <c r="D99" s="750" t="s">
        <v>50</v>
      </c>
      <c r="E99" s="240" t="s">
        <v>206</v>
      </c>
      <c r="F99" s="240"/>
      <c r="G99" s="240"/>
      <c r="H99" s="240"/>
      <c r="I99" s="88"/>
      <c r="J99" s="241" t="str">
        <f>J$10</f>
        <v>totaal</v>
      </c>
      <c r="K99" s="142"/>
      <c r="L99" s="142"/>
      <c r="M99" s="216" t="str">
        <f>M$10</f>
        <v>totaal</v>
      </c>
      <c r="N99" s="222"/>
      <c r="O99" s="217" t="str">
        <f>O$10</f>
        <v>verwarming</v>
      </c>
      <c r="P99" s="217" t="str">
        <f>P$10</f>
        <v>koeling</v>
      </c>
      <c r="Q99" s="217" t="str">
        <f>Q$10</f>
        <v>tapwater</v>
      </c>
      <c r="R99" s="217"/>
      <c r="S99" s="217"/>
      <c r="T99" s="217"/>
      <c r="U99" s="217"/>
      <c r="V99" s="217"/>
      <c r="W99" s="217"/>
      <c r="X99" s="214"/>
      <c r="Y99" s="216" t="str">
        <f>Y$10</f>
        <v>totaal</v>
      </c>
      <c r="Z99" s="222"/>
      <c r="AA99" s="217" t="str">
        <f>AA$10</f>
        <v>verwarming</v>
      </c>
      <c r="AB99" s="217" t="str">
        <f>AB$10</f>
        <v>koeling</v>
      </c>
      <c r="AC99" s="217" t="str">
        <f>AC$10</f>
        <v>tapwater</v>
      </c>
      <c r="AD99" s="217"/>
      <c r="AE99" s="217"/>
      <c r="AF99" s="217"/>
      <c r="AG99" s="217"/>
      <c r="AH99" s="217"/>
      <c r="AI99" s="217"/>
      <c r="AJ99" s="214"/>
      <c r="AK99" s="216" t="str">
        <f>AK$10</f>
        <v>totaal</v>
      </c>
      <c r="AL99" s="222"/>
      <c r="AM99" s="217" t="str">
        <f>AM$10</f>
        <v>verwarming</v>
      </c>
      <c r="AN99" s="217" t="str">
        <f>AN$10</f>
        <v>koeling</v>
      </c>
      <c r="AO99" s="217" t="str">
        <f>AO$10</f>
        <v>tapwater</v>
      </c>
      <c r="AP99" s="217"/>
      <c r="AQ99" s="217"/>
      <c r="AR99" s="217"/>
      <c r="AS99" s="217"/>
      <c r="AT99" s="217"/>
      <c r="AU99" s="217"/>
      <c r="AV99" s="214"/>
      <c r="AW99" s="216" t="str">
        <f>AW$10</f>
        <v>totaal</v>
      </c>
      <c r="AX99" s="222"/>
      <c r="AY99" s="217" t="str">
        <f>AY$10</f>
        <v>verwarming</v>
      </c>
      <c r="AZ99" s="217" t="str">
        <f>AZ$10</f>
        <v>koeling</v>
      </c>
      <c r="BA99" s="217" t="str">
        <f>BA$10</f>
        <v>tapwater</v>
      </c>
      <c r="BB99" s="217"/>
      <c r="BC99" s="217"/>
      <c r="BD99" s="217"/>
      <c r="BE99" s="217"/>
      <c r="BF99" s="217"/>
      <c r="BG99" s="217"/>
      <c r="BH99" s="1"/>
    </row>
    <row r="100" spans="1:60" ht="18.75" x14ac:dyDescent="0.2">
      <c r="A100" s="648"/>
      <c r="B100" s="492" t="s">
        <v>205</v>
      </c>
      <c r="C100" s="739" t="s">
        <v>104</v>
      </c>
      <c r="D100" s="750"/>
      <c r="E100" s="315" t="s">
        <v>207</v>
      </c>
      <c r="F100" s="175"/>
      <c r="G100" s="175"/>
      <c r="H100" s="176"/>
      <c r="I100" s="177"/>
      <c r="J100" s="141"/>
      <c r="K100" s="178"/>
      <c r="L100" s="178"/>
      <c r="M100" s="141"/>
      <c r="N100" s="141"/>
      <c r="O100" s="141"/>
      <c r="P100" s="141"/>
      <c r="Q100" s="141"/>
      <c r="R100" s="141">
        <v>1</v>
      </c>
      <c r="S100" s="141">
        <v>1</v>
      </c>
      <c r="T100" s="141"/>
      <c r="U100" s="141"/>
      <c r="V100" s="141"/>
      <c r="W100" s="141"/>
      <c r="X100" s="179"/>
      <c r="Y100" s="141"/>
      <c r="Z100" s="141"/>
      <c r="AA100" s="141"/>
      <c r="AB100" s="141"/>
      <c r="AC100" s="141"/>
      <c r="AD100" s="141"/>
      <c r="AE100" s="141"/>
      <c r="AF100" s="141"/>
      <c r="AG100" s="141"/>
      <c r="AH100" s="141"/>
      <c r="AI100" s="141"/>
      <c r="AJ100" s="179"/>
      <c r="AK100" s="141"/>
      <c r="AL100" s="141"/>
      <c r="AM100" s="141"/>
      <c r="AN100" s="141"/>
      <c r="AO100" s="141"/>
      <c r="AP100" s="141"/>
      <c r="AQ100" s="141"/>
      <c r="AR100" s="141"/>
      <c r="AS100" s="141"/>
      <c r="AT100" s="141"/>
      <c r="AU100" s="141"/>
      <c r="AV100" s="179"/>
      <c r="AW100" s="141"/>
      <c r="AX100" s="141"/>
      <c r="AY100" s="141"/>
      <c r="AZ100" s="141"/>
      <c r="BA100" s="141"/>
      <c r="BB100" s="141"/>
      <c r="BC100" s="141"/>
      <c r="BD100" s="141"/>
      <c r="BE100" s="141"/>
      <c r="BF100" s="141"/>
      <c r="BG100" s="141"/>
      <c r="BH100" s="263"/>
    </row>
    <row r="101" spans="1:60" ht="38.25" x14ac:dyDescent="0.2">
      <c r="A101" s="648"/>
      <c r="B101" s="492" t="s">
        <v>205</v>
      </c>
      <c r="C101" s="656" t="s">
        <v>127</v>
      </c>
      <c r="D101" s="747"/>
      <c r="E101" s="183" t="s">
        <v>181</v>
      </c>
      <c r="F101" s="357"/>
      <c r="G101" s="357"/>
      <c r="H101" s="183" t="s">
        <v>70</v>
      </c>
      <c r="I101" s="188"/>
      <c r="J101" s="330"/>
      <c r="K101" s="820"/>
      <c r="L101" s="820"/>
      <c r="M101" s="330"/>
      <c r="N101" s="136"/>
      <c r="O101" s="390" t="str">
        <f>O80</f>
        <v>ind WP, ind bodem, elek bijstook</v>
      </c>
      <c r="P101" s="390" t="str">
        <f>P80</f>
        <v>geen</v>
      </c>
      <c r="Q101" s="390" t="str">
        <f>Q80</f>
        <v>ind WP, ind bodem, elek bijstook</v>
      </c>
      <c r="R101" s="190"/>
      <c r="S101" s="190"/>
      <c r="T101" s="190"/>
      <c r="U101" s="190"/>
      <c r="V101" s="190"/>
      <c r="W101" s="190"/>
      <c r="X101" s="191"/>
      <c r="Y101" s="330"/>
      <c r="Z101" s="136"/>
      <c r="AA101" s="390" t="str">
        <f>AA80</f>
        <v>ind WP, ind bodem, elek bijstook</v>
      </c>
      <c r="AB101" s="390" t="str">
        <f>AB80</f>
        <v>geen</v>
      </c>
      <c r="AC101" s="390" t="str">
        <f>AC80</f>
        <v>ind WP, ind bodem, elek bijstook</v>
      </c>
      <c r="AD101" s="190"/>
      <c r="AE101" s="190"/>
      <c r="AF101" s="190"/>
      <c r="AG101" s="190"/>
      <c r="AH101" s="190"/>
      <c r="AI101" s="190"/>
      <c r="AJ101" s="191"/>
      <c r="AK101" s="330"/>
      <c r="AL101" s="136"/>
      <c r="AM101" s="390" t="str">
        <f>AM80</f>
        <v>ind WP, ind bodem, elek bijstook</v>
      </c>
      <c r="AN101" s="390" t="str">
        <f>AN80</f>
        <v>geen</v>
      </c>
      <c r="AO101" s="390" t="str">
        <f>AO80</f>
        <v>ind WP, ind bodem, elek bijstook</v>
      </c>
      <c r="AP101" s="190"/>
      <c r="AQ101" s="190"/>
      <c r="AR101" s="190"/>
      <c r="AS101" s="190"/>
      <c r="AT101" s="190"/>
      <c r="AU101" s="190"/>
      <c r="AV101" s="191"/>
      <c r="AW101" s="330"/>
      <c r="AX101" s="136"/>
      <c r="AY101" s="390" t="str">
        <f>AY80</f>
        <v>ind WP, ind bodem, elek bijstook</v>
      </c>
      <c r="AZ101" s="390" t="str">
        <f>AZ80</f>
        <v>geen</v>
      </c>
      <c r="BA101" s="390" t="str">
        <f>BA80</f>
        <v>ind WP, ind bodem, elek bijstook</v>
      </c>
      <c r="BB101" s="190"/>
      <c r="BC101" s="190"/>
      <c r="BD101" s="190"/>
      <c r="BE101" s="190"/>
      <c r="BF101" s="190"/>
      <c r="BG101" s="190"/>
      <c r="BH101" s="263"/>
    </row>
    <row r="102" spans="1:60" s="38" customFormat="1" hidden="1" x14ac:dyDescent="0.2">
      <c r="A102" s="648"/>
      <c r="B102" s="492" t="s">
        <v>205</v>
      </c>
      <c r="C102" s="656" t="s">
        <v>199</v>
      </c>
      <c r="D102" s="747"/>
      <c r="E102" s="183" t="s">
        <v>208</v>
      </c>
      <c r="F102" s="182"/>
      <c r="G102" s="182"/>
      <c r="H102" s="183" t="s">
        <v>70</v>
      </c>
      <c r="I102" s="340"/>
      <c r="J102" s="350"/>
      <c r="K102" s="821"/>
      <c r="L102" s="821"/>
      <c r="M102" s="350"/>
      <c r="N102" s="235"/>
      <c r="O102" s="390" t="str">
        <f>HLOOKUP(IF(O$80="",referentie_verwarming,O$80),toestellen_RV,ROWS(bibliotheek!$E$79:$E$92),FALSE)</f>
        <v>elektriciteit</v>
      </c>
      <c r="P102" s="390" t="str">
        <f>HLOOKUP(IF(P$80="",referentie_koeling,P$80),toestellen_KOEL,ROWS(bibliotheek!$E$170:$E$177),FALSE)</f>
        <v>nvt</v>
      </c>
      <c r="Q102" s="390" t="str">
        <f>HLOOKUP(IF(Q$80="",referentie_warmtapwater,Q$80),toestellen_TAP,ROWS(bibliotheek!$E$136:$E$149),FALSE)</f>
        <v>elektriciteit</v>
      </c>
      <c r="R102" s="341"/>
      <c r="S102" s="341"/>
      <c r="T102" s="341"/>
      <c r="U102" s="341"/>
      <c r="V102" s="341"/>
      <c r="W102" s="341"/>
      <c r="X102" s="342"/>
      <c r="Y102" s="350"/>
      <c r="Z102" s="235"/>
      <c r="AA102" s="390" t="str">
        <f>HLOOKUP(IF(AA$80="",referentie_verwarming,AA$80),toestellen_RV,ROWS(bibliotheek!$E$79:$E$92),FALSE)</f>
        <v>elektriciteit</v>
      </c>
      <c r="AB102" s="390" t="str">
        <f>HLOOKUP(IF(AB$80="",referentie_koeling,AB$80),toestellen_KOEL,ROWS(bibliotheek!$E$170:$E$177),FALSE)</f>
        <v>nvt</v>
      </c>
      <c r="AC102" s="390" t="str">
        <f>HLOOKUP(IF(AC$80="",referentie_warmtapwater,AC$80),toestellen_TAP,ROWS(bibliotheek!$E$136:$E$149),FALSE)</f>
        <v>elektriciteit</v>
      </c>
      <c r="AD102" s="341"/>
      <c r="AE102" s="341"/>
      <c r="AF102" s="341"/>
      <c r="AG102" s="341"/>
      <c r="AH102" s="341"/>
      <c r="AI102" s="341"/>
      <c r="AJ102" s="342"/>
      <c r="AK102" s="350"/>
      <c r="AL102" s="235"/>
      <c r="AM102" s="390" t="str">
        <f>HLOOKUP(IF(AM$80="",referentie_verwarming,AM$80),toestellen_RV,ROWS(bibliotheek!$E$79:$E$92),FALSE)</f>
        <v>elektriciteit</v>
      </c>
      <c r="AN102" s="390" t="str">
        <f>HLOOKUP(IF(AN$80="",referentie_koeling,AN$80),toestellen_KOEL,ROWS(bibliotheek!$E$170:$E$177),FALSE)</f>
        <v>nvt</v>
      </c>
      <c r="AO102" s="390" t="str">
        <f>HLOOKUP(IF(AO$80="",referentie_warmtapwater,AO$80),toestellen_TAP,ROWS(bibliotheek!$E$136:$E$149),FALSE)</f>
        <v>elektriciteit</v>
      </c>
      <c r="AP102" s="341"/>
      <c r="AQ102" s="341"/>
      <c r="AR102" s="341"/>
      <c r="AS102" s="341"/>
      <c r="AT102" s="341"/>
      <c r="AU102" s="341"/>
      <c r="AV102" s="342"/>
      <c r="AW102" s="350"/>
      <c r="AX102" s="235"/>
      <c r="AY102" s="390" t="str">
        <f>HLOOKUP(IF(AY$80="",referentie_verwarming,AY$80),toestellen_RV,ROWS(bibliotheek!$E$79:$E$92),FALSE)</f>
        <v>elektriciteit</v>
      </c>
      <c r="AZ102" s="390" t="str">
        <f>HLOOKUP(IF(AZ$80="",referentie_koeling,AZ$80),toestellen_KOEL,ROWS(bibliotheek!$E$170:$E$177),FALSE)</f>
        <v>nvt</v>
      </c>
      <c r="BA102" s="390" t="str">
        <f>HLOOKUP(IF(BA$80="",referentie_warmtapwater,BA$80),toestellen_TAP,ROWS(bibliotheek!$E$136:$E$149),FALSE)</f>
        <v>elektriciteit</v>
      </c>
      <c r="BB102" s="341"/>
      <c r="BC102" s="341"/>
      <c r="BD102" s="341"/>
      <c r="BE102" s="341"/>
      <c r="BF102" s="341"/>
      <c r="BG102" s="341"/>
      <c r="BH102" s="268"/>
    </row>
    <row r="103" spans="1:60" hidden="1" x14ac:dyDescent="0.2">
      <c r="A103" s="648"/>
      <c r="B103" s="492" t="s">
        <v>205</v>
      </c>
      <c r="C103" s="739" t="s">
        <v>199</v>
      </c>
      <c r="D103" s="747"/>
      <c r="E103" s="221" t="s">
        <v>209</v>
      </c>
      <c r="F103" s="220"/>
      <c r="G103" s="220"/>
      <c r="H103" s="221" t="s">
        <v>70</v>
      </c>
      <c r="I103" s="146"/>
      <c r="J103" s="230"/>
      <c r="K103" s="822"/>
      <c r="L103" s="822"/>
      <c r="M103" s="230"/>
      <c r="N103" s="129"/>
      <c r="O103" s="623" t="str">
        <f>INDEX(energiedragers_index_fPren,MATCH(O102,energiedragers_namen,0))</f>
        <v>nren</v>
      </c>
      <c r="P103" s="623" t="str">
        <f>INDEX(energiedragers_index_fPren,MATCH(P102,energiedragers_namen,0))</f>
        <v>nren</v>
      </c>
      <c r="Q103" s="623" t="str">
        <f>INDEX(energiedragers_index_fPren,MATCH(Q102,energiedragers_namen,0))</f>
        <v>nren</v>
      </c>
      <c r="R103" s="200"/>
      <c r="S103" s="200"/>
      <c r="T103" s="200"/>
      <c r="U103" s="200"/>
      <c r="V103" s="200"/>
      <c r="W103" s="200"/>
      <c r="X103" s="201"/>
      <c r="Y103" s="230"/>
      <c r="Z103" s="129"/>
      <c r="AA103" s="623" t="str">
        <f>INDEX(energiedragers_index_fPren,MATCH(AA102,energiedragers_namen,0))</f>
        <v>nren</v>
      </c>
      <c r="AB103" s="623" t="str">
        <f>INDEX(energiedragers_index_fPren,MATCH(AB102,energiedragers_namen,0))</f>
        <v>nren</v>
      </c>
      <c r="AC103" s="623" t="str">
        <f>INDEX(energiedragers_index_fPren,MATCH(AC102,energiedragers_namen,0))</f>
        <v>nren</v>
      </c>
      <c r="AD103" s="200"/>
      <c r="AE103" s="200"/>
      <c r="AF103" s="200"/>
      <c r="AG103" s="200"/>
      <c r="AH103" s="200"/>
      <c r="AI103" s="200"/>
      <c r="AJ103" s="201"/>
      <c r="AK103" s="230"/>
      <c r="AL103" s="129"/>
      <c r="AM103" s="623" t="str">
        <f>INDEX(energiedragers_index_fPren,MATCH(AM102,energiedragers_namen,0))</f>
        <v>nren</v>
      </c>
      <c r="AN103" s="623" t="str">
        <f>INDEX(energiedragers_index_fPren,MATCH(AN102,energiedragers_namen,0))</f>
        <v>nren</v>
      </c>
      <c r="AO103" s="623" t="str">
        <f>INDEX(energiedragers_index_fPren,MATCH(AO102,energiedragers_namen,0))</f>
        <v>nren</v>
      </c>
      <c r="AP103" s="200"/>
      <c r="AQ103" s="200"/>
      <c r="AR103" s="200"/>
      <c r="AS103" s="200"/>
      <c r="AT103" s="200"/>
      <c r="AU103" s="200"/>
      <c r="AV103" s="201"/>
      <c r="AW103" s="230"/>
      <c r="AX103" s="129"/>
      <c r="AY103" s="623" t="str">
        <f>INDEX(energiedragers_index_fPren,MATCH(AY102,energiedragers_namen,0))</f>
        <v>nren</v>
      </c>
      <c r="AZ103" s="623" t="str">
        <f>INDEX(energiedragers_index_fPren,MATCH(AZ102,energiedragers_namen,0))</f>
        <v>nren</v>
      </c>
      <c r="BA103" s="623" t="str">
        <f>INDEX(energiedragers_index_fPren,MATCH(BA102,energiedragers_namen,0))</f>
        <v>nren</v>
      </c>
      <c r="BB103" s="200"/>
      <c r="BC103" s="200"/>
      <c r="BD103" s="200"/>
      <c r="BE103" s="200"/>
      <c r="BF103" s="200"/>
      <c r="BG103" s="200"/>
      <c r="BH103" s="264"/>
    </row>
    <row r="104" spans="1:60" ht="18.75" x14ac:dyDescent="0.2">
      <c r="A104" s="648"/>
      <c r="B104" s="492" t="s">
        <v>205</v>
      </c>
      <c r="C104" s="739" t="s">
        <v>104</v>
      </c>
      <c r="D104" s="747"/>
      <c r="E104" s="144" t="s">
        <v>210</v>
      </c>
      <c r="F104" s="119"/>
      <c r="G104" s="119"/>
      <c r="H104" s="89"/>
      <c r="I104" s="120"/>
      <c r="J104" s="141"/>
      <c r="K104" s="124"/>
      <c r="L104" s="124"/>
      <c r="M104" s="141"/>
      <c r="N104" s="141"/>
      <c r="O104" s="141"/>
      <c r="P104" s="141"/>
      <c r="Q104" s="141"/>
      <c r="R104" s="141"/>
      <c r="S104" s="141"/>
      <c r="T104" s="141"/>
      <c r="U104" s="141"/>
      <c r="V104" s="141"/>
      <c r="W104" s="141"/>
      <c r="X104" s="143"/>
      <c r="Y104" s="141"/>
      <c r="Z104" s="141"/>
      <c r="AA104" s="141"/>
      <c r="AB104" s="141"/>
      <c r="AC104" s="141"/>
      <c r="AD104" s="141"/>
      <c r="AE104" s="141"/>
      <c r="AF104" s="141"/>
      <c r="AG104" s="141"/>
      <c r="AH104" s="141"/>
      <c r="AI104" s="141"/>
      <c r="AJ104" s="143"/>
      <c r="AK104" s="141"/>
      <c r="AL104" s="141"/>
      <c r="AM104" s="141"/>
      <c r="AN104" s="141"/>
      <c r="AO104" s="141"/>
      <c r="AP104" s="141"/>
      <c r="AQ104" s="141"/>
      <c r="AR104" s="141"/>
      <c r="AS104" s="141"/>
      <c r="AT104" s="141"/>
      <c r="AU104" s="141"/>
      <c r="AV104" s="143"/>
      <c r="AW104" s="141"/>
      <c r="AX104" s="141"/>
      <c r="AY104" s="141"/>
      <c r="AZ104" s="141"/>
      <c r="BA104" s="141"/>
      <c r="BB104" s="141"/>
      <c r="BC104" s="141"/>
      <c r="BD104" s="141"/>
      <c r="BE104" s="141"/>
      <c r="BF104" s="141"/>
      <c r="BG104" s="141"/>
      <c r="BH104" s="263"/>
    </row>
    <row r="105" spans="1:60" x14ac:dyDescent="0.2">
      <c r="A105" s="648"/>
      <c r="B105" s="492" t="s">
        <v>205</v>
      </c>
      <c r="C105" s="656" t="s">
        <v>127</v>
      </c>
      <c r="D105" s="747"/>
      <c r="E105" s="354" t="s">
        <v>211</v>
      </c>
      <c r="F105" s="316"/>
      <c r="G105" s="316"/>
      <c r="H105" s="354" t="s">
        <v>150</v>
      </c>
      <c r="I105" s="88"/>
      <c r="J105" s="229"/>
      <c r="K105" s="121"/>
      <c r="L105" s="121"/>
      <c r="M105" s="229"/>
      <c r="N105" s="90"/>
      <c r="O105" s="624">
        <f>IF(HLOOKUP(IF(O$80="",referentie_verwarming,O$80),toestellen_RV,ROWS(bibliotheek!$E$79:$E$94),FALSE)=1,1,IF(O106&lt;&gt;"",O106,HLOOKUP(IF(O$80="",referentie_verwarming,O$80),toestellen_RV,ROWS(bibliotheek!$E$79:$E$94),FALSE)))</f>
        <v>0.9</v>
      </c>
      <c r="P105" s="624">
        <f>IF(HLOOKUP(IF(P$80="",referentie_koeling,P$80),toestellen_KOEL,ROWS(bibliotheek!$E$170:$E$179),FALSE)=1,1,IF(P106&lt;&gt;"",P106,HLOOKUP(IF(P$80="",referentie_koeling,P$80),toestellen_KOEL,ROWS(bibliotheek!$E$170:$E$179),FALSE)))</f>
        <v>1</v>
      </c>
      <c r="Q105" s="624">
        <f>IF(HLOOKUP(IF(Q$80="",referentie_warmtapwater,Q$80),toestellen_TAP,ROWS(bibliotheek!$E$136:$E$151),FALSE)=1,1,IF(Q106&lt;&gt;"",Q106,HLOOKUP(IF(Q$80="",referentie_warmtapwater,Q$80),toestellen_TAP,ROWS(bibliotheek!$E$136:$E$151),FALSE)))</f>
        <v>0.9</v>
      </c>
      <c r="R105" s="152"/>
      <c r="S105" s="152"/>
      <c r="T105" s="152"/>
      <c r="U105" s="152"/>
      <c r="V105" s="152"/>
      <c r="W105" s="152"/>
      <c r="X105" s="87"/>
      <c r="Y105" s="229"/>
      <c r="Z105" s="90"/>
      <c r="AA105" s="624">
        <f>IF(HLOOKUP(IF(AA$80="",referentie_verwarming,AA$80),toestellen_RV,ROWS(bibliotheek!$E$79:$E$94),FALSE)=1,1,IF(AA106&lt;&gt;"",AA106,HLOOKUP(IF(AA$80="",referentie_verwarming,AA$80),toestellen_RV,ROWS(bibliotheek!$E$79:$E$94),FALSE)))</f>
        <v>0.9</v>
      </c>
      <c r="AB105" s="624">
        <f>IF(HLOOKUP(IF(AB$80="",referentie_koeling,AB$80),toestellen_KOEL,ROWS(bibliotheek!$E$170:$E$179),FALSE)=1,1,IF(AB106&lt;&gt;"",AB106,HLOOKUP(IF(AB$80="",referentie_koeling,AB$80),toestellen_KOEL,ROWS(bibliotheek!$E$170:$E$179),FALSE)))</f>
        <v>1</v>
      </c>
      <c r="AC105" s="624">
        <f>IF(HLOOKUP(IF(AC$80="",referentie_warmtapwater,AC$80),toestellen_TAP,ROWS(bibliotheek!$E$136:$E$151),FALSE)=1,1,IF(AC106&lt;&gt;"",AC106,HLOOKUP(IF(AC$80="",referentie_warmtapwater,AC$80),toestellen_TAP,ROWS(bibliotheek!$E$136:$E$151),FALSE)))</f>
        <v>0.9</v>
      </c>
      <c r="AD105" s="152"/>
      <c r="AE105" s="152"/>
      <c r="AF105" s="152"/>
      <c r="AG105" s="152"/>
      <c r="AH105" s="152"/>
      <c r="AI105" s="152"/>
      <c r="AJ105" s="87"/>
      <c r="AK105" s="229"/>
      <c r="AL105" s="90"/>
      <c r="AM105" s="624">
        <f>IF(HLOOKUP(IF(AM$80="",referentie_verwarming,AM$80),toestellen_RV,ROWS(bibliotheek!$E$79:$E$94),FALSE)=1,1,IF(AM106&lt;&gt;"",AM106,HLOOKUP(IF(AM$80="",referentie_verwarming,AM$80),toestellen_RV,ROWS(bibliotheek!$E$79:$E$94),FALSE)))</f>
        <v>0.9</v>
      </c>
      <c r="AN105" s="624">
        <f>IF(HLOOKUP(IF(AN$80="",referentie_koeling,AN$80),toestellen_KOEL,ROWS(bibliotheek!$E$170:$E$179),FALSE)=1,1,IF(AN106&lt;&gt;"",AN106,HLOOKUP(IF(AN$80="",referentie_koeling,AN$80),toestellen_KOEL,ROWS(bibliotheek!$E$170:$E$179),FALSE)))</f>
        <v>1</v>
      </c>
      <c r="AO105" s="624">
        <f>IF(HLOOKUP(IF(AO$80="",referentie_warmtapwater,AO$80),toestellen_TAP,ROWS(bibliotheek!$E$136:$E$151),FALSE)=1,1,IF(AO106&lt;&gt;"",AO106,HLOOKUP(IF(AO$80="",referentie_warmtapwater,AO$80),toestellen_TAP,ROWS(bibliotheek!$E$136:$E$151),FALSE)))</f>
        <v>0.9</v>
      </c>
      <c r="AP105" s="152"/>
      <c r="AQ105" s="152"/>
      <c r="AR105" s="152"/>
      <c r="AS105" s="152"/>
      <c r="AT105" s="152"/>
      <c r="AU105" s="152"/>
      <c r="AV105" s="87"/>
      <c r="AW105" s="229"/>
      <c r="AX105" s="90"/>
      <c r="AY105" s="624">
        <f>IF(HLOOKUP(IF(AY$80="",referentie_verwarming,AY$80),toestellen_RV,ROWS(bibliotheek!$E$79:$E$94),FALSE)=1,1,IF(AY106&lt;&gt;"",AY106,HLOOKUP(IF(AY$80="",referentie_verwarming,AY$80),toestellen_RV,ROWS(bibliotheek!$E$79:$E$94),FALSE)))</f>
        <v>0.9</v>
      </c>
      <c r="AZ105" s="624">
        <f>IF(HLOOKUP(IF(AZ$80="",referentie_koeling,AZ$80),toestellen_KOEL,ROWS(bibliotheek!$E$170:$E$179),FALSE)=1,1,IF(AZ106&lt;&gt;"",AZ106,HLOOKUP(IF(AZ$80="",referentie_koeling,AZ$80),toestellen_KOEL,ROWS(bibliotheek!$E$170:$E$179),FALSE)))</f>
        <v>1</v>
      </c>
      <c r="BA105" s="624">
        <f>IF(HLOOKUP(IF(BA$80="",referentie_warmtapwater,BA$80),toestellen_TAP,ROWS(bibliotheek!$E$136:$E$151),FALSE)=1,1,IF(BA106&lt;&gt;"",BA106,HLOOKUP(IF(BA$80="",referentie_warmtapwater,BA$80),toestellen_TAP,ROWS(bibliotheek!$E$136:$E$151),FALSE)))</f>
        <v>0.9</v>
      </c>
      <c r="BB105" s="152"/>
      <c r="BC105" s="152"/>
      <c r="BD105" s="152"/>
      <c r="BE105" s="152"/>
      <c r="BF105" s="152"/>
      <c r="BG105" s="152"/>
      <c r="BH105" s="214"/>
    </row>
    <row r="106" spans="1:60" x14ac:dyDescent="0.2">
      <c r="A106" s="648"/>
      <c r="B106" s="492" t="s">
        <v>205</v>
      </c>
      <c r="C106" s="656" t="s">
        <v>127</v>
      </c>
      <c r="D106" s="747"/>
      <c r="E106" s="412" t="s">
        <v>212</v>
      </c>
      <c r="F106" s="317"/>
      <c r="G106" s="317"/>
      <c r="H106" s="355"/>
      <c r="I106" s="88"/>
      <c r="J106" s="362"/>
      <c r="K106" s="121"/>
      <c r="L106" s="121"/>
      <c r="M106" s="239"/>
      <c r="N106" s="90"/>
      <c r="O106" s="345"/>
      <c r="P106" s="345"/>
      <c r="Q106" s="345"/>
      <c r="R106" s="154"/>
      <c r="S106" s="154"/>
      <c r="T106" s="154"/>
      <c r="U106" s="154"/>
      <c r="V106" s="154"/>
      <c r="W106" s="154"/>
      <c r="X106" s="87"/>
      <c r="Y106" s="239"/>
      <c r="Z106" s="90"/>
      <c r="AA106" s="345"/>
      <c r="AB106" s="345"/>
      <c r="AC106" s="345"/>
      <c r="AD106" s="154"/>
      <c r="AE106" s="154"/>
      <c r="AF106" s="154"/>
      <c r="AG106" s="154"/>
      <c r="AH106" s="154"/>
      <c r="AI106" s="154"/>
      <c r="AJ106" s="87"/>
      <c r="AK106" s="239"/>
      <c r="AL106" s="90"/>
      <c r="AM106" s="345"/>
      <c r="AN106" s="345"/>
      <c r="AO106" s="345"/>
      <c r="AP106" s="154"/>
      <c r="AQ106" s="154"/>
      <c r="AR106" s="154"/>
      <c r="AS106" s="154"/>
      <c r="AT106" s="154"/>
      <c r="AU106" s="154"/>
      <c r="AV106" s="87"/>
      <c r="AW106" s="239"/>
      <c r="AX106" s="90"/>
      <c r="AY106" s="345"/>
      <c r="AZ106" s="345"/>
      <c r="BA106" s="345"/>
      <c r="BB106" s="154"/>
      <c r="BC106" s="154"/>
      <c r="BD106" s="154"/>
      <c r="BE106" s="154"/>
      <c r="BF106" s="154"/>
      <c r="BG106" s="154"/>
      <c r="BH106" s="265"/>
    </row>
    <row r="107" spans="1:60" hidden="1" x14ac:dyDescent="0.2">
      <c r="A107" s="650"/>
      <c r="B107" s="492" t="s">
        <v>205</v>
      </c>
      <c r="C107" s="740" t="s">
        <v>199</v>
      </c>
      <c r="D107" s="752"/>
      <c r="E107" s="242" t="s">
        <v>213</v>
      </c>
      <c r="F107" s="298"/>
      <c r="G107" s="298"/>
      <c r="H107" s="242" t="s">
        <v>177</v>
      </c>
      <c r="I107" s="121"/>
      <c r="J107" s="243">
        <f>M107+Y107+AK107+AW107</f>
        <v>0</v>
      </c>
      <c r="K107" s="293"/>
      <c r="L107" s="293"/>
      <c r="M107" s="243">
        <f>SUM(O107:X107)</f>
        <v>0</v>
      </c>
      <c r="N107" s="294"/>
      <c r="O107" s="207">
        <f>O$94*O105</f>
        <v>0</v>
      </c>
      <c r="P107" s="207">
        <f>P$94*P105</f>
        <v>0</v>
      </c>
      <c r="Q107" s="207">
        <f>Q$94*Q105</f>
        <v>0</v>
      </c>
      <c r="R107" s="147"/>
      <c r="S107" s="147"/>
      <c r="T107" s="147"/>
      <c r="U107" s="147"/>
      <c r="V107" s="147"/>
      <c r="W107" s="147"/>
      <c r="X107" s="125"/>
      <c r="Y107" s="243">
        <f>SUM(AA107:AJ107)</f>
        <v>0</v>
      </c>
      <c r="Z107" s="294"/>
      <c r="AA107" s="207">
        <f>AA$94*AA105</f>
        <v>0</v>
      </c>
      <c r="AB107" s="207">
        <f>AB$94*AB105</f>
        <v>0</v>
      </c>
      <c r="AC107" s="207">
        <f>AC$94*AC105</f>
        <v>0</v>
      </c>
      <c r="AD107" s="147"/>
      <c r="AE107" s="147"/>
      <c r="AF107" s="147"/>
      <c r="AG107" s="147"/>
      <c r="AH107" s="147"/>
      <c r="AI107" s="147"/>
      <c r="AJ107" s="125"/>
      <c r="AK107" s="243">
        <f>SUM(AM107:AV107)</f>
        <v>0</v>
      </c>
      <c r="AL107" s="294"/>
      <c r="AM107" s="207">
        <f>AM$94*AM105</f>
        <v>0</v>
      </c>
      <c r="AN107" s="207">
        <f>AN$94*AN105</f>
        <v>0</v>
      </c>
      <c r="AO107" s="207">
        <f>AO$94*AO105</f>
        <v>0</v>
      </c>
      <c r="AP107" s="147"/>
      <c r="AQ107" s="147"/>
      <c r="AR107" s="147"/>
      <c r="AS107" s="147"/>
      <c r="AT107" s="147"/>
      <c r="AU107" s="147"/>
      <c r="AV107" s="125"/>
      <c r="AW107" s="243">
        <f>SUM(AY107:BH107)</f>
        <v>0</v>
      </c>
      <c r="AX107" s="294"/>
      <c r="AY107" s="207">
        <f>AY$94*AY105</f>
        <v>0</v>
      </c>
      <c r="AZ107" s="207">
        <f>AZ$94*AZ105</f>
        <v>0</v>
      </c>
      <c r="BA107" s="207">
        <f>BA$94*BA105</f>
        <v>0</v>
      </c>
      <c r="BB107" s="147"/>
      <c r="BC107" s="147"/>
      <c r="BD107" s="147"/>
      <c r="BE107" s="147"/>
      <c r="BF107" s="147"/>
      <c r="BG107" s="147"/>
      <c r="BH107" s="214"/>
    </row>
    <row r="108" spans="1:60" x14ac:dyDescent="0.2">
      <c r="A108" s="648"/>
      <c r="B108" s="492" t="s">
        <v>205</v>
      </c>
      <c r="C108" s="656" t="s">
        <v>127</v>
      </c>
      <c r="D108" s="750" t="s">
        <v>50</v>
      </c>
      <c r="E108" s="354" t="s">
        <v>214</v>
      </c>
      <c r="F108" s="316"/>
      <c r="G108" s="316"/>
      <c r="H108" s="354" t="s">
        <v>70</v>
      </c>
      <c r="I108" s="88"/>
      <c r="J108" s="351"/>
      <c r="K108" s="296"/>
      <c r="L108" s="296"/>
      <c r="M108" s="351"/>
      <c r="N108" s="297"/>
      <c r="O108" s="445">
        <f>IF(O109&lt;&gt;"",O109,HLOOKUP(IF(O$80="",referentie_verwarming,O$80),toestellen_RV,ROWS(bibliotheek!$E$79:$E$95),FALSE))</f>
        <v>4.55</v>
      </c>
      <c r="P108" s="445">
        <f>IF(P109&lt;&gt;"",P109,HLOOKUP(IF(P$80="",referentie_koeling,P$80),toestellen_KOEL,ROWS(bibliotheek!$E$170:$E$180),FALSE))</f>
        <v>0</v>
      </c>
      <c r="Q108" s="445">
        <f>IF(Q109&lt;&gt;"",Q109,HLOOKUP(IF(Q$80="",referentie_warmtapwater,Q$80),toestellen_TAP,ROWS(bibliotheek!$E$136:$E$152),FALSE))</f>
        <v>2.4</v>
      </c>
      <c r="R108" s="158"/>
      <c r="S108" s="158"/>
      <c r="T108" s="158"/>
      <c r="U108" s="158"/>
      <c r="V108" s="158"/>
      <c r="W108" s="158"/>
      <c r="X108" s="414"/>
      <c r="Y108" s="351"/>
      <c r="Z108" s="297"/>
      <c r="AA108" s="445">
        <f>IF(AA109&lt;&gt;"",AA109,HLOOKUP(IF(AA$80="",referentie_verwarming,AA$80),toestellen_RV,ROWS(bibliotheek!$E$79:$E$95),FALSE))</f>
        <v>4.55</v>
      </c>
      <c r="AB108" s="445">
        <f>IF(AB109&lt;&gt;"",AB109,HLOOKUP(IF(AB$80="",referentie_koeling,AB$80),toestellen_KOEL,ROWS(bibliotheek!$E$170:$E$180),FALSE))</f>
        <v>0</v>
      </c>
      <c r="AC108" s="445">
        <f>IF(AC109&lt;&gt;"",AC109,HLOOKUP(IF(AC$80="",referentie_warmtapwater,AC$80),toestellen_TAP,ROWS(bibliotheek!$E$136:$E$152),FALSE))</f>
        <v>2.4</v>
      </c>
      <c r="AD108" s="158"/>
      <c r="AE108" s="158"/>
      <c r="AF108" s="158"/>
      <c r="AG108" s="158"/>
      <c r="AH108" s="158"/>
      <c r="AI108" s="158"/>
      <c r="AJ108" s="414"/>
      <c r="AK108" s="351"/>
      <c r="AL108" s="297"/>
      <c r="AM108" s="445">
        <f>IF(AM109&lt;&gt;"",AM109,HLOOKUP(IF(AM$80="",referentie_verwarming,AM$80),toestellen_RV,ROWS(bibliotheek!$E$79:$E$95),FALSE))</f>
        <v>4.55</v>
      </c>
      <c r="AN108" s="445">
        <f>IF(AN109&lt;&gt;"",AN109,HLOOKUP(IF(AN$80="",referentie_koeling,AN$80),toestellen_KOEL,ROWS(bibliotheek!$E$170:$E$180),FALSE))</f>
        <v>0</v>
      </c>
      <c r="AO108" s="445">
        <f>IF(AO109&lt;&gt;"",AO109,HLOOKUP(IF(AO$80="",referentie_warmtapwater,AO$80),toestellen_TAP,ROWS(bibliotheek!$E$136:$E$152),FALSE))</f>
        <v>2.4</v>
      </c>
      <c r="AP108" s="158"/>
      <c r="AQ108" s="158"/>
      <c r="AR108" s="158"/>
      <c r="AS108" s="158"/>
      <c r="AT108" s="158"/>
      <c r="AU108" s="158"/>
      <c r="AV108" s="414"/>
      <c r="AW108" s="351"/>
      <c r="AX108" s="297"/>
      <c r="AY108" s="445">
        <f>IF(AY109&lt;&gt;"",AY109,HLOOKUP(IF(AY$80="",referentie_verwarming,AY$80),toestellen_RV,ROWS(bibliotheek!$E$79:$E$95),FALSE))</f>
        <v>4.55</v>
      </c>
      <c r="AZ108" s="445">
        <f>IF(AZ109&lt;&gt;"",AZ109,HLOOKUP(IF(AZ$80="",referentie_koeling,AZ$80),toestellen_KOEL,ROWS(bibliotheek!$E$170:$E$180),FALSE))</f>
        <v>0</v>
      </c>
      <c r="BA108" s="445">
        <f>IF(BA109&lt;&gt;"",BA109,HLOOKUP(IF(BA$80="",referentie_warmtapwater,BA$80),toestellen_TAP,ROWS(bibliotheek!$E$136:$E$152),FALSE))</f>
        <v>2.4</v>
      </c>
      <c r="BB108" s="158"/>
      <c r="BC108" s="158"/>
      <c r="BD108" s="158"/>
      <c r="BE108" s="158"/>
      <c r="BF108" s="158"/>
      <c r="BG108" s="158"/>
      <c r="BH108" s="214"/>
    </row>
    <row r="109" spans="1:60" x14ac:dyDescent="0.2">
      <c r="A109" s="648"/>
      <c r="B109" s="492" t="s">
        <v>205</v>
      </c>
      <c r="C109" s="656" t="s">
        <v>127</v>
      </c>
      <c r="D109" s="747"/>
      <c r="E109" s="412" t="s">
        <v>215</v>
      </c>
      <c r="F109" s="355"/>
      <c r="G109" s="355"/>
      <c r="H109" s="355"/>
      <c r="I109" s="88"/>
      <c r="J109" s="362"/>
      <c r="K109" s="296"/>
      <c r="L109" s="296"/>
      <c r="M109" s="239"/>
      <c r="N109" s="297"/>
      <c r="O109" s="420"/>
      <c r="P109" s="420"/>
      <c r="Q109" s="420"/>
      <c r="R109" s="483"/>
      <c r="S109" s="483"/>
      <c r="T109" s="483"/>
      <c r="U109" s="483"/>
      <c r="V109" s="483"/>
      <c r="W109" s="483"/>
      <c r="X109" s="448"/>
      <c r="Y109" s="239"/>
      <c r="Z109" s="297"/>
      <c r="AA109" s="420"/>
      <c r="AB109" s="420"/>
      <c r="AC109" s="420"/>
      <c r="AD109" s="483"/>
      <c r="AE109" s="483"/>
      <c r="AF109" s="483"/>
      <c r="AG109" s="483"/>
      <c r="AH109" s="483"/>
      <c r="AI109" s="483"/>
      <c r="AJ109" s="448"/>
      <c r="AK109" s="239"/>
      <c r="AL109" s="297"/>
      <c r="AM109" s="420"/>
      <c r="AN109" s="420"/>
      <c r="AO109" s="420"/>
      <c r="AP109" s="483"/>
      <c r="AQ109" s="483"/>
      <c r="AR109" s="483"/>
      <c r="AS109" s="483"/>
      <c r="AT109" s="483"/>
      <c r="AU109" s="483"/>
      <c r="AV109" s="448"/>
      <c r="AW109" s="239"/>
      <c r="AX109" s="297"/>
      <c r="AY109" s="420"/>
      <c r="AZ109" s="420"/>
      <c r="BA109" s="420"/>
      <c r="BB109" s="483"/>
      <c r="BC109" s="483"/>
      <c r="BD109" s="483"/>
      <c r="BE109" s="483"/>
      <c r="BF109" s="483"/>
      <c r="BG109" s="483"/>
      <c r="BH109" s="265"/>
    </row>
    <row r="110" spans="1:60" hidden="1" x14ac:dyDescent="0.2">
      <c r="A110" s="648"/>
      <c r="B110" s="492" t="s">
        <v>205</v>
      </c>
      <c r="C110" s="656" t="s">
        <v>199</v>
      </c>
      <c r="D110" s="750" t="s">
        <v>50</v>
      </c>
      <c r="E110" s="221" t="s">
        <v>216</v>
      </c>
      <c r="F110" s="220"/>
      <c r="G110" s="220"/>
      <c r="H110" s="221" t="s">
        <v>70</v>
      </c>
      <c r="I110" s="88"/>
      <c r="J110" s="230"/>
      <c r="K110" s="121"/>
      <c r="L110" s="121"/>
      <c r="M110" s="230"/>
      <c r="N110" s="90"/>
      <c r="O110" s="273">
        <f>INDEX(installaties_RV_verlies_elek_prod_aftapwarmte,MATCH(IF(O101="",referentie_verwarming,O101),toestellen_RV_kopregel,0))</f>
        <v>0</v>
      </c>
      <c r="P110" s="720"/>
      <c r="Q110" s="273">
        <f>INDEX(installaties_TAP_verlies_elek_prod_aftapwarmte,MATCH(IF(Q101="",referentie_verwarming,Q101),toestellen_TAP_kopregel,0))</f>
        <v>0</v>
      </c>
      <c r="R110" s="720"/>
      <c r="S110" s="720"/>
      <c r="T110" s="720"/>
      <c r="U110" s="720"/>
      <c r="V110" s="720"/>
      <c r="W110" s="720"/>
      <c r="X110" s="721"/>
      <c r="Y110" s="423"/>
      <c r="Z110" s="722"/>
      <c r="AA110" s="273">
        <f>INDEX(installaties_RV_verlies_elek_prod_aftapwarmte,MATCH(IF(AA101="",referentie_verwarming,AA101),toestellen_RV_kopregel,0))</f>
        <v>0</v>
      </c>
      <c r="AB110" s="720"/>
      <c r="AC110" s="273">
        <f>INDEX(installaties_TAP_verlies_elek_prod_aftapwarmte,MATCH(IF(AC101="",referentie_verwarming,AC101),toestellen_TAP_kopregel,0))</f>
        <v>0</v>
      </c>
      <c r="AD110" s="720"/>
      <c r="AE110" s="720"/>
      <c r="AF110" s="720"/>
      <c r="AG110" s="720"/>
      <c r="AH110" s="720"/>
      <c r="AI110" s="720"/>
      <c r="AJ110" s="721"/>
      <c r="AK110" s="423"/>
      <c r="AL110" s="722"/>
      <c r="AM110" s="273">
        <f>INDEX(installaties_RV_verlies_elek_prod_aftapwarmte,MATCH(IF(AM101="",referentie_verwarming,AM101),toestellen_RV_kopregel,0))</f>
        <v>0</v>
      </c>
      <c r="AN110" s="720"/>
      <c r="AO110" s="273">
        <f>INDEX(installaties_TAP_verlies_elek_prod_aftapwarmte,MATCH(IF(AO101="",referentie_verwarming,AO101),toestellen_TAP_kopregel,0))</f>
        <v>0</v>
      </c>
      <c r="AP110" s="720"/>
      <c r="AQ110" s="720"/>
      <c r="AR110" s="720"/>
      <c r="AS110" s="720"/>
      <c r="AT110" s="720"/>
      <c r="AU110" s="720"/>
      <c r="AV110" s="721"/>
      <c r="AW110" s="423"/>
      <c r="AX110" s="722"/>
      <c r="AY110" s="273">
        <f>INDEX(installaties_RV_verlies_elek_prod_aftapwarmte,MATCH(IF(AY101="",referentie_verwarming,AY101),toestellen_RV_kopregel,0))</f>
        <v>0</v>
      </c>
      <c r="AZ110" s="720"/>
      <c r="BA110" s="273">
        <f>INDEX(installaties_TAP_verlies_elek_prod_aftapwarmte,MATCH(IF(BA101="",referentie_verwarming,BA101),toestellen_TAP_kopregel,0))</f>
        <v>0</v>
      </c>
      <c r="BB110" s="148"/>
      <c r="BC110" s="148"/>
      <c r="BD110" s="148"/>
      <c r="BE110" s="148"/>
      <c r="BF110" s="148"/>
      <c r="BG110" s="148"/>
      <c r="BH110" s="255"/>
    </row>
    <row r="111" spans="1:60" hidden="1" x14ac:dyDescent="0.2">
      <c r="A111" s="648"/>
      <c r="B111" s="492" t="s">
        <v>205</v>
      </c>
      <c r="C111" s="656" t="s">
        <v>199</v>
      </c>
      <c r="D111" s="747"/>
      <c r="E111" s="221" t="s">
        <v>217</v>
      </c>
      <c r="F111" s="220"/>
      <c r="G111" s="220"/>
      <c r="H111" s="221" t="s">
        <v>70</v>
      </c>
      <c r="I111" s="88"/>
      <c r="J111" s="230"/>
      <c r="K111" s="121"/>
      <c r="L111" s="121"/>
      <c r="M111" s="230"/>
      <c r="N111" s="90"/>
      <c r="O111" s="273">
        <f>HLOOKUP(IF(O$80="",referentie_verwarming,O$80),toestellen_RV,ROWS(bibliotheek!$E$79:$E$96),FALSE)</f>
        <v>0</v>
      </c>
      <c r="P111" s="720"/>
      <c r="Q111" s="273">
        <f>HLOOKUP(IF(Q$80="",referentie_warmtapwater,Q$80),toestellen_TAP,ROWS(bibliotheek!$E$136:$E$153),FALSE)</f>
        <v>0</v>
      </c>
      <c r="R111" s="720"/>
      <c r="S111" s="720"/>
      <c r="T111" s="720"/>
      <c r="U111" s="720"/>
      <c r="V111" s="720"/>
      <c r="W111" s="720"/>
      <c r="X111" s="721"/>
      <c r="Y111" s="423"/>
      <c r="Z111" s="722"/>
      <c r="AA111" s="273">
        <f>HLOOKUP(IF(AA$80="",referentie_verwarming,AA$80),toestellen_RV,ROWS(bibliotheek!$E$79:$E$96),FALSE)</f>
        <v>0</v>
      </c>
      <c r="AB111" s="720"/>
      <c r="AC111" s="273">
        <f>HLOOKUP(IF(AC$80="",referentie_warmtapwater,AC$80),toestellen_TAP,ROWS(bibliotheek!$E$136:$E$153),FALSE)</f>
        <v>0</v>
      </c>
      <c r="AD111" s="720"/>
      <c r="AE111" s="720"/>
      <c r="AF111" s="720"/>
      <c r="AG111" s="720"/>
      <c r="AH111" s="720"/>
      <c r="AI111" s="720"/>
      <c r="AJ111" s="721"/>
      <c r="AK111" s="423"/>
      <c r="AL111" s="722"/>
      <c r="AM111" s="273">
        <f>HLOOKUP(IF(AM$80="",referentie_verwarming,AM$80),toestellen_RV,ROWS(bibliotheek!$E$79:$E$96),FALSE)</f>
        <v>0</v>
      </c>
      <c r="AN111" s="720"/>
      <c r="AO111" s="273">
        <f>HLOOKUP(IF(AO$80="",referentie_warmtapwater,AO$80),toestellen_TAP,ROWS(bibliotheek!$E$136:$E$153),FALSE)</f>
        <v>0</v>
      </c>
      <c r="AP111" s="720"/>
      <c r="AQ111" s="720"/>
      <c r="AR111" s="720"/>
      <c r="AS111" s="720"/>
      <c r="AT111" s="720"/>
      <c r="AU111" s="720"/>
      <c r="AV111" s="721"/>
      <c r="AW111" s="423"/>
      <c r="AX111" s="722"/>
      <c r="AY111" s="273">
        <f>HLOOKUP(IF(AY$80="",referentie_verwarming,AY$80),toestellen_RV,ROWS(bibliotheek!$E$79:$E$96),FALSE)</f>
        <v>0</v>
      </c>
      <c r="AZ111" s="720"/>
      <c r="BA111" s="273">
        <f>HLOOKUP(IF(BA$80="",referentie_warmtapwater,BA$80),toestellen_TAP,ROWS(bibliotheek!$E$136:$E$153),FALSE)</f>
        <v>0</v>
      </c>
      <c r="BB111" s="148"/>
      <c r="BC111" s="148"/>
      <c r="BD111" s="148"/>
      <c r="BE111" s="148"/>
      <c r="BF111" s="148"/>
      <c r="BG111" s="148"/>
      <c r="BH111" s="255"/>
    </row>
    <row r="112" spans="1:60" hidden="1" x14ac:dyDescent="0.2">
      <c r="A112" s="648"/>
      <c r="B112" s="492" t="s">
        <v>205</v>
      </c>
      <c r="C112" s="656" t="s">
        <v>199</v>
      </c>
      <c r="D112" s="747"/>
      <c r="E112" s="221" t="s">
        <v>218</v>
      </c>
      <c r="F112" s="220"/>
      <c r="G112" s="220"/>
      <c r="H112" s="221" t="s">
        <v>177</v>
      </c>
      <c r="I112" s="88"/>
      <c r="J112" s="243">
        <f>M112+Y112+AK112+AW112</f>
        <v>0</v>
      </c>
      <c r="K112" s="293"/>
      <c r="L112" s="293"/>
      <c r="M112" s="243">
        <f>SUM(O112:X112)</f>
        <v>0</v>
      </c>
      <c r="N112" s="294"/>
      <c r="O112" s="207">
        <f>IF(HLOOKUP(IF(O$80="",referentie_verwarming,O$80),toestellen_RV,ROWS(bibliotheek!$E$79:$E$84),FALSE)=1,O$94*O$105*((O$108-1)/O$108),0)</f>
        <v>0</v>
      </c>
      <c r="P112" s="207">
        <f>IF(HLOOKUP(IF(P$80="",referentie_koeling,P$80),toestellen_KOEL,ROWS(bibliotheek!$E$170:$E$174),FALSE)=1,P$94*P$105*((P$108-1)/P$108),0)</f>
        <v>0</v>
      </c>
      <c r="Q112" s="207">
        <f>IF(HLOOKUP(IF(Q$80="",referentie_warmtapwater,Q$80),toestellen_TAP,ROWS(bibliotheek!$E$136:$E$141),FALSE)=1,Q$94*Q$105*((Q$108-1)/Q$108),0)</f>
        <v>0</v>
      </c>
      <c r="R112" s="147"/>
      <c r="S112" s="147"/>
      <c r="T112" s="147"/>
      <c r="U112" s="147"/>
      <c r="V112" s="147"/>
      <c r="W112" s="147"/>
      <c r="X112" s="125"/>
      <c r="Y112" s="243">
        <f>SUM(AA112:AJ112)</f>
        <v>0</v>
      </c>
      <c r="Z112" s="294"/>
      <c r="AA112" s="207">
        <f>IF(HLOOKUP(IF(AA$80="",referentie_verwarming,AA$80),toestellen_RV,ROWS(bibliotheek!$E$79:$E$84),FALSE)=1,AA$94*AA$105*((AA$108-1)/AA$108),0)</f>
        <v>0</v>
      </c>
      <c r="AB112" s="207">
        <f>IF(HLOOKUP(IF(AB$80="",referentie_koeling,AB$80),toestellen_KOEL,ROWS(bibliotheek!$E$170:$E$174),FALSE)=1,AB$94*AB$105*((AB$108-1)/AB$108),0)</f>
        <v>0</v>
      </c>
      <c r="AC112" s="207">
        <f>IF(HLOOKUP(IF(AC$80="",referentie_warmtapwater,AC$80),toestellen_TAP,ROWS(bibliotheek!$E$136:$E$141),FALSE)=1,AC$94*AC$105*((AC$108-1)/AC$108),0)</f>
        <v>0</v>
      </c>
      <c r="AD112" s="147"/>
      <c r="AE112" s="147"/>
      <c r="AF112" s="147"/>
      <c r="AG112" s="147"/>
      <c r="AH112" s="147"/>
      <c r="AI112" s="147"/>
      <c r="AJ112" s="125"/>
      <c r="AK112" s="243">
        <f>SUM(AM112:AV112)</f>
        <v>0</v>
      </c>
      <c r="AL112" s="294"/>
      <c r="AM112" s="207">
        <f>IF(HLOOKUP(IF(AM$80="",referentie_verwarming,AM$80),toestellen_RV,ROWS(bibliotheek!$E$79:$E$84),FALSE)=1,AM$94*AM$105*((AM$108-1)/AM$108),0)</f>
        <v>0</v>
      </c>
      <c r="AN112" s="207">
        <f>IF(HLOOKUP(IF(AN$80="",referentie_koeling,AN$80),toestellen_KOEL,ROWS(bibliotheek!$E$170:$E$174),FALSE)=1,AN$94*AN$105*((AN$108-1)/AN$108),0)</f>
        <v>0</v>
      </c>
      <c r="AO112" s="207">
        <f>IF(HLOOKUP(IF(AO$80="",referentie_warmtapwater,AO$80),toestellen_TAP,ROWS(bibliotheek!$E$136:$E$141),FALSE)=1,AO$94*AO$105*((AO$108-1)/AO$108),0)</f>
        <v>0</v>
      </c>
      <c r="AP112" s="147"/>
      <c r="AQ112" s="147"/>
      <c r="AR112" s="147"/>
      <c r="AS112" s="147"/>
      <c r="AT112" s="147"/>
      <c r="AU112" s="147"/>
      <c r="AV112" s="125"/>
      <c r="AW112" s="243">
        <f>SUM(AY112:BH112)</f>
        <v>0</v>
      </c>
      <c r="AX112" s="294"/>
      <c r="AY112" s="207">
        <f>IF(HLOOKUP(IF(AY$80="",referentie_verwarming,AY$80),toestellen_RV,ROWS(bibliotheek!$E$79:$E$84),FALSE)=1,AY$94*AY$105*((AY$108-1)/AY$108),0)</f>
        <v>0</v>
      </c>
      <c r="AZ112" s="207">
        <f>IF(HLOOKUP(IF(AZ$80="",referentie_koeling,AZ$80),toestellen_KOEL,ROWS(bibliotheek!$E$170:$E$174),FALSE)=1,AZ$94*AZ$105*((AZ$108-1)/AZ$108),0)</f>
        <v>0</v>
      </c>
      <c r="BA112" s="207">
        <f>IF(HLOOKUP(IF(BA$80="",referentie_warmtapwater,BA$80),toestellen_TAP,ROWS(bibliotheek!$E$136:$E$141),FALSE)=1,BA$94*BA$105*((BA$108-1)/BA$108),0)</f>
        <v>0</v>
      </c>
      <c r="BB112" s="147"/>
      <c r="BC112" s="147"/>
      <c r="BD112" s="147"/>
      <c r="BE112" s="147"/>
      <c r="BF112" s="147"/>
      <c r="BG112" s="147"/>
      <c r="BH112" s="255"/>
    </row>
    <row r="113" spans="1:60" hidden="1" x14ac:dyDescent="0.2">
      <c r="A113" s="648"/>
      <c r="B113" s="492" t="s">
        <v>205</v>
      </c>
      <c r="C113" s="656" t="s">
        <v>199</v>
      </c>
      <c r="D113" s="747"/>
      <c r="E113" s="221" t="s">
        <v>219</v>
      </c>
      <c r="F113" s="220"/>
      <c r="G113" s="220"/>
      <c r="H113" s="221" t="s">
        <v>220</v>
      </c>
      <c r="I113" s="88"/>
      <c r="J113" s="243">
        <f>M113+Y113+AK113+AW113</f>
        <v>0</v>
      </c>
      <c r="K113" s="293"/>
      <c r="L113" s="293"/>
      <c r="M113" s="243">
        <f>SUM(O113:X113)</f>
        <v>0</v>
      </c>
      <c r="N113" s="294"/>
      <c r="O113" s="207">
        <f>IF(O$108=0,0,O$107/O$108)</f>
        <v>0</v>
      </c>
      <c r="P113" s="207">
        <f>IF(P$108=0,0,P$107/P$108)</f>
        <v>0</v>
      </c>
      <c r="Q113" s="207">
        <f>IF(Q$108=0,0,Q$107/Q$108)</f>
        <v>0</v>
      </c>
      <c r="R113" s="147"/>
      <c r="S113" s="147"/>
      <c r="T113" s="147"/>
      <c r="U113" s="147"/>
      <c r="V113" s="147"/>
      <c r="W113" s="147"/>
      <c r="X113" s="125"/>
      <c r="Y113" s="243">
        <f>SUM(AA113:AJ113)</f>
        <v>0</v>
      </c>
      <c r="Z113" s="294"/>
      <c r="AA113" s="207">
        <f>IF(AA$108=0,0,AA$107/AA$108)</f>
        <v>0</v>
      </c>
      <c r="AB113" s="207">
        <f>IF(AB$108=0,0,AB$107/AB$108)</f>
        <v>0</v>
      </c>
      <c r="AC113" s="207">
        <f>IF(AC$108=0,0,AC$107/AC$108)</f>
        <v>0</v>
      </c>
      <c r="AD113" s="147"/>
      <c r="AE113" s="147"/>
      <c r="AF113" s="147"/>
      <c r="AG113" s="147"/>
      <c r="AH113" s="147"/>
      <c r="AI113" s="147"/>
      <c r="AJ113" s="125"/>
      <c r="AK113" s="243">
        <f>SUM(AM113:AV113)</f>
        <v>0</v>
      </c>
      <c r="AL113" s="294"/>
      <c r="AM113" s="207">
        <f>IF(AM$108=0,0,AM$107/AM$108)</f>
        <v>0</v>
      </c>
      <c r="AN113" s="207">
        <f>IF(AN$108=0,0,AN$107/AN$108)</f>
        <v>0</v>
      </c>
      <c r="AO113" s="207">
        <f>IF(AO$108=0,0,AO$107/AO$108)</f>
        <v>0</v>
      </c>
      <c r="AP113" s="147"/>
      <c r="AQ113" s="147"/>
      <c r="AR113" s="147"/>
      <c r="AS113" s="147"/>
      <c r="AT113" s="147"/>
      <c r="AU113" s="147"/>
      <c r="AV113" s="125"/>
      <c r="AW113" s="243">
        <f>SUM(AY113:BH113)</f>
        <v>0</v>
      </c>
      <c r="AX113" s="294"/>
      <c r="AY113" s="207">
        <f>IF(AY$108=0,0,AY$107/AY$108)</f>
        <v>0</v>
      </c>
      <c r="AZ113" s="207">
        <f>IF(AZ$108=0,0,AZ$107/AZ$108)</f>
        <v>0</v>
      </c>
      <c r="BA113" s="207">
        <f>IF(BA$108=0,0,BA$107/BA$108)</f>
        <v>0</v>
      </c>
      <c r="BB113" s="147"/>
      <c r="BC113" s="147"/>
      <c r="BD113" s="147"/>
      <c r="BE113" s="147"/>
      <c r="BF113" s="147"/>
      <c r="BG113" s="147"/>
      <c r="BH113" s="255"/>
    </row>
    <row r="114" spans="1:60" ht="18.75" x14ac:dyDescent="0.2">
      <c r="A114" s="648"/>
      <c r="B114" s="492" t="s">
        <v>205</v>
      </c>
      <c r="C114" s="739" t="s">
        <v>104</v>
      </c>
      <c r="D114" s="750"/>
      <c r="E114" s="144" t="s">
        <v>114</v>
      </c>
      <c r="F114" s="160"/>
      <c r="G114" s="160"/>
      <c r="H114" s="161"/>
      <c r="I114" s="162"/>
      <c r="J114" s="163"/>
      <c r="K114" s="164"/>
      <c r="L114" s="164"/>
      <c r="M114" s="163"/>
      <c r="N114" s="163"/>
      <c r="O114" s="836"/>
      <c r="P114" s="163"/>
      <c r="Q114" s="163"/>
      <c r="R114" s="163"/>
      <c r="S114" s="163"/>
      <c r="T114" s="163"/>
      <c r="U114" s="163"/>
      <c r="V114" s="163"/>
      <c r="W114" s="163"/>
      <c r="X114" s="165"/>
      <c r="Y114" s="163"/>
      <c r="Z114" s="163"/>
      <c r="AA114" s="836"/>
      <c r="AB114" s="163"/>
      <c r="AC114" s="163"/>
      <c r="AD114" s="163"/>
      <c r="AE114" s="163"/>
      <c r="AF114" s="163"/>
      <c r="AG114" s="163"/>
      <c r="AH114" s="163"/>
      <c r="AI114" s="163"/>
      <c r="AJ114" s="165"/>
      <c r="AK114" s="163"/>
      <c r="AL114" s="163"/>
      <c r="AM114" s="836"/>
      <c r="AN114" s="163"/>
      <c r="AO114" s="163"/>
      <c r="AP114" s="163"/>
      <c r="AQ114" s="163"/>
      <c r="AR114" s="163"/>
      <c r="AS114" s="163"/>
      <c r="AT114" s="163"/>
      <c r="AU114" s="163"/>
      <c r="AV114" s="165"/>
      <c r="AW114" s="163"/>
      <c r="AX114" s="163"/>
      <c r="AY114" s="163"/>
      <c r="AZ114" s="163"/>
      <c r="BA114" s="163"/>
      <c r="BB114" s="163"/>
      <c r="BC114" s="163"/>
      <c r="BD114" s="163"/>
      <c r="BE114" s="163"/>
      <c r="BF114" s="163"/>
      <c r="BG114" s="163"/>
      <c r="BH114" s="263"/>
    </row>
    <row r="115" spans="1:60" hidden="1" x14ac:dyDescent="0.2">
      <c r="A115" s="648"/>
      <c r="B115" s="492" t="s">
        <v>205</v>
      </c>
      <c r="C115" s="656" t="s">
        <v>221</v>
      </c>
      <c r="D115" s="750" t="s">
        <v>50</v>
      </c>
      <c r="E115" s="356" t="s">
        <v>222</v>
      </c>
      <c r="F115" s="316"/>
      <c r="G115" s="316"/>
      <c r="H115" s="354" t="s">
        <v>223</v>
      </c>
      <c r="I115" s="88"/>
      <c r="J115" s="229"/>
      <c r="K115" s="121"/>
      <c r="L115" s="121"/>
      <c r="M115" s="229"/>
      <c r="N115" s="90"/>
      <c r="O115" s="445">
        <f>IF(O116&lt;&gt;"",O116,
IF(O$102=elektriciteit,$G$5,
INDEX(energiedragers_primaire_energiefactor,MATCH(O102,energiedragers_kopregel,0))
*IF(O110=0,1,
$G$5*INDEX(installaties_RV_verlies_elek_prod_aftapwarmte,MATCH(O101,toestellen_RV_kopregel,0)))))</f>
        <v>1.45</v>
      </c>
      <c r="P115" s="445">
        <f>IF(P116&lt;&gt;"",P116,IF(HLOOKUP(P102,ENERGIEDRAGERS,ROWS(bibliotheek!$E$221:$E$222),FALSE)=0,$G$5,HLOOKUP(P102,ENERGIEDRAGERS,ROWS(bibliotheek!$E$221:$E$223),FALSE)))</f>
        <v>1.45</v>
      </c>
      <c r="Q115" s="445">
        <f>IF(Q116&lt;&gt;"",Q116,
IF(Q$102=elektriciteit,$G$5,
INDEX(energiedragers_primaire_energiefactor,MATCH(Q102,energiedragers_kopregel,0))
*IF(Q110=0,1,
$G$5*INDEX(installaties_TAP_verlies_elek_prod_aftapwarmte,MATCH(Q101,toestellen_TAP_kopregel,0)))))</f>
        <v>1.45</v>
      </c>
      <c r="R115" s="158"/>
      <c r="S115" s="158"/>
      <c r="T115" s="158"/>
      <c r="U115" s="158"/>
      <c r="V115" s="158"/>
      <c r="W115" s="158"/>
      <c r="X115" s="414"/>
      <c r="Y115" s="352"/>
      <c r="Z115" s="722"/>
      <c r="AA115" s="445">
        <f>IF(AA116&lt;&gt;"",AA116,
IF(AA$102=elektriciteit,$G$5,
INDEX(energiedragers_primaire_energiefactor,MATCH(AA102,energiedragers_kopregel,0))
*IF(AA110=0,1,
$G$5*INDEX(installaties_RV_verlies_elek_prod_aftapwarmte,MATCH(AA101,toestellen_RV_kopregel,0)))))</f>
        <v>1.45</v>
      </c>
      <c r="AB115" s="445">
        <f>IF(AB116&lt;&gt;"",AB116,IF(HLOOKUP(AB102,ENERGIEDRAGERS,ROWS(bibliotheek!$E$221:$E$222),FALSE)=0,$G$5,HLOOKUP(AB102,ENERGIEDRAGERS,ROWS(bibliotheek!$E$221:$E$223),FALSE)))</f>
        <v>1.45</v>
      </c>
      <c r="AC115" s="445">
        <f>IF(AC116&lt;&gt;"",AC116,
IF(AC$102=elektriciteit,$G$5,
INDEX(energiedragers_primaire_energiefactor,MATCH(AC102,energiedragers_kopregel,0))
*IF(AC110=0,1,
$G$5*INDEX(installaties_TAP_verlies_elek_prod_aftapwarmte,MATCH(AC101,toestellen_TAP_kopregel,0)))))</f>
        <v>1.45</v>
      </c>
      <c r="AD115" s="158"/>
      <c r="AE115" s="158"/>
      <c r="AF115" s="158"/>
      <c r="AG115" s="158"/>
      <c r="AH115" s="158"/>
      <c r="AI115" s="158"/>
      <c r="AJ115" s="414"/>
      <c r="AK115" s="352"/>
      <c r="AL115" s="722"/>
      <c r="AM115" s="445">
        <f>IF(AM116&lt;&gt;"",AM116,
IF(AM$102=elektriciteit,$G$5,
INDEX(energiedragers_primaire_energiefactor,MATCH(AM102,energiedragers_kopregel,0))
*IF(AM110=0,1,
$G$5*INDEX(installaties_RV_verlies_elek_prod_aftapwarmte,MATCH(AM101,toestellen_RV_kopregel,0)))))</f>
        <v>1.45</v>
      </c>
      <c r="AN115" s="445">
        <f>IF(AN116&lt;&gt;"",AN116,IF(HLOOKUP(AN102,ENERGIEDRAGERS,ROWS(bibliotheek!$E$221:$E$222),FALSE)=0,$G$5,HLOOKUP(AN102,ENERGIEDRAGERS,ROWS(bibliotheek!$E$221:$E$223),FALSE)))</f>
        <v>1.45</v>
      </c>
      <c r="AO115" s="445">
        <f>IF(AO116&lt;&gt;"",AO116,
IF(AO$102=elektriciteit,$G$5,
INDEX(energiedragers_primaire_energiefactor,MATCH(AO102,energiedragers_kopregel,0))
*IF(AO110=0,1,
$G$5*INDEX(installaties_TAP_verlies_elek_prod_aftapwarmte,MATCH(AO101,toestellen_TAP_kopregel,0)))))</f>
        <v>1.45</v>
      </c>
      <c r="AP115" s="158"/>
      <c r="AQ115" s="158"/>
      <c r="AR115" s="158"/>
      <c r="AS115" s="158"/>
      <c r="AT115" s="158"/>
      <c r="AU115" s="158"/>
      <c r="AV115" s="414"/>
      <c r="AW115" s="352"/>
      <c r="AX115" s="722"/>
      <c r="AY115" s="445">
        <f>IF(AY116&lt;&gt;"",AY116,
IF(AY$102=elektriciteit,$G$5,
INDEX(energiedragers_primaire_energiefactor,MATCH(AY102,energiedragers_kopregel,0))
*IF(AY110=0,1,
$G$5*INDEX(installaties_RV_verlies_elek_prod_aftapwarmte,MATCH(AY101,toestellen_RV_kopregel,0)))))</f>
        <v>1.45</v>
      </c>
      <c r="AZ115" s="445">
        <f>IF(AZ116&lt;&gt;"",AZ116,IF(HLOOKUP(AZ102,ENERGIEDRAGERS,ROWS(bibliotheek!$E$221:$E$222),FALSE)=0,$G$5,HLOOKUP(AZ102,ENERGIEDRAGERS,ROWS(bibliotheek!$E$221:$E$223),FALSE)))</f>
        <v>1.45</v>
      </c>
      <c r="BA115" s="445">
        <f>IF(BA116&lt;&gt;"",BA116,
IF(BA$102=elektriciteit,$G$5,
INDEX(energiedragers_primaire_energiefactor,MATCH(BA102,energiedragers_kopregel,0))
*IF(BA110=0,1,
$G$5*INDEX(installaties_TAP_verlies_elek_prod_aftapwarmte,MATCH(BA101,toestellen_TAP_kopregel,0)))))</f>
        <v>1.45</v>
      </c>
      <c r="BB115" s="156"/>
      <c r="BC115" s="156"/>
      <c r="BD115" s="156"/>
      <c r="BE115" s="156"/>
      <c r="BF115" s="156"/>
      <c r="BG115" s="156"/>
      <c r="BH115" s="214"/>
    </row>
    <row r="116" spans="1:60" hidden="1" x14ac:dyDescent="0.2">
      <c r="A116" s="648"/>
      <c r="B116" s="492" t="s">
        <v>205</v>
      </c>
      <c r="C116" s="656" t="s">
        <v>221</v>
      </c>
      <c r="D116" s="750"/>
      <c r="E116" s="412" t="s">
        <v>224</v>
      </c>
      <c r="F116" s="317"/>
      <c r="G116" s="317"/>
      <c r="H116" s="355"/>
      <c r="I116" s="88"/>
      <c r="J116" s="362"/>
      <c r="K116" s="121"/>
      <c r="L116" s="121"/>
      <c r="M116" s="239"/>
      <c r="N116" s="90"/>
      <c r="O116" s="337"/>
      <c r="P116" s="712"/>
      <c r="Q116" s="337"/>
      <c r="R116" s="157"/>
      <c r="S116" s="157"/>
      <c r="T116" s="157"/>
      <c r="U116" s="157"/>
      <c r="V116" s="157"/>
      <c r="W116" s="157"/>
      <c r="X116" s="87"/>
      <c r="Y116" s="239"/>
      <c r="Z116" s="90"/>
      <c r="AA116" s="337"/>
      <c r="AB116" s="712"/>
      <c r="AC116" s="337"/>
      <c r="AD116" s="157"/>
      <c r="AE116" s="157"/>
      <c r="AF116" s="157"/>
      <c r="AG116" s="157"/>
      <c r="AH116" s="157"/>
      <c r="AI116" s="157"/>
      <c r="AJ116" s="87"/>
      <c r="AK116" s="239"/>
      <c r="AL116" s="90"/>
      <c r="AM116" s="337"/>
      <c r="AN116" s="712"/>
      <c r="AO116" s="337"/>
      <c r="AP116" s="157"/>
      <c r="AQ116" s="157"/>
      <c r="AR116" s="157"/>
      <c r="AS116" s="157"/>
      <c r="AT116" s="157"/>
      <c r="AU116" s="157"/>
      <c r="AV116" s="87"/>
      <c r="AW116" s="239"/>
      <c r="AX116" s="90"/>
      <c r="AY116" s="337"/>
      <c r="AZ116" s="712"/>
      <c r="BA116" s="337"/>
      <c r="BB116" s="157"/>
      <c r="BC116" s="157"/>
      <c r="BD116" s="157"/>
      <c r="BE116" s="157"/>
      <c r="BF116" s="157"/>
      <c r="BG116" s="157"/>
      <c r="BH116" s="214"/>
    </row>
    <row r="117" spans="1:60" x14ac:dyDescent="0.2">
      <c r="A117" s="648"/>
      <c r="B117" s="492" t="s">
        <v>205</v>
      </c>
      <c r="C117" s="656" t="s">
        <v>113</v>
      </c>
      <c r="D117" s="750"/>
      <c r="E117" s="221" t="s">
        <v>114</v>
      </c>
      <c r="F117" s="221"/>
      <c r="G117" s="221"/>
      <c r="H117" s="221" t="s">
        <v>115</v>
      </c>
      <c r="I117" s="88"/>
      <c r="J117" s="243">
        <f>M117+Y117+AK117+AW117</f>
        <v>0</v>
      </c>
      <c r="K117" s="295"/>
      <c r="L117" s="295"/>
      <c r="M117" s="243">
        <f>SUM(O117:X117)</f>
        <v>0</v>
      </c>
      <c r="N117" s="294"/>
      <c r="O117" s="207">
        <f>O$113*O$115</f>
        <v>0</v>
      </c>
      <c r="P117" s="207">
        <f>P$113*P$115</f>
        <v>0</v>
      </c>
      <c r="Q117" s="207">
        <f>Q$113*Q$115</f>
        <v>0</v>
      </c>
      <c r="R117" s="147"/>
      <c r="S117" s="147"/>
      <c r="T117" s="147"/>
      <c r="U117" s="147"/>
      <c r="V117" s="147"/>
      <c r="W117" s="147"/>
      <c r="X117" s="125"/>
      <c r="Y117" s="243">
        <f>SUM(AA117:AJ117)</f>
        <v>0</v>
      </c>
      <c r="Z117" s="294"/>
      <c r="AA117" s="207">
        <f>AA$113*AA$115</f>
        <v>0</v>
      </c>
      <c r="AB117" s="207">
        <f>AB$113*AB$115</f>
        <v>0</v>
      </c>
      <c r="AC117" s="207">
        <f>AC$113*AC$115</f>
        <v>0</v>
      </c>
      <c r="AD117" s="147"/>
      <c r="AE117" s="147"/>
      <c r="AF117" s="147"/>
      <c r="AG117" s="147"/>
      <c r="AH117" s="147"/>
      <c r="AI117" s="147"/>
      <c r="AJ117" s="125"/>
      <c r="AK117" s="243">
        <f>SUM(AM117:AV117)</f>
        <v>0</v>
      </c>
      <c r="AL117" s="294"/>
      <c r="AM117" s="207">
        <f>AM$113*AM$115</f>
        <v>0</v>
      </c>
      <c r="AN117" s="207">
        <f>AN$113*AN$115</f>
        <v>0</v>
      </c>
      <c r="AO117" s="207">
        <f>AO$113*AO$115</f>
        <v>0</v>
      </c>
      <c r="AP117" s="147"/>
      <c r="AQ117" s="147"/>
      <c r="AR117" s="147"/>
      <c r="AS117" s="147"/>
      <c r="AT117" s="147"/>
      <c r="AU117" s="147"/>
      <c r="AV117" s="125"/>
      <c r="AW117" s="243">
        <f>SUM(AY117:BH117)</f>
        <v>0</v>
      </c>
      <c r="AX117" s="294"/>
      <c r="AY117" s="207">
        <f>AY$113*AY$115</f>
        <v>0</v>
      </c>
      <c r="AZ117" s="207">
        <f>AZ$113*AZ$115</f>
        <v>0</v>
      </c>
      <c r="BA117" s="207">
        <f>BA$113*BA$115</f>
        <v>0</v>
      </c>
      <c r="BB117" s="147"/>
      <c r="BC117" s="147"/>
      <c r="BD117" s="147"/>
      <c r="BE117" s="147"/>
      <c r="BF117" s="147"/>
      <c r="BG117" s="147"/>
      <c r="BH117" s="255"/>
    </row>
    <row r="118" spans="1:60" ht="18.75" x14ac:dyDescent="0.2">
      <c r="A118" s="648"/>
      <c r="B118" s="492" t="s">
        <v>205</v>
      </c>
      <c r="C118" s="739" t="s">
        <v>104</v>
      </c>
      <c r="D118" s="750"/>
      <c r="E118" s="144" t="s">
        <v>116</v>
      </c>
      <c r="F118" s="160"/>
      <c r="G118" s="160"/>
      <c r="H118" s="161"/>
      <c r="I118" s="161"/>
      <c r="J118" s="161"/>
      <c r="K118" s="164"/>
      <c r="L118" s="164"/>
      <c r="M118" s="163"/>
      <c r="N118" s="163"/>
      <c r="P118" s="163"/>
      <c r="Q118" s="163"/>
      <c r="R118" s="163"/>
      <c r="S118" s="163"/>
      <c r="T118" s="163"/>
      <c r="U118" s="163"/>
      <c r="V118" s="163"/>
      <c r="W118" s="163"/>
      <c r="X118" s="165"/>
      <c r="Y118" s="163"/>
      <c r="Z118" s="163"/>
      <c r="AA118" s="836"/>
      <c r="AB118" s="163"/>
      <c r="AC118" s="163"/>
      <c r="AD118" s="163"/>
      <c r="AE118" s="163"/>
      <c r="AF118" s="163"/>
      <c r="AG118" s="163"/>
      <c r="AH118" s="163"/>
      <c r="AI118" s="163"/>
      <c r="AJ118" s="165"/>
      <c r="AK118" s="163"/>
      <c r="AL118" s="163"/>
      <c r="AM118" s="163"/>
      <c r="AN118" s="163"/>
      <c r="AO118" s="163"/>
      <c r="AP118" s="163"/>
      <c r="AQ118" s="163"/>
      <c r="AR118" s="163"/>
      <c r="AS118" s="163"/>
      <c r="AT118" s="163"/>
      <c r="AU118" s="163"/>
      <c r="AV118" s="165"/>
      <c r="AW118" s="163"/>
      <c r="AX118" s="163"/>
      <c r="AY118" s="163"/>
      <c r="AZ118" s="163"/>
      <c r="BA118" s="163"/>
      <c r="BB118" s="163"/>
      <c r="BC118" s="163"/>
      <c r="BD118" s="163"/>
      <c r="BE118" s="163"/>
      <c r="BF118" s="163"/>
      <c r="BG118" s="163"/>
      <c r="BH118" s="263"/>
    </row>
    <row r="119" spans="1:60" hidden="1" x14ac:dyDescent="0.2">
      <c r="A119" s="648"/>
      <c r="B119" s="492" t="s">
        <v>205</v>
      </c>
      <c r="C119" s="656" t="s">
        <v>221</v>
      </c>
      <c r="D119" s="750" t="s">
        <v>50</v>
      </c>
      <c r="E119" s="356" t="s">
        <v>225</v>
      </c>
      <c r="F119" s="316"/>
      <c r="G119" s="316"/>
      <c r="H119" s="354" t="s">
        <v>226</v>
      </c>
      <c r="I119" s="88"/>
      <c r="J119" s="229"/>
      <c r="K119" s="121"/>
      <c r="L119" s="121"/>
      <c r="M119" s="229"/>
      <c r="N119" s="90"/>
      <c r="O119" s="445">
        <f>IF(O120&lt;&gt;"",O120,
IF(O$102=elektriciteit,$H$5,
INDEX(energiedragers_CO2_emissiefactor,MATCH(O102,energiedragers_kopregel,0))
*IF(O110=0,1,
$G$5*INDEX(installaties_RV_verlies_elek_prod_aftapwarmte,MATCH(O101,toestellen_RV_kopregel,0)))))</f>
        <v>0.34</v>
      </c>
      <c r="P119" s="445">
        <f>IF(P120&lt;&gt;"",P120,
IF(P102=elektriciteit,$H$5,
HLOOKUP(P102,ENERGIEDRAGERS,ROWS(bibliotheek!$E$221:$E$224),FALSE)))</f>
        <v>0</v>
      </c>
      <c r="Q119" s="445">
        <f>IF(Q116&lt;&gt;"",Q116,
IF(Q$102=elektriciteit,$H$5,
INDEX(energiedragers_CO2_emissiefactor,MATCH(Q102,energiedragers_kopregel,0))
*IF(Q110=0,1,
$G$5*INDEX(installaties_TAP_verlies_elek_prod_aftapwarmte,MATCH(Q101,toestellen_TAP_kopregel,0)))))</f>
        <v>0.34</v>
      </c>
      <c r="R119" s="158"/>
      <c r="S119" s="158"/>
      <c r="T119" s="158"/>
      <c r="U119" s="158"/>
      <c r="V119" s="158"/>
      <c r="W119" s="158"/>
      <c r="X119" s="414"/>
      <c r="Y119" s="229"/>
      <c r="Z119" s="90"/>
      <c r="AA119" s="445">
        <f>IF(AA120&lt;&gt;"",AA120,
IF(AA$102=elektriciteit,$H$5,
INDEX(energiedragers_CO2_emissiefactor,MATCH(AA102,energiedragers_kopregel,0))
*IF(AA110=0,1,
$G$5*INDEX(installaties_RV_verlies_elek_prod_aftapwarmte,MATCH(AA101,toestellen_RV_kopregel,0)))))</f>
        <v>0.34</v>
      </c>
      <c r="AB119" s="445">
        <f>IF(AB120&lt;&gt;"",AB120,
IF(AB102=elektriciteit,$H$5,
HLOOKUP(AB102,ENERGIEDRAGERS,ROWS(bibliotheek!$E$221:$E$224),FALSE)))</f>
        <v>0</v>
      </c>
      <c r="AC119" s="445">
        <f>IF(AC116&lt;&gt;"",AC116,
IF(AC$102=elektriciteit,$H$5,
INDEX(energiedragers_CO2_emissiefactor,MATCH(AC102,energiedragers_kopregel,0))
*IF(AC110=0,1,
$G$5*INDEX(installaties_TAP_verlies_elek_prod_aftapwarmte,MATCH(AC101,toestellen_TAP_kopregel,0)))))</f>
        <v>0.34</v>
      </c>
      <c r="AD119" s="158"/>
      <c r="AE119" s="158"/>
      <c r="AF119" s="158"/>
      <c r="AG119" s="158"/>
      <c r="AH119" s="158"/>
      <c r="AI119" s="158"/>
      <c r="AJ119" s="414"/>
      <c r="AK119" s="229"/>
      <c r="AL119" s="90"/>
      <c r="AM119" s="445">
        <f>IF(AM120&lt;&gt;"",AM120,
IF(AM$102=elektriciteit,$H$5,
INDEX(energiedragers_CO2_emissiefactor,MATCH(AM102,energiedragers_kopregel,0))
*IF(AM110=0,1,
$G$5*INDEX(installaties_RV_verlies_elek_prod_aftapwarmte,MATCH(AM101,toestellen_RV_kopregel,0)))))</f>
        <v>0.34</v>
      </c>
      <c r="AN119" s="445">
        <f>IF(AN120&lt;&gt;"",AN120,
IF(AN102=elektriciteit,$H$5,
HLOOKUP(AN102,ENERGIEDRAGERS,ROWS(bibliotheek!$E$221:$E$224),FALSE)))</f>
        <v>0</v>
      </c>
      <c r="AO119" s="445">
        <f>IF(AO116&lt;&gt;"",AO116,
IF(AO$102=elektriciteit,$H$5,
INDEX(energiedragers_CO2_emissiefactor,MATCH(AO102,energiedragers_kopregel,0))
*IF(AO110=0,1,
$G$5*INDEX(installaties_TAP_verlies_elek_prod_aftapwarmte,MATCH(AO101,toestellen_TAP_kopregel,0)))))</f>
        <v>0.34</v>
      </c>
      <c r="AP119" s="158"/>
      <c r="AQ119" s="158"/>
      <c r="AR119" s="158"/>
      <c r="AS119" s="158"/>
      <c r="AT119" s="158"/>
      <c r="AU119" s="158"/>
      <c r="AV119" s="414"/>
      <c r="AW119" s="229"/>
      <c r="AX119" s="90"/>
      <c r="AY119" s="445">
        <f>IF(AY120&lt;&gt;"",AY120,
IF(AY$102=elektriciteit,$H$5,
INDEX(energiedragers_CO2_emissiefactor,MATCH(AY102,energiedragers_kopregel,0))
*IF(AY110=0,1,
$G$5*INDEX(installaties_RV_verlies_elek_prod_aftapwarmte,MATCH(AY101,toestellen_RV_kopregel,0)))))</f>
        <v>0.34</v>
      </c>
      <c r="AZ119" s="445">
        <f>IF(AZ120&lt;&gt;"",AZ120,
IF(AZ102=elektriciteit,$H$5,
HLOOKUP(AZ102,ENERGIEDRAGERS,ROWS(bibliotheek!$E$221:$E$224),FALSE)))</f>
        <v>0</v>
      </c>
      <c r="BA119" s="445">
        <f>IF(BA116&lt;&gt;"",BA116,
IF(BA$102=elektriciteit,$H$5,
INDEX(energiedragers_CO2_emissiefactor,MATCH(BA102,energiedragers_kopregel,0))
*IF(BA110=0,1,
$G$5*INDEX(installaties_TAP_verlies_elek_prod_aftapwarmte,MATCH(BA101,toestellen_TAP_kopregel,0)))))</f>
        <v>0.34</v>
      </c>
      <c r="BB119" s="158"/>
      <c r="BC119" s="158"/>
      <c r="BD119" s="158"/>
      <c r="BE119" s="158"/>
      <c r="BF119" s="158"/>
      <c r="BG119" s="158"/>
      <c r="BH119" s="214"/>
    </row>
    <row r="120" spans="1:60" hidden="1" x14ac:dyDescent="0.2">
      <c r="A120" s="648"/>
      <c r="B120" s="492" t="s">
        <v>205</v>
      </c>
      <c r="C120" s="656" t="s">
        <v>221</v>
      </c>
      <c r="D120" s="747"/>
      <c r="E120" s="412" t="s">
        <v>227</v>
      </c>
      <c r="F120" s="355"/>
      <c r="G120" s="355"/>
      <c r="H120" s="355"/>
      <c r="I120" s="88"/>
      <c r="J120" s="362"/>
      <c r="K120" s="121"/>
      <c r="L120" s="121"/>
      <c r="M120" s="239"/>
      <c r="N120" s="90"/>
      <c r="O120" s="337"/>
      <c r="P120" s="420"/>
      <c r="Q120" s="420"/>
      <c r="R120" s="483"/>
      <c r="S120" s="483"/>
      <c r="T120" s="483"/>
      <c r="U120" s="483"/>
      <c r="V120" s="483"/>
      <c r="W120" s="483"/>
      <c r="X120" s="448"/>
      <c r="Y120" s="239"/>
      <c r="Z120" s="90"/>
      <c r="AA120" s="420"/>
      <c r="AB120" s="420"/>
      <c r="AC120" s="420"/>
      <c r="AD120" s="483"/>
      <c r="AE120" s="483"/>
      <c r="AF120" s="483"/>
      <c r="AG120" s="483"/>
      <c r="AH120" s="483"/>
      <c r="AI120" s="483"/>
      <c r="AJ120" s="448"/>
      <c r="AK120" s="239"/>
      <c r="AL120" s="90"/>
      <c r="AM120" s="420"/>
      <c r="AN120" s="420"/>
      <c r="AO120" s="420"/>
      <c r="AP120" s="483"/>
      <c r="AQ120" s="483"/>
      <c r="AR120" s="483"/>
      <c r="AS120" s="483"/>
      <c r="AT120" s="483"/>
      <c r="AU120" s="483"/>
      <c r="AV120" s="448"/>
      <c r="AW120" s="239"/>
      <c r="AX120" s="90"/>
      <c r="AY120" s="420"/>
      <c r="AZ120" s="420"/>
      <c r="BA120" s="420"/>
      <c r="BB120" s="483"/>
      <c r="BC120" s="483"/>
      <c r="BD120" s="483"/>
      <c r="BE120" s="483"/>
      <c r="BF120" s="483"/>
      <c r="BG120" s="483"/>
      <c r="BH120" s="214"/>
    </row>
    <row r="121" spans="1:60" x14ac:dyDescent="0.2">
      <c r="A121" s="648"/>
      <c r="B121" s="492" t="s">
        <v>205</v>
      </c>
      <c r="C121" s="656" t="s">
        <v>113</v>
      </c>
      <c r="D121" s="747"/>
      <c r="E121" s="221" t="s">
        <v>116</v>
      </c>
      <c r="F121" s="221"/>
      <c r="G121" s="221"/>
      <c r="H121" s="221" t="s">
        <v>228</v>
      </c>
      <c r="I121" s="88"/>
      <c r="J121" s="243">
        <f>M121+Y121+AK121+AW121</f>
        <v>0</v>
      </c>
      <c r="K121" s="295"/>
      <c r="L121" s="295"/>
      <c r="M121" s="243">
        <f>SUM(O121:X121)</f>
        <v>0</v>
      </c>
      <c r="N121" s="294"/>
      <c r="O121" s="207">
        <f>O$113*O$119</f>
        <v>0</v>
      </c>
      <c r="P121" s="207">
        <f>P$113*P$119</f>
        <v>0</v>
      </c>
      <c r="Q121" s="207">
        <f>Q$113*Q$119</f>
        <v>0</v>
      </c>
      <c r="R121" s="147"/>
      <c r="S121" s="147"/>
      <c r="T121" s="147"/>
      <c r="U121" s="147"/>
      <c r="V121" s="147"/>
      <c r="W121" s="147"/>
      <c r="X121" s="125"/>
      <c r="Y121" s="243">
        <f>SUM(AA121:AJ121)</f>
        <v>0</v>
      </c>
      <c r="Z121" s="294"/>
      <c r="AA121" s="207">
        <f>AA$113*AA$119</f>
        <v>0</v>
      </c>
      <c r="AB121" s="207">
        <f>AB$113*AB$119</f>
        <v>0</v>
      </c>
      <c r="AC121" s="207">
        <f>AC$113*AC$119</f>
        <v>0</v>
      </c>
      <c r="AD121" s="147"/>
      <c r="AE121" s="147"/>
      <c r="AF121" s="147"/>
      <c r="AG121" s="147"/>
      <c r="AH121" s="147"/>
      <c r="AI121" s="147"/>
      <c r="AJ121" s="125"/>
      <c r="AK121" s="243">
        <f>SUM(AM121:AV121)</f>
        <v>0</v>
      </c>
      <c r="AL121" s="294"/>
      <c r="AM121" s="207">
        <f>AM$113*AM$119</f>
        <v>0</v>
      </c>
      <c r="AN121" s="207">
        <f>AN$113*AN$119</f>
        <v>0</v>
      </c>
      <c r="AO121" s="207">
        <f>AO$113*AO$119</f>
        <v>0</v>
      </c>
      <c r="AP121" s="147"/>
      <c r="AQ121" s="147"/>
      <c r="AR121" s="147"/>
      <c r="AS121" s="147"/>
      <c r="AT121" s="147"/>
      <c r="AU121" s="147"/>
      <c r="AV121" s="125"/>
      <c r="AW121" s="243">
        <f>SUM(AY121:BH121)</f>
        <v>0</v>
      </c>
      <c r="AX121" s="294"/>
      <c r="AY121" s="207">
        <f>AY$113*AY$119</f>
        <v>0</v>
      </c>
      <c r="AZ121" s="207">
        <f>AZ$113*AZ$119</f>
        <v>0</v>
      </c>
      <c r="BA121" s="207">
        <f>BA$113*BA$119</f>
        <v>0</v>
      </c>
      <c r="BB121" s="147"/>
      <c r="BC121" s="147"/>
      <c r="BD121" s="147"/>
      <c r="BE121" s="147"/>
      <c r="BF121" s="147"/>
      <c r="BG121" s="147"/>
      <c r="BH121" s="255"/>
    </row>
    <row r="122" spans="1:60" ht="18.75" x14ac:dyDescent="0.2">
      <c r="A122" s="648"/>
      <c r="B122" s="492" t="s">
        <v>205</v>
      </c>
      <c r="C122" s="739" t="s">
        <v>104</v>
      </c>
      <c r="D122" s="747"/>
      <c r="E122" s="144" t="s">
        <v>229</v>
      </c>
      <c r="F122" s="160"/>
      <c r="G122" s="160"/>
      <c r="H122" s="161"/>
      <c r="I122" s="162"/>
      <c r="J122" s="163"/>
      <c r="K122" s="164"/>
      <c r="L122" s="164"/>
      <c r="M122" s="163"/>
      <c r="N122" s="163"/>
      <c r="O122" s="163"/>
      <c r="P122" s="163"/>
      <c r="Q122" s="163"/>
      <c r="R122" s="163"/>
      <c r="S122" s="163"/>
      <c r="T122" s="163"/>
      <c r="U122" s="163"/>
      <c r="V122" s="163"/>
      <c r="W122" s="163"/>
      <c r="X122" s="165"/>
      <c r="Y122" s="163"/>
      <c r="Z122" s="163"/>
      <c r="AA122" s="163"/>
      <c r="AB122" s="163"/>
      <c r="AC122" s="163"/>
      <c r="AD122" s="163"/>
      <c r="AE122" s="163"/>
      <c r="AF122" s="163"/>
      <c r="AG122" s="163"/>
      <c r="AH122" s="163"/>
      <c r="AI122" s="163"/>
      <c r="AJ122" s="165"/>
      <c r="AK122" s="163"/>
      <c r="AL122" s="163"/>
      <c r="AM122" s="163"/>
      <c r="AN122" s="163"/>
      <c r="AO122" s="163"/>
      <c r="AP122" s="163"/>
      <c r="AQ122" s="163"/>
      <c r="AR122" s="163"/>
      <c r="AS122" s="163"/>
      <c r="AT122" s="163"/>
      <c r="AU122" s="163"/>
      <c r="AV122" s="165"/>
      <c r="AW122" s="163"/>
      <c r="AX122" s="163"/>
      <c r="AY122" s="163"/>
      <c r="AZ122" s="163"/>
      <c r="BA122" s="163"/>
      <c r="BB122" s="163"/>
      <c r="BC122" s="163"/>
      <c r="BD122" s="163"/>
      <c r="BE122" s="163"/>
      <c r="BF122" s="163"/>
      <c r="BG122" s="163"/>
      <c r="BH122" s="263"/>
    </row>
    <row r="123" spans="1:60" x14ac:dyDescent="0.2">
      <c r="A123" s="648"/>
      <c r="B123" s="492" t="s">
        <v>205</v>
      </c>
      <c r="C123" s="656" t="s">
        <v>127</v>
      </c>
      <c r="D123" s="747" t="s">
        <v>50</v>
      </c>
      <c r="E123" s="221" t="s">
        <v>230</v>
      </c>
      <c r="F123" s="221"/>
      <c r="G123" s="221"/>
      <c r="H123" s="221" t="s">
        <v>177</v>
      </c>
      <c r="I123" s="146"/>
      <c r="J123" s="243">
        <f>M123+Y123+AK123+AW123</f>
        <v>0</v>
      </c>
      <c r="K123" s="293"/>
      <c r="L123" s="293"/>
      <c r="M123" s="243">
        <f>SUM(O123:X123)</f>
        <v>0</v>
      </c>
      <c r="N123" s="294"/>
      <c r="O123" s="207">
        <f>IF(   AND(   HLOOKUP(IF(O$80="",referentie_verwarming,O$80),toestellen_RV,ROWS(bibliotheek!$E$79:$E$84),FALSE)=1,   O112+Q112&gt;P112   ),
ABS(O112+Q112-P112)*O$112/(O112+Q112),
0)</f>
        <v>0</v>
      </c>
      <c r="P123" s="207">
        <f>IF(AND(HLOOKUP(IF(P$80="",referentie_koeling,P$80),toestellen_KOEL,ROWS(bibliotheek!$E$170:$E$174),FALSE)=1,O112+Q112&lt;P112),ABS(O112+Q112-P112),0)</f>
        <v>0</v>
      </c>
      <c r="Q123" s="207">
        <f>IF(AND(HLOOKUP(IF(Q$80="",referentie_warmtapwater,Q$80),toestellen_TAP,ROWS(bibliotheek!$E$136:$E$141),FALSE)=1,O112+Q112&gt;P112),ABS(O112+Q112-P112)*Q$112/(O112+Q112),0)</f>
        <v>0</v>
      </c>
      <c r="R123" s="147"/>
      <c r="S123" s="147"/>
      <c r="T123" s="147"/>
      <c r="U123" s="147"/>
      <c r="V123" s="147"/>
      <c r="W123" s="147"/>
      <c r="X123" s="125"/>
      <c r="Y123" s="243">
        <f>SUM(AA123:AJ123)</f>
        <v>0</v>
      </c>
      <c r="Z123" s="294"/>
      <c r="AA123" s="207">
        <f>IF(   AND(   HLOOKUP(IF(AA$80="",referentie_verwarming,AA$80),toestellen_RV,ROWS(bibliotheek!$E$79:$E$84),FALSE)=1,   AA112+AC112&gt;AB112   ),
ABS(AA112+AC112-AB112)*AA$112/(AA112+AC112),
0)</f>
        <v>0</v>
      </c>
      <c r="AB123" s="207">
        <f>IF(AND(HLOOKUP(IF(AB$80="",referentie_koeling,AB$80),toestellen_KOEL,ROWS(bibliotheek!$E$170:$E$174),FALSE)=1,AA112+AC112&lt;AB112),ABS(AA112+AC112-AB112),0)</f>
        <v>0</v>
      </c>
      <c r="AC123" s="207">
        <f>IF(AND(HLOOKUP(IF(AC$80="",referentie_warmtapwater,AC$80),toestellen_TAP,ROWS(bibliotheek!$E$136:$E$141),FALSE)=1,AA112+AC112&gt;AB112),ABS(AA112+AC112-AB112)*AC$112/(AA112+AC112),0)</f>
        <v>0</v>
      </c>
      <c r="AD123" s="147"/>
      <c r="AE123" s="147"/>
      <c r="AF123" s="147"/>
      <c r="AG123" s="147"/>
      <c r="AH123" s="147"/>
      <c r="AI123" s="147"/>
      <c r="AJ123" s="125"/>
      <c r="AK123" s="243">
        <f>SUM(AM123:AV123)</f>
        <v>0</v>
      </c>
      <c r="AL123" s="294"/>
      <c r="AM123" s="207">
        <f>IF(   AND(   HLOOKUP(IF(AM$80="",referentie_verwarming,AM$80),toestellen_RV,ROWS(bibliotheek!$E$79:$E$84),FALSE)=1,   AM112+AO112&gt;AN112   ),
ABS(AM112+AO112-AN112)*AM$112/(AM112+AO112),
0)</f>
        <v>0</v>
      </c>
      <c r="AN123" s="207">
        <f>IF(AND(HLOOKUP(IF(AN$80="",referentie_koeling,AN$80),toestellen_KOEL,ROWS(bibliotheek!$E$170:$E$174),FALSE)=1,AM112+AO112&lt;AN112),ABS(AM112+AO112-AN112),0)</f>
        <v>0</v>
      </c>
      <c r="AO123" s="207">
        <f>IF(AND(HLOOKUP(IF(AO$80="",referentie_warmtapwater,AO$80),toestellen_TAP,ROWS(bibliotheek!$E$136:$E$141),FALSE)=1,AM112+AO112&gt;AN112),ABS(AM112+AO112-AN112)*AO$112/(AM112+AO112),0)</f>
        <v>0</v>
      </c>
      <c r="AP123" s="147"/>
      <c r="AQ123" s="147"/>
      <c r="AR123" s="147"/>
      <c r="AS123" s="147"/>
      <c r="AT123" s="147"/>
      <c r="AU123" s="147"/>
      <c r="AV123" s="125"/>
      <c r="AW123" s="243">
        <f>SUM(AY123:BH123)</f>
        <v>0</v>
      </c>
      <c r="AX123" s="294"/>
      <c r="AY123" s="207">
        <f>IF(   AND(   HLOOKUP(IF(AY$80="",referentie_verwarming,AY$80),toestellen_RV,ROWS(bibliotheek!$E$79:$E$84),FALSE)=1,   AY112+BA112&gt;AZ112   ),
ABS(AY112+BA112-AZ112)*AY$112/(AY112+BA112),
0)</f>
        <v>0</v>
      </c>
      <c r="AZ123" s="207">
        <f>IF(AND(HLOOKUP(IF(AZ$80="",referentie_koeling,AZ$80),toestellen_KOEL,ROWS(bibliotheek!$E$170:$E$174),FALSE)=1,AY112+BA112&lt;AZ112),ABS(AY112+BA112-AZ112),0)</f>
        <v>0</v>
      </c>
      <c r="BA123" s="207">
        <f>IF(AND(HLOOKUP(IF(BA$80="",referentie_warmtapwater,BA$80),toestellen_TAP,ROWS(bibliotheek!$E$136:$E$141),FALSE)=1,AY112+BA112&gt;AZ112),ABS(AY112+BA112-AZ112)*BA$112/(AY112+BA112),0)</f>
        <v>0</v>
      </c>
      <c r="BB123" s="147"/>
      <c r="BC123" s="147"/>
      <c r="BD123" s="147"/>
      <c r="BE123" s="147"/>
      <c r="BF123" s="147"/>
      <c r="BG123" s="147"/>
      <c r="BH123" s="255"/>
    </row>
    <row r="124" spans="1:60" hidden="1" x14ac:dyDescent="0.2">
      <c r="A124" s="648"/>
      <c r="B124" s="492" t="s">
        <v>205</v>
      </c>
      <c r="C124" s="656" t="s">
        <v>199</v>
      </c>
      <c r="D124" s="747"/>
      <c r="E124" s="221" t="s">
        <v>231</v>
      </c>
      <c r="F124" s="220"/>
      <c r="G124" s="220"/>
      <c r="H124" s="221" t="s">
        <v>232</v>
      </c>
      <c r="I124" s="146"/>
      <c r="J124" s="230"/>
      <c r="K124" s="121"/>
      <c r="L124" s="121"/>
      <c r="M124" s="230"/>
      <c r="N124" s="90"/>
      <c r="O124" s="625">
        <f>HLOOKUP(IF(O$80="",referentie_verwarming,O$80),toestellen_RV,ROWS(bibliotheek!$E$79:$E$113),FALSE)</f>
        <v>0</v>
      </c>
      <c r="P124" s="625">
        <f>HLOOKUP(IF(P$80="",referentie_koeling,P$80),toestellen_KOEL,ROWS(bibliotheek!$E$170:$E$188),FALSE)</f>
        <v>0</v>
      </c>
      <c r="Q124" s="625">
        <f>HLOOKUP(IF(Q$80="",referentie_warmtapwater,Q$80),toestellen_TAP,ROWS(bibliotheek!$E$136:$E$162),FALSE)</f>
        <v>0</v>
      </c>
      <c r="R124" s="447"/>
      <c r="S124" s="447"/>
      <c r="T124" s="447"/>
      <c r="U124" s="447"/>
      <c r="V124" s="447"/>
      <c r="W124" s="447"/>
      <c r="X124" s="487"/>
      <c r="Y124" s="230"/>
      <c r="Z124" s="90"/>
      <c r="AA124" s="625">
        <f>HLOOKUP(IF(AA$80="",referentie_verwarming,AA$80),toestellen_RV,ROWS(bibliotheek!$E$79:$E$113),FALSE)</f>
        <v>0</v>
      </c>
      <c r="AB124" s="625">
        <f>HLOOKUP(IF(AB$80="",referentie_koeling,AB$80),toestellen_KOEL,ROWS(bibliotheek!$E$170:$E$188),FALSE)</f>
        <v>0</v>
      </c>
      <c r="AC124" s="625">
        <f>HLOOKUP(IF(AC$80="",referentie_warmtapwater,AC$80),toestellen_TAP,ROWS(bibliotheek!$E$136:$E$162),FALSE)</f>
        <v>0</v>
      </c>
      <c r="AD124" s="447"/>
      <c r="AE124" s="447"/>
      <c r="AF124" s="447"/>
      <c r="AG124" s="447"/>
      <c r="AH124" s="447"/>
      <c r="AI124" s="447"/>
      <c r="AJ124" s="487"/>
      <c r="AK124" s="230"/>
      <c r="AL124" s="90"/>
      <c r="AM124" s="625">
        <f>HLOOKUP(IF(AM$80="",referentie_verwarming,AM$80),toestellen_RV,ROWS(bibliotheek!$E$79:$E$113),FALSE)</f>
        <v>0</v>
      </c>
      <c r="AN124" s="625">
        <f>HLOOKUP(IF(AN$80="",referentie_koeling,AN$80),toestellen_KOEL,ROWS(bibliotheek!$E$170:$E$188),FALSE)</f>
        <v>0</v>
      </c>
      <c r="AO124" s="625">
        <f>HLOOKUP(IF(AO$80="",referentie_warmtapwater,AO$80),toestellen_TAP,ROWS(bibliotheek!$E$136:$E$162),FALSE)</f>
        <v>0</v>
      </c>
      <c r="AP124" s="447"/>
      <c r="AQ124" s="447"/>
      <c r="AR124" s="447"/>
      <c r="AS124" s="447"/>
      <c r="AT124" s="447"/>
      <c r="AU124" s="447"/>
      <c r="AV124" s="487"/>
      <c r="AW124" s="230"/>
      <c r="AX124" s="90"/>
      <c r="AY124" s="625">
        <f>HLOOKUP(IF(AY$80="",referentie_verwarming,AY$80),toestellen_RV,ROWS(bibliotheek!$E$79:$E$113),FALSE)</f>
        <v>0</v>
      </c>
      <c r="AZ124" s="625">
        <f>HLOOKUP(IF(AZ$80="",referentie_koeling,AZ$80),toestellen_KOEL,ROWS(bibliotheek!$E$170:$E$188),FALSE)</f>
        <v>0</v>
      </c>
      <c r="BA124" s="625">
        <f>HLOOKUP(IF(BA$80="",referentie_warmtapwater,BA$80),toestellen_TAP,ROWS(bibliotheek!$E$136:$E$162),FALSE)</f>
        <v>0</v>
      </c>
      <c r="BB124" s="447"/>
      <c r="BC124" s="447"/>
      <c r="BD124" s="447"/>
      <c r="BE124" s="447"/>
      <c r="BF124" s="447"/>
      <c r="BG124" s="447"/>
      <c r="BH124" s="255"/>
    </row>
    <row r="125" spans="1:60" x14ac:dyDescent="0.2">
      <c r="A125" s="648"/>
      <c r="B125" s="492" t="s">
        <v>205</v>
      </c>
      <c r="C125" s="656" t="s">
        <v>127</v>
      </c>
      <c r="D125" s="747"/>
      <c r="E125" s="354" t="s">
        <v>233</v>
      </c>
      <c r="F125" s="316"/>
      <c r="G125" s="316"/>
      <c r="H125" s="354" t="s">
        <v>70</v>
      </c>
      <c r="I125" s="88"/>
      <c r="J125" s="352"/>
      <c r="K125" s="88"/>
      <c r="L125" s="88"/>
      <c r="M125" s="352"/>
      <c r="N125" s="90"/>
      <c r="O125" s="452">
        <f>IF(HLOOKUP(IF(O$80="",referentie_verwarming,O$80),toestellen_RV,ROWS(bibliotheek!$E$79:$E$97),FALSE)=0,0,IF(O126&lt;&gt;"",O126,HLOOKUP(IF(O$80="",referentie_verwarming,O$80),toestellen_RV,ROWS(bibliotheek!$E$79:$E$97),FALSE)))</f>
        <v>0</v>
      </c>
      <c r="P125" s="452">
        <f>IF(HLOOKUP(IF(P$80="",referentie_koeling,P$80),toestellen_KOEL,ROWS(bibliotheek!$E$170:$E$181),FALSE)=0,0,IF(P126&lt;&gt;"",P126,HLOOKUP(IF(P$80="",referentie_koeling,P$80),toestellen_KOEL,ROWS(bibliotheek!$E$170:$E$181),FALSE)))</f>
        <v>0</v>
      </c>
      <c r="Q125" s="452">
        <f>IF(HLOOKUP(IF(Q$80="",referentie_warmtapwater,Q$80),toestellen_TAP,ROWS(bibliotheek!$E$136:$E$154),FALSE)=0,0,IF(Q126&lt;&gt;"",Q126,HLOOKUP(IF(Q$80="",referentie_warmtapwater,Q$80),toestellen_TAP,ROWS(bibliotheek!$E$136:$E$154),FALSE)))</f>
        <v>0</v>
      </c>
      <c r="R125" s="156"/>
      <c r="S125" s="156"/>
      <c r="T125" s="156"/>
      <c r="U125" s="156"/>
      <c r="V125" s="156"/>
      <c r="W125" s="156"/>
      <c r="X125" s="126"/>
      <c r="Y125" s="352"/>
      <c r="Z125" s="90"/>
      <c r="AA125" s="452">
        <f>IF(HLOOKUP(IF(AA$80="",referentie_verwarming,AA$80),toestellen_RV,ROWS(bibliotheek!$E$79:$E$97),FALSE)=0,0,IF(AA126&lt;&gt;"",AA126,HLOOKUP(IF(AA$80="",referentie_verwarming,AA$80),toestellen_RV,ROWS(bibliotheek!$E$79:$E$97),FALSE)))</f>
        <v>0</v>
      </c>
      <c r="AB125" s="452">
        <f>IF(HLOOKUP(IF(AB$80="",referentie_koeling,AB$80),toestellen_KOEL,ROWS(bibliotheek!$E$170:$E$181),FALSE)=0,0,IF(AB126&lt;&gt;"",AB126,HLOOKUP(IF(AB$80="",referentie_koeling,AB$80),toestellen_KOEL,ROWS(bibliotheek!$E$170:$E$181),FALSE)))</f>
        <v>0</v>
      </c>
      <c r="AC125" s="452">
        <f>IF(HLOOKUP(IF(AC$80="",referentie_warmtapwater,AC$80),toestellen_TAP,ROWS(bibliotheek!$E$136:$E$154),FALSE)=0,0,IF(AC126&lt;&gt;"",AC126,HLOOKUP(IF(AC$80="",referentie_warmtapwater,AC$80),toestellen_TAP,ROWS(bibliotheek!$E$136:$E$154),FALSE)))</f>
        <v>0</v>
      </c>
      <c r="AD125" s="156"/>
      <c r="AE125" s="156"/>
      <c r="AF125" s="156"/>
      <c r="AG125" s="156"/>
      <c r="AH125" s="156"/>
      <c r="AI125" s="156"/>
      <c r="AJ125" s="126"/>
      <c r="AK125" s="352"/>
      <c r="AL125" s="90"/>
      <c r="AM125" s="452">
        <f>IF(HLOOKUP(IF(AM$80="",referentie_verwarming,AM$80),toestellen_RV,ROWS(bibliotheek!$E$79:$E$97),FALSE)=0,0,IF(AM126&lt;&gt;"",AM126,HLOOKUP(IF(AM$80="",referentie_verwarming,AM$80),toestellen_RV,ROWS(bibliotheek!$E$79:$E$97),FALSE)))</f>
        <v>0</v>
      </c>
      <c r="AN125" s="452">
        <f>IF(HLOOKUP(IF(AN$80="",referentie_koeling,AN$80),toestellen_KOEL,ROWS(bibliotheek!$E$170:$E$181),FALSE)=0,0,IF(AN126&lt;&gt;"",AN126,HLOOKUP(IF(AN$80="",referentie_koeling,AN$80),toestellen_KOEL,ROWS(bibliotheek!$E$170:$E$181),FALSE)))</f>
        <v>0</v>
      </c>
      <c r="AO125" s="452">
        <f>IF(HLOOKUP(IF(AO$80="",referentie_warmtapwater,AO$80),toestellen_TAP,ROWS(bibliotheek!$E$136:$E$154),FALSE)=0,0,IF(AO126&lt;&gt;"",AO126,HLOOKUP(IF(AO$80="",referentie_warmtapwater,AO$80),toestellen_TAP,ROWS(bibliotheek!$E$136:$E$154),FALSE)))</f>
        <v>0</v>
      </c>
      <c r="AP125" s="156"/>
      <c r="AQ125" s="156"/>
      <c r="AR125" s="156"/>
      <c r="AS125" s="156"/>
      <c r="AT125" s="156"/>
      <c r="AU125" s="156"/>
      <c r="AV125" s="126"/>
      <c r="AW125" s="352"/>
      <c r="AX125" s="90"/>
      <c r="AY125" s="452">
        <f>IF(HLOOKUP(IF(AY$80="",referentie_verwarming,AY$80),toestellen_RV,ROWS(bibliotheek!$E$79:$E$97),FALSE)=0,0,IF(AY126&lt;&gt;"",AY126,HLOOKUP(IF(AY$80="",referentie_verwarming,AY$80),toestellen_RV,ROWS(bibliotheek!$E$79:$E$97),FALSE)))</f>
        <v>0</v>
      </c>
      <c r="AZ125" s="452">
        <f>IF(HLOOKUP(IF(AZ$80="",referentie_koeling,AZ$80),toestellen_KOEL,ROWS(bibliotheek!$E$170:$E$181),FALSE)=0,0,IF(AZ126&lt;&gt;"",AZ126,HLOOKUP(IF(AZ$80="",referentie_koeling,AZ$80),toestellen_KOEL,ROWS(bibliotheek!$E$170:$E$181),FALSE)))</f>
        <v>0</v>
      </c>
      <c r="BA125" s="452">
        <f>IF(HLOOKUP(IF(BA$80="",referentie_warmtapwater,BA$80),toestellen_TAP,ROWS(bibliotheek!$E$136:$E$154),FALSE)=0,0,IF(BA126&lt;&gt;"",BA126,HLOOKUP(IF(BA$80="",referentie_warmtapwater,BA$80),toestellen_TAP,ROWS(bibliotheek!$E$136:$E$154),FALSE)))</f>
        <v>0</v>
      </c>
      <c r="BB125" s="156"/>
      <c r="BC125" s="156"/>
      <c r="BD125" s="156"/>
      <c r="BE125" s="156"/>
      <c r="BF125" s="156"/>
      <c r="BG125" s="156"/>
      <c r="BH125" s="214"/>
    </row>
    <row r="126" spans="1:60" x14ac:dyDescent="0.2">
      <c r="A126" s="648"/>
      <c r="B126" s="492" t="s">
        <v>205</v>
      </c>
      <c r="C126" s="656" t="s">
        <v>127</v>
      </c>
      <c r="D126" s="747"/>
      <c r="E126" s="412" t="s">
        <v>234</v>
      </c>
      <c r="F126" s="317"/>
      <c r="G126" s="317"/>
      <c r="H126" s="355"/>
      <c r="I126" s="88"/>
      <c r="J126" s="362"/>
      <c r="K126" s="88"/>
      <c r="L126" s="88"/>
      <c r="M126" s="239"/>
      <c r="N126" s="90"/>
      <c r="O126" s="337"/>
      <c r="P126" s="712"/>
      <c r="Q126" s="337"/>
      <c r="R126" s="157"/>
      <c r="S126" s="157"/>
      <c r="T126" s="157"/>
      <c r="U126" s="157"/>
      <c r="V126" s="157"/>
      <c r="W126" s="157"/>
      <c r="X126" s="87"/>
      <c r="Y126" s="239"/>
      <c r="Z126" s="90"/>
      <c r="AA126" s="337"/>
      <c r="AB126" s="712"/>
      <c r="AC126" s="337"/>
      <c r="AD126" s="157"/>
      <c r="AE126" s="157"/>
      <c r="AF126" s="157"/>
      <c r="AG126" s="157"/>
      <c r="AH126" s="157"/>
      <c r="AI126" s="157"/>
      <c r="AJ126" s="87"/>
      <c r="AK126" s="239"/>
      <c r="AL126" s="90"/>
      <c r="AM126" s="337"/>
      <c r="AN126" s="712"/>
      <c r="AO126" s="337"/>
      <c r="AP126" s="157"/>
      <c r="AQ126" s="157"/>
      <c r="AR126" s="157"/>
      <c r="AS126" s="157"/>
      <c r="AT126" s="157"/>
      <c r="AU126" s="157"/>
      <c r="AV126" s="87"/>
      <c r="AW126" s="239"/>
      <c r="AX126" s="90"/>
      <c r="AY126" s="337"/>
      <c r="AZ126" s="712"/>
      <c r="BA126" s="337"/>
      <c r="BB126" s="157"/>
      <c r="BC126" s="157"/>
      <c r="BD126" s="157"/>
      <c r="BE126" s="157"/>
      <c r="BF126" s="157"/>
      <c r="BG126" s="157"/>
      <c r="BH126" s="214"/>
    </row>
    <row r="127" spans="1:60" x14ac:dyDescent="0.2">
      <c r="A127" s="648"/>
      <c r="B127" s="492" t="s">
        <v>205</v>
      </c>
      <c r="C127" s="656" t="s">
        <v>104</v>
      </c>
      <c r="D127" s="747"/>
      <c r="E127" s="90"/>
      <c r="F127" s="90"/>
      <c r="G127" s="90"/>
      <c r="H127" s="96"/>
      <c r="I127" s="90"/>
      <c r="J127" s="93"/>
      <c r="K127" s="90"/>
      <c r="L127" s="90"/>
      <c r="M127" s="93"/>
      <c r="N127" s="93"/>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3"/>
      <c r="AN127" s="93"/>
      <c r="AO127" s="93"/>
      <c r="AP127" s="93"/>
      <c r="AQ127" s="93"/>
      <c r="AR127" s="93"/>
      <c r="AS127" s="93"/>
      <c r="AT127" s="93"/>
      <c r="AU127" s="93"/>
      <c r="AV127" s="93"/>
      <c r="AW127" s="93"/>
      <c r="AX127" s="93"/>
      <c r="AY127" s="93"/>
      <c r="AZ127" s="93"/>
      <c r="BA127" s="93"/>
      <c r="BB127" s="93"/>
      <c r="BC127" s="93"/>
      <c r="BD127" s="93"/>
      <c r="BE127" s="93"/>
      <c r="BF127" s="93"/>
      <c r="BG127" s="93"/>
      <c r="BH127" s="1"/>
    </row>
    <row r="128" spans="1:60" x14ac:dyDescent="0.2">
      <c r="A128" s="648"/>
      <c r="B128" s="492" t="s">
        <v>235</v>
      </c>
      <c r="C128" s="656" t="s">
        <v>104</v>
      </c>
      <c r="D128" s="747"/>
      <c r="E128" s="90"/>
      <c r="F128" s="90"/>
      <c r="G128" s="90"/>
      <c r="H128" s="96"/>
      <c r="I128" s="90"/>
      <c r="J128" s="93"/>
      <c r="K128" s="90"/>
      <c r="L128" s="90"/>
      <c r="M128" s="93"/>
      <c r="N128" s="93"/>
      <c r="O128" s="93"/>
      <c r="P128" s="93"/>
      <c r="Q128" s="93"/>
      <c r="R128" s="93"/>
      <c r="S128" s="93"/>
      <c r="T128" s="93"/>
      <c r="U128" s="93"/>
      <c r="V128" s="93"/>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1"/>
    </row>
    <row r="129" spans="1:60" ht="21" x14ac:dyDescent="0.2">
      <c r="A129" s="648"/>
      <c r="B129" s="492" t="s">
        <v>235</v>
      </c>
      <c r="C129" s="739" t="s">
        <v>104</v>
      </c>
      <c r="D129" s="750" t="s">
        <v>50</v>
      </c>
      <c r="E129" s="240" t="s">
        <v>236</v>
      </c>
      <c r="F129" s="240"/>
      <c r="G129" s="240"/>
      <c r="H129" s="240"/>
      <c r="I129" s="88"/>
      <c r="J129" s="241" t="s">
        <v>58</v>
      </c>
      <c r="K129" s="142"/>
      <c r="L129" s="142"/>
      <c r="M129" s="216" t="s">
        <v>237</v>
      </c>
      <c r="N129" s="222"/>
      <c r="O129" s="217" t="str">
        <f>$O$10</f>
        <v>verwarming</v>
      </c>
      <c r="P129" s="217" t="str">
        <f>$P$10</f>
        <v>koeling</v>
      </c>
      <c r="Q129" s="217" t="str">
        <f>$Q$10</f>
        <v>tapwater</v>
      </c>
      <c r="R129" s="217"/>
      <c r="S129" s="217"/>
      <c r="T129" s="217"/>
      <c r="U129" s="217"/>
      <c r="V129" s="217"/>
      <c r="W129" s="217"/>
      <c r="X129" s="214"/>
      <c r="Y129" s="216" t="s">
        <v>237</v>
      </c>
      <c r="Z129" s="222"/>
      <c r="AA129" s="217" t="str">
        <f>$O$10</f>
        <v>verwarming</v>
      </c>
      <c r="AB129" s="217" t="str">
        <f>$P$10</f>
        <v>koeling</v>
      </c>
      <c r="AC129" s="217" t="str">
        <f>$Q$10</f>
        <v>tapwater</v>
      </c>
      <c r="AD129" s="217"/>
      <c r="AE129" s="217"/>
      <c r="AF129" s="217"/>
      <c r="AG129" s="217"/>
      <c r="AH129" s="217"/>
      <c r="AI129" s="217"/>
      <c r="AJ129" s="214"/>
      <c r="AK129" s="216" t="s">
        <v>237</v>
      </c>
      <c r="AL129" s="222"/>
      <c r="AM129" s="217" t="str">
        <f>$O$10</f>
        <v>verwarming</v>
      </c>
      <c r="AN129" s="217" t="str">
        <f>$P$10</f>
        <v>koeling</v>
      </c>
      <c r="AO129" s="217" t="str">
        <f>$Q$10</f>
        <v>tapwater</v>
      </c>
      <c r="AP129" s="217"/>
      <c r="AQ129" s="217"/>
      <c r="AR129" s="217"/>
      <c r="AS129" s="217"/>
      <c r="AT129" s="217"/>
      <c r="AU129" s="217"/>
      <c r="AV129" s="214"/>
      <c r="AW129" s="216" t="s">
        <v>237</v>
      </c>
      <c r="AX129" s="222"/>
      <c r="AY129" s="217" t="str">
        <f>$O$10</f>
        <v>verwarming</v>
      </c>
      <c r="AZ129" s="217" t="str">
        <f>$P$10</f>
        <v>koeling</v>
      </c>
      <c r="BA129" s="217" t="str">
        <f>$Q$10</f>
        <v>tapwater</v>
      </c>
      <c r="BB129" s="217"/>
      <c r="BC129" s="217"/>
      <c r="BD129" s="217"/>
      <c r="BE129" s="217"/>
      <c r="BF129" s="217"/>
      <c r="BG129" s="217"/>
      <c r="BH129" s="1"/>
    </row>
    <row r="130" spans="1:60" ht="18.75" x14ac:dyDescent="0.2">
      <c r="A130" s="648"/>
      <c r="B130" s="492" t="s">
        <v>235</v>
      </c>
      <c r="C130" s="739" t="s">
        <v>104</v>
      </c>
      <c r="D130" s="747"/>
      <c r="E130" s="144" t="s">
        <v>210</v>
      </c>
      <c r="F130" s="231"/>
      <c r="G130" s="231"/>
      <c r="H130" s="89"/>
      <c r="I130" s="232"/>
      <c r="J130" s="231"/>
      <c r="K130" s="232"/>
      <c r="L130" s="232"/>
      <c r="M130" s="231"/>
      <c r="N130" s="232"/>
      <c r="O130" s="232"/>
      <c r="P130" s="232"/>
      <c r="Q130" s="232"/>
      <c r="R130" s="232"/>
      <c r="S130" s="232"/>
      <c r="T130" s="232"/>
      <c r="U130" s="232"/>
      <c r="V130" s="232"/>
      <c r="W130" s="232"/>
      <c r="X130" s="232"/>
      <c r="Y130" s="232"/>
      <c r="Z130" s="232"/>
      <c r="AA130" s="232"/>
      <c r="AB130" s="232"/>
      <c r="AC130" s="232"/>
      <c r="AD130" s="232"/>
      <c r="AE130" s="232"/>
      <c r="AF130" s="232"/>
      <c r="AG130" s="232"/>
      <c r="AH130" s="232"/>
      <c r="AI130" s="232"/>
      <c r="AJ130" s="232"/>
      <c r="AK130" s="232"/>
      <c r="AL130" s="232"/>
      <c r="AM130" s="232"/>
      <c r="AN130" s="232"/>
      <c r="AO130" s="232"/>
      <c r="AP130" s="232"/>
      <c r="AQ130" s="232"/>
      <c r="AR130" s="232"/>
      <c r="AS130" s="232"/>
      <c r="AT130" s="232"/>
      <c r="AU130" s="232"/>
      <c r="AV130" s="232"/>
      <c r="AW130" s="232"/>
      <c r="AX130" s="232"/>
      <c r="AY130" s="232"/>
      <c r="AZ130" s="232"/>
      <c r="BA130" s="232"/>
      <c r="BB130" s="232"/>
      <c r="BC130" s="232"/>
      <c r="BD130" s="232"/>
      <c r="BE130" s="232"/>
      <c r="BF130" s="232"/>
      <c r="BG130" s="232"/>
      <c r="BH130" s="38"/>
    </row>
    <row r="131" spans="1:60" ht="25.5" x14ac:dyDescent="0.2">
      <c r="A131" s="648"/>
      <c r="B131" s="492" t="s">
        <v>235</v>
      </c>
      <c r="C131" s="656" t="s">
        <v>127</v>
      </c>
      <c r="D131" s="747"/>
      <c r="E131" s="326" t="s">
        <v>238</v>
      </c>
      <c r="F131" s="326"/>
      <c r="G131" s="326"/>
      <c r="H131" s="327" t="s">
        <v>70</v>
      </c>
      <c r="I131" s="115"/>
      <c r="J131" s="330"/>
      <c r="K131" s="115"/>
      <c r="L131" s="115"/>
      <c r="M131" s="330" t="str">
        <f>IF(OR(M$12=0,O134=0),"-","RV: "&amp;O131)</f>
        <v>-</v>
      </c>
      <c r="N131" s="136"/>
      <c r="O131" s="346" t="str">
        <f>IF(O$105=1,geen,HLOOKUP(IF(O$80="",referentie_verwarming,O$80),toestellen_RV,ROWS(bibliotheek!$E$79:$E$100),FALSE))</f>
        <v>elektrisch element</v>
      </c>
      <c r="P131" s="346" t="str">
        <f>IF(OR(P$101=geen,P$105=1),geen,HLOOKUP(IF(P$80="",referentie_koeling,P$80),toestellen_KOEL,ROWS(bibliotheek!$E$170:$E$183),FALSE))</f>
        <v>geen</v>
      </c>
      <c r="Q131" s="346" t="str">
        <f>IF(Q105=1,geen,HLOOKUP(IF(Q$80="",referentie_warmtapwater,Q$80),toestellen_TAP,ROWS(bibliotheek!$E$136:$E$157),FALSE))</f>
        <v>elektrisch element</v>
      </c>
      <c r="R131" s="331"/>
      <c r="S131" s="331"/>
      <c r="T131" s="331"/>
      <c r="U131" s="331"/>
      <c r="V131" s="331"/>
      <c r="W131" s="331"/>
      <c r="X131" s="130"/>
      <c r="Y131" s="330" t="str">
        <f>IF(OR(Y$12=0,AA134=0),"-","RV: "&amp;AA131)</f>
        <v>-</v>
      </c>
      <c r="Z131" s="136"/>
      <c r="AA131" s="346" t="str">
        <f>IF(AA$105=1,geen,HLOOKUP(IF(AA$80="",referentie_verwarming,AA$80),toestellen_RV,ROWS(bibliotheek!$E$79:$E$100),FALSE))</f>
        <v>elektrisch element</v>
      </c>
      <c r="AB131" s="346" t="str">
        <f>IF(OR(AB$101=geen,AB$105=1),geen,HLOOKUP(IF(AB$80="",referentie_koeling,AB$80),toestellen_KOEL,ROWS(bibliotheek!$E$170:$E$183),FALSE))</f>
        <v>geen</v>
      </c>
      <c r="AC131" s="346" t="str">
        <f>IF(AC105=1,geen,HLOOKUP(IF(AC$80="",referentie_warmtapwater,AC$80),toestellen_TAP,ROWS(bibliotheek!$E$136:$E$157),FALSE))</f>
        <v>elektrisch element</v>
      </c>
      <c r="AD131" s="331"/>
      <c r="AE131" s="331"/>
      <c r="AF131" s="331"/>
      <c r="AG131" s="331"/>
      <c r="AH131" s="331"/>
      <c r="AI131" s="331"/>
      <c r="AJ131" s="130"/>
      <c r="AK131" s="330" t="str">
        <f>IF(OR(AK$12=0,AM134=0),"-","RV: "&amp;AM131)</f>
        <v>-</v>
      </c>
      <c r="AL131" s="136"/>
      <c r="AM131" s="346" t="str">
        <f>IF(AM$105=1,geen,HLOOKUP(IF(AM$80="",referentie_verwarming,AM$80),toestellen_RV,ROWS(bibliotheek!$E$79:$E$100),FALSE))</f>
        <v>elektrisch element</v>
      </c>
      <c r="AN131" s="346" t="str">
        <f>IF(OR(AN$101=geen,AN$105=1),geen,HLOOKUP(IF(AN$80="",referentie_koeling,AN$80),toestellen_KOEL,ROWS(bibliotheek!$E$170:$E$183),FALSE))</f>
        <v>geen</v>
      </c>
      <c r="AO131" s="346" t="str">
        <f>IF(AO105=1,geen,HLOOKUP(IF(AO$80="",referentie_warmtapwater,AO$80),toestellen_TAP,ROWS(bibliotheek!$E$136:$E$157),FALSE))</f>
        <v>elektrisch element</v>
      </c>
      <c r="AP131" s="331"/>
      <c r="AQ131" s="331"/>
      <c r="AR131" s="331"/>
      <c r="AS131" s="331"/>
      <c r="AT131" s="331"/>
      <c r="AU131" s="331"/>
      <c r="AV131" s="130"/>
      <c r="AW131" s="330" t="str">
        <f>IF(OR(AW$12=0,AY134=0),"-","RV: "&amp;AY131)</f>
        <v>-</v>
      </c>
      <c r="AX131" s="136"/>
      <c r="AY131" s="346" t="str">
        <f>IF(AY$105=1,geen,HLOOKUP(IF(AY$80="",referentie_verwarming,AY$80),toestellen_RV,ROWS(bibliotheek!$E$79:$E$100),FALSE))</f>
        <v>elektrisch element</v>
      </c>
      <c r="AZ131" s="346" t="str">
        <f>IF(OR(AZ$101=geen,AZ$105=1),geen,HLOOKUP(IF(AZ$80="",referentie_koeling,AZ$80),toestellen_KOEL,ROWS(bibliotheek!$E$170:$E$183),FALSE))</f>
        <v>geen</v>
      </c>
      <c r="BA131" s="346" t="str">
        <f>IF(BA105=1,geen,HLOOKUP(IF(BA$80="",referentie_warmtapwater,BA$80),toestellen_TAP,ROWS(bibliotheek!$E$136:$E$157),FALSE))</f>
        <v>elektrisch element</v>
      </c>
      <c r="BB131" s="331"/>
      <c r="BC131" s="331"/>
      <c r="BD131" s="331"/>
      <c r="BE131" s="331"/>
      <c r="BF131" s="331"/>
      <c r="BG131" s="331"/>
      <c r="BH131" s="266"/>
    </row>
    <row r="132" spans="1:60" hidden="1" x14ac:dyDescent="0.2">
      <c r="A132" s="648"/>
      <c r="B132" s="492" t="s">
        <v>235</v>
      </c>
      <c r="C132" s="656" t="s">
        <v>199</v>
      </c>
      <c r="D132" s="747"/>
      <c r="E132" s="220" t="s">
        <v>208</v>
      </c>
      <c r="F132" s="220"/>
      <c r="G132" s="220"/>
      <c r="H132" s="221" t="s">
        <v>70</v>
      </c>
      <c r="I132" s="90"/>
      <c r="J132" s="230"/>
      <c r="K132" s="90"/>
      <c r="L132" s="90"/>
      <c r="M132" s="230"/>
      <c r="N132" s="129"/>
      <c r="O132" s="347" t="str">
        <f>IF(O131=geen,nvt,HLOOKUP(IF(O$80="",referentie_verwarming,O$80),toestellen_RV,ROWS(bibliotheek!$E$79:$E$101),FALSE))</f>
        <v>elektriciteit</v>
      </c>
      <c r="P132" s="208" t="str">
        <f>IF(P131=geen,nvt,HLOOKUP(IF(P$80="",referentie_koeling,P$80),toestellen_KOEL,ROWS(bibliotheek!$E$170:$E$184),FALSE))</f>
        <v>nvt</v>
      </c>
      <c r="Q132" s="272" t="str">
        <f>IF(Q131=geen,nvt,HLOOKUP(IF(Q$80="",referentie_warmtapwater,Q$80),toestellen_TAP,ROWS(bibliotheek!$E$136:$E$158),FALSE))</f>
        <v>elektriciteit</v>
      </c>
      <c r="R132" s="332"/>
      <c r="S132" s="332"/>
      <c r="T132" s="332"/>
      <c r="U132" s="332"/>
      <c r="V132" s="332"/>
      <c r="W132" s="332"/>
      <c r="X132" s="122"/>
      <c r="Y132" s="230"/>
      <c r="Z132" s="129"/>
      <c r="AA132" s="347" t="str">
        <f>IF(AA131=geen,nvt,HLOOKUP(IF(AA$80="",referentie_verwarming,AA$80),toestellen_RV,ROWS(bibliotheek!$E$79:$E$101),FALSE))</f>
        <v>elektriciteit</v>
      </c>
      <c r="AB132" s="208" t="str">
        <f>IF(AB131=geen,nvt,HLOOKUP(IF(AB$80="",referentie_koeling,AB$80),toestellen_KOEL,ROWS(bibliotheek!$E$170:$E$184),FALSE))</f>
        <v>nvt</v>
      </c>
      <c r="AC132" s="272" t="str">
        <f>IF(AC131=geen,nvt,HLOOKUP(IF(AC$80="",referentie_warmtapwater,AC$80),toestellen_TAP,ROWS(bibliotheek!$E$136:$E$158),FALSE))</f>
        <v>elektriciteit</v>
      </c>
      <c r="AD132" s="332"/>
      <c r="AE132" s="332"/>
      <c r="AF132" s="332"/>
      <c r="AG132" s="332"/>
      <c r="AH132" s="332"/>
      <c r="AI132" s="332"/>
      <c r="AJ132" s="122"/>
      <c r="AK132" s="230"/>
      <c r="AL132" s="129"/>
      <c r="AM132" s="347" t="str">
        <f>IF(AM131=geen,nvt,HLOOKUP(IF(AM$80="",referentie_verwarming,AM$80),toestellen_RV,ROWS(bibliotheek!$E$79:$E$101),FALSE))</f>
        <v>elektriciteit</v>
      </c>
      <c r="AN132" s="208" t="str">
        <f>IF(AN131=geen,nvt,HLOOKUP(IF(AN$80="",referentie_koeling,AN$80),toestellen_KOEL,ROWS(bibliotheek!$E$170:$E$184),FALSE))</f>
        <v>nvt</v>
      </c>
      <c r="AO132" s="272" t="str">
        <f>IF(AO131=geen,nvt,HLOOKUP(IF(AO$80="",referentie_warmtapwater,AO$80),toestellen_TAP,ROWS(bibliotheek!$E$136:$E$158),FALSE))</f>
        <v>elektriciteit</v>
      </c>
      <c r="AP132" s="332"/>
      <c r="AQ132" s="332"/>
      <c r="AR132" s="332"/>
      <c r="AS132" s="332"/>
      <c r="AT132" s="332"/>
      <c r="AU132" s="332"/>
      <c r="AV132" s="122"/>
      <c r="AW132" s="230"/>
      <c r="AX132" s="129"/>
      <c r="AY132" s="347" t="str">
        <f>IF(AY131=geen,nvt,HLOOKUP(IF(AY$80="",referentie_verwarming,AY$80),toestellen_RV,ROWS(bibliotheek!$E$79:$E$101),FALSE))</f>
        <v>elektriciteit</v>
      </c>
      <c r="AZ132" s="208" t="str">
        <f>IF(AZ131=geen,nvt,HLOOKUP(IF(AZ$80="",referentie_koeling,AZ$80),toestellen_KOEL,ROWS(bibliotheek!$E$170:$E$184),FALSE))</f>
        <v>nvt</v>
      </c>
      <c r="BA132" s="272" t="str">
        <f>IF(BA131=geen,nvt,HLOOKUP(IF(BA$80="",referentie_warmtapwater,BA$80),toestellen_TAP,ROWS(bibliotheek!$E$136:$E$158),FALSE))</f>
        <v>elektriciteit</v>
      </c>
      <c r="BB132" s="332"/>
      <c r="BC132" s="332"/>
      <c r="BD132" s="332"/>
      <c r="BE132" s="332"/>
      <c r="BF132" s="332"/>
      <c r="BG132" s="332"/>
      <c r="BH132" s="214"/>
    </row>
    <row r="133" spans="1:60" hidden="1" x14ac:dyDescent="0.2">
      <c r="A133" s="648"/>
      <c r="B133" s="492" t="s">
        <v>235</v>
      </c>
      <c r="C133" s="739" t="s">
        <v>199</v>
      </c>
      <c r="D133" s="747"/>
      <c r="E133" s="221" t="s">
        <v>209</v>
      </c>
      <c r="F133" s="220"/>
      <c r="G133" s="220"/>
      <c r="H133" s="221" t="s">
        <v>70</v>
      </c>
      <c r="I133" s="146"/>
      <c r="J133" s="230"/>
      <c r="K133" s="822"/>
      <c r="L133" s="822"/>
      <c r="M133" s="230"/>
      <c r="N133" s="129"/>
      <c r="O133" s="347" t="str">
        <f>INDEX(energiedragers_index_fPren,MATCH(O132,energiedragers_namen,0))</f>
        <v>nren</v>
      </c>
      <c r="P133" s="208" t="str">
        <f>INDEX(energiedragers_index_fPren,MATCH(P132,energiedragers_namen,0))</f>
        <v>nren</v>
      </c>
      <c r="Q133" s="272" t="str">
        <f>INDEX(energiedragers_index_fPren,MATCH(Q132,energiedragers_namen,0))</f>
        <v>nren</v>
      </c>
      <c r="R133" s="333"/>
      <c r="S133" s="333"/>
      <c r="T133" s="333"/>
      <c r="U133" s="333"/>
      <c r="V133" s="333"/>
      <c r="W133" s="333"/>
      <c r="X133" s="889"/>
      <c r="Y133" s="230"/>
      <c r="Z133" s="129"/>
      <c r="AA133" s="347" t="str">
        <f>INDEX(energiedragers_index_fPren,MATCH(AA132,energiedragers_namen,0))</f>
        <v>nren</v>
      </c>
      <c r="AB133" s="208" t="str">
        <f>INDEX(energiedragers_index_fPren,MATCH(AB132,energiedragers_namen,0))</f>
        <v>nren</v>
      </c>
      <c r="AC133" s="272" t="str">
        <f>INDEX(energiedragers_index_fPren,MATCH(AC132,energiedragers_namen,0))</f>
        <v>nren</v>
      </c>
      <c r="AD133" s="333"/>
      <c r="AE133" s="333"/>
      <c r="AF133" s="333"/>
      <c r="AG133" s="333"/>
      <c r="AH133" s="333"/>
      <c r="AI133" s="333"/>
      <c r="AJ133" s="889"/>
      <c r="AK133" s="230"/>
      <c r="AL133" s="129"/>
      <c r="AM133" s="347" t="str">
        <f>INDEX(energiedragers_index_fPren,MATCH(AM132,energiedragers_namen,0))</f>
        <v>nren</v>
      </c>
      <c r="AN133" s="208" t="str">
        <f>INDEX(energiedragers_index_fPren,MATCH(AN132,energiedragers_namen,0))</f>
        <v>nren</v>
      </c>
      <c r="AO133" s="272" t="str">
        <f>INDEX(energiedragers_index_fPren,MATCH(AO132,energiedragers_namen,0))</f>
        <v>nren</v>
      </c>
      <c r="AP133" s="333"/>
      <c r="AQ133" s="333"/>
      <c r="AR133" s="333"/>
      <c r="AS133" s="333"/>
      <c r="AT133" s="333"/>
      <c r="AU133" s="333"/>
      <c r="AV133" s="889"/>
      <c r="AW133" s="230"/>
      <c r="AX133" s="129"/>
      <c r="AY133" s="347" t="str">
        <f>INDEX(energiedragers_index_fPren,MATCH(AY132,energiedragers_namen,0))</f>
        <v>nren</v>
      </c>
      <c r="AZ133" s="208" t="str">
        <f>INDEX(energiedragers_index_fPren,MATCH(AZ132,energiedragers_namen,0))</f>
        <v>nren</v>
      </c>
      <c r="BA133" s="272" t="str">
        <f>INDEX(energiedragers_index_fPren,MATCH(BA132,energiedragers_namen,0))</f>
        <v>nren</v>
      </c>
      <c r="BB133" s="333"/>
      <c r="BC133" s="333"/>
      <c r="BD133" s="333"/>
      <c r="BE133" s="333"/>
      <c r="BF133" s="333"/>
      <c r="BG133" s="333"/>
      <c r="BH133" s="264"/>
    </row>
    <row r="134" spans="1:60" hidden="1" x14ac:dyDescent="0.2">
      <c r="A134" s="648"/>
      <c r="B134" s="492" t="s">
        <v>235</v>
      </c>
      <c r="C134" s="656" t="s">
        <v>199</v>
      </c>
      <c r="D134" s="747"/>
      <c r="E134" s="220" t="s">
        <v>211</v>
      </c>
      <c r="F134" s="220"/>
      <c r="G134" s="220"/>
      <c r="H134" s="221" t="s">
        <v>70</v>
      </c>
      <c r="I134" s="90"/>
      <c r="J134" s="230"/>
      <c r="K134" s="115"/>
      <c r="L134" s="115"/>
      <c r="M134" s="230"/>
      <c r="N134" s="129"/>
      <c r="O134" s="348">
        <f>1-O105</f>
        <v>9.9999999999999978E-2</v>
      </c>
      <c r="P134" s="348">
        <f>1-P105</f>
        <v>0</v>
      </c>
      <c r="Q134" s="348">
        <f>1-Q105</f>
        <v>9.9999999999999978E-2</v>
      </c>
      <c r="R134" s="334"/>
      <c r="S134" s="334"/>
      <c r="T134" s="334"/>
      <c r="U134" s="334"/>
      <c r="V134" s="334"/>
      <c r="W134" s="334"/>
      <c r="X134" s="122"/>
      <c r="Y134" s="230"/>
      <c r="Z134" s="129"/>
      <c r="AA134" s="348">
        <f>1-AA105</f>
        <v>9.9999999999999978E-2</v>
      </c>
      <c r="AB134" s="348">
        <f>1-AB105</f>
        <v>0</v>
      </c>
      <c r="AC134" s="348">
        <f>1-AC105</f>
        <v>9.9999999999999978E-2</v>
      </c>
      <c r="AD134" s="334"/>
      <c r="AE134" s="334"/>
      <c r="AF134" s="334"/>
      <c r="AG134" s="334"/>
      <c r="AH134" s="334"/>
      <c r="AI134" s="334"/>
      <c r="AJ134" s="122"/>
      <c r="AK134" s="230"/>
      <c r="AL134" s="129"/>
      <c r="AM134" s="348">
        <f>1-AM105</f>
        <v>9.9999999999999978E-2</v>
      </c>
      <c r="AN134" s="348">
        <f>1-AN105</f>
        <v>0</v>
      </c>
      <c r="AO134" s="348">
        <f>1-AO105</f>
        <v>9.9999999999999978E-2</v>
      </c>
      <c r="AP134" s="334"/>
      <c r="AQ134" s="334"/>
      <c r="AR134" s="334"/>
      <c r="AS134" s="334"/>
      <c r="AT134" s="334"/>
      <c r="AU134" s="334"/>
      <c r="AV134" s="122"/>
      <c r="AW134" s="230"/>
      <c r="AX134" s="129"/>
      <c r="AY134" s="348">
        <f>1-AY105</f>
        <v>9.9999999999999978E-2</v>
      </c>
      <c r="AZ134" s="348">
        <f>1-AZ105</f>
        <v>0</v>
      </c>
      <c r="BA134" s="348">
        <f>1-BA105</f>
        <v>9.9999999999999978E-2</v>
      </c>
      <c r="BB134" s="334"/>
      <c r="BC134" s="334"/>
      <c r="BD134" s="334"/>
      <c r="BE134" s="334"/>
      <c r="BF134" s="334"/>
      <c r="BG134" s="334"/>
      <c r="BH134" s="214"/>
    </row>
    <row r="135" spans="1:60" hidden="1" x14ac:dyDescent="0.2">
      <c r="A135" s="648"/>
      <c r="B135" s="492" t="s">
        <v>235</v>
      </c>
      <c r="C135" s="656" t="s">
        <v>199</v>
      </c>
      <c r="D135" s="747"/>
      <c r="E135" s="220" t="s">
        <v>239</v>
      </c>
      <c r="F135" s="220"/>
      <c r="G135" s="220"/>
      <c r="H135" s="221" t="s">
        <v>177</v>
      </c>
      <c r="I135" s="90"/>
      <c r="J135" s="243">
        <f>M135+Y135+AK135+AW135</f>
        <v>0</v>
      </c>
      <c r="K135" s="294"/>
      <c r="L135" s="294"/>
      <c r="M135" s="243">
        <f>SUM(O135:X135)</f>
        <v>0</v>
      </c>
      <c r="N135" s="129"/>
      <c r="O135" s="207">
        <f>O$94*O134</f>
        <v>0</v>
      </c>
      <c r="P135" s="207">
        <f>P$94*P134</f>
        <v>0</v>
      </c>
      <c r="Q135" s="207">
        <f>Q$94*Q134</f>
        <v>0</v>
      </c>
      <c r="R135" s="335"/>
      <c r="S135" s="335"/>
      <c r="T135" s="335"/>
      <c r="U135" s="335"/>
      <c r="V135" s="335"/>
      <c r="W135" s="335"/>
      <c r="X135" s="118"/>
      <c r="Y135" s="243">
        <f>SUM(AA135:AJ135)</f>
        <v>0</v>
      </c>
      <c r="Z135" s="129"/>
      <c r="AA135" s="207">
        <f>AA$94*AA134</f>
        <v>0</v>
      </c>
      <c r="AB135" s="207">
        <f>AB$94*AB134</f>
        <v>0</v>
      </c>
      <c r="AC135" s="207">
        <f>AC$94*AC134</f>
        <v>0</v>
      </c>
      <c r="AD135" s="335"/>
      <c r="AE135" s="335"/>
      <c r="AF135" s="335"/>
      <c r="AG135" s="335"/>
      <c r="AH135" s="335"/>
      <c r="AI135" s="335"/>
      <c r="AJ135" s="118"/>
      <c r="AK135" s="243">
        <f>SUM(AM135:AV135)</f>
        <v>0</v>
      </c>
      <c r="AL135" s="129"/>
      <c r="AM135" s="207">
        <f>AM$94*AM134</f>
        <v>0</v>
      </c>
      <c r="AN135" s="207">
        <f>AN$94*AN134</f>
        <v>0</v>
      </c>
      <c r="AO135" s="207">
        <f>AO$94*AO134</f>
        <v>0</v>
      </c>
      <c r="AP135" s="335"/>
      <c r="AQ135" s="335"/>
      <c r="AR135" s="335"/>
      <c r="AS135" s="335"/>
      <c r="AT135" s="335"/>
      <c r="AU135" s="335"/>
      <c r="AV135" s="118"/>
      <c r="AW135" s="243">
        <f>SUM(AY135:BH135)</f>
        <v>0</v>
      </c>
      <c r="AX135" s="129"/>
      <c r="AY135" s="207">
        <f>AY$94*AY134</f>
        <v>0</v>
      </c>
      <c r="AZ135" s="207">
        <f>AZ$94*AZ134</f>
        <v>0</v>
      </c>
      <c r="BA135" s="207">
        <f>BA$94*BA134</f>
        <v>0</v>
      </c>
      <c r="BB135" s="335"/>
      <c r="BC135" s="335"/>
      <c r="BD135" s="335"/>
      <c r="BE135" s="335"/>
      <c r="BF135" s="335"/>
      <c r="BG135" s="335"/>
      <c r="BH135" s="255"/>
    </row>
    <row r="136" spans="1:60" x14ac:dyDescent="0.2">
      <c r="A136" s="648"/>
      <c r="B136" s="492" t="s">
        <v>235</v>
      </c>
      <c r="C136" s="656" t="s">
        <v>127</v>
      </c>
      <c r="D136" s="747"/>
      <c r="E136" s="316" t="s">
        <v>240</v>
      </c>
      <c r="F136" s="316"/>
      <c r="G136" s="316"/>
      <c r="H136" s="354" t="s">
        <v>70</v>
      </c>
      <c r="I136" s="90"/>
      <c r="J136" s="229"/>
      <c r="K136" s="90"/>
      <c r="L136" s="90"/>
      <c r="M136" s="229"/>
      <c r="N136" s="131"/>
      <c r="O136" s="415">
        <f>IF(O137&lt;&gt;"",O137,HLOOKUP(IF(O$80="",referentie_verwarming,O$80),toestellen_RV,ROWS(bibliotheek!$E$79:$E$103),FALSE))</f>
        <v>1</v>
      </c>
      <c r="P136" s="415">
        <f>IF(P137&lt;&gt;"",P137,HLOOKUP(IF(P$80="",referentie_koeling,P$80),toestellen_KOEL,ROWS(bibliotheek!$E$170:$E$186),FALSE))</f>
        <v>0</v>
      </c>
      <c r="Q136" s="415">
        <f>IF(Q137&lt;&gt;"",Q137,HLOOKUP(IF(Q$80="",referentie_warmtapwater,Q$80),toestellen_TAP,ROWS(bibliotheek!$E$136:$E$160),FALSE))</f>
        <v>1</v>
      </c>
      <c r="R136" s="416"/>
      <c r="S136" s="416"/>
      <c r="T136" s="416"/>
      <c r="U136" s="416"/>
      <c r="V136" s="416"/>
      <c r="W136" s="416"/>
      <c r="X136" s="417"/>
      <c r="Y136" s="418"/>
      <c r="Z136" s="129"/>
      <c r="AA136" s="415">
        <f>IF(AA137&lt;&gt;"",AA137,HLOOKUP(IF(AA$80="",referentie_verwarming,AA$80),toestellen_RV,ROWS(bibliotheek!$E$79:$E$103),FALSE))</f>
        <v>1</v>
      </c>
      <c r="AB136" s="415">
        <f>IF(AB137&lt;&gt;"",AB137,HLOOKUP(IF(AB$80="",referentie_koeling,AB$80),toestellen_KOEL,ROWS(bibliotheek!$E$170:$E$186),FALSE))</f>
        <v>0</v>
      </c>
      <c r="AC136" s="415">
        <f>IF(AC137&lt;&gt;"",AC137,HLOOKUP(IF(AC$80="",referentie_warmtapwater,AC$80),toestellen_TAP,ROWS(bibliotheek!$E$136:$E$160),FALSE))</f>
        <v>1</v>
      </c>
      <c r="AD136" s="416"/>
      <c r="AE136" s="416"/>
      <c r="AF136" s="416"/>
      <c r="AG136" s="416"/>
      <c r="AH136" s="416"/>
      <c r="AI136" s="416"/>
      <c r="AJ136" s="417"/>
      <c r="AK136" s="418"/>
      <c r="AL136" s="129"/>
      <c r="AM136" s="415">
        <f>IF(AM137&lt;&gt;"",AM137,HLOOKUP(IF(AM$80="",referentie_verwarming,AM$80),toestellen_RV,ROWS(bibliotheek!$E$79:$E$103),FALSE))</f>
        <v>1</v>
      </c>
      <c r="AN136" s="415">
        <f>IF(AN137&lt;&gt;"",AN137,HLOOKUP(IF(AN$80="",referentie_koeling,AN$80),toestellen_KOEL,ROWS(bibliotheek!$E$170:$E$186),FALSE))</f>
        <v>0</v>
      </c>
      <c r="AO136" s="415">
        <f>IF(AO137&lt;&gt;"",AO137,HLOOKUP(IF(AO$80="",referentie_warmtapwater,AO$80),toestellen_TAP,ROWS(bibliotheek!$E$136:$E$160),FALSE))</f>
        <v>1</v>
      </c>
      <c r="AP136" s="416"/>
      <c r="AQ136" s="416"/>
      <c r="AR136" s="416"/>
      <c r="AS136" s="416"/>
      <c r="AT136" s="416"/>
      <c r="AU136" s="416"/>
      <c r="AV136" s="417"/>
      <c r="AW136" s="418"/>
      <c r="AX136" s="129"/>
      <c r="AY136" s="415">
        <f>IF(AY137&lt;&gt;"",AY137,HLOOKUP(IF(AY$80="",referentie_verwarming,AY$80),toestellen_RV,ROWS(bibliotheek!$E$79:$E$103),FALSE))</f>
        <v>1</v>
      </c>
      <c r="AZ136" s="415">
        <f>IF(AZ137&lt;&gt;"",AZ137,HLOOKUP(IF(AZ$80="",referentie_koeling,AZ$80),toestellen_KOEL,ROWS(bibliotheek!$E$170:$E$186),FALSE))</f>
        <v>0</v>
      </c>
      <c r="BA136" s="415">
        <f>IF(BA137&lt;&gt;"",BA137,HLOOKUP(IF(BA$80="",referentie_warmtapwater,BA$80),toestellen_TAP,ROWS(bibliotheek!$E$136:$E$160),FALSE))</f>
        <v>1</v>
      </c>
      <c r="BB136" s="363"/>
      <c r="BC136" s="363"/>
      <c r="BD136" s="363"/>
      <c r="BE136" s="363"/>
      <c r="BF136" s="363"/>
      <c r="BG136" s="363"/>
      <c r="BH136" s="214"/>
    </row>
    <row r="137" spans="1:60" x14ac:dyDescent="0.2">
      <c r="A137" s="648"/>
      <c r="B137" s="492" t="s">
        <v>235</v>
      </c>
      <c r="C137" s="656" t="s">
        <v>127</v>
      </c>
      <c r="D137" s="747"/>
      <c r="E137" s="412" t="s">
        <v>215</v>
      </c>
      <c r="F137" s="317"/>
      <c r="G137" s="317"/>
      <c r="H137" s="355"/>
      <c r="I137" s="90"/>
      <c r="J137" s="362"/>
      <c r="K137" s="90"/>
      <c r="L137" s="90"/>
      <c r="M137" s="239"/>
      <c r="N137" s="196"/>
      <c r="O137" s="723"/>
      <c r="P137" s="724"/>
      <c r="Q137" s="723"/>
      <c r="R137" s="725"/>
      <c r="S137" s="725"/>
      <c r="T137" s="725"/>
      <c r="U137" s="725"/>
      <c r="V137" s="725"/>
      <c r="W137" s="725"/>
      <c r="X137" s="414"/>
      <c r="Y137" s="726"/>
      <c r="Z137" s="129"/>
      <c r="AA137" s="723"/>
      <c r="AB137" s="724"/>
      <c r="AC137" s="723"/>
      <c r="AD137" s="725"/>
      <c r="AE137" s="725"/>
      <c r="AF137" s="725"/>
      <c r="AG137" s="725"/>
      <c r="AH137" s="725"/>
      <c r="AI137" s="725"/>
      <c r="AJ137" s="414"/>
      <c r="AK137" s="726"/>
      <c r="AL137" s="129"/>
      <c r="AM137" s="723"/>
      <c r="AN137" s="724"/>
      <c r="AO137" s="723"/>
      <c r="AP137" s="725"/>
      <c r="AQ137" s="725"/>
      <c r="AR137" s="725"/>
      <c r="AS137" s="725"/>
      <c r="AT137" s="725"/>
      <c r="AU137" s="725"/>
      <c r="AV137" s="414"/>
      <c r="AW137" s="726"/>
      <c r="AX137" s="129"/>
      <c r="AY137" s="723"/>
      <c r="AZ137" s="724"/>
      <c r="BA137" s="723"/>
      <c r="BB137" s="364"/>
      <c r="BC137" s="364"/>
      <c r="BD137" s="364"/>
      <c r="BE137" s="364"/>
      <c r="BF137" s="364"/>
      <c r="BG137" s="364"/>
      <c r="BH137" s="214"/>
    </row>
    <row r="138" spans="1:60" hidden="1" x14ac:dyDescent="0.2">
      <c r="A138" s="648"/>
      <c r="B138" s="492" t="s">
        <v>235</v>
      </c>
      <c r="C138" s="656" t="s">
        <v>199</v>
      </c>
      <c r="D138" s="747"/>
      <c r="E138" s="220" t="s">
        <v>241</v>
      </c>
      <c r="F138" s="220"/>
      <c r="G138" s="220"/>
      <c r="H138" s="221" t="s">
        <v>220</v>
      </c>
      <c r="I138" s="90"/>
      <c r="J138" s="243">
        <f>M138+Y138+AK138+AW138</f>
        <v>0</v>
      </c>
      <c r="K138" s="294"/>
      <c r="L138" s="294"/>
      <c r="M138" s="243">
        <f>SUM(O138:X138)</f>
        <v>0</v>
      </c>
      <c r="N138" s="129"/>
      <c r="O138" s="207">
        <f>IF(O$136=0,0,O$135/O$136)</f>
        <v>0</v>
      </c>
      <c r="P138" s="207">
        <f>IF(P$136=0,0,P$135/P$136)</f>
        <v>0</v>
      </c>
      <c r="Q138" s="207">
        <f>IF(Q$136=0,0,Q$135/Q$136)</f>
        <v>0</v>
      </c>
      <c r="R138" s="335"/>
      <c r="S138" s="335"/>
      <c r="T138" s="335"/>
      <c r="U138" s="335"/>
      <c r="V138" s="335"/>
      <c r="W138" s="335"/>
      <c r="X138" s="118"/>
      <c r="Y138" s="243">
        <f>SUM(AA138:AJ138)</f>
        <v>0</v>
      </c>
      <c r="Z138" s="129"/>
      <c r="AA138" s="207">
        <f>IF(AA$136=0,0,AA$135/AA$136)</f>
        <v>0</v>
      </c>
      <c r="AB138" s="207">
        <f>IF(AB$136=0,0,AB$135/AB$136)</f>
        <v>0</v>
      </c>
      <c r="AC138" s="207">
        <f>IF(AC$136=0,0,AC$135/AC$136)</f>
        <v>0</v>
      </c>
      <c r="AD138" s="335"/>
      <c r="AE138" s="335"/>
      <c r="AF138" s="335"/>
      <c r="AG138" s="335"/>
      <c r="AH138" s="335"/>
      <c r="AI138" s="335"/>
      <c r="AJ138" s="118"/>
      <c r="AK138" s="243">
        <f>SUM(AM138:AV138)</f>
        <v>0</v>
      </c>
      <c r="AL138" s="129"/>
      <c r="AM138" s="207">
        <f>IF(AM$136=0,0,AM$135/AM$136)</f>
        <v>0</v>
      </c>
      <c r="AN138" s="207">
        <f>IF(AN$136=0,0,AN$135/AN$136)</f>
        <v>0</v>
      </c>
      <c r="AO138" s="207">
        <f>IF(AO$136=0,0,AO$135/AO$136)</f>
        <v>0</v>
      </c>
      <c r="AP138" s="335"/>
      <c r="AQ138" s="335"/>
      <c r="AR138" s="335"/>
      <c r="AS138" s="335"/>
      <c r="AT138" s="335"/>
      <c r="AU138" s="335"/>
      <c r="AV138" s="118"/>
      <c r="AW138" s="243">
        <f>SUM(AY138:BH138)</f>
        <v>0</v>
      </c>
      <c r="AX138" s="129"/>
      <c r="AY138" s="207">
        <f>IF(AY$136=0,0,AY$135/AY$136)</f>
        <v>0</v>
      </c>
      <c r="AZ138" s="207">
        <f>IF(AZ$136=0,0,AZ$135/AZ$136)</f>
        <v>0</v>
      </c>
      <c r="BA138" s="207">
        <f>IF(BA$136=0,0,BA$135/BA$136)</f>
        <v>0</v>
      </c>
      <c r="BB138" s="335"/>
      <c r="BC138" s="335"/>
      <c r="BD138" s="335"/>
      <c r="BE138" s="335"/>
      <c r="BF138" s="335"/>
      <c r="BG138" s="335"/>
      <c r="BH138" s="255"/>
    </row>
    <row r="139" spans="1:60" ht="18.75" x14ac:dyDescent="0.2">
      <c r="A139" s="648"/>
      <c r="B139" s="492" t="s">
        <v>235</v>
      </c>
      <c r="C139" s="739" t="s">
        <v>104</v>
      </c>
      <c r="D139" s="747"/>
      <c r="E139" s="144" t="s">
        <v>114</v>
      </c>
      <c r="F139" s="231"/>
      <c r="G139" s="231"/>
      <c r="H139" s="89"/>
      <c r="I139" s="232"/>
      <c r="J139" s="231"/>
      <c r="K139" s="232"/>
      <c r="L139" s="232"/>
      <c r="M139" s="231"/>
      <c r="N139" s="232"/>
      <c r="O139" s="232"/>
      <c r="P139" s="232"/>
      <c r="Q139" s="232"/>
      <c r="R139" s="232"/>
      <c r="S139" s="232"/>
      <c r="T139" s="232"/>
      <c r="U139" s="232"/>
      <c r="V139" s="232"/>
      <c r="W139" s="232"/>
      <c r="X139" s="232"/>
      <c r="Y139" s="231"/>
      <c r="Z139" s="232"/>
      <c r="AA139" s="232"/>
      <c r="AB139" s="232"/>
      <c r="AC139" s="232"/>
      <c r="AD139" s="232"/>
      <c r="AE139" s="232"/>
      <c r="AF139" s="232"/>
      <c r="AG139" s="232"/>
      <c r="AH139" s="232"/>
      <c r="AI139" s="232"/>
      <c r="AJ139" s="232"/>
      <c r="AK139" s="231"/>
      <c r="AL139" s="232"/>
      <c r="AM139" s="232"/>
      <c r="AN139" s="232"/>
      <c r="AO139" s="232"/>
      <c r="AP139" s="232"/>
      <c r="AQ139" s="232"/>
      <c r="AR139" s="232"/>
      <c r="AS139" s="232"/>
      <c r="AT139" s="232"/>
      <c r="AU139" s="232"/>
      <c r="AV139" s="232"/>
      <c r="AW139" s="231"/>
      <c r="AX139" s="232"/>
      <c r="AY139" s="232"/>
      <c r="AZ139" s="232"/>
      <c r="BA139" s="232"/>
      <c r="BB139" s="232"/>
      <c r="BC139" s="232"/>
      <c r="BD139" s="232"/>
      <c r="BE139" s="232"/>
      <c r="BF139" s="232"/>
      <c r="BG139" s="232"/>
      <c r="BH139" s="38"/>
    </row>
    <row r="140" spans="1:60" x14ac:dyDescent="0.2">
      <c r="A140" s="648"/>
      <c r="B140" s="492" t="s">
        <v>235</v>
      </c>
      <c r="C140" s="656" t="s">
        <v>127</v>
      </c>
      <c r="D140" s="750" t="s">
        <v>50</v>
      </c>
      <c r="E140" s="316" t="s">
        <v>222</v>
      </c>
      <c r="F140" s="316"/>
      <c r="G140" s="316"/>
      <c r="H140" s="354" t="s">
        <v>223</v>
      </c>
      <c r="I140" s="90"/>
      <c r="J140" s="229"/>
      <c r="K140" s="90"/>
      <c r="L140" s="90"/>
      <c r="M140" s="229"/>
      <c r="N140" s="131"/>
      <c r="O140" s="353">
        <f>IF(O135=0,0,IF(O141&lt;&gt;"",O141,IF(O132=elektriciteit,$G$5,HLOOKUP(O132,ENERGIEDRAGERS,ROWS(bibliotheek!$E$221:$E$223),FALSE))))</f>
        <v>0</v>
      </c>
      <c r="P140" s="353">
        <f>IF(P135=0,0,IF(P141&lt;&gt;"",P141,IF(HLOOKUP(P132,ENERGIEDRAGERS,ROWS(bibliotheek!$E$221:$E$222),FALSE)=0,$G$5,HLOOKUP(P132,ENERGIEDRAGERS,ROWS(bibliotheek!$E$221:$E$223),FALSE))))</f>
        <v>0</v>
      </c>
      <c r="Q140" s="353">
        <f>IF(Q135=0,0,IF(Q141&lt;&gt;"",Q141,IF(Q132=elektriciteit,$G$5,HLOOKUP(Q132,ENERGIEDRAGERS,ROWS(bibliotheek!$E$221:$E$223),FALSE))))</f>
        <v>0</v>
      </c>
      <c r="R140" s="365"/>
      <c r="S140" s="365"/>
      <c r="T140" s="365"/>
      <c r="U140" s="365"/>
      <c r="V140" s="365"/>
      <c r="W140" s="365"/>
      <c r="X140" s="122"/>
      <c r="Y140" s="229"/>
      <c r="Z140" s="131"/>
      <c r="AA140" s="353">
        <f>IF(AA135=0,0,IF(AA141&lt;&gt;"",AA141,IF(AA132=elektriciteit,$G$5,HLOOKUP(AA132,ENERGIEDRAGERS,ROWS(bibliotheek!$E$221:$E$223),FALSE))))</f>
        <v>0</v>
      </c>
      <c r="AB140" s="353">
        <f>IF(AB135=0,0,IF(AB141&lt;&gt;"",AB141,IF(HLOOKUP(AB132,ENERGIEDRAGERS,ROWS(bibliotheek!$E$221:$E$222),FALSE)=0,$G$5,HLOOKUP(AB132,ENERGIEDRAGERS,ROWS(bibliotheek!$E$221:$E$223),FALSE))))</f>
        <v>0</v>
      </c>
      <c r="AC140" s="353">
        <f>IF(AC135=0,0,IF(AC141&lt;&gt;"",AC141,IF(AC132=elektriciteit,$G$5,HLOOKUP(AC132,ENERGIEDRAGERS,ROWS(bibliotheek!$E$221:$E$223),FALSE))))</f>
        <v>0</v>
      </c>
      <c r="AD140" s="365"/>
      <c r="AE140" s="365"/>
      <c r="AF140" s="365"/>
      <c r="AG140" s="365"/>
      <c r="AH140" s="365"/>
      <c r="AI140" s="365"/>
      <c r="AJ140" s="122"/>
      <c r="AK140" s="229"/>
      <c r="AL140" s="131"/>
      <c r="AM140" s="353">
        <f>IF(AM135=0,0,IF(AM141&lt;&gt;"",AM141,IF(AM132=elektriciteit,$G$5,HLOOKUP(AM132,ENERGIEDRAGERS,ROWS(bibliotheek!$E$221:$E$223),FALSE))))</f>
        <v>0</v>
      </c>
      <c r="AN140" s="353">
        <f>IF(AN135=0,0,IF(AN141&lt;&gt;"",AN141,IF(HLOOKUP(AN132,ENERGIEDRAGERS,ROWS(bibliotheek!$E$221:$E$222),FALSE)=0,$G$5,HLOOKUP(AN132,ENERGIEDRAGERS,ROWS(bibliotheek!$E$221:$E$223),FALSE))))</f>
        <v>0</v>
      </c>
      <c r="AO140" s="353">
        <f>IF(AO135=0,0,IF(AO141&lt;&gt;"",AO141,IF(AO132=elektriciteit,$G$5,HLOOKUP(AO132,ENERGIEDRAGERS,ROWS(bibliotheek!$E$221:$E$223),FALSE))))</f>
        <v>0</v>
      </c>
      <c r="AP140" s="365"/>
      <c r="AQ140" s="365"/>
      <c r="AR140" s="365"/>
      <c r="AS140" s="365"/>
      <c r="AT140" s="365"/>
      <c r="AU140" s="365"/>
      <c r="AV140" s="122"/>
      <c r="AW140" s="229"/>
      <c r="AX140" s="131"/>
      <c r="AY140" s="353">
        <f>IF(AY135=0,0,IF(AY141&lt;&gt;"",AY141,IF(AY132=elektriciteit,$G$5,HLOOKUP(AY132,ENERGIEDRAGERS,ROWS(bibliotheek!$E$221:$E$223),FALSE))))</f>
        <v>0</v>
      </c>
      <c r="AZ140" s="353">
        <f>IF(AZ135=0,0,IF(AZ141&lt;&gt;"",AZ141,IF(HLOOKUP(AZ132,ENERGIEDRAGERS,ROWS(bibliotheek!$E$221:$E$222),FALSE)=0,$G$5,HLOOKUP(AZ132,ENERGIEDRAGERS,ROWS(bibliotheek!$E$221:$E$223),FALSE))))</f>
        <v>0</v>
      </c>
      <c r="BA140" s="353">
        <f>IF(BA135=0,0,IF(BA141&lt;&gt;"",BA141,IF(BA132=elektriciteit,$G$5,HLOOKUP(BA132,ENERGIEDRAGERS,ROWS(bibliotheek!$E$221:$E$223),FALSE))))</f>
        <v>0</v>
      </c>
      <c r="BB140" s="365"/>
      <c r="BC140" s="365"/>
      <c r="BD140" s="365"/>
      <c r="BE140" s="365"/>
      <c r="BF140" s="365"/>
      <c r="BG140" s="365"/>
      <c r="BH140" s="214"/>
    </row>
    <row r="141" spans="1:60" x14ac:dyDescent="0.2">
      <c r="A141" s="648"/>
      <c r="B141" s="492" t="s">
        <v>235</v>
      </c>
      <c r="C141" s="656" t="s">
        <v>127</v>
      </c>
      <c r="D141" s="747"/>
      <c r="E141" s="412" t="s">
        <v>224</v>
      </c>
      <c r="F141" s="317"/>
      <c r="G141" s="317"/>
      <c r="H141" s="355"/>
      <c r="I141" s="90"/>
      <c r="J141" s="362"/>
      <c r="K141" s="90"/>
      <c r="L141" s="90"/>
      <c r="M141" s="239"/>
      <c r="N141" s="196"/>
      <c r="O141" s="723"/>
      <c r="P141" s="724"/>
      <c r="Q141" s="723"/>
      <c r="R141" s="725"/>
      <c r="S141" s="725"/>
      <c r="T141" s="725"/>
      <c r="U141" s="725"/>
      <c r="V141" s="725"/>
      <c r="W141" s="725"/>
      <c r="X141" s="414"/>
      <c r="Y141" s="726"/>
      <c r="Z141" s="129"/>
      <c r="AA141" s="723"/>
      <c r="AB141" s="724"/>
      <c r="AC141" s="723"/>
      <c r="AD141" s="725"/>
      <c r="AE141" s="725"/>
      <c r="AF141" s="725"/>
      <c r="AG141" s="725"/>
      <c r="AH141" s="725"/>
      <c r="AI141" s="725"/>
      <c r="AJ141" s="414"/>
      <c r="AK141" s="726"/>
      <c r="AL141" s="129"/>
      <c r="AM141" s="723"/>
      <c r="AN141" s="724"/>
      <c r="AO141" s="723"/>
      <c r="AP141" s="725"/>
      <c r="AQ141" s="725"/>
      <c r="AR141" s="725"/>
      <c r="AS141" s="725"/>
      <c r="AT141" s="725"/>
      <c r="AU141" s="725"/>
      <c r="AV141" s="414"/>
      <c r="AW141" s="726"/>
      <c r="AX141" s="129"/>
      <c r="AY141" s="723"/>
      <c r="AZ141" s="724"/>
      <c r="BA141" s="723"/>
      <c r="BB141" s="364"/>
      <c r="BC141" s="364"/>
      <c r="BD141" s="364"/>
      <c r="BE141" s="364"/>
      <c r="BF141" s="364"/>
      <c r="BG141" s="364"/>
      <c r="BH141" s="214"/>
    </row>
    <row r="142" spans="1:60" x14ac:dyDescent="0.2">
      <c r="A142" s="648"/>
      <c r="B142" s="492" t="s">
        <v>235</v>
      </c>
      <c r="C142" s="656" t="s">
        <v>113</v>
      </c>
      <c r="D142" s="747"/>
      <c r="E142" s="220" t="s">
        <v>114</v>
      </c>
      <c r="F142" s="221"/>
      <c r="G142" s="221"/>
      <c r="H142" s="221" t="s">
        <v>115</v>
      </c>
      <c r="I142" s="90"/>
      <c r="J142" s="243">
        <f>M142+Y142+AK142+AW142</f>
        <v>0</v>
      </c>
      <c r="K142" s="823"/>
      <c r="L142" s="823"/>
      <c r="M142" s="243">
        <f>SUM(O142:X142)</f>
        <v>0</v>
      </c>
      <c r="N142" s="129"/>
      <c r="O142" s="207">
        <f>O$138*O$140</f>
        <v>0</v>
      </c>
      <c r="P142" s="207">
        <f>P$138*P$140</f>
        <v>0</v>
      </c>
      <c r="Q142" s="207">
        <f>Q$138*Q$140</f>
        <v>0</v>
      </c>
      <c r="R142" s="335"/>
      <c r="S142" s="335"/>
      <c r="T142" s="335"/>
      <c r="U142" s="335"/>
      <c r="V142" s="335"/>
      <c r="W142" s="335"/>
      <c r="X142" s="128"/>
      <c r="Y142" s="243">
        <f>SUM(AA142:AJ142)</f>
        <v>0</v>
      </c>
      <c r="Z142" s="129"/>
      <c r="AA142" s="207">
        <f>AA$138*AA$140</f>
        <v>0</v>
      </c>
      <c r="AB142" s="207">
        <f>AB$138*AB$140</f>
        <v>0</v>
      </c>
      <c r="AC142" s="207">
        <f>AC$138*AC$140</f>
        <v>0</v>
      </c>
      <c r="AD142" s="335"/>
      <c r="AE142" s="335"/>
      <c r="AF142" s="335"/>
      <c r="AG142" s="335"/>
      <c r="AH142" s="335"/>
      <c r="AI142" s="335"/>
      <c r="AJ142" s="128"/>
      <c r="AK142" s="243">
        <f>SUM(AM142:AV142)</f>
        <v>0</v>
      </c>
      <c r="AL142" s="129"/>
      <c r="AM142" s="207">
        <f>AM$138*AM$140</f>
        <v>0</v>
      </c>
      <c r="AN142" s="207">
        <f>AN$138*AN$140</f>
        <v>0</v>
      </c>
      <c r="AO142" s="207">
        <f>AO$138*AO$140</f>
        <v>0</v>
      </c>
      <c r="AP142" s="335"/>
      <c r="AQ142" s="335"/>
      <c r="AR142" s="335"/>
      <c r="AS142" s="335"/>
      <c r="AT142" s="335"/>
      <c r="AU142" s="335"/>
      <c r="AV142" s="128"/>
      <c r="AW142" s="243">
        <f>SUM(AY142:BH142)</f>
        <v>0</v>
      </c>
      <c r="AX142" s="129"/>
      <c r="AY142" s="207">
        <f>AY$138*AY$140</f>
        <v>0</v>
      </c>
      <c r="AZ142" s="207">
        <f>AZ$138*AZ$140</f>
        <v>0</v>
      </c>
      <c r="BA142" s="207">
        <f>BA$138*BA$140</f>
        <v>0</v>
      </c>
      <c r="BB142" s="335"/>
      <c r="BC142" s="335"/>
      <c r="BD142" s="335"/>
      <c r="BE142" s="335"/>
      <c r="BF142" s="335"/>
      <c r="BG142" s="335"/>
      <c r="BH142" s="255"/>
    </row>
    <row r="143" spans="1:60" ht="18.75" x14ac:dyDescent="0.2">
      <c r="A143" s="648"/>
      <c r="B143" s="492" t="s">
        <v>235</v>
      </c>
      <c r="C143" s="739" t="s">
        <v>104</v>
      </c>
      <c r="D143" s="747"/>
      <c r="E143" s="231" t="s">
        <v>116</v>
      </c>
      <c r="F143" s="231"/>
      <c r="G143" s="231"/>
      <c r="H143" s="89"/>
      <c r="I143" s="232"/>
      <c r="J143" s="231"/>
      <c r="K143" s="232"/>
      <c r="L143" s="232"/>
      <c r="M143" s="231"/>
      <c r="N143" s="232"/>
      <c r="O143" s="232"/>
      <c r="P143" s="232"/>
      <c r="Q143" s="232"/>
      <c r="R143" s="232"/>
      <c r="S143" s="232"/>
      <c r="T143" s="232"/>
      <c r="U143" s="232"/>
      <c r="V143" s="232"/>
      <c r="W143" s="232"/>
      <c r="X143" s="232"/>
      <c r="Y143" s="231"/>
      <c r="Z143" s="232"/>
      <c r="AA143" s="232"/>
      <c r="AB143" s="232"/>
      <c r="AC143" s="232"/>
      <c r="AD143" s="232"/>
      <c r="AE143" s="232"/>
      <c r="AF143" s="232"/>
      <c r="AG143" s="232"/>
      <c r="AH143" s="232"/>
      <c r="AI143" s="232"/>
      <c r="AJ143" s="232"/>
      <c r="AK143" s="231"/>
      <c r="AL143" s="232"/>
      <c r="AM143" s="232"/>
      <c r="AN143" s="232"/>
      <c r="AO143" s="232"/>
      <c r="AP143" s="232"/>
      <c r="AQ143" s="232"/>
      <c r="AR143" s="232"/>
      <c r="AS143" s="232"/>
      <c r="AT143" s="232"/>
      <c r="AU143" s="232"/>
      <c r="AV143" s="232"/>
      <c r="AW143" s="231"/>
      <c r="AX143" s="232"/>
      <c r="AY143" s="232"/>
      <c r="AZ143" s="232"/>
      <c r="BA143" s="232"/>
      <c r="BB143" s="232"/>
      <c r="BC143" s="232"/>
      <c r="BD143" s="232"/>
      <c r="BE143" s="232"/>
      <c r="BF143" s="232"/>
      <c r="BG143" s="232"/>
      <c r="BH143" s="38"/>
    </row>
    <row r="144" spans="1:60" x14ac:dyDescent="0.2">
      <c r="A144" s="648"/>
      <c r="B144" s="492" t="s">
        <v>235</v>
      </c>
      <c r="C144" s="656" t="s">
        <v>127</v>
      </c>
      <c r="D144" s="747"/>
      <c r="E144" s="366" t="s">
        <v>225</v>
      </c>
      <c r="F144" s="316"/>
      <c r="G144" s="316"/>
      <c r="H144" s="354" t="s">
        <v>226</v>
      </c>
      <c r="I144" s="90"/>
      <c r="J144" s="229"/>
      <c r="K144" s="90"/>
      <c r="L144" s="90"/>
      <c r="M144" s="229"/>
      <c r="N144" s="131"/>
      <c r="O144" s="415">
        <f>IF(O135=0,0,IF(O145&lt;&gt;"",O145,IF(O132=elektriciteit,$H$5,
HLOOKUP(O132,ENERGIEDRAGERS,ROWS(bibliotheek!$E$221:$E$224),FALSE))))</f>
        <v>0</v>
      </c>
      <c r="P144" s="415">
        <f>IF(P135=0,0,IF(P145&lt;&gt;"",P145,IF(P132=elektriciteit,$H$5,
HLOOKUP(P132,ENERGIEDRAGERS,ROWS(bibliotheek!$E$221:$E$224),FALSE))))</f>
        <v>0</v>
      </c>
      <c r="Q144" s="415">
        <f>IF(Q135=0,0,IF(Q145&lt;&gt;"",Q145,IF(Q132=elektriciteit,$H$5,
HLOOKUP(Q132,ENERGIEDRAGERS,ROWS(bibliotheek!$E$221:$E$224),FALSE))))</f>
        <v>0</v>
      </c>
      <c r="R144" s="416"/>
      <c r="S144" s="416"/>
      <c r="T144" s="416"/>
      <c r="U144" s="416"/>
      <c r="V144" s="416"/>
      <c r="W144" s="416"/>
      <c r="X144" s="417"/>
      <c r="Y144" s="229"/>
      <c r="Z144" s="419"/>
      <c r="AA144" s="415">
        <f>IF(AA135=0,0,IF(AA145&lt;&gt;"",AA145,IF(AA132=elektriciteit,$H$5,
HLOOKUP(AA132,ENERGIEDRAGERS,ROWS(bibliotheek!$E$221:$E$224),FALSE))))</f>
        <v>0</v>
      </c>
      <c r="AB144" s="415">
        <f>IF(AB135=0,0,IF(AB145&lt;&gt;"",AB145,IF(AB132=elektriciteit,$H$5,
HLOOKUP(AB132,ENERGIEDRAGERS,ROWS(bibliotheek!$E$221:$E$224),FALSE))))</f>
        <v>0</v>
      </c>
      <c r="AC144" s="415">
        <f>IF(AC135=0,0,IF(AC145&lt;&gt;"",AC145,IF(AC132=elektriciteit,$H$5,
HLOOKUP(AC132,ENERGIEDRAGERS,ROWS(bibliotheek!$E$221:$E$224),FALSE))))</f>
        <v>0</v>
      </c>
      <c r="AD144" s="416"/>
      <c r="AE144" s="416"/>
      <c r="AF144" s="416"/>
      <c r="AG144" s="416"/>
      <c r="AH144" s="416"/>
      <c r="AI144" s="416"/>
      <c r="AJ144" s="417"/>
      <c r="AK144" s="229"/>
      <c r="AL144" s="419"/>
      <c r="AM144" s="415">
        <f>IF(AM135=0,0,IF(AM145&lt;&gt;"",AM145,IF(AM132=elektriciteit,$H$5,
HLOOKUP(AM132,ENERGIEDRAGERS,ROWS(bibliotheek!$E$221:$E$224),FALSE))))</f>
        <v>0</v>
      </c>
      <c r="AN144" s="415">
        <f>IF(AN135=0,0,IF(AN145&lt;&gt;"",AN145,IF(AN132=elektriciteit,$H$5,
HLOOKUP(AN132,ENERGIEDRAGERS,ROWS(bibliotheek!$E$221:$E$224),FALSE))))</f>
        <v>0</v>
      </c>
      <c r="AO144" s="415">
        <f>IF(AO135=0,0,IF(AO145&lt;&gt;"",AO145,IF(AO132=elektriciteit,$H$5,
HLOOKUP(AO132,ENERGIEDRAGERS,ROWS(bibliotheek!$E$221:$E$224),FALSE))))</f>
        <v>0</v>
      </c>
      <c r="AP144" s="416"/>
      <c r="AQ144" s="416"/>
      <c r="AR144" s="416"/>
      <c r="AS144" s="416"/>
      <c r="AT144" s="416"/>
      <c r="AU144" s="416"/>
      <c r="AV144" s="417"/>
      <c r="AW144" s="229"/>
      <c r="AX144" s="419"/>
      <c r="AY144" s="415">
        <f>IF(AY135=0,0,IF(AY145&lt;&gt;"",AY145,IF(AY132=elektriciteit,$H$5,
HLOOKUP(AY132,ENERGIEDRAGERS,ROWS(bibliotheek!$E$221:$E$224),FALSE))))</f>
        <v>0</v>
      </c>
      <c r="AZ144" s="415">
        <f>IF(AZ135=0,0,IF(AZ145&lt;&gt;"",AZ145,IF(AZ132=elektriciteit,$H$5,
HLOOKUP(AZ132,ENERGIEDRAGERS,ROWS(bibliotheek!$E$221:$E$224),FALSE))))</f>
        <v>0</v>
      </c>
      <c r="BA144" s="415">
        <f>IF(BA135=0,0,IF(BA145&lt;&gt;"",BA145,IF(BA132=elektriciteit,$H$5,
HLOOKUP(BA132,ENERGIEDRAGERS,ROWS(bibliotheek!$E$221:$E$224),FALSE))))</f>
        <v>0</v>
      </c>
      <c r="BB144" s="365"/>
      <c r="BC144" s="365"/>
      <c r="BD144" s="365"/>
      <c r="BE144" s="365"/>
      <c r="BF144" s="365"/>
      <c r="BG144" s="365"/>
      <c r="BH144" s="214"/>
    </row>
    <row r="145" spans="1:60" x14ac:dyDescent="0.2">
      <c r="A145" s="648"/>
      <c r="B145" s="492" t="s">
        <v>235</v>
      </c>
      <c r="C145" s="656" t="s">
        <v>127</v>
      </c>
      <c r="D145" s="747"/>
      <c r="E145" s="412" t="s">
        <v>227</v>
      </c>
      <c r="F145" s="317"/>
      <c r="G145" s="317"/>
      <c r="H145" s="355"/>
      <c r="I145" s="90"/>
      <c r="J145" s="362"/>
      <c r="K145" s="90"/>
      <c r="L145" s="90"/>
      <c r="M145" s="239"/>
      <c r="N145" s="196"/>
      <c r="O145" s="723"/>
      <c r="P145" s="724"/>
      <c r="Q145" s="723"/>
      <c r="R145" s="725"/>
      <c r="S145" s="725"/>
      <c r="T145" s="725"/>
      <c r="U145" s="725"/>
      <c r="V145" s="725"/>
      <c r="W145" s="725"/>
      <c r="X145" s="414"/>
      <c r="Y145" s="726"/>
      <c r="Z145" s="129"/>
      <c r="AA145" s="723"/>
      <c r="AB145" s="724"/>
      <c r="AC145" s="723"/>
      <c r="AD145" s="725"/>
      <c r="AE145" s="725"/>
      <c r="AF145" s="725"/>
      <c r="AG145" s="725"/>
      <c r="AH145" s="725"/>
      <c r="AI145" s="725"/>
      <c r="AJ145" s="414"/>
      <c r="AK145" s="726"/>
      <c r="AL145" s="129"/>
      <c r="AM145" s="723"/>
      <c r="AN145" s="724"/>
      <c r="AO145" s="723"/>
      <c r="AP145" s="725"/>
      <c r="AQ145" s="725"/>
      <c r="AR145" s="725"/>
      <c r="AS145" s="725"/>
      <c r="AT145" s="725"/>
      <c r="AU145" s="725"/>
      <c r="AV145" s="414"/>
      <c r="AW145" s="726"/>
      <c r="AX145" s="129"/>
      <c r="AY145" s="723"/>
      <c r="AZ145" s="724"/>
      <c r="BA145" s="723"/>
      <c r="BB145" s="364"/>
      <c r="BC145" s="364"/>
      <c r="BD145" s="364"/>
      <c r="BE145" s="364"/>
      <c r="BF145" s="364"/>
      <c r="BG145" s="364"/>
      <c r="BH145" s="214"/>
    </row>
    <row r="146" spans="1:60" x14ac:dyDescent="0.2">
      <c r="A146" s="648"/>
      <c r="B146" s="492" t="s">
        <v>235</v>
      </c>
      <c r="C146" s="656" t="s">
        <v>113</v>
      </c>
      <c r="D146" s="747"/>
      <c r="E146" s="220" t="s">
        <v>116</v>
      </c>
      <c r="F146" s="221"/>
      <c r="G146" s="221"/>
      <c r="H146" s="221" t="s">
        <v>117</v>
      </c>
      <c r="I146" s="90"/>
      <c r="J146" s="243">
        <f>M146+Y146+AK146+AW146</f>
        <v>0</v>
      </c>
      <c r="K146" s="823"/>
      <c r="L146" s="823"/>
      <c r="M146" s="243">
        <f>SUM(O146:X146)</f>
        <v>0</v>
      </c>
      <c r="N146" s="129"/>
      <c r="O146" s="207">
        <f>O$138*O$144</f>
        <v>0</v>
      </c>
      <c r="P146" s="207">
        <f>P$138*P$144</f>
        <v>0</v>
      </c>
      <c r="Q146" s="207">
        <f>Q$138*Q$144</f>
        <v>0</v>
      </c>
      <c r="R146" s="335"/>
      <c r="S146" s="335"/>
      <c r="T146" s="335"/>
      <c r="U146" s="335"/>
      <c r="V146" s="335"/>
      <c r="W146" s="335"/>
      <c r="X146" s="128"/>
      <c r="Y146" s="243">
        <f>SUM(AA146:AJ146)</f>
        <v>0</v>
      </c>
      <c r="Z146" s="129"/>
      <c r="AA146" s="207">
        <f>AA$138*AA$144</f>
        <v>0</v>
      </c>
      <c r="AB146" s="207">
        <f>AB$138*AB$144</f>
        <v>0</v>
      </c>
      <c r="AC146" s="207">
        <f>AC$138*AC$144</f>
        <v>0</v>
      </c>
      <c r="AD146" s="335"/>
      <c r="AE146" s="335"/>
      <c r="AF146" s="335"/>
      <c r="AG146" s="335"/>
      <c r="AH146" s="335"/>
      <c r="AI146" s="335"/>
      <c r="AJ146" s="128"/>
      <c r="AK146" s="243">
        <f>SUM(AM146:AV146)</f>
        <v>0</v>
      </c>
      <c r="AL146" s="129"/>
      <c r="AM146" s="207">
        <f>AM$138*AM$144</f>
        <v>0</v>
      </c>
      <c r="AN146" s="207">
        <f>AN$138*AN$144</f>
        <v>0</v>
      </c>
      <c r="AO146" s="207">
        <f>AO$138*AO$144</f>
        <v>0</v>
      </c>
      <c r="AP146" s="335"/>
      <c r="AQ146" s="335"/>
      <c r="AR146" s="335"/>
      <c r="AS146" s="335"/>
      <c r="AT146" s="335"/>
      <c r="AU146" s="335"/>
      <c r="AV146" s="128"/>
      <c r="AW146" s="243">
        <f>SUM(AY146:BH146)</f>
        <v>0</v>
      </c>
      <c r="AX146" s="129"/>
      <c r="AY146" s="207">
        <f>AY$138*AY$144</f>
        <v>0</v>
      </c>
      <c r="AZ146" s="207">
        <f>AZ$138*AZ$144</f>
        <v>0</v>
      </c>
      <c r="BA146" s="207">
        <f>BA$138*BA$144</f>
        <v>0</v>
      </c>
      <c r="BB146" s="335"/>
      <c r="BC146" s="335"/>
      <c r="BD146" s="335"/>
      <c r="BE146" s="335"/>
      <c r="BF146" s="335"/>
      <c r="BG146" s="335"/>
      <c r="BH146" s="255"/>
    </row>
    <row r="147" spans="1:60" x14ac:dyDescent="0.2">
      <c r="A147" s="648"/>
      <c r="B147" s="741" t="s">
        <v>242</v>
      </c>
      <c r="C147" s="656" t="s">
        <v>113</v>
      </c>
      <c r="D147" s="747"/>
      <c r="E147" s="90"/>
      <c r="F147" s="90"/>
      <c r="G147" s="90"/>
      <c r="H147" s="96"/>
      <c r="I147" s="90"/>
      <c r="J147" s="93"/>
      <c r="K147" s="90"/>
      <c r="L147" s="90"/>
      <c r="M147" s="93"/>
      <c r="N147" s="90"/>
      <c r="O147" s="90"/>
      <c r="P147" s="90"/>
      <c r="Q147" s="90"/>
      <c r="R147" s="93"/>
      <c r="S147" s="93"/>
      <c r="T147" s="93"/>
      <c r="U147" s="93"/>
      <c r="V147" s="93"/>
      <c r="W147" s="93"/>
      <c r="X147" s="93"/>
      <c r="Y147" s="93"/>
      <c r="Z147" s="90"/>
      <c r="AA147" s="187"/>
      <c r="AB147" s="187"/>
      <c r="AC147" s="187"/>
      <c r="AD147" s="93"/>
      <c r="AE147" s="93"/>
      <c r="AF147" s="93"/>
      <c r="AG147" s="93"/>
      <c r="AH147" s="93"/>
      <c r="AI147" s="93"/>
      <c r="AJ147" s="93"/>
      <c r="AK147" s="93"/>
      <c r="AL147" s="90"/>
      <c r="AM147" s="187"/>
      <c r="AN147" s="187"/>
      <c r="AO147" s="187"/>
      <c r="AP147" s="93"/>
      <c r="AQ147" s="93"/>
      <c r="AR147" s="93"/>
      <c r="AS147" s="93"/>
      <c r="AT147" s="93"/>
      <c r="AU147" s="93"/>
      <c r="AV147" s="93"/>
      <c r="AW147" s="93"/>
      <c r="AX147" s="90"/>
      <c r="AY147" s="187"/>
      <c r="AZ147" s="187"/>
      <c r="BA147" s="187"/>
      <c r="BB147" s="93"/>
      <c r="BC147" s="93"/>
      <c r="BD147" s="93"/>
      <c r="BE147" s="93"/>
      <c r="BF147" s="93"/>
      <c r="BG147" s="93"/>
      <c r="BH147" s="1"/>
    </row>
    <row r="148" spans="1:60" x14ac:dyDescent="0.2">
      <c r="A148" s="648"/>
      <c r="B148" s="492" t="s">
        <v>243</v>
      </c>
      <c r="C148" s="656" t="s">
        <v>104</v>
      </c>
      <c r="D148" s="747"/>
      <c r="E148" s="90"/>
      <c r="F148" s="90"/>
      <c r="G148" s="90"/>
      <c r="H148" s="96"/>
      <c r="I148" s="90"/>
      <c r="J148" s="93"/>
      <c r="K148" s="90"/>
      <c r="L148" s="90"/>
      <c r="M148" s="93"/>
      <c r="N148" s="90"/>
      <c r="O148" s="128"/>
      <c r="P148" s="93"/>
      <c r="Q148" s="93"/>
      <c r="R148" s="93"/>
      <c r="S148" s="93"/>
      <c r="T148" s="93"/>
      <c r="U148" s="93"/>
      <c r="V148" s="93"/>
      <c r="W148" s="93"/>
      <c r="X148" s="93"/>
      <c r="Y148" s="93"/>
      <c r="Z148" s="90"/>
      <c r="AA148" s="128"/>
      <c r="AB148" s="93"/>
      <c r="AC148" s="93"/>
      <c r="AD148" s="93"/>
      <c r="AE148" s="93"/>
      <c r="AF148" s="93"/>
      <c r="AG148" s="93"/>
      <c r="AH148" s="93"/>
      <c r="AI148" s="93"/>
      <c r="AJ148" s="93"/>
      <c r="AK148" s="93"/>
      <c r="AL148" s="90"/>
      <c r="AM148" s="128"/>
      <c r="AN148" s="93"/>
      <c r="AO148" s="93"/>
      <c r="AP148" s="93"/>
      <c r="AQ148" s="93"/>
      <c r="AR148" s="93"/>
      <c r="AS148" s="93"/>
      <c r="AT148" s="93"/>
      <c r="AU148" s="93"/>
      <c r="AV148" s="93"/>
      <c r="AW148" s="93"/>
      <c r="AX148" s="90"/>
      <c r="AY148" s="128"/>
      <c r="AZ148" s="93"/>
      <c r="BA148" s="93"/>
      <c r="BB148" s="93"/>
      <c r="BC148" s="93"/>
      <c r="BD148" s="93"/>
      <c r="BE148" s="93"/>
      <c r="BF148" s="93"/>
      <c r="BG148" s="93"/>
      <c r="BH148" s="1"/>
    </row>
    <row r="149" spans="1:60" ht="21" x14ac:dyDescent="0.2">
      <c r="A149" s="648"/>
      <c r="B149" s="492" t="s">
        <v>243</v>
      </c>
      <c r="C149" s="739" t="s">
        <v>104</v>
      </c>
      <c r="D149" s="750" t="s">
        <v>50</v>
      </c>
      <c r="E149" s="240" t="s">
        <v>244</v>
      </c>
      <c r="F149" s="240"/>
      <c r="G149" s="825"/>
      <c r="H149" s="216"/>
      <c r="I149" s="88"/>
      <c r="J149" s="241" t="s">
        <v>58</v>
      </c>
      <c r="K149" s="142"/>
      <c r="L149" s="142"/>
      <c r="M149" s="216" t="s">
        <v>237</v>
      </c>
      <c r="N149" s="222"/>
      <c r="O149" s="217" t="str">
        <f t="shared" ref="O149:V149" si="93">O$10</f>
        <v>verwarming</v>
      </c>
      <c r="P149" s="217" t="str">
        <f t="shared" si="93"/>
        <v>koeling</v>
      </c>
      <c r="Q149" s="217" t="str">
        <f t="shared" si="93"/>
        <v>tapwater</v>
      </c>
      <c r="R149" s="217" t="str">
        <f t="shared" si="93"/>
        <v>verlichting</v>
      </c>
      <c r="S149" s="217" t="str">
        <f t="shared" si="93"/>
        <v>ventilatoren</v>
      </c>
      <c r="T149" s="217" t="str">
        <f t="shared" si="93"/>
        <v>kookgas</v>
      </c>
      <c r="U149" s="217" t="str">
        <f t="shared" si="93"/>
        <v>overig elektra</v>
      </c>
      <c r="V149" s="217" t="str">
        <f t="shared" si="93"/>
        <v>mobiliteit</v>
      </c>
      <c r="W149" s="217"/>
      <c r="X149" s="214"/>
      <c r="Y149" s="216" t="s">
        <v>237</v>
      </c>
      <c r="Z149" s="222"/>
      <c r="AA149" s="217" t="str">
        <f t="shared" ref="AA149:AH149" si="94">AA$10</f>
        <v>verwarming</v>
      </c>
      <c r="AB149" s="217" t="str">
        <f t="shared" si="94"/>
        <v>koeling</v>
      </c>
      <c r="AC149" s="217" t="str">
        <f t="shared" si="94"/>
        <v>tapwater</v>
      </c>
      <c r="AD149" s="217" t="str">
        <f t="shared" si="94"/>
        <v>verlichting</v>
      </c>
      <c r="AE149" s="217" t="str">
        <f t="shared" si="94"/>
        <v>ventilatoren</v>
      </c>
      <c r="AF149" s="217" t="str">
        <f t="shared" si="94"/>
        <v>kookgas</v>
      </c>
      <c r="AG149" s="217" t="str">
        <f t="shared" si="94"/>
        <v>overig elektra</v>
      </c>
      <c r="AH149" s="217" t="str">
        <f t="shared" si="94"/>
        <v>mobiliteit</v>
      </c>
      <c r="AI149" s="217"/>
      <c r="AJ149" s="214"/>
      <c r="AK149" s="216" t="s">
        <v>237</v>
      </c>
      <c r="AL149" s="222"/>
      <c r="AM149" s="217" t="str">
        <f>AM$10</f>
        <v>verwarming</v>
      </c>
      <c r="AN149" s="217" t="str">
        <f t="shared" ref="AN149:AT149" si="95">AN$10</f>
        <v>koeling</v>
      </c>
      <c r="AO149" s="217" t="str">
        <f t="shared" si="95"/>
        <v>tapwater</v>
      </c>
      <c r="AP149" s="217" t="str">
        <f t="shared" si="95"/>
        <v>verlichting</v>
      </c>
      <c r="AQ149" s="217" t="str">
        <f t="shared" si="95"/>
        <v>ventilatoren</v>
      </c>
      <c r="AR149" s="217" t="str">
        <f t="shared" si="95"/>
        <v>kookgas</v>
      </c>
      <c r="AS149" s="217" t="str">
        <f t="shared" si="95"/>
        <v>overig elektra</v>
      </c>
      <c r="AT149" s="217" t="str">
        <f t="shared" si="95"/>
        <v>mobiliteit</v>
      </c>
      <c r="AU149" s="217"/>
      <c r="AV149" s="214"/>
      <c r="AW149" s="216" t="s">
        <v>237</v>
      </c>
      <c r="AX149" s="222"/>
      <c r="AY149" s="217" t="str">
        <f>AY$10</f>
        <v>verwarming</v>
      </c>
      <c r="AZ149" s="217" t="str">
        <f t="shared" ref="AZ149:BF149" si="96">AZ$10</f>
        <v>koeling</v>
      </c>
      <c r="BA149" s="217" t="str">
        <f t="shared" si="96"/>
        <v>tapwater</v>
      </c>
      <c r="BB149" s="217" t="str">
        <f t="shared" si="96"/>
        <v>verlichting</v>
      </c>
      <c r="BC149" s="217" t="str">
        <f t="shared" si="96"/>
        <v>ventilatoren</v>
      </c>
      <c r="BD149" s="217" t="str">
        <f t="shared" si="96"/>
        <v>kookgas</v>
      </c>
      <c r="BE149" s="217" t="str">
        <f t="shared" si="96"/>
        <v>overig elektra</v>
      </c>
      <c r="BF149" s="217" t="str">
        <f t="shared" si="96"/>
        <v>mobiliteit</v>
      </c>
      <c r="BG149" s="217"/>
      <c r="BH149" s="1"/>
    </row>
    <row r="150" spans="1:60" ht="18.75" x14ac:dyDescent="0.2">
      <c r="A150" s="648"/>
      <c r="B150" s="492" t="s">
        <v>243</v>
      </c>
      <c r="C150" s="739" t="s">
        <v>104</v>
      </c>
      <c r="D150" s="747"/>
      <c r="E150" s="231" t="s">
        <v>245</v>
      </c>
      <c r="F150" s="231"/>
      <c r="G150" s="231"/>
      <c r="H150" s="89"/>
      <c r="I150" s="232"/>
      <c r="J150" s="231"/>
      <c r="K150" s="232"/>
      <c r="L150" s="232"/>
      <c r="M150" s="231"/>
      <c r="N150" s="232"/>
      <c r="O150" s="232"/>
      <c r="P150" s="232"/>
      <c r="Q150" s="232"/>
      <c r="R150" s="232"/>
      <c r="S150" s="232"/>
      <c r="T150" s="232"/>
      <c r="U150" s="232"/>
      <c r="V150" s="232"/>
      <c r="W150" s="232"/>
      <c r="X150" s="232"/>
      <c r="Y150" s="231"/>
      <c r="Z150" s="232"/>
      <c r="AA150" s="232"/>
      <c r="AB150" s="232"/>
      <c r="AC150" s="232"/>
      <c r="AD150" s="232"/>
      <c r="AE150" s="232"/>
      <c r="AF150" s="232"/>
      <c r="AG150" s="232"/>
      <c r="AH150" s="232"/>
      <c r="AI150" s="232"/>
      <c r="AJ150" s="232"/>
      <c r="AK150" s="231"/>
      <c r="AL150" s="232"/>
      <c r="AM150" s="232"/>
      <c r="AN150" s="232"/>
      <c r="AO150" s="232"/>
      <c r="AP150" s="232"/>
      <c r="AQ150" s="232"/>
      <c r="AR150" s="232"/>
      <c r="AS150" s="232"/>
      <c r="AT150" s="232"/>
      <c r="AU150" s="232"/>
      <c r="AV150" s="232"/>
      <c r="AW150" s="231"/>
      <c r="AX150" s="232"/>
      <c r="AY150" s="232"/>
      <c r="AZ150" s="232"/>
      <c r="BA150" s="232"/>
      <c r="BB150" s="232"/>
      <c r="BC150" s="232"/>
      <c r="BD150" s="232"/>
      <c r="BE150" s="232"/>
      <c r="BF150" s="232"/>
      <c r="BG150" s="232"/>
      <c r="BH150" s="38"/>
    </row>
    <row r="151" spans="1:60" x14ac:dyDescent="0.2">
      <c r="A151" s="648"/>
      <c r="B151" s="492" t="s">
        <v>243</v>
      </c>
      <c r="C151" s="656" t="s">
        <v>127</v>
      </c>
      <c r="D151" s="747"/>
      <c r="E151" s="316" t="s">
        <v>246</v>
      </c>
      <c r="F151" s="316"/>
      <c r="G151" s="316"/>
      <c r="H151" s="354" t="s">
        <v>232</v>
      </c>
      <c r="I151" s="232"/>
      <c r="J151" s="368"/>
      <c r="K151" s="294"/>
      <c r="L151" s="294"/>
      <c r="M151" s="368"/>
      <c r="N151" s="444"/>
      <c r="O151" s="445">
        <f>IF(O152&lt;&gt;"",O152,HLOOKUP(IF(O$80="",referentie_verwarming,O$80),toestellen_RV,ROWS(bibliotheek!$E$79:$E$114),FALSE))</f>
        <v>0</v>
      </c>
      <c r="P151" s="445">
        <f>IF(P152&lt;&gt;"",P152,HLOOKUP(IF(P$80="",referentie_koeling,P$80),toestellen_KOEL,ROWS(bibliotheek!$E$170:$E$189),FALSE))</f>
        <v>0</v>
      </c>
      <c r="Q151" s="445">
        <f>IF(Q152&lt;&gt;"",Q152,HLOOKUP(IF(Q$80="",referentie_warmtapwater,Q$80),toestellen_TAP,ROWS(bibliotheek!$E$136:$E$163),FALSE))</f>
        <v>4.4999999999999998E-2</v>
      </c>
      <c r="R151" s="446"/>
      <c r="S151" s="446"/>
      <c r="T151" s="446"/>
      <c r="U151" s="446"/>
      <c r="V151" s="446"/>
      <c r="W151" s="446"/>
      <c r="X151" s="422"/>
      <c r="Y151" s="352"/>
      <c r="Z151" s="444"/>
      <c r="AA151" s="445">
        <f>IF(AA152&lt;&gt;"",AA152,HLOOKUP(IF(AA$80="",referentie_verwarming,AA$80),toestellen_RV,ROWS(bibliotheek!$E$79:$E$114),FALSE))</f>
        <v>0</v>
      </c>
      <c r="AB151" s="445">
        <f>IF(AB152&lt;&gt;"",AB152,HLOOKUP(IF(AB$80="",referentie_koeling,AB$80),toestellen_KOEL,ROWS(bibliotheek!$E$170:$E$189),FALSE))</f>
        <v>0</v>
      </c>
      <c r="AC151" s="445">
        <f>IF(AC152&lt;&gt;"",AC152,HLOOKUP(IF(AC$80="",referentie_warmtapwater,AC$80),toestellen_TAP,ROWS(bibliotheek!$E$136:$E$163),FALSE))</f>
        <v>4.4999999999999998E-2</v>
      </c>
      <c r="AD151" s="446"/>
      <c r="AE151" s="446"/>
      <c r="AF151" s="446"/>
      <c r="AG151" s="446"/>
      <c r="AH151" s="446"/>
      <c r="AI151" s="446"/>
      <c r="AJ151" s="422"/>
      <c r="AK151" s="352"/>
      <c r="AL151" s="444"/>
      <c r="AM151" s="445">
        <f>IF(AM152&lt;&gt;"",AM152,HLOOKUP(IF(AM$80="",referentie_verwarming,AM$80),toestellen_RV,ROWS(bibliotheek!$E$79:$E$114),FALSE))</f>
        <v>0</v>
      </c>
      <c r="AN151" s="445">
        <f>IF(AN152&lt;&gt;"",AN152,HLOOKUP(IF(AN$80="",referentie_koeling,AN$80),toestellen_KOEL,ROWS(bibliotheek!$E$170:$E$189),FALSE))</f>
        <v>0</v>
      </c>
      <c r="AO151" s="445">
        <f>IF(AO152&lt;&gt;"",AO152,HLOOKUP(IF(AO$80="",referentie_warmtapwater,AO$80),toestellen_TAP,ROWS(bibliotheek!$E$136:$E$163),FALSE))</f>
        <v>4.4999999999999998E-2</v>
      </c>
      <c r="AP151" s="446"/>
      <c r="AQ151" s="446"/>
      <c r="AR151" s="446"/>
      <c r="AS151" s="446"/>
      <c r="AT151" s="446"/>
      <c r="AU151" s="446"/>
      <c r="AV151" s="422"/>
      <c r="AW151" s="352"/>
      <c r="AX151" s="444"/>
      <c r="AY151" s="445">
        <f>IF(AY152&lt;&gt;"",AY152,HLOOKUP(IF(AY$80="",referentie_verwarming,AY$80),toestellen_RV,ROWS(bibliotheek!$E$79:$E$114),FALSE))</f>
        <v>0</v>
      </c>
      <c r="AZ151" s="445">
        <f>IF(AZ152&lt;&gt;"",AZ152,HLOOKUP(IF(AZ$80="",referentie_koeling,AZ$80),toestellen_KOEL,ROWS(bibliotheek!$E$170:$E$189),FALSE))</f>
        <v>0</v>
      </c>
      <c r="BA151" s="445">
        <f>IF(BA152&lt;&gt;"",BA152,HLOOKUP(IF(BA$80="",referentie_warmtapwater,BA$80),toestellen_TAP,ROWS(bibliotheek!$E$136:$E$163),FALSE))</f>
        <v>4.4999999999999998E-2</v>
      </c>
      <c r="BB151" s="369"/>
      <c r="BC151" s="369"/>
      <c r="BD151" s="369"/>
      <c r="BE151" s="369"/>
      <c r="BF151" s="369"/>
      <c r="BG151" s="369"/>
      <c r="BH151" s="214"/>
    </row>
    <row r="152" spans="1:60" x14ac:dyDescent="0.2">
      <c r="A152" s="648"/>
      <c r="B152" s="492" t="s">
        <v>243</v>
      </c>
      <c r="C152" s="656" t="s">
        <v>127</v>
      </c>
      <c r="D152" s="747"/>
      <c r="E152" s="412" t="s">
        <v>227</v>
      </c>
      <c r="F152" s="317"/>
      <c r="G152" s="317"/>
      <c r="H152" s="355"/>
      <c r="I152" s="232"/>
      <c r="J152" s="362"/>
      <c r="K152" s="294"/>
      <c r="L152" s="294"/>
      <c r="M152" s="370"/>
      <c r="N152" s="371"/>
      <c r="O152" s="338"/>
      <c r="P152" s="344"/>
      <c r="Q152" s="338"/>
      <c r="R152" s="372"/>
      <c r="S152" s="372"/>
      <c r="T152" s="372"/>
      <c r="U152" s="372"/>
      <c r="V152" s="372"/>
      <c r="W152" s="372"/>
      <c r="X152" s="128"/>
      <c r="Y152" s="370"/>
      <c r="Z152" s="371"/>
      <c r="AA152" s="338"/>
      <c r="AB152" s="344"/>
      <c r="AC152" s="338"/>
      <c r="AD152" s="372"/>
      <c r="AE152" s="372"/>
      <c r="AF152" s="372"/>
      <c r="AG152" s="372"/>
      <c r="AH152" s="372"/>
      <c r="AI152" s="372"/>
      <c r="AJ152" s="128"/>
      <c r="AK152" s="370"/>
      <c r="AL152" s="371"/>
      <c r="AM152" s="338"/>
      <c r="AN152" s="344"/>
      <c r="AO152" s="338"/>
      <c r="AP152" s="372"/>
      <c r="AQ152" s="372"/>
      <c r="AR152" s="372"/>
      <c r="AS152" s="372"/>
      <c r="AT152" s="372"/>
      <c r="AU152" s="372"/>
      <c r="AV152" s="128"/>
      <c r="AW152" s="370"/>
      <c r="AX152" s="371"/>
      <c r="AY152" s="338"/>
      <c r="AZ152" s="344"/>
      <c r="BA152" s="338"/>
      <c r="BB152" s="372"/>
      <c r="BC152" s="372"/>
      <c r="BD152" s="372"/>
      <c r="BE152" s="372"/>
      <c r="BF152" s="372"/>
      <c r="BG152" s="372"/>
      <c r="BH152" s="214"/>
    </row>
    <row r="153" spans="1:60" x14ac:dyDescent="0.2">
      <c r="A153" s="650"/>
      <c r="B153" s="492" t="s">
        <v>243</v>
      </c>
      <c r="C153" s="656" t="s">
        <v>127</v>
      </c>
      <c r="D153" s="752"/>
      <c r="E153" s="298" t="s">
        <v>247</v>
      </c>
      <c r="F153" s="298"/>
      <c r="G153" s="298"/>
      <c r="H153" s="242" t="s">
        <v>220</v>
      </c>
      <c r="I153" s="232"/>
      <c r="J153" s="243">
        <f>M153+Y153+AK153+AW153</f>
        <v>0</v>
      </c>
      <c r="K153" s="294"/>
      <c r="L153" s="294"/>
      <c r="M153" s="243">
        <f>SUM(O153:X153)</f>
        <v>0</v>
      </c>
      <c r="N153" s="100"/>
      <c r="O153" s="207">
        <f>O$123*O$151</f>
        <v>0</v>
      </c>
      <c r="P153" s="207">
        <f>P$123*P$151</f>
        <v>0</v>
      </c>
      <c r="Q153" s="207">
        <f>Q$123*Q$151</f>
        <v>0</v>
      </c>
      <c r="R153" s="335"/>
      <c r="S153" s="335"/>
      <c r="T153" s="335"/>
      <c r="U153" s="335"/>
      <c r="V153" s="335"/>
      <c r="W153" s="335"/>
      <c r="X153" s="118"/>
      <c r="Y153" s="243">
        <f>SUM(AA153:AJ153)</f>
        <v>0</v>
      </c>
      <c r="Z153" s="100"/>
      <c r="AA153" s="207">
        <f>AA$123*AA$151</f>
        <v>0</v>
      </c>
      <c r="AB153" s="207">
        <f>AB$123*AB$151</f>
        <v>0</v>
      </c>
      <c r="AC153" s="207">
        <f>AC$123*AC$151</f>
        <v>0</v>
      </c>
      <c r="AD153" s="335"/>
      <c r="AE153" s="335"/>
      <c r="AF153" s="335"/>
      <c r="AG153" s="335"/>
      <c r="AH153" s="335"/>
      <c r="AI153" s="335"/>
      <c r="AJ153" s="118"/>
      <c r="AK153" s="243">
        <f>SUM(AM153:AV153)</f>
        <v>0</v>
      </c>
      <c r="AL153" s="100"/>
      <c r="AM153" s="207">
        <f>AM$123*AM$151</f>
        <v>0</v>
      </c>
      <c r="AN153" s="207">
        <f>AN$123*AN$151</f>
        <v>0</v>
      </c>
      <c r="AO153" s="207">
        <f>AO$123*AO$151</f>
        <v>0</v>
      </c>
      <c r="AP153" s="335"/>
      <c r="AQ153" s="335"/>
      <c r="AR153" s="335"/>
      <c r="AS153" s="335"/>
      <c r="AT153" s="335"/>
      <c r="AU153" s="335"/>
      <c r="AV153" s="118"/>
      <c r="AW153" s="243">
        <f>SUM(AY153:BH153)</f>
        <v>0</v>
      </c>
      <c r="AX153" s="100"/>
      <c r="AY153" s="207">
        <f>AY$123*AY$151</f>
        <v>0</v>
      </c>
      <c r="AZ153" s="207">
        <f>AZ$123*AZ$151</f>
        <v>0</v>
      </c>
      <c r="BA153" s="207">
        <f>BA$123*BA$151</f>
        <v>0</v>
      </c>
      <c r="BB153" s="335"/>
      <c r="BC153" s="335"/>
      <c r="BD153" s="335"/>
      <c r="BE153" s="335"/>
      <c r="BF153" s="335"/>
      <c r="BG153" s="335"/>
      <c r="BH153" s="214"/>
    </row>
    <row r="154" spans="1:60" hidden="1" x14ac:dyDescent="0.2">
      <c r="A154" s="650"/>
      <c r="B154" s="492" t="s">
        <v>243</v>
      </c>
      <c r="C154" s="740" t="s">
        <v>199</v>
      </c>
      <c r="D154" s="752" t="s">
        <v>50</v>
      </c>
      <c r="E154" s="298" t="s">
        <v>248</v>
      </c>
      <c r="F154" s="298"/>
      <c r="G154" s="298"/>
      <c r="H154" s="242" t="s">
        <v>220</v>
      </c>
      <c r="I154" s="232"/>
      <c r="J154" s="243">
        <f>M154+Y154+AK154+AW154</f>
        <v>0</v>
      </c>
      <c r="K154" s="294"/>
      <c r="L154" s="294"/>
      <c r="M154" s="243">
        <f>SUM(O154:X154)</f>
        <v>0</v>
      </c>
      <c r="N154" s="100"/>
      <c r="O154" s="207">
        <f>IF(O33=0,0,
(O$95*IFERROR((  INDEX(bibliotheek!$E$105:$AT$105,MATCH(O$80,toestellen_RV_kopregel,0)) +
INDEX(bibliotheek!$E$106:$AT$106,MATCH(O$80,toestellen_RV_kopregel,0))  *(O$94*1000/O$95)/
(  INDEX(bibliotheek!$E$107:$AT$107,MATCH(O$80,toestellen_RV_kopregel,0)) *
INDEX(bibliotheek!$E$108:$AT$108,MATCH(O$80,toestellen_RV_kopregel,0)) ) ),0)+
O$95*INDEX(bibliotheek!$E$109:$AT$109,MATCH(O$80,toestellen_RV_kopregel,0))+
O$96*INDEX(bibliotheek!$E$110:$AT$110,MATCH(O$80,toestellen_RV_kopregel,0)))/1000)</f>
        <v>0</v>
      </c>
      <c r="P154" s="335"/>
      <c r="Q154" s="335"/>
      <c r="R154" s="207">
        <f>R$75</f>
        <v>0</v>
      </c>
      <c r="S154" s="207">
        <f>S$75</f>
        <v>0</v>
      </c>
      <c r="T154" s="335"/>
      <c r="U154" s="207">
        <f>U$75</f>
        <v>0</v>
      </c>
      <c r="V154" s="207">
        <f>V$75</f>
        <v>0</v>
      </c>
      <c r="W154" s="335"/>
      <c r="X154" s="118"/>
      <c r="Y154" s="243">
        <f>SUM(AA154:AJ154)</f>
        <v>0</v>
      </c>
      <c r="Z154" s="100"/>
      <c r="AA154" s="207">
        <f>IF(AA33=0,0,
(AA$95*IFERROR((  INDEX(bibliotheek!$E$105:$AT$105,MATCH(AA$80,toestellen_RV_kopregel,0)) +
INDEX(bibliotheek!$E$106:$AT$106,MATCH(AA$80,toestellen_RV_kopregel,0))  *(AA$94*1000/AA$95)/
(  INDEX(bibliotheek!$E$107:$AT$107,MATCH(AA$80,toestellen_RV_kopregel,0)) *
INDEX(bibliotheek!$E$108:$AT$108,MATCH(AA$80,toestellen_RV_kopregel,0)) ) ),0)+
AA$95*INDEX(bibliotheek!$E$109:$AT$109,MATCH(AA$80,toestellen_RV_kopregel,0))+
AA$96*INDEX(bibliotheek!$E$110:$AT$110,MATCH(AA$80,toestellen_RV_kopregel,0)))/1000)</f>
        <v>0</v>
      </c>
      <c r="AB154" s="335"/>
      <c r="AC154" s="335"/>
      <c r="AD154" s="207">
        <f>AD$75</f>
        <v>0</v>
      </c>
      <c r="AE154" s="207">
        <f>AE$75</f>
        <v>0</v>
      </c>
      <c r="AF154" s="335"/>
      <c r="AG154" s="207">
        <f>AG$75</f>
        <v>0</v>
      </c>
      <c r="AH154" s="207">
        <f>AH$75</f>
        <v>0</v>
      </c>
      <c r="AI154" s="335"/>
      <c r="AJ154" s="118"/>
      <c r="AK154" s="243">
        <f>SUM(AM154:AV154)</f>
        <v>0</v>
      </c>
      <c r="AL154" s="100"/>
      <c r="AM154" s="207">
        <f>IF(AM33=0,0,
(AM$95*IFERROR((  INDEX(bibliotheek!$E$105:$AT$105,MATCH(AM$80,toestellen_RV_kopregel,0)) +
INDEX(bibliotheek!$E$106:$AT$106,MATCH(AM$80,toestellen_RV_kopregel,0))  *(AM$94*1000/AM$95)/
(  INDEX(bibliotheek!$E$107:$AT$107,MATCH(AM$80,toestellen_RV_kopregel,0)) *
INDEX(bibliotheek!$E$108:$AT$108,MATCH(AM$80,toestellen_RV_kopregel,0)) ) ),0)+
AM$95*INDEX(bibliotheek!$E$109:$AT$109,MATCH(AM$80,toestellen_RV_kopregel,0))+
AM$96*INDEX(bibliotheek!$E$110:$AT$110,MATCH(AM$80,toestellen_RV_kopregel,0)))/1000)</f>
        <v>0</v>
      </c>
      <c r="AN154" s="335"/>
      <c r="AO154" s="335"/>
      <c r="AP154" s="207">
        <f>AP$75</f>
        <v>0</v>
      </c>
      <c r="AQ154" s="207">
        <f>AQ$75</f>
        <v>0</v>
      </c>
      <c r="AR154" s="335"/>
      <c r="AS154" s="207">
        <f>AS$75</f>
        <v>0</v>
      </c>
      <c r="AT154" s="207">
        <f>AT$75</f>
        <v>0</v>
      </c>
      <c r="AU154" s="335"/>
      <c r="AV154" s="118"/>
      <c r="AW154" s="243">
        <f>SUM(AY154:BH154)</f>
        <v>0</v>
      </c>
      <c r="AX154" s="100"/>
      <c r="AY154" s="207">
        <f>IF(AY33=0,0,
(AY$95*IFERROR((  INDEX(bibliotheek!$E$105:$AT$105,MATCH(AY$80,toestellen_RV_kopregel,0)) +
INDEX(bibliotheek!$E$106:$AT$106,MATCH(AY$80,toestellen_RV_kopregel,0))  *(AY$94*1000/AY$95)/
(  INDEX(bibliotheek!$E$107:$AT$107,MATCH(AY$80,toestellen_RV_kopregel,0)) *
INDEX(bibliotheek!$E$108:$AT$108,MATCH(AY$80,toestellen_RV_kopregel,0)) ) ),0)+
AY$95*INDEX(bibliotheek!$E$109:$AT$109,MATCH(AY$80,toestellen_RV_kopregel,0))+
AY$96*INDEX(bibliotheek!$E$110:$AT$110,MATCH(AY$80,toestellen_RV_kopregel,0)))/1000)</f>
        <v>0</v>
      </c>
      <c r="AZ154" s="335"/>
      <c r="BA154" s="335"/>
      <c r="BB154" s="207">
        <f>BB$75</f>
        <v>0</v>
      </c>
      <c r="BC154" s="207">
        <f>BC$75</f>
        <v>0</v>
      </c>
      <c r="BD154" s="335"/>
      <c r="BE154" s="207">
        <f>BE$75</f>
        <v>0</v>
      </c>
      <c r="BF154" s="207">
        <f>BF$75</f>
        <v>0</v>
      </c>
      <c r="BG154" s="335"/>
      <c r="BH154" s="214"/>
    </row>
    <row r="155" spans="1:60" hidden="1" x14ac:dyDescent="0.2">
      <c r="A155" s="650"/>
      <c r="B155" s="492" t="s">
        <v>243</v>
      </c>
      <c r="C155" s="740" t="s">
        <v>199</v>
      </c>
      <c r="D155" s="752"/>
      <c r="E155" s="298" t="s">
        <v>249</v>
      </c>
      <c r="F155" s="298"/>
      <c r="G155" s="298"/>
      <c r="H155" s="242" t="s">
        <v>220</v>
      </c>
      <c r="I155" s="232"/>
      <c r="J155" s="243">
        <f>M155+Y155+AK155+AW155</f>
        <v>0</v>
      </c>
      <c r="K155" s="294"/>
      <c r="L155" s="294"/>
      <c r="M155" s="243">
        <f>SUM(O155:X155)</f>
        <v>0</v>
      </c>
      <c r="N155" s="100"/>
      <c r="O155" s="207">
        <f>O$94*O$124+IF(O$111=0,0,O112/O$111)</f>
        <v>0</v>
      </c>
      <c r="P155" s="207">
        <f>P$94*P$124+IF(P$111=0,0,P112/P$111)</f>
        <v>0</v>
      </c>
      <c r="Q155" s="207">
        <f>Q$94*Q$124+IF(Q$111=0,0,Q112/Q$111)</f>
        <v>0</v>
      </c>
      <c r="R155" s="335"/>
      <c r="S155" s="335"/>
      <c r="T155" s="335"/>
      <c r="U155" s="335"/>
      <c r="V155" s="335"/>
      <c r="W155" s="335"/>
      <c r="X155" s="118"/>
      <c r="Y155" s="243">
        <f>SUM(AA155:AJ155)</f>
        <v>0</v>
      </c>
      <c r="Z155" s="100"/>
      <c r="AA155" s="207">
        <f>AA$94*AA$124+IF(AA$111=0,0,AA112/AA$111)</f>
        <v>0</v>
      </c>
      <c r="AB155" s="207">
        <f>AB$94*AB$124+IF(AB$111=0,0,AB112/AB$111)</f>
        <v>0</v>
      </c>
      <c r="AC155" s="207">
        <f>AC$94*AC$124+IF(AC$111=0,0,AC112/AC$111)</f>
        <v>0</v>
      </c>
      <c r="AD155" s="335"/>
      <c r="AE155" s="335"/>
      <c r="AF155" s="335"/>
      <c r="AG155" s="335"/>
      <c r="AH155" s="335"/>
      <c r="AI155" s="335"/>
      <c r="AJ155" s="118"/>
      <c r="AK155" s="243">
        <f>SUM(AM155:AV155)</f>
        <v>0</v>
      </c>
      <c r="AL155" s="100"/>
      <c r="AM155" s="207">
        <f>AM$94*AM$124+IF(AM$111=0,0,AM112/AM$111)</f>
        <v>0</v>
      </c>
      <c r="AN155" s="207">
        <f>AN$94*AN$124+IF(AN$111=0,0,AN112/AN$111)</f>
        <v>0</v>
      </c>
      <c r="AO155" s="207">
        <f>AO$94*AO$124+IF(AO$111=0,0,AO112/AO$111)</f>
        <v>0</v>
      </c>
      <c r="AP155" s="335"/>
      <c r="AQ155" s="335"/>
      <c r="AR155" s="335"/>
      <c r="AS155" s="335"/>
      <c r="AT155" s="335"/>
      <c r="AU155" s="335"/>
      <c r="AV155" s="118"/>
      <c r="AW155" s="243">
        <f>SUM(AY155:BH155)</f>
        <v>0</v>
      </c>
      <c r="AX155" s="100"/>
      <c r="AY155" s="207">
        <f>AY$94*AY$124+IF(AY$111=0,0,AY112/AY$111)</f>
        <v>0</v>
      </c>
      <c r="AZ155" s="207">
        <f>AZ$94*AZ$124+IF(AZ$111=0,0,AZ112/AZ$111)</f>
        <v>0</v>
      </c>
      <c r="BA155" s="207">
        <f>BA$94*BA$124+IF(BA$111=0,0,BA112/BA$111)</f>
        <v>0</v>
      </c>
      <c r="BB155" s="335"/>
      <c r="BC155" s="335"/>
      <c r="BD155" s="335"/>
      <c r="BE155" s="335"/>
      <c r="BF155" s="335"/>
      <c r="BG155" s="335"/>
      <c r="BH155" s="214"/>
    </row>
    <row r="156" spans="1:60" hidden="1" x14ac:dyDescent="0.2">
      <c r="A156" s="650"/>
      <c r="B156" s="492" t="s">
        <v>243</v>
      </c>
      <c r="C156" s="740" t="s">
        <v>199</v>
      </c>
      <c r="D156" s="752"/>
      <c r="E156" s="298" t="s">
        <v>109</v>
      </c>
      <c r="F156" s="298"/>
      <c r="G156" s="298"/>
      <c r="H156" s="242" t="s">
        <v>220</v>
      </c>
      <c r="I156" s="232"/>
      <c r="J156" s="243">
        <f>M156+Y156+AK156+AW156</f>
        <v>0</v>
      </c>
      <c r="K156" s="294"/>
      <c r="L156" s="294"/>
      <c r="M156" s="243">
        <f>SUM(O156:X156)</f>
        <v>0</v>
      </c>
      <c r="N156" s="100"/>
      <c r="O156" s="335"/>
      <c r="P156" s="335"/>
      <c r="Q156" s="335"/>
      <c r="R156" s="335"/>
      <c r="S156" s="335"/>
      <c r="T156" s="207">
        <f>T75</f>
        <v>0</v>
      </c>
      <c r="U156" s="335"/>
      <c r="V156" s="335"/>
      <c r="W156" s="335"/>
      <c r="X156" s="118"/>
      <c r="Y156" s="243">
        <f>SUM(AA156:AJ156)</f>
        <v>0</v>
      </c>
      <c r="Z156" s="100"/>
      <c r="AA156" s="207"/>
      <c r="AB156" s="207"/>
      <c r="AC156" s="207"/>
      <c r="AD156" s="335"/>
      <c r="AE156" s="335"/>
      <c r="AF156" s="207">
        <f>AF75</f>
        <v>0</v>
      </c>
      <c r="AG156" s="335"/>
      <c r="AH156" s="335"/>
      <c r="AI156" s="335"/>
      <c r="AJ156" s="118"/>
      <c r="AK156" s="243">
        <f>SUM(AM156:AV156)</f>
        <v>0</v>
      </c>
      <c r="AL156" s="100"/>
      <c r="AM156" s="207"/>
      <c r="AN156" s="207"/>
      <c r="AO156" s="207"/>
      <c r="AP156" s="335"/>
      <c r="AQ156" s="335"/>
      <c r="AR156" s="207">
        <f>AR75</f>
        <v>0</v>
      </c>
      <c r="AS156" s="335"/>
      <c r="AT156" s="335"/>
      <c r="AU156" s="335"/>
      <c r="AV156" s="118"/>
      <c r="AW156" s="243">
        <f>SUM(AY156:BH156)</f>
        <v>0</v>
      </c>
      <c r="AX156" s="100"/>
      <c r="AY156" s="207"/>
      <c r="AZ156" s="207"/>
      <c r="BA156" s="207"/>
      <c r="BB156" s="335"/>
      <c r="BC156" s="335"/>
      <c r="BD156" s="207">
        <f>BD75</f>
        <v>0</v>
      </c>
      <c r="BE156" s="335"/>
      <c r="BF156" s="335"/>
      <c r="BG156" s="335"/>
      <c r="BH156" s="214"/>
    </row>
    <row r="157" spans="1:60" ht="18.75" x14ac:dyDescent="0.2">
      <c r="A157" s="648"/>
      <c r="B157" s="492" t="s">
        <v>243</v>
      </c>
      <c r="C157" s="739" t="s">
        <v>104</v>
      </c>
      <c r="D157" s="747"/>
      <c r="E157" s="303" t="s">
        <v>250</v>
      </c>
      <c r="F157" s="303"/>
      <c r="G157" s="303"/>
      <c r="H157" s="305"/>
      <c r="I157" s="232"/>
      <c r="J157" s="303"/>
      <c r="K157" s="232"/>
      <c r="L157" s="232"/>
      <c r="M157" s="303"/>
      <c r="N157" s="304"/>
      <c r="O157" s="304"/>
      <c r="P157" s="304"/>
      <c r="Q157" s="304"/>
      <c r="R157" s="304"/>
      <c r="S157" s="304"/>
      <c r="T157" s="304"/>
      <c r="U157" s="304"/>
      <c r="V157" s="304"/>
      <c r="W157" s="304"/>
      <c r="X157" s="232"/>
      <c r="Y157" s="303"/>
      <c r="Z157" s="304"/>
      <c r="AA157" s="304"/>
      <c r="AB157" s="304"/>
      <c r="AC157" s="304"/>
      <c r="AD157" s="304"/>
      <c r="AE157" s="304"/>
      <c r="AF157" s="304"/>
      <c r="AG157" s="304"/>
      <c r="AH157" s="304"/>
      <c r="AI157" s="304"/>
      <c r="AJ157" s="232"/>
      <c r="AK157" s="303"/>
      <c r="AL157" s="304"/>
      <c r="AM157" s="304"/>
      <c r="AN157" s="304"/>
      <c r="AO157" s="304"/>
      <c r="AP157" s="304"/>
      <c r="AQ157" s="304"/>
      <c r="AR157" s="304"/>
      <c r="AS157" s="304"/>
      <c r="AT157" s="304"/>
      <c r="AU157" s="304"/>
      <c r="AV157" s="232"/>
      <c r="AW157" s="303"/>
      <c r="AX157" s="304"/>
      <c r="AY157" s="304"/>
      <c r="AZ157" s="304"/>
      <c r="BA157" s="304"/>
      <c r="BB157" s="304"/>
      <c r="BC157" s="304"/>
      <c r="BD157" s="304"/>
      <c r="BE157" s="304"/>
      <c r="BF157" s="304"/>
      <c r="BG157" s="304"/>
      <c r="BH157" s="38"/>
    </row>
    <row r="158" spans="1:60" hidden="1" x14ac:dyDescent="0.2">
      <c r="A158" s="648"/>
      <c r="B158" s="492" t="s">
        <v>243</v>
      </c>
      <c r="C158" s="656" t="s">
        <v>199</v>
      </c>
      <c r="D158" s="747"/>
      <c r="E158" s="316" t="s">
        <v>222</v>
      </c>
      <c r="F158" s="316"/>
      <c r="G158" s="316"/>
      <c r="H158" s="354" t="s">
        <v>223</v>
      </c>
      <c r="I158" s="232"/>
      <c r="J158" s="229"/>
      <c r="K158" s="90"/>
      <c r="L158" s="90"/>
      <c r="M158" s="229"/>
      <c r="N158" s="131"/>
      <c r="O158" s="184">
        <f>$G$5</f>
        <v>1.45</v>
      </c>
      <c r="P158" s="184">
        <f>$G$5</f>
        <v>1.45</v>
      </c>
      <c r="Q158" s="184">
        <f>$G$5</f>
        <v>1.45</v>
      </c>
      <c r="R158" s="184">
        <f>$G$5</f>
        <v>1.45</v>
      </c>
      <c r="S158" s="184">
        <f>$G$5</f>
        <v>1.45</v>
      </c>
      <c r="T158" s="184">
        <f>bibliotheek!$K$223</f>
        <v>1</v>
      </c>
      <c r="U158" s="184">
        <f>$G$5</f>
        <v>1.45</v>
      </c>
      <c r="V158" s="184">
        <f>$G$5</f>
        <v>1.45</v>
      </c>
      <c r="W158" s="452"/>
      <c r="X158" s="139"/>
      <c r="Y158" s="706"/>
      <c r="Z158" s="707"/>
      <c r="AA158" s="184">
        <f>$G$5</f>
        <v>1.45</v>
      </c>
      <c r="AB158" s="184">
        <f>$G$5</f>
        <v>1.45</v>
      </c>
      <c r="AC158" s="184">
        <f>$G$5</f>
        <v>1.45</v>
      </c>
      <c r="AD158" s="184">
        <f>$G$5</f>
        <v>1.45</v>
      </c>
      <c r="AE158" s="184">
        <f>$G$5</f>
        <v>1.45</v>
      </c>
      <c r="AF158" s="272">
        <f>bibliotheek!$K$223</f>
        <v>1</v>
      </c>
      <c r="AG158" s="184">
        <f>$G$5</f>
        <v>1.45</v>
      </c>
      <c r="AH158" s="184">
        <f>$G$5</f>
        <v>1.45</v>
      </c>
      <c r="AI158" s="452"/>
      <c r="AJ158" s="139"/>
      <c r="AK158" s="706"/>
      <c r="AL158" s="707"/>
      <c r="AM158" s="184">
        <f>$G$5</f>
        <v>1.45</v>
      </c>
      <c r="AN158" s="184">
        <f>$G$5</f>
        <v>1.45</v>
      </c>
      <c r="AO158" s="184">
        <f>$G$5</f>
        <v>1.45</v>
      </c>
      <c r="AP158" s="184">
        <f>$G$5</f>
        <v>1.45</v>
      </c>
      <c r="AQ158" s="184">
        <f>$G$5</f>
        <v>1.45</v>
      </c>
      <c r="AR158" s="272">
        <f>bibliotheek!$K$223</f>
        <v>1</v>
      </c>
      <c r="AS158" s="184">
        <f>$G$5</f>
        <v>1.45</v>
      </c>
      <c r="AT158" s="184">
        <f>$G$5</f>
        <v>1.45</v>
      </c>
      <c r="AU158" s="452"/>
      <c r="AV158" s="139"/>
      <c r="AW158" s="706"/>
      <c r="AX158" s="707"/>
      <c r="AY158" s="184">
        <f>$G$5</f>
        <v>1.45</v>
      </c>
      <c r="AZ158" s="184">
        <f>$G$5</f>
        <v>1.45</v>
      </c>
      <c r="BA158" s="184">
        <f>$G$5</f>
        <v>1.45</v>
      </c>
      <c r="BB158" s="184">
        <f>$G$5</f>
        <v>1.45</v>
      </c>
      <c r="BC158" s="184">
        <f>$G$5</f>
        <v>1.45</v>
      </c>
      <c r="BD158" s="272">
        <f>bibliotheek!$K$223</f>
        <v>1</v>
      </c>
      <c r="BE158" s="184">
        <f>$G$5</f>
        <v>1.45</v>
      </c>
      <c r="BF158" s="184">
        <f>$G$5</f>
        <v>1.45</v>
      </c>
      <c r="BG158" s="452"/>
      <c r="BH158" s="214"/>
    </row>
    <row r="159" spans="1:60" x14ac:dyDescent="0.2">
      <c r="A159" s="650"/>
      <c r="B159" s="492" t="s">
        <v>243</v>
      </c>
      <c r="C159" s="740" t="s">
        <v>113</v>
      </c>
      <c r="D159" s="752" t="s">
        <v>50</v>
      </c>
      <c r="E159" s="298" t="s">
        <v>114</v>
      </c>
      <c r="F159" s="242"/>
      <c r="G159" s="242"/>
      <c r="H159" s="242" t="s">
        <v>115</v>
      </c>
      <c r="I159" s="232"/>
      <c r="J159" s="243">
        <f>M159+Y159+AK159+AW159</f>
        <v>0</v>
      </c>
      <c r="K159" s="823"/>
      <c r="L159" s="823"/>
      <c r="M159" s="243">
        <f>SUM(O159:X159)</f>
        <v>0</v>
      </c>
      <c r="N159" s="100"/>
      <c r="O159" s="207">
        <f t="shared" ref="O159:V159" si="97">SUM(O$153:O$156)*O$158</f>
        <v>0</v>
      </c>
      <c r="P159" s="207">
        <f t="shared" si="97"/>
        <v>0</v>
      </c>
      <c r="Q159" s="207">
        <f t="shared" si="97"/>
        <v>0</v>
      </c>
      <c r="R159" s="207">
        <f t="shared" si="97"/>
        <v>0</v>
      </c>
      <c r="S159" s="207">
        <f t="shared" si="97"/>
        <v>0</v>
      </c>
      <c r="T159" s="207">
        <f t="shared" si="97"/>
        <v>0</v>
      </c>
      <c r="U159" s="207">
        <f>SUM(U$153:U$156)*U$158</f>
        <v>0</v>
      </c>
      <c r="V159" s="207">
        <f t="shared" si="97"/>
        <v>0</v>
      </c>
      <c r="W159" s="335"/>
      <c r="X159" s="128"/>
      <c r="Y159" s="243">
        <f>SUM(AA159:AJ159)</f>
        <v>0</v>
      </c>
      <c r="Z159" s="100"/>
      <c r="AA159" s="207">
        <f t="shared" ref="AA159:AH159" si="98">SUM(AA$153:AA$156)*AA$158</f>
        <v>0</v>
      </c>
      <c r="AB159" s="207">
        <f t="shared" si="98"/>
        <v>0</v>
      </c>
      <c r="AC159" s="207">
        <f t="shared" si="98"/>
        <v>0</v>
      </c>
      <c r="AD159" s="207">
        <f t="shared" si="98"/>
        <v>0</v>
      </c>
      <c r="AE159" s="207">
        <f t="shared" si="98"/>
        <v>0</v>
      </c>
      <c r="AF159" s="207">
        <f t="shared" si="98"/>
        <v>0</v>
      </c>
      <c r="AG159" s="207">
        <f t="shared" si="98"/>
        <v>0</v>
      </c>
      <c r="AH159" s="207">
        <f t="shared" si="98"/>
        <v>0</v>
      </c>
      <c r="AI159" s="335"/>
      <c r="AJ159" s="128"/>
      <c r="AK159" s="243">
        <f>SUM(AM159:AV159)</f>
        <v>0</v>
      </c>
      <c r="AL159" s="100"/>
      <c r="AM159" s="207">
        <f>SUM(AM$153:AM$156)*AM$158</f>
        <v>0</v>
      </c>
      <c r="AN159" s="207">
        <f t="shared" ref="AN159:AT159" si="99">SUM(AN$153:AN$156)*AN$158</f>
        <v>0</v>
      </c>
      <c r="AO159" s="207">
        <f t="shared" si="99"/>
        <v>0</v>
      </c>
      <c r="AP159" s="207">
        <f t="shared" si="99"/>
        <v>0</v>
      </c>
      <c r="AQ159" s="207">
        <f t="shared" si="99"/>
        <v>0</v>
      </c>
      <c r="AR159" s="207">
        <f t="shared" si="99"/>
        <v>0</v>
      </c>
      <c r="AS159" s="207">
        <f t="shared" si="99"/>
        <v>0</v>
      </c>
      <c r="AT159" s="207">
        <f t="shared" si="99"/>
        <v>0</v>
      </c>
      <c r="AU159" s="335"/>
      <c r="AV159" s="128"/>
      <c r="AW159" s="243">
        <f>SUM(AY159:BH159)</f>
        <v>0</v>
      </c>
      <c r="AX159" s="100"/>
      <c r="AY159" s="207">
        <f>SUM(AY$153:AY$156)*AY$158</f>
        <v>0</v>
      </c>
      <c r="AZ159" s="207">
        <f t="shared" ref="AZ159:BF159" si="100">SUM(AZ$153:AZ$156)*AZ$158</f>
        <v>0</v>
      </c>
      <c r="BA159" s="207">
        <f t="shared" si="100"/>
        <v>0</v>
      </c>
      <c r="BB159" s="207">
        <f t="shared" si="100"/>
        <v>0</v>
      </c>
      <c r="BC159" s="207">
        <f t="shared" si="100"/>
        <v>0</v>
      </c>
      <c r="BD159" s="207">
        <f t="shared" si="100"/>
        <v>0</v>
      </c>
      <c r="BE159" s="207">
        <f t="shared" si="100"/>
        <v>0</v>
      </c>
      <c r="BF159" s="207">
        <f t="shared" si="100"/>
        <v>0</v>
      </c>
      <c r="BG159" s="335"/>
      <c r="BH159" s="214"/>
    </row>
    <row r="160" spans="1:60" ht="18.75" x14ac:dyDescent="0.2">
      <c r="A160" s="648"/>
      <c r="B160" s="492" t="s">
        <v>243</v>
      </c>
      <c r="C160" s="739" t="s">
        <v>104</v>
      </c>
      <c r="D160" s="747"/>
      <c r="E160" s="303" t="s">
        <v>251</v>
      </c>
      <c r="F160" s="303"/>
      <c r="G160" s="303"/>
      <c r="H160" s="305"/>
      <c r="I160" s="232"/>
      <c r="J160" s="303"/>
      <c r="K160" s="232"/>
      <c r="L160" s="232"/>
      <c r="M160" s="303"/>
      <c r="N160" s="304"/>
      <c r="O160" s="304"/>
      <c r="P160" s="304"/>
      <c r="Q160" s="304"/>
      <c r="R160" s="304"/>
      <c r="S160" s="304"/>
      <c r="T160" s="304"/>
      <c r="U160" s="304"/>
      <c r="V160" s="304"/>
      <c r="W160" s="304"/>
      <c r="X160" s="232"/>
      <c r="Y160" s="303"/>
      <c r="Z160" s="304"/>
      <c r="AA160" s="304"/>
      <c r="AB160" s="304"/>
      <c r="AC160" s="304"/>
      <c r="AD160" s="304"/>
      <c r="AE160" s="304"/>
      <c r="AF160" s="304"/>
      <c r="AG160" s="304"/>
      <c r="AH160" s="304"/>
      <c r="AI160" s="304"/>
      <c r="AJ160" s="232"/>
      <c r="AK160" s="303"/>
      <c r="AL160" s="304"/>
      <c r="AM160" s="304"/>
      <c r="AN160" s="304"/>
      <c r="AO160" s="304"/>
      <c r="AP160" s="304"/>
      <c r="AQ160" s="304"/>
      <c r="AR160" s="304"/>
      <c r="AS160" s="304"/>
      <c r="AT160" s="304"/>
      <c r="AU160" s="304"/>
      <c r="AV160" s="232"/>
      <c r="AW160" s="303"/>
      <c r="AX160" s="304"/>
      <c r="AY160" s="304"/>
      <c r="AZ160" s="304"/>
      <c r="BA160" s="304"/>
      <c r="BB160" s="304"/>
      <c r="BC160" s="304"/>
      <c r="BD160" s="304"/>
      <c r="BE160" s="304"/>
      <c r="BF160" s="304"/>
      <c r="BG160" s="304"/>
      <c r="BH160" s="38"/>
    </row>
    <row r="161" spans="1:60" hidden="1" x14ac:dyDescent="0.2">
      <c r="A161" s="648"/>
      <c r="B161" s="492" t="s">
        <v>243</v>
      </c>
      <c r="C161" s="656" t="s">
        <v>199</v>
      </c>
      <c r="D161" s="747"/>
      <c r="E161" s="220" t="s">
        <v>225</v>
      </c>
      <c r="F161" s="220"/>
      <c r="G161" s="220"/>
      <c r="H161" s="221" t="s">
        <v>226</v>
      </c>
      <c r="I161" s="232"/>
      <c r="J161" s="230"/>
      <c r="K161" s="90"/>
      <c r="L161" s="90"/>
      <c r="M161" s="230"/>
      <c r="N161" s="129"/>
      <c r="O161" s="273">
        <f>$H$5</f>
        <v>0.34</v>
      </c>
      <c r="P161" s="273">
        <f t="shared" ref="P161:V161" si="101">$H$5</f>
        <v>0.34</v>
      </c>
      <c r="Q161" s="273">
        <f t="shared" si="101"/>
        <v>0.34</v>
      </c>
      <c r="R161" s="273">
        <f t="shared" si="101"/>
        <v>0.34</v>
      </c>
      <c r="S161" s="273">
        <f t="shared" si="101"/>
        <v>0.34</v>
      </c>
      <c r="T161" s="273">
        <f t="shared" si="101"/>
        <v>0.34</v>
      </c>
      <c r="U161" s="273">
        <f t="shared" si="101"/>
        <v>0.34</v>
      </c>
      <c r="V161" s="273">
        <f t="shared" si="101"/>
        <v>0.34</v>
      </c>
      <c r="W161" s="421"/>
      <c r="X161" s="422"/>
      <c r="Y161" s="230"/>
      <c r="Z161" s="424"/>
      <c r="AA161" s="273">
        <f>$H$5</f>
        <v>0.34</v>
      </c>
      <c r="AB161" s="273">
        <f t="shared" ref="AB161:AH161" si="102">$H$5</f>
        <v>0.34</v>
      </c>
      <c r="AC161" s="273">
        <f t="shared" si="102"/>
        <v>0.34</v>
      </c>
      <c r="AD161" s="273">
        <f t="shared" si="102"/>
        <v>0.34</v>
      </c>
      <c r="AE161" s="273">
        <f t="shared" si="102"/>
        <v>0.34</v>
      </c>
      <c r="AF161" s="207">
        <f t="shared" si="102"/>
        <v>0.34</v>
      </c>
      <c r="AG161" s="273">
        <f t="shared" si="102"/>
        <v>0.34</v>
      </c>
      <c r="AH161" s="273">
        <f t="shared" si="102"/>
        <v>0.34</v>
      </c>
      <c r="AI161" s="421"/>
      <c r="AJ161" s="422"/>
      <c r="AK161" s="230"/>
      <c r="AL161" s="424"/>
      <c r="AM161" s="273">
        <f>$H$5</f>
        <v>0.34</v>
      </c>
      <c r="AN161" s="273">
        <f t="shared" ref="AN161:AT161" si="103">$H$5</f>
        <v>0.34</v>
      </c>
      <c r="AO161" s="273">
        <f t="shared" si="103"/>
        <v>0.34</v>
      </c>
      <c r="AP161" s="273">
        <f t="shared" si="103"/>
        <v>0.34</v>
      </c>
      <c r="AQ161" s="273">
        <f t="shared" si="103"/>
        <v>0.34</v>
      </c>
      <c r="AR161" s="207">
        <f t="shared" si="103"/>
        <v>0.34</v>
      </c>
      <c r="AS161" s="273">
        <f t="shared" si="103"/>
        <v>0.34</v>
      </c>
      <c r="AT161" s="273">
        <f t="shared" si="103"/>
        <v>0.34</v>
      </c>
      <c r="AU161" s="421"/>
      <c r="AV161" s="422"/>
      <c r="AW161" s="230"/>
      <c r="AX161" s="424"/>
      <c r="AY161" s="273">
        <f>$H$5</f>
        <v>0.34</v>
      </c>
      <c r="AZ161" s="273">
        <f t="shared" ref="AZ161:BF161" si="104">$H$5</f>
        <v>0.34</v>
      </c>
      <c r="BA161" s="273">
        <f t="shared" si="104"/>
        <v>0.34</v>
      </c>
      <c r="BB161" s="273">
        <f t="shared" si="104"/>
        <v>0.34</v>
      </c>
      <c r="BC161" s="273">
        <f t="shared" si="104"/>
        <v>0.34</v>
      </c>
      <c r="BD161" s="207">
        <f t="shared" si="104"/>
        <v>0.34</v>
      </c>
      <c r="BE161" s="273">
        <f t="shared" si="104"/>
        <v>0.34</v>
      </c>
      <c r="BF161" s="273">
        <f t="shared" si="104"/>
        <v>0.34</v>
      </c>
      <c r="BG161" s="336"/>
      <c r="BH161" s="214"/>
    </row>
    <row r="162" spans="1:60" x14ac:dyDescent="0.2">
      <c r="A162" s="650"/>
      <c r="B162" s="492" t="s">
        <v>243</v>
      </c>
      <c r="C162" s="740" t="s">
        <v>113</v>
      </c>
      <c r="D162" s="752"/>
      <c r="E162" s="298" t="s">
        <v>116</v>
      </c>
      <c r="F162" s="242"/>
      <c r="G162" s="242"/>
      <c r="H162" s="242" t="s">
        <v>228</v>
      </c>
      <c r="I162" s="232"/>
      <c r="J162" s="243">
        <f>M162+Y162+AK162+AW162</f>
        <v>0</v>
      </c>
      <c r="K162" s="823"/>
      <c r="L162" s="823"/>
      <c r="M162" s="243">
        <f>SUM(O162:X162)</f>
        <v>0</v>
      </c>
      <c r="N162" s="100"/>
      <c r="O162" s="207">
        <f t="shared" ref="O162:V162" si="105">SUM(O$153:O$156)*O$161</f>
        <v>0</v>
      </c>
      <c r="P162" s="207">
        <f t="shared" si="105"/>
        <v>0</v>
      </c>
      <c r="Q162" s="207">
        <f t="shared" si="105"/>
        <v>0</v>
      </c>
      <c r="R162" s="207">
        <f t="shared" si="105"/>
        <v>0</v>
      </c>
      <c r="S162" s="207">
        <f t="shared" si="105"/>
        <v>0</v>
      </c>
      <c r="T162" s="207">
        <f t="shared" si="105"/>
        <v>0</v>
      </c>
      <c r="U162" s="207">
        <f t="shared" si="105"/>
        <v>0</v>
      </c>
      <c r="V162" s="207">
        <f t="shared" si="105"/>
        <v>0</v>
      </c>
      <c r="W162" s="335"/>
      <c r="X162" s="128"/>
      <c r="Y162" s="243">
        <f>SUM(AA162:AJ162)</f>
        <v>0</v>
      </c>
      <c r="Z162" s="100"/>
      <c r="AA162" s="207">
        <f t="shared" ref="AA162:AH162" si="106">SUM(AA$153:AA$156)*AA$161</f>
        <v>0</v>
      </c>
      <c r="AB162" s="207">
        <f t="shared" si="106"/>
        <v>0</v>
      </c>
      <c r="AC162" s="207">
        <f t="shared" si="106"/>
        <v>0</v>
      </c>
      <c r="AD162" s="207">
        <f t="shared" si="106"/>
        <v>0</v>
      </c>
      <c r="AE162" s="207">
        <f t="shared" si="106"/>
        <v>0</v>
      </c>
      <c r="AF162" s="207">
        <f t="shared" si="106"/>
        <v>0</v>
      </c>
      <c r="AG162" s="207">
        <f t="shared" si="106"/>
        <v>0</v>
      </c>
      <c r="AH162" s="207">
        <f t="shared" si="106"/>
        <v>0</v>
      </c>
      <c r="AI162" s="335"/>
      <c r="AJ162" s="128"/>
      <c r="AK162" s="243">
        <f>SUM(AM162:AV162)</f>
        <v>0</v>
      </c>
      <c r="AL162" s="100"/>
      <c r="AM162" s="207">
        <f>SUM(AM$153:AM$156)*AM$161</f>
        <v>0</v>
      </c>
      <c r="AN162" s="207">
        <f t="shared" ref="AN162:AT162" si="107">SUM(AN$153:AN$156)*AN$161</f>
        <v>0</v>
      </c>
      <c r="AO162" s="207">
        <f t="shared" si="107"/>
        <v>0</v>
      </c>
      <c r="AP162" s="207">
        <f t="shared" si="107"/>
        <v>0</v>
      </c>
      <c r="AQ162" s="207">
        <f t="shared" si="107"/>
        <v>0</v>
      </c>
      <c r="AR162" s="207">
        <f t="shared" si="107"/>
        <v>0</v>
      </c>
      <c r="AS162" s="207">
        <f t="shared" si="107"/>
        <v>0</v>
      </c>
      <c r="AT162" s="207">
        <f t="shared" si="107"/>
        <v>0</v>
      </c>
      <c r="AU162" s="335"/>
      <c r="AV162" s="128"/>
      <c r="AW162" s="243">
        <f>SUM(AY162:BH162)</f>
        <v>0</v>
      </c>
      <c r="AX162" s="100"/>
      <c r="AY162" s="207">
        <f>SUM(AY$153:AY$156)*AY$161</f>
        <v>0</v>
      </c>
      <c r="AZ162" s="207">
        <f t="shared" ref="AZ162:BF162" si="108">SUM(AZ$153:AZ$156)*AZ$161</f>
        <v>0</v>
      </c>
      <c r="BA162" s="207">
        <f t="shared" si="108"/>
        <v>0</v>
      </c>
      <c r="BB162" s="207">
        <f t="shared" si="108"/>
        <v>0</v>
      </c>
      <c r="BC162" s="207">
        <f t="shared" si="108"/>
        <v>0</v>
      </c>
      <c r="BD162" s="207">
        <f t="shared" si="108"/>
        <v>0</v>
      </c>
      <c r="BE162" s="207">
        <f t="shared" si="108"/>
        <v>0</v>
      </c>
      <c r="BF162" s="207">
        <f t="shared" si="108"/>
        <v>0</v>
      </c>
      <c r="BG162" s="335"/>
      <c r="BH162" s="214"/>
    </row>
    <row r="163" spans="1:60" x14ac:dyDescent="0.2">
      <c r="A163" s="648"/>
      <c r="B163" s="492" t="s">
        <v>243</v>
      </c>
      <c r="C163" s="739" t="s">
        <v>104</v>
      </c>
      <c r="D163" s="747"/>
      <c r="E163" s="90"/>
      <c r="F163" s="90"/>
      <c r="G163" s="90"/>
      <c r="H163" s="96"/>
      <c r="I163" s="232"/>
      <c r="J163" s="93"/>
      <c r="K163" s="90"/>
      <c r="L163" s="90"/>
      <c r="M163" s="93"/>
      <c r="N163" s="90"/>
      <c r="O163" s="132"/>
      <c r="P163" s="93"/>
      <c r="Q163" s="132"/>
      <c r="R163" s="93"/>
      <c r="S163" s="93"/>
      <c r="T163" s="93"/>
      <c r="U163" s="93"/>
      <c r="V163" s="93"/>
      <c r="W163" s="93"/>
      <c r="X163" s="93"/>
      <c r="Y163" s="93"/>
      <c r="Z163" s="90"/>
      <c r="AA163" s="132"/>
      <c r="AB163" s="93"/>
      <c r="AC163" s="132"/>
      <c r="AD163" s="93"/>
      <c r="AE163" s="93"/>
      <c r="AF163" s="93"/>
      <c r="AG163" s="93"/>
      <c r="AH163" s="93"/>
      <c r="AI163" s="93"/>
      <c r="AJ163" s="93"/>
      <c r="AK163" s="93"/>
      <c r="AL163" s="90"/>
      <c r="AM163" s="132"/>
      <c r="AN163" s="93"/>
      <c r="AO163" s="132"/>
      <c r="AP163" s="93"/>
      <c r="AQ163" s="93"/>
      <c r="AR163" s="93"/>
      <c r="AS163" s="93"/>
      <c r="AT163" s="93"/>
      <c r="AU163" s="93"/>
      <c r="AV163" s="93"/>
      <c r="AW163" s="93"/>
      <c r="AX163" s="90"/>
      <c r="AY163" s="132"/>
      <c r="AZ163" s="93"/>
      <c r="BA163" s="132"/>
      <c r="BB163" s="93"/>
      <c r="BC163" s="93"/>
      <c r="BD163" s="93"/>
      <c r="BE163" s="93"/>
      <c r="BF163" s="93"/>
      <c r="BG163" s="93"/>
      <c r="BH163" s="1"/>
    </row>
    <row r="164" spans="1:60" x14ac:dyDescent="0.2">
      <c r="A164" s="648"/>
      <c r="B164" s="492" t="s">
        <v>252</v>
      </c>
      <c r="C164" s="656" t="s">
        <v>104</v>
      </c>
      <c r="D164" s="747"/>
      <c r="E164" s="90"/>
      <c r="F164" s="90"/>
      <c r="G164" s="90"/>
      <c r="H164" s="96"/>
      <c r="I164" s="90"/>
      <c r="J164" s="93"/>
      <c r="K164" s="90"/>
      <c r="L164" s="90"/>
      <c r="M164" s="93"/>
      <c r="N164" s="90"/>
      <c r="O164" s="132"/>
      <c r="P164" s="93"/>
      <c r="Q164" s="132"/>
      <c r="R164" s="93"/>
      <c r="S164" s="93"/>
      <c r="T164" s="93"/>
      <c r="U164" s="93"/>
      <c r="V164" s="93"/>
      <c r="W164" s="93"/>
      <c r="X164" s="93"/>
      <c r="Y164" s="93"/>
      <c r="Z164" s="90"/>
      <c r="AA164" s="132"/>
      <c r="AB164" s="93"/>
      <c r="AC164" s="132"/>
      <c r="AD164" s="93"/>
      <c r="AE164" s="93"/>
      <c r="AF164" s="93"/>
      <c r="AG164" s="93"/>
      <c r="AH164" s="93"/>
      <c r="AI164" s="93"/>
      <c r="AJ164" s="93"/>
      <c r="AK164" s="93"/>
      <c r="AL164" s="90"/>
      <c r="AM164" s="132"/>
      <c r="AN164" s="93"/>
      <c r="AO164" s="132"/>
      <c r="AP164" s="93"/>
      <c r="AQ164" s="93"/>
      <c r="AR164" s="93"/>
      <c r="AS164" s="93"/>
      <c r="AT164" s="93"/>
      <c r="AU164" s="93"/>
      <c r="AV164" s="93"/>
      <c r="AW164" s="93"/>
      <c r="AX164" s="90"/>
      <c r="AY164" s="132"/>
      <c r="AZ164" s="93"/>
      <c r="BA164" s="132"/>
      <c r="BB164" s="93"/>
      <c r="BC164" s="93"/>
      <c r="BD164" s="93"/>
      <c r="BE164" s="93"/>
      <c r="BF164" s="93"/>
      <c r="BG164" s="93"/>
      <c r="BH164" s="1"/>
    </row>
    <row r="165" spans="1:60" ht="21" x14ac:dyDescent="0.2">
      <c r="A165" s="648"/>
      <c r="B165" s="492" t="s">
        <v>252</v>
      </c>
      <c r="C165" s="739" t="s">
        <v>104</v>
      </c>
      <c r="D165" s="752"/>
      <c r="E165" s="240" t="s">
        <v>253</v>
      </c>
      <c r="F165" s="240"/>
      <c r="G165" s="240"/>
      <c r="H165" s="240"/>
      <c r="I165" s="88"/>
      <c r="J165" s="241" t="str">
        <f>J$10</f>
        <v>totaal</v>
      </c>
      <c r="K165" s="142"/>
      <c r="L165" s="142"/>
      <c r="M165" s="216" t="s">
        <v>254</v>
      </c>
      <c r="N165" s="222"/>
      <c r="O165" s="217" t="str">
        <f t="shared" ref="O165:W165" si="109">O$10</f>
        <v>verwarming</v>
      </c>
      <c r="P165" s="217" t="str">
        <f t="shared" si="109"/>
        <v>koeling</v>
      </c>
      <c r="Q165" s="217" t="str">
        <f t="shared" si="109"/>
        <v>tapwater</v>
      </c>
      <c r="R165" s="217" t="str">
        <f t="shared" si="109"/>
        <v>verlichting</v>
      </c>
      <c r="S165" s="217" t="str">
        <f t="shared" si="109"/>
        <v>ventilatoren</v>
      </c>
      <c r="T165" s="217" t="str">
        <f t="shared" si="109"/>
        <v>kookgas</v>
      </c>
      <c r="U165" s="217" t="str">
        <f t="shared" si="109"/>
        <v>overig elektra</v>
      </c>
      <c r="V165" s="217" t="str">
        <f t="shared" si="109"/>
        <v>mobiliteit</v>
      </c>
      <c r="W165" s="217" t="str">
        <f t="shared" si="109"/>
        <v>zonnepanelen</v>
      </c>
      <c r="X165" s="214"/>
      <c r="Y165" s="216" t="s">
        <v>254</v>
      </c>
      <c r="Z165" s="222"/>
      <c r="AA165" s="217" t="str">
        <f t="shared" ref="AA165:AI165" si="110">AA$10</f>
        <v>verwarming</v>
      </c>
      <c r="AB165" s="217" t="str">
        <f t="shared" si="110"/>
        <v>koeling</v>
      </c>
      <c r="AC165" s="217" t="str">
        <f t="shared" si="110"/>
        <v>tapwater</v>
      </c>
      <c r="AD165" s="217" t="str">
        <f t="shared" si="110"/>
        <v>verlichting</v>
      </c>
      <c r="AE165" s="217" t="str">
        <f t="shared" si="110"/>
        <v>ventilatoren</v>
      </c>
      <c r="AF165" s="217" t="str">
        <f t="shared" si="110"/>
        <v>kookgas</v>
      </c>
      <c r="AG165" s="217" t="str">
        <f t="shared" si="110"/>
        <v>overig elektra</v>
      </c>
      <c r="AH165" s="217" t="str">
        <f t="shared" si="110"/>
        <v>mobiliteit</v>
      </c>
      <c r="AI165" s="217" t="str">
        <f t="shared" si="110"/>
        <v>zonnepanelen</v>
      </c>
      <c r="AJ165" s="214"/>
      <c r="AK165" s="216" t="s">
        <v>254</v>
      </c>
      <c r="AL165" s="222"/>
      <c r="AM165" s="217" t="str">
        <f>AM$10</f>
        <v>verwarming</v>
      </c>
      <c r="AN165" s="217" t="str">
        <f>AN$10</f>
        <v>koeling</v>
      </c>
      <c r="AO165" s="217" t="str">
        <f>AO$10</f>
        <v>tapwater</v>
      </c>
      <c r="AP165" s="217" t="str">
        <f t="shared" ref="AP165:AU165" si="111">AP$10</f>
        <v>verlichting</v>
      </c>
      <c r="AQ165" s="217" t="str">
        <f t="shared" si="111"/>
        <v>ventilatoren</v>
      </c>
      <c r="AR165" s="217" t="str">
        <f t="shared" si="111"/>
        <v>kookgas</v>
      </c>
      <c r="AS165" s="217" t="str">
        <f t="shared" si="111"/>
        <v>overig elektra</v>
      </c>
      <c r="AT165" s="217" t="str">
        <f t="shared" si="111"/>
        <v>mobiliteit</v>
      </c>
      <c r="AU165" s="217" t="str">
        <f t="shared" si="111"/>
        <v>zonnepanelen</v>
      </c>
      <c r="AV165" s="214"/>
      <c r="AW165" s="216" t="s">
        <v>255</v>
      </c>
      <c r="AX165" s="222"/>
      <c r="AY165" s="217" t="str">
        <f>AY$10</f>
        <v>verwarming</v>
      </c>
      <c r="AZ165" s="217" t="str">
        <f>AZ$10</f>
        <v>koeling</v>
      </c>
      <c r="BA165" s="217" t="str">
        <f>BA$10</f>
        <v>tapwater</v>
      </c>
      <c r="BB165" s="217" t="str">
        <f t="shared" ref="BB165:BG165" si="112">BB$10</f>
        <v>verlichting</v>
      </c>
      <c r="BC165" s="217" t="str">
        <f t="shared" si="112"/>
        <v>ventilatoren</v>
      </c>
      <c r="BD165" s="217" t="str">
        <f t="shared" si="112"/>
        <v>kookgas</v>
      </c>
      <c r="BE165" s="217" t="str">
        <f t="shared" si="112"/>
        <v>overig elektra</v>
      </c>
      <c r="BF165" s="217" t="str">
        <f t="shared" si="112"/>
        <v>mobiliteit</v>
      </c>
      <c r="BG165" s="217" t="str">
        <f t="shared" si="112"/>
        <v>zonnepanelen</v>
      </c>
      <c r="BH165" s="1"/>
    </row>
    <row r="166" spans="1:60" ht="18.75" x14ac:dyDescent="0.2">
      <c r="A166" s="648"/>
      <c r="B166" s="492" t="s">
        <v>252</v>
      </c>
      <c r="C166" s="739" t="s">
        <v>104</v>
      </c>
      <c r="D166" s="747"/>
      <c r="E166" s="231" t="s">
        <v>256</v>
      </c>
      <c r="F166" s="231"/>
      <c r="G166" s="231"/>
      <c r="H166" s="89"/>
      <c r="I166" s="232"/>
      <c r="J166" s="231"/>
      <c r="K166" s="232"/>
      <c r="L166" s="232"/>
      <c r="M166" s="231"/>
      <c r="N166" s="232"/>
      <c r="O166" s="232"/>
      <c r="P166" s="232"/>
      <c r="Q166" s="232"/>
      <c r="R166" s="232"/>
      <c r="S166" s="232"/>
      <c r="T166" s="232"/>
      <c r="U166" s="232"/>
      <c r="V166" s="232"/>
      <c r="W166" s="232"/>
      <c r="X166" s="232"/>
      <c r="Y166" s="231"/>
      <c r="Z166" s="232"/>
      <c r="AA166" s="232"/>
      <c r="AB166" s="232"/>
      <c r="AC166" s="232"/>
      <c r="AD166" s="232"/>
      <c r="AE166" s="232"/>
      <c r="AF166" s="232"/>
      <c r="AG166" s="232"/>
      <c r="AH166" s="232"/>
      <c r="AI166" s="232"/>
      <c r="AJ166" s="232"/>
      <c r="AK166" s="231"/>
      <c r="AL166" s="232"/>
      <c r="AM166" s="232"/>
      <c r="AN166" s="232"/>
      <c r="AO166" s="232"/>
      <c r="AP166" s="232"/>
      <c r="AQ166" s="232"/>
      <c r="AR166" s="232"/>
      <c r="AS166" s="232"/>
      <c r="AT166" s="232"/>
      <c r="AU166" s="232"/>
      <c r="AV166" s="232"/>
      <c r="AW166" s="231"/>
      <c r="AX166" s="232"/>
      <c r="AY166" s="232"/>
      <c r="AZ166" s="232"/>
      <c r="BA166" s="232"/>
      <c r="BB166" s="232"/>
      <c r="BC166" s="232"/>
      <c r="BD166" s="232"/>
      <c r="BE166" s="232"/>
      <c r="BF166" s="232"/>
      <c r="BG166" s="232"/>
      <c r="BH166" s="38"/>
    </row>
    <row r="167" spans="1:60" s="2" customFormat="1" hidden="1" x14ac:dyDescent="0.2">
      <c r="A167" s="649"/>
      <c r="B167" s="492" t="s">
        <v>252</v>
      </c>
      <c r="C167" s="739" t="s">
        <v>199</v>
      </c>
      <c r="D167" s="753"/>
      <c r="E167" s="220" t="s">
        <v>257</v>
      </c>
      <c r="F167" s="220"/>
      <c r="G167" s="220"/>
      <c r="H167" s="221" t="s">
        <v>177</v>
      </c>
      <c r="I167" s="129"/>
      <c r="J167" s="243">
        <f>M167+Y167+AK167+AW167</f>
        <v>0</v>
      </c>
      <c r="K167" s="294"/>
      <c r="L167" s="294"/>
      <c r="M167" s="243">
        <f>SUM(N167:X167)</f>
        <v>0</v>
      </c>
      <c r="N167" s="100"/>
      <c r="O167" s="207">
        <f>O$113*O$125</f>
        <v>0</v>
      </c>
      <c r="P167" s="207">
        <f>P$113*P$125</f>
        <v>0</v>
      </c>
      <c r="Q167" s="207">
        <f>Q$113*Q$125</f>
        <v>0</v>
      </c>
      <c r="R167" s="335"/>
      <c r="S167" s="335"/>
      <c r="T167" s="335"/>
      <c r="U167" s="335"/>
      <c r="V167" s="335"/>
      <c r="W167" s="335"/>
      <c r="X167" s="128"/>
      <c r="Y167" s="243">
        <f>SUM(Z167:AJ167)</f>
        <v>0</v>
      </c>
      <c r="Z167" s="100"/>
      <c r="AA167" s="207">
        <f>AA$113*AA$125</f>
        <v>0</v>
      </c>
      <c r="AB167" s="207">
        <f>AB$113*AB$125</f>
        <v>0</v>
      </c>
      <c r="AC167" s="207">
        <f>AC$113*AC$125</f>
        <v>0</v>
      </c>
      <c r="AD167" s="335"/>
      <c r="AE167" s="335"/>
      <c r="AF167" s="335"/>
      <c r="AG167" s="335"/>
      <c r="AH167" s="335"/>
      <c r="AI167" s="335"/>
      <c r="AJ167" s="128"/>
      <c r="AK167" s="243">
        <f>SUM(AL167:AV167)</f>
        <v>0</v>
      </c>
      <c r="AL167" s="100"/>
      <c r="AM167" s="207">
        <f>AM$113*AM$125</f>
        <v>0</v>
      </c>
      <c r="AN167" s="207">
        <f>AN$113*AN$125</f>
        <v>0</v>
      </c>
      <c r="AO167" s="207">
        <f>AO$113*AO$125</f>
        <v>0</v>
      </c>
      <c r="AP167" s="335"/>
      <c r="AQ167" s="335"/>
      <c r="AR167" s="335"/>
      <c r="AS167" s="335"/>
      <c r="AT167" s="335"/>
      <c r="AU167" s="335"/>
      <c r="AV167" s="128"/>
      <c r="AW167" s="243">
        <f>SUM(AX167:BH167)</f>
        <v>0</v>
      </c>
      <c r="AX167" s="100"/>
      <c r="AY167" s="207">
        <f>AY$113*AY$125</f>
        <v>0</v>
      </c>
      <c r="AZ167" s="207">
        <f>AZ$113*AZ$125</f>
        <v>0</v>
      </c>
      <c r="BA167" s="207">
        <f>BA$113*BA$125</f>
        <v>0</v>
      </c>
      <c r="BB167" s="335"/>
      <c r="BC167" s="335"/>
      <c r="BD167" s="335"/>
      <c r="BE167" s="335"/>
      <c r="BF167" s="335"/>
      <c r="BG167" s="335"/>
      <c r="BH167" s="255"/>
    </row>
    <row r="168" spans="1:60" s="2" customFormat="1" hidden="1" x14ac:dyDescent="0.2">
      <c r="A168" s="649"/>
      <c r="B168" s="492" t="s">
        <v>252</v>
      </c>
      <c r="C168" s="739" t="s">
        <v>199</v>
      </c>
      <c r="D168" s="754" t="s">
        <v>50</v>
      </c>
      <c r="E168" s="220" t="s">
        <v>112</v>
      </c>
      <c r="F168" s="220"/>
      <c r="G168" s="220"/>
      <c r="H168" s="221" t="s">
        <v>177</v>
      </c>
      <c r="I168" s="129"/>
      <c r="J168" s="243">
        <f>M168+Y168+AK168+AW168</f>
        <v>0</v>
      </c>
      <c r="K168" s="294"/>
      <c r="L168" s="294"/>
      <c r="M168" s="243">
        <f>SUM(N168:X168)</f>
        <v>0</v>
      </c>
      <c r="N168" s="100"/>
      <c r="O168" s="335"/>
      <c r="P168" s="335"/>
      <c r="Q168" s="335"/>
      <c r="R168" s="335"/>
      <c r="S168" s="335"/>
      <c r="T168" s="335"/>
      <c r="U168" s="335"/>
      <c r="V168" s="335"/>
      <c r="W168" s="207">
        <f>-W75</f>
        <v>0</v>
      </c>
      <c r="X168" s="128"/>
      <c r="Y168" s="243">
        <f>SUM(Z168:AJ168)</f>
        <v>0</v>
      </c>
      <c r="Z168" s="100"/>
      <c r="AA168" s="335"/>
      <c r="AB168" s="335"/>
      <c r="AC168" s="335"/>
      <c r="AD168" s="335"/>
      <c r="AE168" s="335"/>
      <c r="AF168" s="335"/>
      <c r="AG168" s="335"/>
      <c r="AH168" s="335"/>
      <c r="AI168" s="207">
        <f>-AI75</f>
        <v>0</v>
      </c>
      <c r="AJ168" s="128"/>
      <c r="AK168" s="243">
        <f>SUM(AL168:AV168)</f>
        <v>0</v>
      </c>
      <c r="AL168" s="100"/>
      <c r="AM168" s="335"/>
      <c r="AN168" s="335"/>
      <c r="AO168" s="335"/>
      <c r="AP168" s="335"/>
      <c r="AQ168" s="335"/>
      <c r="AR168" s="335"/>
      <c r="AS168" s="335"/>
      <c r="AT168" s="335"/>
      <c r="AU168" s="207">
        <f>-AU75</f>
        <v>0</v>
      </c>
      <c r="AV168" s="128"/>
      <c r="AW168" s="243">
        <f>SUM(AX168:BH168)</f>
        <v>0</v>
      </c>
      <c r="AX168" s="100"/>
      <c r="AY168" s="335"/>
      <c r="AZ168" s="335"/>
      <c r="BA168" s="335"/>
      <c r="BB168" s="335"/>
      <c r="BC168" s="335"/>
      <c r="BD168" s="335"/>
      <c r="BE168" s="335"/>
      <c r="BF168" s="335"/>
      <c r="BG168" s="207">
        <f>-BG75</f>
        <v>0</v>
      </c>
      <c r="BH168" s="255"/>
    </row>
    <row r="169" spans="1:60" s="2" customFormat="1" hidden="1" x14ac:dyDescent="0.2">
      <c r="A169" s="649"/>
      <c r="B169" s="492" t="s">
        <v>252</v>
      </c>
      <c r="C169" s="739" t="s">
        <v>199</v>
      </c>
      <c r="D169" s="753"/>
      <c r="E169" s="220" t="s">
        <v>258</v>
      </c>
      <c r="F169" s="220"/>
      <c r="G169" s="220"/>
      <c r="H169" s="221" t="s">
        <v>177</v>
      </c>
      <c r="I169" s="129"/>
      <c r="J169" s="243">
        <f>J167+J168</f>
        <v>0</v>
      </c>
      <c r="K169" s="294"/>
      <c r="L169" s="294"/>
      <c r="M169" s="243">
        <f>M167+M168</f>
        <v>0</v>
      </c>
      <c r="N169" s="100"/>
      <c r="O169" s="207">
        <f t="shared" ref="O169:W169" si="113">O167+O168</f>
        <v>0</v>
      </c>
      <c r="P169" s="207">
        <f t="shared" si="113"/>
        <v>0</v>
      </c>
      <c r="Q169" s="207">
        <f t="shared" si="113"/>
        <v>0</v>
      </c>
      <c r="R169" s="207"/>
      <c r="S169" s="207"/>
      <c r="T169" s="207"/>
      <c r="U169" s="207"/>
      <c r="V169" s="207"/>
      <c r="W169" s="207">
        <f t="shared" si="113"/>
        <v>0</v>
      </c>
      <c r="X169" s="128"/>
      <c r="Y169" s="243">
        <f>Y167+Y168</f>
        <v>0</v>
      </c>
      <c r="Z169" s="100"/>
      <c r="AA169" s="207">
        <f>AA167+AA168</f>
        <v>0</v>
      </c>
      <c r="AB169" s="207">
        <f>AB167+AB168</f>
        <v>0</v>
      </c>
      <c r="AC169" s="207">
        <f>AC167+AC168</f>
        <v>0</v>
      </c>
      <c r="AD169" s="335"/>
      <c r="AE169" s="335"/>
      <c r="AF169" s="335"/>
      <c r="AG169" s="335"/>
      <c r="AH169" s="335"/>
      <c r="AI169" s="207">
        <f>AI167+AI168</f>
        <v>0</v>
      </c>
      <c r="AJ169" s="128"/>
      <c r="AK169" s="243">
        <f>AK167+AK168</f>
        <v>0</v>
      </c>
      <c r="AL169" s="100"/>
      <c r="AM169" s="207">
        <f>AM167+AM168</f>
        <v>0</v>
      </c>
      <c r="AN169" s="207">
        <f>AN167+AN168</f>
        <v>0</v>
      </c>
      <c r="AO169" s="207">
        <f>AO167+AO168</f>
        <v>0</v>
      </c>
      <c r="AP169" s="335"/>
      <c r="AQ169" s="335"/>
      <c r="AR169" s="335"/>
      <c r="AS169" s="335"/>
      <c r="AT169" s="335"/>
      <c r="AU169" s="207">
        <f>AU167+AU168</f>
        <v>0</v>
      </c>
      <c r="AV169" s="128"/>
      <c r="AW169" s="243">
        <f>AW167+AW168</f>
        <v>0</v>
      </c>
      <c r="AX169" s="100"/>
      <c r="AY169" s="207">
        <f>AY167+AY168</f>
        <v>0</v>
      </c>
      <c r="AZ169" s="207">
        <f>AZ167+AZ168</f>
        <v>0</v>
      </c>
      <c r="BA169" s="207">
        <f>BA167+BA168</f>
        <v>0</v>
      </c>
      <c r="BB169" s="335"/>
      <c r="BC169" s="335"/>
      <c r="BD169" s="335"/>
      <c r="BE169" s="335"/>
      <c r="BF169" s="335"/>
      <c r="BG169" s="207">
        <f>BG167+BG168</f>
        <v>0</v>
      </c>
      <c r="BH169" s="255"/>
    </row>
    <row r="170" spans="1:60" s="2" customFormat="1" ht="18.75" x14ac:dyDescent="0.2">
      <c r="A170" s="649"/>
      <c r="B170" s="492" t="s">
        <v>252</v>
      </c>
      <c r="C170" s="739" t="s">
        <v>104</v>
      </c>
      <c r="D170" s="753"/>
      <c r="E170" s="310" t="s">
        <v>259</v>
      </c>
      <c r="F170" s="310"/>
      <c r="G170" s="310"/>
      <c r="H170" s="311"/>
      <c r="I170" s="312"/>
      <c r="J170" s="310"/>
      <c r="K170" s="313"/>
      <c r="L170" s="313"/>
      <c r="M170" s="310"/>
      <c r="N170" s="312"/>
      <c r="O170" s="312"/>
      <c r="P170" s="312"/>
      <c r="Q170" s="312"/>
      <c r="R170" s="312"/>
      <c r="S170" s="312"/>
      <c r="T170" s="312"/>
      <c r="U170" s="312"/>
      <c r="V170" s="312"/>
      <c r="W170" s="312"/>
      <c r="X170" s="313"/>
      <c r="Y170" s="310"/>
      <c r="Z170" s="312"/>
      <c r="AA170" s="312"/>
      <c r="AB170" s="312"/>
      <c r="AC170" s="312"/>
      <c r="AD170" s="312"/>
      <c r="AE170" s="312"/>
      <c r="AF170" s="312"/>
      <c r="AG170" s="312"/>
      <c r="AH170" s="312"/>
      <c r="AI170" s="312"/>
      <c r="AJ170" s="313"/>
      <c r="AK170" s="310"/>
      <c r="AL170" s="312"/>
      <c r="AM170" s="312"/>
      <c r="AN170" s="312"/>
      <c r="AO170" s="312"/>
      <c r="AP170" s="312"/>
      <c r="AQ170" s="312"/>
      <c r="AR170" s="312"/>
      <c r="AS170" s="312"/>
      <c r="AT170" s="312"/>
      <c r="AU170" s="312"/>
      <c r="AV170" s="313"/>
      <c r="AW170" s="310"/>
      <c r="AX170" s="312"/>
      <c r="AY170" s="312"/>
      <c r="AZ170" s="312"/>
      <c r="BA170" s="312"/>
      <c r="BB170" s="312"/>
      <c r="BC170" s="312"/>
      <c r="BD170" s="312"/>
      <c r="BE170" s="312"/>
      <c r="BF170" s="312"/>
      <c r="BG170" s="312"/>
    </row>
    <row r="171" spans="1:60" s="2" customFormat="1" hidden="1" x14ac:dyDescent="0.2">
      <c r="A171" s="649"/>
      <c r="B171" s="492" t="s">
        <v>252</v>
      </c>
      <c r="C171" s="739" t="s">
        <v>199</v>
      </c>
      <c r="D171" s="753"/>
      <c r="E171" s="220" t="s">
        <v>260</v>
      </c>
      <c r="F171" s="220"/>
      <c r="G171" s="220"/>
      <c r="H171" s="221" t="s">
        <v>220</v>
      </c>
      <c r="I171" s="129"/>
      <c r="J171" s="243">
        <f>M171+Y171+AK171+AW171</f>
        <v>0</v>
      </c>
      <c r="K171" s="294"/>
      <c r="L171" s="294"/>
      <c r="M171" s="306">
        <f>SUM(N171:X171)</f>
        <v>0</v>
      </c>
      <c r="N171" s="100"/>
      <c r="O171" s="308">
        <f>AND(O$81=gebouw,O$102=elektriciteit)*O$113+AND(O$81=gebouw,O$132=elektriciteit)*O$138+SUM(O$153:O$155)</f>
        <v>0</v>
      </c>
      <c r="P171" s="308">
        <f>AND(P$81=gebouw,P$102=elektriciteit)*P$113+AND(P$81=gebouw,P$132=elektriciteit)*P$138+SUM(P$153:P$155)</f>
        <v>0</v>
      </c>
      <c r="Q171" s="308">
        <f>AND(Q$81=gebouw,Q$102=elektriciteit)*Q$113+AND(Q$81=gebouw,Q$132=elektriciteit)*Q$138+SUM(Q$153:Q$155)</f>
        <v>0</v>
      </c>
      <c r="R171" s="308">
        <f>SUM(R$153:R$155)</f>
        <v>0</v>
      </c>
      <c r="S171" s="308">
        <f>SUM(S$153:S$155)</f>
        <v>0</v>
      </c>
      <c r="T171" s="335"/>
      <c r="U171" s="308">
        <f>SUM(U$153:U$155)</f>
        <v>0</v>
      </c>
      <c r="V171" s="308">
        <f>SUM(V$153:V$155)</f>
        <v>0</v>
      </c>
      <c r="W171" s="703"/>
      <c r="X171" s="133"/>
      <c r="Y171" s="306">
        <f>SUM(Z171:AJ171)</f>
        <v>0</v>
      </c>
      <c r="Z171" s="100"/>
      <c r="AA171" s="308">
        <f>AND(AA$81=gebouw,AA$102=elektriciteit)*AA$113+AND(AA$81=gebouw,AA$132=elektriciteit)*AA$138+SUM(AA$153:AA$155)</f>
        <v>0</v>
      </c>
      <c r="AB171" s="308">
        <f>AND(AB$81=gebouw,AB$102=elektriciteit)*AB$113+AND(AB$81=gebouw,AB$132=elektriciteit)*AB$138+SUM(AB$153:AB$155)</f>
        <v>0</v>
      </c>
      <c r="AC171" s="308">
        <f>AND(AC$81=gebouw,AC$102=elektriciteit)*AC$113+AND(AC$81=gebouw,AC$132=elektriciteit)*AC$138+SUM(AC$153:AC$155)</f>
        <v>0</v>
      </c>
      <c r="AD171" s="308">
        <f>SUM(AD$153:AD$155)</f>
        <v>0</v>
      </c>
      <c r="AE171" s="308">
        <f>SUM(AE$153:AE$155)</f>
        <v>0</v>
      </c>
      <c r="AF171" s="335"/>
      <c r="AG171" s="308">
        <f>SUM(AG$153:AG$155)</f>
        <v>0</v>
      </c>
      <c r="AH171" s="308">
        <f>SUM(AH$153:AH$155)</f>
        <v>0</v>
      </c>
      <c r="AI171" s="703"/>
      <c r="AJ171" s="133"/>
      <c r="AK171" s="306">
        <f>SUM(AL171:AV171)</f>
        <v>0</v>
      </c>
      <c r="AL171" s="100"/>
      <c r="AM171" s="308">
        <f>AND(AM$81=gebouw,AM$102=elektriciteit)*AM$113+AND(AM$81=gebouw,AM$132=elektriciteit)*AM$138+SUM(AM$153:AM$155)</f>
        <v>0</v>
      </c>
      <c r="AN171" s="308">
        <f>AND(AN$81=gebouw,AN$102=elektriciteit)*AN$113+AND(AN$81=gebouw,AN$132=elektriciteit)*AN$138+SUM(AN$153:AN$155)</f>
        <v>0</v>
      </c>
      <c r="AO171" s="308">
        <f>AND(AO$81=gebouw,AO$102=elektriciteit)*AO$113+AND(AO$81=gebouw,AO$132=elektriciteit)*AO$138+SUM(AO$153:AO$155)</f>
        <v>0</v>
      </c>
      <c r="AP171" s="308">
        <f>SUM(AP$153:AP$155)</f>
        <v>0</v>
      </c>
      <c r="AQ171" s="308">
        <f>SUM(AQ$153:AQ$155)</f>
        <v>0</v>
      </c>
      <c r="AR171" s="335"/>
      <c r="AS171" s="308">
        <f>SUM(AS$153:AS$155)</f>
        <v>0</v>
      </c>
      <c r="AT171" s="308">
        <f>SUM(AT$153:AT$155)</f>
        <v>0</v>
      </c>
      <c r="AU171" s="703"/>
      <c r="AV171" s="133"/>
      <c r="AW171" s="306">
        <f>SUM(AX171:BH171)</f>
        <v>0</v>
      </c>
      <c r="AX171" s="100"/>
      <c r="AY171" s="308">
        <f>AND(AY$81=gebouw,AY$102=elektriciteit)*AY$113+AND(AY$81=gebouw,AY$132=elektriciteit)*AY$138+SUM(AY$153:AY$155)</f>
        <v>0</v>
      </c>
      <c r="AZ171" s="308">
        <f>AND(AZ$81=gebouw,AZ$102=elektriciteit)*AZ$113+AND(AZ$81=gebouw,AZ$132=elektriciteit)*AZ$138+SUM(AZ$153:AZ$155)</f>
        <v>0</v>
      </c>
      <c r="BA171" s="308">
        <f>AND(BA$81=gebouw,BA$102=elektriciteit)*BA$113+AND(BA$81=gebouw,BA$132=elektriciteit)*BA$138+SUM(BA$153:BA$155)</f>
        <v>0</v>
      </c>
      <c r="BB171" s="308">
        <f>SUM(BB$153:BB$155)</f>
        <v>0</v>
      </c>
      <c r="BC171" s="308">
        <f>SUM(BC$153:BC$155)</f>
        <v>0</v>
      </c>
      <c r="BD171" s="308"/>
      <c r="BE171" s="308">
        <f>SUM(BE$153:BE$155)</f>
        <v>0</v>
      </c>
      <c r="BF171" s="308">
        <f>SUM(BF$153:BF$155)</f>
        <v>0</v>
      </c>
      <c r="BG171" s="703"/>
      <c r="BH171" s="267"/>
    </row>
    <row r="172" spans="1:60" s="2" customFormat="1" hidden="1" x14ac:dyDescent="0.2">
      <c r="A172" s="649"/>
      <c r="B172" s="492" t="s">
        <v>252</v>
      </c>
      <c r="C172" s="739" t="s">
        <v>199</v>
      </c>
      <c r="D172" s="753"/>
      <c r="E172" s="220" t="s">
        <v>261</v>
      </c>
      <c r="F172" s="220"/>
      <c r="G172" s="220"/>
      <c r="H172" s="221" t="s">
        <v>220</v>
      </c>
      <c r="I172" s="129"/>
      <c r="J172" s="243">
        <f>M172+Y172+AK172+AW172</f>
        <v>0</v>
      </c>
      <c r="K172" s="294"/>
      <c r="L172" s="294"/>
      <c r="M172" s="306">
        <f>MIN(M171,M169)</f>
        <v>0</v>
      </c>
      <c r="N172" s="100"/>
      <c r="O172" s="703"/>
      <c r="P172" s="703"/>
      <c r="Q172" s="703"/>
      <c r="R172" s="703"/>
      <c r="S172" s="703"/>
      <c r="T172" s="703"/>
      <c r="U172" s="703"/>
      <c r="V172" s="703"/>
      <c r="W172" s="703"/>
      <c r="X172" s="133"/>
      <c r="Y172" s="306">
        <f>MIN(Y171,Y169)</f>
        <v>0</v>
      </c>
      <c r="Z172" s="100"/>
      <c r="AA172" s="703"/>
      <c r="AB172" s="703"/>
      <c r="AC172" s="703"/>
      <c r="AD172" s="703"/>
      <c r="AE172" s="703"/>
      <c r="AF172" s="703"/>
      <c r="AG172" s="703"/>
      <c r="AH172" s="703"/>
      <c r="AI172" s="703"/>
      <c r="AJ172" s="133"/>
      <c r="AK172" s="306">
        <f>MIN(AK171,AK169)</f>
        <v>0</v>
      </c>
      <c r="AL172" s="100"/>
      <c r="AM172" s="703"/>
      <c r="AN172" s="703"/>
      <c r="AO172" s="703"/>
      <c r="AP172" s="703"/>
      <c r="AQ172" s="703"/>
      <c r="AR172" s="703"/>
      <c r="AS172" s="703"/>
      <c r="AT172" s="703"/>
      <c r="AU172" s="703"/>
      <c r="AV172" s="133"/>
      <c r="AW172" s="306">
        <f>MIN(AW171,AW169)</f>
        <v>0</v>
      </c>
      <c r="AX172" s="100"/>
      <c r="AY172" s="703"/>
      <c r="AZ172" s="703"/>
      <c r="BA172" s="703"/>
      <c r="BB172" s="703"/>
      <c r="BC172" s="703"/>
      <c r="BD172" s="703"/>
      <c r="BE172" s="703"/>
      <c r="BF172" s="703"/>
      <c r="BG172" s="703"/>
      <c r="BH172" s="267"/>
    </row>
    <row r="173" spans="1:60" s="2" customFormat="1" hidden="1" x14ac:dyDescent="0.2">
      <c r="A173" s="649"/>
      <c r="B173" s="492" t="s">
        <v>252</v>
      </c>
      <c r="C173" s="739" t="s">
        <v>199</v>
      </c>
      <c r="D173" s="753"/>
      <c r="E173" s="220" t="s">
        <v>262</v>
      </c>
      <c r="F173" s="220"/>
      <c r="G173" s="220"/>
      <c r="H173" s="221" t="s">
        <v>220</v>
      </c>
      <c r="I173" s="129"/>
      <c r="J173" s="243">
        <f>M173+Y173+AK173+AW173</f>
        <v>0</v>
      </c>
      <c r="K173" s="294"/>
      <c r="L173" s="294"/>
      <c r="M173" s="306">
        <f>MAX(0,M169-M172)</f>
        <v>0</v>
      </c>
      <c r="N173" s="100"/>
      <c r="O173" s="703"/>
      <c r="P173" s="703"/>
      <c r="Q173" s="703"/>
      <c r="R173" s="703"/>
      <c r="S173" s="703"/>
      <c r="T173" s="703"/>
      <c r="U173" s="703"/>
      <c r="V173" s="703"/>
      <c r="W173" s="703"/>
      <c r="X173" s="133"/>
      <c r="Y173" s="306">
        <f>MAX(0,Y167+Y168-Y172)</f>
        <v>0</v>
      </c>
      <c r="Z173" s="100"/>
      <c r="AA173" s="703"/>
      <c r="AB173" s="703"/>
      <c r="AC173" s="703"/>
      <c r="AD173" s="703"/>
      <c r="AE173" s="703"/>
      <c r="AF173" s="703"/>
      <c r="AG173" s="703"/>
      <c r="AH173" s="703"/>
      <c r="AI173" s="703"/>
      <c r="AJ173" s="133"/>
      <c r="AK173" s="306">
        <f>MAX(0,AK167+AK168-AK172)</f>
        <v>0</v>
      </c>
      <c r="AL173" s="100"/>
      <c r="AM173" s="703"/>
      <c r="AN173" s="703"/>
      <c r="AO173" s="703"/>
      <c r="AP173" s="703"/>
      <c r="AQ173" s="703"/>
      <c r="AR173" s="703"/>
      <c r="AS173" s="703"/>
      <c r="AT173" s="703"/>
      <c r="AU173" s="703"/>
      <c r="AV173" s="133"/>
      <c r="AW173" s="306">
        <f>MAX(0,AW167+AW168-AW172)</f>
        <v>0</v>
      </c>
      <c r="AX173" s="100"/>
      <c r="AY173" s="703"/>
      <c r="AZ173" s="703"/>
      <c r="BA173" s="703"/>
      <c r="BB173" s="703"/>
      <c r="BC173" s="703"/>
      <c r="BD173" s="703"/>
      <c r="BE173" s="703"/>
      <c r="BF173" s="703"/>
      <c r="BG173" s="703"/>
      <c r="BH173" s="267"/>
    </row>
    <row r="174" spans="1:60" s="2" customFormat="1" ht="18.75" x14ac:dyDescent="0.2">
      <c r="A174" s="649"/>
      <c r="B174" s="492" t="s">
        <v>252</v>
      </c>
      <c r="C174" s="739" t="s">
        <v>104</v>
      </c>
      <c r="D174" s="753"/>
      <c r="E174" s="310" t="s">
        <v>263</v>
      </c>
      <c r="F174" s="310"/>
      <c r="G174" s="310"/>
      <c r="H174" s="311"/>
      <c r="I174" s="312"/>
      <c r="J174" s="310"/>
      <c r="K174" s="313"/>
      <c r="L174" s="313"/>
      <c r="M174" s="310"/>
      <c r="N174" s="312"/>
      <c r="O174" s="312"/>
      <c r="P174" s="312"/>
      <c r="Q174" s="312"/>
      <c r="R174" s="312"/>
      <c r="S174" s="312"/>
      <c r="T174" s="312"/>
      <c r="U174" s="312"/>
      <c r="V174" s="312"/>
      <c r="W174" s="312"/>
      <c r="X174" s="313"/>
      <c r="Y174" s="310"/>
      <c r="Z174" s="312"/>
      <c r="AA174" s="312"/>
      <c r="AB174" s="312"/>
      <c r="AC174" s="312"/>
      <c r="AD174" s="312"/>
      <c r="AE174" s="312"/>
      <c r="AF174" s="312"/>
      <c r="AG174" s="312"/>
      <c r="AH174" s="312"/>
      <c r="AI174" s="312"/>
      <c r="AJ174" s="313"/>
      <c r="AK174" s="310"/>
      <c r="AL174" s="312"/>
      <c r="AM174" s="312"/>
      <c r="AN174" s="312"/>
      <c r="AO174" s="312"/>
      <c r="AP174" s="312"/>
      <c r="AQ174" s="312"/>
      <c r="AR174" s="312"/>
      <c r="AS174" s="312"/>
      <c r="AT174" s="312"/>
      <c r="AU174" s="312"/>
      <c r="AV174" s="313"/>
      <c r="AW174" s="310"/>
      <c r="AX174" s="312"/>
      <c r="AY174" s="312"/>
      <c r="AZ174" s="312"/>
      <c r="BA174" s="312"/>
      <c r="BB174" s="312"/>
      <c r="BC174" s="312"/>
      <c r="BD174" s="312"/>
      <c r="BE174" s="312"/>
      <c r="BF174" s="312"/>
      <c r="BG174" s="312"/>
    </row>
    <row r="175" spans="1:60" s="2" customFormat="1" hidden="1" x14ac:dyDescent="0.2">
      <c r="A175" s="649"/>
      <c r="B175" s="492" t="s">
        <v>252</v>
      </c>
      <c r="C175" s="739" t="s">
        <v>199</v>
      </c>
      <c r="D175" s="753"/>
      <c r="E175" s="220" t="s">
        <v>264</v>
      </c>
      <c r="F175" s="220"/>
      <c r="G175" s="220"/>
      <c r="H175" s="221" t="s">
        <v>223</v>
      </c>
      <c r="I175" s="129"/>
      <c r="J175" s="230"/>
      <c r="K175" s="90"/>
      <c r="L175" s="90"/>
      <c r="M175" s="307">
        <f>$G$5</f>
        <v>1.45</v>
      </c>
      <c r="N175" s="129"/>
      <c r="O175" s="401"/>
      <c r="P175" s="401"/>
      <c r="Q175" s="401"/>
      <c r="R175" s="401"/>
      <c r="S175" s="401"/>
      <c r="T175" s="401"/>
      <c r="U175" s="401"/>
      <c r="V175" s="401"/>
      <c r="W175" s="401"/>
      <c r="X175" s="123"/>
      <c r="Y175" s="307">
        <f>$G$5</f>
        <v>1.45</v>
      </c>
      <c r="Z175" s="129"/>
      <c r="AA175" s="401"/>
      <c r="AB175" s="401"/>
      <c r="AC175" s="401"/>
      <c r="AD175" s="401"/>
      <c r="AE175" s="401"/>
      <c r="AF175" s="401"/>
      <c r="AG175" s="401"/>
      <c r="AH175" s="401"/>
      <c r="AI175" s="401"/>
      <c r="AJ175" s="123"/>
      <c r="AK175" s="307">
        <f>$G$5</f>
        <v>1.45</v>
      </c>
      <c r="AL175" s="129"/>
      <c r="AM175" s="401"/>
      <c r="AN175" s="401"/>
      <c r="AO175" s="401"/>
      <c r="AP175" s="401"/>
      <c r="AQ175" s="401"/>
      <c r="AR175" s="401"/>
      <c r="AS175" s="401"/>
      <c r="AT175" s="401"/>
      <c r="AU175" s="401"/>
      <c r="AV175" s="123"/>
      <c r="AW175" s="307">
        <f>$G$5</f>
        <v>1.45</v>
      </c>
      <c r="AX175" s="129"/>
      <c r="AY175" s="401"/>
      <c r="AZ175" s="401"/>
      <c r="BA175" s="401"/>
      <c r="BB175" s="401"/>
      <c r="BC175" s="401"/>
      <c r="BD175" s="401"/>
      <c r="BE175" s="401"/>
      <c r="BF175" s="401"/>
      <c r="BG175" s="401"/>
      <c r="BH175" s="264"/>
    </row>
    <row r="176" spans="1:60" s="2" customFormat="1" hidden="1" x14ac:dyDescent="0.2">
      <c r="A176" s="649"/>
      <c r="B176" s="492" t="s">
        <v>252</v>
      </c>
      <c r="C176" s="739" t="s">
        <v>199</v>
      </c>
      <c r="D176" s="753"/>
      <c r="E176" s="220" t="s">
        <v>265</v>
      </c>
      <c r="F176" s="220"/>
      <c r="G176" s="220"/>
      <c r="H176" s="221" t="s">
        <v>223</v>
      </c>
      <c r="I176" s="129"/>
      <c r="J176" s="230"/>
      <c r="K176" s="90"/>
      <c r="L176" s="90"/>
      <c r="M176" s="307">
        <f>HLOOKUP($F$5,elektriciteit_primaire_energiefactor,ROWS(bibliotheek!$E$261:$E$263),FALSE)</f>
        <v>1.45</v>
      </c>
      <c r="N176" s="129"/>
      <c r="O176" s="401"/>
      <c r="P176" s="401"/>
      <c r="Q176" s="401"/>
      <c r="R176" s="401"/>
      <c r="S176" s="401"/>
      <c r="T176" s="401"/>
      <c r="U176" s="401"/>
      <c r="V176" s="401"/>
      <c r="W176" s="401"/>
      <c r="X176" s="123"/>
      <c r="Y176" s="307">
        <f>HLOOKUP($F$5,elektriciteit_primaire_energiefactor,ROWS(bibliotheek!$E$261:$E$263),FALSE)</f>
        <v>1.45</v>
      </c>
      <c r="Z176" s="129"/>
      <c r="AA176" s="401"/>
      <c r="AB176" s="401"/>
      <c r="AC176" s="401"/>
      <c r="AD176" s="401"/>
      <c r="AE176" s="401"/>
      <c r="AF176" s="401"/>
      <c r="AG176" s="401"/>
      <c r="AH176" s="401"/>
      <c r="AI176" s="401"/>
      <c r="AJ176" s="123"/>
      <c r="AK176" s="307">
        <f>HLOOKUP($F$5,elektriciteit_primaire_energiefactor,ROWS(bibliotheek!$E$261:$E$263),FALSE)</f>
        <v>1.45</v>
      </c>
      <c r="AL176" s="129"/>
      <c r="AM176" s="401"/>
      <c r="AN176" s="401"/>
      <c r="AO176" s="401"/>
      <c r="AP176" s="401"/>
      <c r="AQ176" s="401"/>
      <c r="AR176" s="401"/>
      <c r="AS176" s="401"/>
      <c r="AT176" s="401"/>
      <c r="AU176" s="401"/>
      <c r="AV176" s="123"/>
      <c r="AW176" s="307">
        <f>HLOOKUP($F$5,elektriciteit_primaire_energiefactor,ROWS(bibliotheek!$E$261:$E$263),FALSE)</f>
        <v>1.45</v>
      </c>
      <c r="AX176" s="129"/>
      <c r="AY176" s="401"/>
      <c r="AZ176" s="401"/>
      <c r="BA176" s="401"/>
      <c r="BB176" s="401"/>
      <c r="BC176" s="401"/>
      <c r="BD176" s="401"/>
      <c r="BE176" s="401"/>
      <c r="BF176" s="401"/>
      <c r="BG176" s="401"/>
      <c r="BH176" s="264"/>
    </row>
    <row r="177" spans="1:60" s="2" customFormat="1" x14ac:dyDescent="0.2">
      <c r="A177" s="649"/>
      <c r="B177" s="492" t="s">
        <v>252</v>
      </c>
      <c r="C177" s="739" t="s">
        <v>113</v>
      </c>
      <c r="D177" s="754"/>
      <c r="E177" s="220" t="s">
        <v>266</v>
      </c>
      <c r="F177" s="221"/>
      <c r="G177" s="221"/>
      <c r="H177" s="221" t="s">
        <v>115</v>
      </c>
      <c r="I177" s="129"/>
      <c r="J177" s="243">
        <f>M177+Y177+AK177+AW177</f>
        <v>0</v>
      </c>
      <c r="K177" s="823"/>
      <c r="L177" s="823"/>
      <c r="M177" s="306">
        <f>(M172*M175+M173*M176)</f>
        <v>0</v>
      </c>
      <c r="N177" s="100"/>
      <c r="O177" s="207">
        <f>IF($M$169=0,0,O$169/$M$169*$M177)</f>
        <v>0</v>
      </c>
      <c r="P177" s="207">
        <f>IF($M$169=0,0,P$169/$M$169*$M177)</f>
        <v>0</v>
      </c>
      <c r="Q177" s="207">
        <f>IF($M$169=0,0,Q$169/$M$169*$M177)</f>
        <v>0</v>
      </c>
      <c r="R177" s="335"/>
      <c r="S177" s="335"/>
      <c r="T177" s="335"/>
      <c r="U177" s="335"/>
      <c r="V177" s="335"/>
      <c r="W177" s="207">
        <f>IF($M$169=0,0,W$169/$M$169*$M177)</f>
        <v>0</v>
      </c>
      <c r="X177" s="128"/>
      <c r="Y177" s="306">
        <f>(Y172*Y175+Y173*Y176)</f>
        <v>0</v>
      </c>
      <c r="Z177" s="100"/>
      <c r="AA177" s="207">
        <f>IF($Y$169=0,0,AA$169/$Y$169*$Y177)</f>
        <v>0</v>
      </c>
      <c r="AB177" s="207">
        <f>IF($Y$169=0,0,AB$169/$Y$169*$Y177)</f>
        <v>0</v>
      </c>
      <c r="AC177" s="207">
        <f>IF($Y$169=0,0,AC$169/$Y$169*$Y177)</f>
        <v>0</v>
      </c>
      <c r="AD177" s="335"/>
      <c r="AE177" s="335"/>
      <c r="AF177" s="335"/>
      <c r="AG177" s="335"/>
      <c r="AH177" s="335"/>
      <c r="AI177" s="207">
        <f>IF($Y$169=0,0,AI$169/$Y$169*$Y177)</f>
        <v>0</v>
      </c>
      <c r="AJ177" s="128"/>
      <c r="AK177" s="306">
        <f>(AK172*AK175+AK173*AK176)</f>
        <v>0</v>
      </c>
      <c r="AL177" s="100"/>
      <c r="AM177" s="207">
        <f>IF($AK$169=0,0,AM$169/$AK$169*$AK177)</f>
        <v>0</v>
      </c>
      <c r="AN177" s="207">
        <f>IF($AK$169=0,0,AN$169/$AK$169*$AK177)</f>
        <v>0</v>
      </c>
      <c r="AO177" s="207">
        <f>IF($AK$169=0,0,AO$169/$AK$169*$AK177)</f>
        <v>0</v>
      </c>
      <c r="AP177" s="335"/>
      <c r="AQ177" s="335"/>
      <c r="AR177" s="335"/>
      <c r="AS177" s="335"/>
      <c r="AT177" s="335"/>
      <c r="AU177" s="207">
        <f>IF($AK$169=0,0,AU$169/$AK$169*$AK177)</f>
        <v>0</v>
      </c>
      <c r="AV177" s="128"/>
      <c r="AW177" s="306">
        <f>(AW172*AW175+AW173*AW176)</f>
        <v>0</v>
      </c>
      <c r="AX177" s="100"/>
      <c r="AY177" s="207">
        <f>IF($AW$169=0,0,AY$169/$AW$169*$AW177)</f>
        <v>0</v>
      </c>
      <c r="AZ177" s="207">
        <f>IF($AW$169=0,0,AZ$169/$AW$169*$AW177)</f>
        <v>0</v>
      </c>
      <c r="BA177" s="207">
        <f>IF($AW$169=0,0,BA$169/$AW$169*$AW177)</f>
        <v>0</v>
      </c>
      <c r="BB177" s="335"/>
      <c r="BC177" s="335"/>
      <c r="BD177" s="335"/>
      <c r="BE177" s="335"/>
      <c r="BF177" s="335"/>
      <c r="BG177" s="207">
        <f>IF($AW$169=0,0,BG$169/$AW$169*$AW177)</f>
        <v>0</v>
      </c>
      <c r="BH177" s="255"/>
    </row>
    <row r="178" spans="1:60" s="2" customFormat="1" ht="18.75" x14ac:dyDescent="0.2">
      <c r="A178" s="649"/>
      <c r="B178" s="492" t="s">
        <v>252</v>
      </c>
      <c r="C178" s="739" t="s">
        <v>104</v>
      </c>
      <c r="D178" s="753"/>
      <c r="E178" s="310" t="s">
        <v>267</v>
      </c>
      <c r="F178" s="310"/>
      <c r="G178" s="310"/>
      <c r="H178" s="311"/>
      <c r="I178" s="312"/>
      <c r="J178" s="310"/>
      <c r="K178" s="313"/>
      <c r="L178" s="313"/>
      <c r="M178" s="310"/>
      <c r="N178" s="312"/>
      <c r="O178" s="312"/>
      <c r="P178" s="312"/>
      <c r="Q178" s="312"/>
      <c r="R178" s="312"/>
      <c r="S178" s="312"/>
      <c r="T178" s="312"/>
      <c r="U178" s="312"/>
      <c r="V178" s="312"/>
      <c r="W178" s="312"/>
      <c r="X178" s="313"/>
      <c r="Y178" s="310"/>
      <c r="Z178" s="312"/>
      <c r="AA178" s="312"/>
      <c r="AB178" s="312"/>
      <c r="AC178" s="312"/>
      <c r="AD178" s="312"/>
      <c r="AE178" s="312"/>
      <c r="AF178" s="312"/>
      <c r="AG178" s="312"/>
      <c r="AH178" s="312"/>
      <c r="AI178" s="312"/>
      <c r="AJ178" s="313"/>
      <c r="AK178" s="310"/>
      <c r="AL178" s="312"/>
      <c r="AM178" s="312"/>
      <c r="AN178" s="312"/>
      <c r="AO178" s="312"/>
      <c r="AP178" s="312"/>
      <c r="AQ178" s="312"/>
      <c r="AR178" s="312"/>
      <c r="AS178" s="312"/>
      <c r="AT178" s="312"/>
      <c r="AU178" s="312"/>
      <c r="AV178" s="313"/>
      <c r="AW178" s="310"/>
      <c r="AX178" s="312"/>
      <c r="AY178" s="312"/>
      <c r="AZ178" s="312"/>
      <c r="BA178" s="312"/>
      <c r="BB178" s="312"/>
      <c r="BC178" s="312"/>
      <c r="BD178" s="312"/>
      <c r="BE178" s="312"/>
      <c r="BF178" s="312"/>
      <c r="BG178" s="312"/>
    </row>
    <row r="179" spans="1:60" s="2" customFormat="1" hidden="1" x14ac:dyDescent="0.2">
      <c r="A179" s="649"/>
      <c r="B179" s="492" t="s">
        <v>252</v>
      </c>
      <c r="C179" s="739" t="s">
        <v>199</v>
      </c>
      <c r="D179" s="753"/>
      <c r="E179" s="220" t="s">
        <v>268</v>
      </c>
      <c r="F179" s="220"/>
      <c r="G179" s="220"/>
      <c r="H179" s="221" t="s">
        <v>226</v>
      </c>
      <c r="I179" s="129"/>
      <c r="J179" s="230"/>
      <c r="K179" s="90"/>
      <c r="L179" s="90"/>
      <c r="M179" s="425">
        <f>$H$5</f>
        <v>0.34</v>
      </c>
      <c r="N179" s="424"/>
      <c r="O179" s="402"/>
      <c r="P179" s="402"/>
      <c r="Q179" s="402"/>
      <c r="R179" s="402"/>
      <c r="S179" s="402"/>
      <c r="T179" s="402"/>
      <c r="U179" s="402"/>
      <c r="V179" s="402"/>
      <c r="W179" s="402"/>
      <c r="X179" s="426"/>
      <c r="Y179" s="425">
        <f>$H$5</f>
        <v>0.34</v>
      </c>
      <c r="Z179" s="424"/>
      <c r="AA179" s="402"/>
      <c r="AB179" s="402"/>
      <c r="AC179" s="402"/>
      <c r="AD179" s="402"/>
      <c r="AE179" s="402"/>
      <c r="AF179" s="402"/>
      <c r="AG179" s="402"/>
      <c r="AH179" s="402"/>
      <c r="AI179" s="402"/>
      <c r="AJ179" s="426"/>
      <c r="AK179" s="425">
        <f>$H$5</f>
        <v>0.34</v>
      </c>
      <c r="AL179" s="424"/>
      <c r="AM179" s="402"/>
      <c r="AN179" s="402"/>
      <c r="AO179" s="402"/>
      <c r="AP179" s="402"/>
      <c r="AQ179" s="402"/>
      <c r="AR179" s="402"/>
      <c r="AS179" s="402"/>
      <c r="AT179" s="402"/>
      <c r="AU179" s="402"/>
      <c r="AV179" s="426"/>
      <c r="AW179" s="425">
        <f>$H$5</f>
        <v>0.34</v>
      </c>
      <c r="AX179" s="129"/>
      <c r="AY179" s="401"/>
      <c r="AZ179" s="401"/>
      <c r="BA179" s="401"/>
      <c r="BB179" s="401"/>
      <c r="BC179" s="401"/>
      <c r="BD179" s="401"/>
      <c r="BE179" s="401"/>
      <c r="BF179" s="401"/>
      <c r="BG179" s="401"/>
      <c r="BH179" s="264"/>
    </row>
    <row r="180" spans="1:60" s="2" customFormat="1" hidden="1" x14ac:dyDescent="0.2">
      <c r="A180" s="649"/>
      <c r="B180" s="492" t="s">
        <v>252</v>
      </c>
      <c r="C180" s="739" t="s">
        <v>199</v>
      </c>
      <c r="D180" s="753"/>
      <c r="E180" s="220" t="s">
        <v>269</v>
      </c>
      <c r="F180" s="220"/>
      <c r="G180" s="220"/>
      <c r="H180" s="221" t="s">
        <v>226</v>
      </c>
      <c r="I180" s="129"/>
      <c r="J180" s="230"/>
      <c r="K180" s="90"/>
      <c r="L180" s="90"/>
      <c r="M180" s="425">
        <f>HLOOKUP($F$5,elektriciteit_primaire_energiefactor,ROWS(bibliotheek!$E$261:$E$265),FALSE)</f>
        <v>0.34</v>
      </c>
      <c r="N180" s="424"/>
      <c r="O180" s="402"/>
      <c r="P180" s="402"/>
      <c r="Q180" s="402"/>
      <c r="R180" s="402"/>
      <c r="S180" s="402"/>
      <c r="T180" s="402"/>
      <c r="U180" s="402"/>
      <c r="V180" s="402"/>
      <c r="W180" s="402"/>
      <c r="X180" s="426"/>
      <c r="Y180" s="425">
        <f>HLOOKUP($F$5,elektriciteit_primaire_energiefactor,ROWS(bibliotheek!$E$261:$E$265),FALSE)</f>
        <v>0.34</v>
      </c>
      <c r="Z180" s="424"/>
      <c r="AA180" s="402"/>
      <c r="AB180" s="402"/>
      <c r="AC180" s="402"/>
      <c r="AD180" s="402"/>
      <c r="AE180" s="402"/>
      <c r="AF180" s="402"/>
      <c r="AG180" s="402"/>
      <c r="AH180" s="402"/>
      <c r="AI180" s="402"/>
      <c r="AJ180" s="426"/>
      <c r="AK180" s="425">
        <f>HLOOKUP($F$5,elektriciteit_primaire_energiefactor,ROWS(bibliotheek!$E$261:$E$265),FALSE)</f>
        <v>0.34</v>
      </c>
      <c r="AL180" s="424"/>
      <c r="AM180" s="402"/>
      <c r="AN180" s="402"/>
      <c r="AO180" s="402"/>
      <c r="AP180" s="402"/>
      <c r="AQ180" s="402"/>
      <c r="AR180" s="402"/>
      <c r="AS180" s="402"/>
      <c r="AT180" s="402"/>
      <c r="AU180" s="402"/>
      <c r="AV180" s="426"/>
      <c r="AW180" s="425">
        <f>HLOOKUP($F$5,elektriciteit_primaire_energiefactor,ROWS(bibliotheek!$E$261:$E$265),FALSE)</f>
        <v>0.34</v>
      </c>
      <c r="AX180" s="129"/>
      <c r="AY180" s="401"/>
      <c r="AZ180" s="401"/>
      <c r="BA180" s="401"/>
      <c r="BB180" s="401"/>
      <c r="BC180" s="401"/>
      <c r="BD180" s="401"/>
      <c r="BE180" s="401"/>
      <c r="BF180" s="401"/>
      <c r="BG180" s="401"/>
      <c r="BH180" s="264"/>
    </row>
    <row r="181" spans="1:60" s="2" customFormat="1" x14ac:dyDescent="0.2">
      <c r="A181" s="649"/>
      <c r="B181" s="492" t="s">
        <v>252</v>
      </c>
      <c r="C181" s="739" t="s">
        <v>113</v>
      </c>
      <c r="D181" s="753"/>
      <c r="E181" s="220" t="s">
        <v>270</v>
      </c>
      <c r="F181" s="221"/>
      <c r="G181" s="221"/>
      <c r="H181" s="221" t="s">
        <v>228</v>
      </c>
      <c r="I181" s="129"/>
      <c r="J181" s="243">
        <f>M181+Y181+AK181+AW181</f>
        <v>0</v>
      </c>
      <c r="K181" s="823"/>
      <c r="L181" s="823"/>
      <c r="M181" s="243">
        <f>M172*M179+M173*M180</f>
        <v>0</v>
      </c>
      <c r="N181" s="100"/>
      <c r="O181" s="207">
        <f>IF($M$169=0,0,O$169/$M$169*$M181)</f>
        <v>0</v>
      </c>
      <c r="P181" s="207">
        <f>IF($M$169=0,0,P$169/$M$169*$M181)</f>
        <v>0</v>
      </c>
      <c r="Q181" s="207">
        <f>IF($M$169=0,0,Q$169/$M$169*$M181)</f>
        <v>0</v>
      </c>
      <c r="R181" s="335"/>
      <c r="S181" s="335"/>
      <c r="T181" s="335"/>
      <c r="U181" s="335"/>
      <c r="V181" s="335"/>
      <c r="W181" s="207">
        <f>IF($M$169=0,0,W$169/$M$169*$M181)</f>
        <v>0</v>
      </c>
      <c r="X181" s="128"/>
      <c r="Y181" s="243">
        <f>Y172*Y179+Y173*Y180</f>
        <v>0</v>
      </c>
      <c r="Z181" s="100"/>
      <c r="AA181" s="207">
        <f>IF($Y$169=0,0,AA$169/$Y$169*$Y181)</f>
        <v>0</v>
      </c>
      <c r="AB181" s="207">
        <f>IF($Y$169=0,0,AB$169/$Y$169*$Y181)</f>
        <v>0</v>
      </c>
      <c r="AC181" s="207">
        <f>IF($Y$169=0,0,AC$169/$Y$169*$Y181)</f>
        <v>0</v>
      </c>
      <c r="AD181" s="335"/>
      <c r="AE181" s="335"/>
      <c r="AF181" s="335"/>
      <c r="AG181" s="335"/>
      <c r="AH181" s="335"/>
      <c r="AI181" s="207">
        <f>IF($Y$169=0,0,AI$169/$Y$169*$Y181)</f>
        <v>0</v>
      </c>
      <c r="AJ181" s="128"/>
      <c r="AK181" s="243">
        <f>AK172*AK179+AK173*AK180</f>
        <v>0</v>
      </c>
      <c r="AL181" s="100"/>
      <c r="AM181" s="207">
        <f>IF($AK$169=0,0,AM$169/$AK$169*$AK181)</f>
        <v>0</v>
      </c>
      <c r="AN181" s="207">
        <f>IF($AK$169=0,0,AN$169/$AK$169*$AK181)</f>
        <v>0</v>
      </c>
      <c r="AO181" s="207">
        <f>IF($AK$169=0,0,AO$169/$AK$169*$AK181)</f>
        <v>0</v>
      </c>
      <c r="AP181" s="335"/>
      <c r="AQ181" s="335"/>
      <c r="AR181" s="335"/>
      <c r="AS181" s="335"/>
      <c r="AT181" s="335"/>
      <c r="AU181" s="207">
        <f>IF($AK$169=0,0,AU$169/$AK$169*$AK181)</f>
        <v>0</v>
      </c>
      <c r="AV181" s="128"/>
      <c r="AW181" s="243">
        <f>AW172*AW179+AW173*AW180</f>
        <v>0</v>
      </c>
      <c r="AX181" s="100"/>
      <c r="AY181" s="207">
        <f>IF($AW$169=0,0,AY$169/$AW$169*$AW181)</f>
        <v>0</v>
      </c>
      <c r="AZ181" s="207">
        <f>IF($AW$169=0,0,AZ$169/$AW$169*$AW181)</f>
        <v>0</v>
      </c>
      <c r="BA181" s="207">
        <f>IF($AW$169=0,0,BA$169/$AW$169*$AW181)</f>
        <v>0</v>
      </c>
      <c r="BB181" s="335"/>
      <c r="BC181" s="335"/>
      <c r="BD181" s="335"/>
      <c r="BE181" s="335"/>
      <c r="BF181" s="335"/>
      <c r="BG181" s="207">
        <f>IF($AW$169=0,0,BG$169/$AW$169*$AW181)</f>
        <v>0</v>
      </c>
      <c r="BH181" s="255"/>
    </row>
    <row r="182" spans="1:60" x14ac:dyDescent="0.2">
      <c r="A182" s="648"/>
      <c r="B182" s="492" t="s">
        <v>252</v>
      </c>
      <c r="C182" s="739" t="s">
        <v>104</v>
      </c>
      <c r="D182" s="747"/>
      <c r="E182" s="90"/>
      <c r="F182" s="90"/>
      <c r="G182" s="90"/>
      <c r="H182" s="96"/>
      <c r="I182" s="90"/>
      <c r="J182" s="93"/>
      <c r="K182" s="90"/>
      <c r="L182" s="90"/>
      <c r="M182" s="93"/>
      <c r="N182" s="90"/>
      <c r="O182" s="122"/>
      <c r="P182" s="122"/>
      <c r="Q182" s="122"/>
      <c r="R182" s="93"/>
      <c r="S182" s="93"/>
      <c r="T182" s="93"/>
      <c r="U182" s="93"/>
      <c r="V182" s="93"/>
      <c r="W182" s="93"/>
      <c r="X182" s="93"/>
      <c r="Y182" s="93"/>
      <c r="Z182" s="90"/>
      <c r="AA182" s="122"/>
      <c r="AB182" s="122"/>
      <c r="AC182" s="122"/>
      <c r="AD182" s="93"/>
      <c r="AE182" s="93"/>
      <c r="AF182" s="93"/>
      <c r="AG182" s="93"/>
      <c r="AH182" s="93"/>
      <c r="AI182" s="93"/>
      <c r="AJ182" s="93"/>
      <c r="AK182" s="93"/>
      <c r="AL182" s="90"/>
      <c r="AM182" s="122"/>
      <c r="AN182" s="122"/>
      <c r="AO182" s="122"/>
      <c r="AP182" s="93"/>
      <c r="AQ182" s="93"/>
      <c r="AR182" s="93"/>
      <c r="AS182" s="93"/>
      <c r="AT182" s="93"/>
      <c r="AU182" s="93"/>
      <c r="AV182" s="93"/>
      <c r="AW182" s="93"/>
      <c r="AX182" s="90"/>
      <c r="AY182" s="122"/>
      <c r="AZ182" s="122"/>
      <c r="BA182" s="122"/>
      <c r="BB182" s="122"/>
      <c r="BC182" s="122"/>
      <c r="BD182" s="122"/>
      <c r="BE182" s="122"/>
      <c r="BF182" s="122"/>
      <c r="BG182" s="122"/>
      <c r="BH182" s="1"/>
    </row>
    <row r="183" spans="1:60" x14ac:dyDescent="0.2">
      <c r="A183" s="648"/>
      <c r="B183" s="492" t="s">
        <v>271</v>
      </c>
      <c r="C183" s="656" t="s">
        <v>104</v>
      </c>
      <c r="D183" s="747"/>
      <c r="E183" s="134"/>
      <c r="F183" s="90"/>
      <c r="G183" s="90"/>
      <c r="H183" s="96"/>
      <c r="I183" s="90"/>
      <c r="J183" s="93"/>
      <c r="K183" s="90"/>
      <c r="L183" s="90"/>
      <c r="M183" s="93"/>
      <c r="N183" s="90"/>
      <c r="O183" s="93"/>
      <c r="P183" s="93"/>
      <c r="Q183" s="93"/>
      <c r="R183" s="93"/>
      <c r="S183" s="93"/>
      <c r="T183" s="93"/>
      <c r="U183" s="93"/>
      <c r="V183" s="93"/>
      <c r="W183" s="93"/>
      <c r="X183" s="93"/>
      <c r="Y183" s="93"/>
      <c r="Z183" s="90"/>
      <c r="AA183" s="93"/>
      <c r="AB183" s="93"/>
      <c r="AC183" s="93"/>
      <c r="AD183" s="93"/>
      <c r="AE183" s="93"/>
      <c r="AF183" s="93"/>
      <c r="AG183" s="93"/>
      <c r="AH183" s="93"/>
      <c r="AI183" s="93"/>
      <c r="AJ183" s="93"/>
      <c r="AK183" s="93"/>
      <c r="AL183" s="90"/>
      <c r="AM183" s="93"/>
      <c r="AN183" s="93"/>
      <c r="AO183" s="93"/>
      <c r="AP183" s="93"/>
      <c r="AQ183" s="93"/>
      <c r="AR183" s="93"/>
      <c r="AS183" s="93"/>
      <c r="AT183" s="93"/>
      <c r="AU183" s="93"/>
      <c r="AV183" s="93"/>
      <c r="AW183" s="93"/>
      <c r="AX183" s="90"/>
      <c r="AY183" s="93"/>
      <c r="AZ183" s="93"/>
      <c r="BA183" s="93"/>
      <c r="BB183" s="93"/>
      <c r="BC183" s="93"/>
      <c r="BD183" s="93"/>
      <c r="BE183" s="93"/>
      <c r="BF183" s="93"/>
      <c r="BG183" s="93"/>
      <c r="BH183" s="1"/>
    </row>
    <row r="184" spans="1:60" ht="21" x14ac:dyDescent="0.2">
      <c r="A184" s="648"/>
      <c r="B184" s="492" t="s">
        <v>271</v>
      </c>
      <c r="C184" s="739" t="s">
        <v>104</v>
      </c>
      <c r="D184" s="752"/>
      <c r="E184" s="240" t="s">
        <v>272</v>
      </c>
      <c r="F184" s="240"/>
      <c r="G184" s="825"/>
      <c r="H184" s="216"/>
      <c r="I184" s="88"/>
      <c r="J184" s="241"/>
      <c r="K184" s="142"/>
      <c r="L184" s="142"/>
      <c r="M184" s="216" t="str">
        <f>M$10</f>
        <v>totaal</v>
      </c>
      <c r="N184" s="222"/>
      <c r="O184" s="217" t="str">
        <f t="shared" ref="O184:W184" si="114">O$10</f>
        <v>verwarming</v>
      </c>
      <c r="P184" s="217" t="str">
        <f t="shared" si="114"/>
        <v>koeling</v>
      </c>
      <c r="Q184" s="217" t="str">
        <f t="shared" si="114"/>
        <v>tapwater</v>
      </c>
      <c r="R184" s="217" t="str">
        <f t="shared" si="114"/>
        <v>verlichting</v>
      </c>
      <c r="S184" s="217" t="str">
        <f t="shared" si="114"/>
        <v>ventilatoren</v>
      </c>
      <c r="T184" s="217" t="str">
        <f t="shared" si="114"/>
        <v>kookgas</v>
      </c>
      <c r="U184" s="217" t="str">
        <f t="shared" si="114"/>
        <v>overig elektra</v>
      </c>
      <c r="V184" s="217" t="str">
        <f t="shared" si="114"/>
        <v>mobiliteit</v>
      </c>
      <c r="W184" s="217" t="str">
        <f t="shared" si="114"/>
        <v>zonnepanelen</v>
      </c>
      <c r="X184" s="214"/>
      <c r="Y184" s="216" t="str">
        <f>Y$10</f>
        <v>totaal</v>
      </c>
      <c r="Z184" s="222"/>
      <c r="AA184" s="217" t="str">
        <f t="shared" ref="AA184:AI184" si="115">AA$10</f>
        <v>verwarming</v>
      </c>
      <c r="AB184" s="217" t="str">
        <f t="shared" si="115"/>
        <v>koeling</v>
      </c>
      <c r="AC184" s="217" t="str">
        <f t="shared" si="115"/>
        <v>tapwater</v>
      </c>
      <c r="AD184" s="217" t="str">
        <f t="shared" si="115"/>
        <v>verlichting</v>
      </c>
      <c r="AE184" s="217" t="str">
        <f t="shared" si="115"/>
        <v>ventilatoren</v>
      </c>
      <c r="AF184" s="217" t="str">
        <f t="shared" si="115"/>
        <v>kookgas</v>
      </c>
      <c r="AG184" s="217" t="str">
        <f t="shared" si="115"/>
        <v>overig elektra</v>
      </c>
      <c r="AH184" s="217" t="str">
        <f t="shared" si="115"/>
        <v>mobiliteit</v>
      </c>
      <c r="AI184" s="217" t="str">
        <f t="shared" si="115"/>
        <v>zonnepanelen</v>
      </c>
      <c r="AJ184" s="214"/>
      <c r="AK184" s="216" t="str">
        <f>AK$10</f>
        <v>totaal</v>
      </c>
      <c r="AL184" s="222"/>
      <c r="AM184" s="217" t="str">
        <f>AM$10</f>
        <v>verwarming</v>
      </c>
      <c r="AN184" s="217" t="str">
        <f t="shared" ref="AN184:AU184" si="116">AN$10</f>
        <v>koeling</v>
      </c>
      <c r="AO184" s="217" t="str">
        <f t="shared" si="116"/>
        <v>tapwater</v>
      </c>
      <c r="AP184" s="217" t="str">
        <f t="shared" si="116"/>
        <v>verlichting</v>
      </c>
      <c r="AQ184" s="217" t="str">
        <f t="shared" si="116"/>
        <v>ventilatoren</v>
      </c>
      <c r="AR184" s="217" t="str">
        <f t="shared" si="116"/>
        <v>kookgas</v>
      </c>
      <c r="AS184" s="217" t="str">
        <f t="shared" si="116"/>
        <v>overig elektra</v>
      </c>
      <c r="AT184" s="217" t="str">
        <f t="shared" si="116"/>
        <v>mobiliteit</v>
      </c>
      <c r="AU184" s="217" t="str">
        <f t="shared" si="116"/>
        <v>zonnepanelen</v>
      </c>
      <c r="AV184" s="214"/>
      <c r="AW184" s="216" t="str">
        <f>AW$10</f>
        <v>totaal</v>
      </c>
      <c r="AX184" s="222"/>
      <c r="AY184" s="217" t="str">
        <f t="shared" ref="AY184:BG184" si="117">AY$10</f>
        <v>verwarming</v>
      </c>
      <c r="AZ184" s="217" t="str">
        <f t="shared" si="117"/>
        <v>koeling</v>
      </c>
      <c r="BA184" s="217" t="str">
        <f t="shared" si="117"/>
        <v>tapwater</v>
      </c>
      <c r="BB184" s="217" t="str">
        <f t="shared" si="117"/>
        <v>verlichting</v>
      </c>
      <c r="BC184" s="217" t="str">
        <f t="shared" si="117"/>
        <v>ventilatoren</v>
      </c>
      <c r="BD184" s="217" t="str">
        <f t="shared" si="117"/>
        <v>kookgas</v>
      </c>
      <c r="BE184" s="217" t="str">
        <f t="shared" si="117"/>
        <v>overig elektra</v>
      </c>
      <c r="BF184" s="217" t="str">
        <f t="shared" si="117"/>
        <v>mobiliteit</v>
      </c>
      <c r="BG184" s="217" t="str">
        <f t="shared" si="117"/>
        <v>zonnepanelen</v>
      </c>
      <c r="BH184" s="1"/>
    </row>
    <row r="185" spans="1:60" ht="18.75" x14ac:dyDescent="0.2">
      <c r="A185" s="648"/>
      <c r="B185" s="492" t="s">
        <v>271</v>
      </c>
      <c r="C185" s="739" t="s">
        <v>104</v>
      </c>
      <c r="D185" s="747"/>
      <c r="E185" s="231" t="s">
        <v>273</v>
      </c>
      <c r="F185" s="231"/>
      <c r="G185" s="231"/>
      <c r="H185" s="89"/>
      <c r="I185" s="232"/>
      <c r="J185" s="231"/>
      <c r="K185" s="232"/>
      <c r="L185" s="232"/>
      <c r="M185" s="231"/>
      <c r="N185" s="232"/>
      <c r="O185" s="232"/>
      <c r="P185" s="232"/>
      <c r="Q185" s="232"/>
      <c r="R185" s="232"/>
      <c r="S185" s="232"/>
      <c r="T185" s="232"/>
      <c r="U185" s="232"/>
      <c r="V185" s="232"/>
      <c r="W185" s="232"/>
      <c r="X185" s="232"/>
      <c r="Y185" s="232"/>
      <c r="Z185" s="232"/>
      <c r="AA185" s="232"/>
      <c r="AB185" s="232"/>
      <c r="AC185" s="232"/>
      <c r="AD185" s="232"/>
      <c r="AE185" s="232"/>
      <c r="AF185" s="232"/>
      <c r="AG185" s="232"/>
      <c r="AH185" s="232"/>
      <c r="AI185" s="232"/>
      <c r="AJ185" s="232"/>
      <c r="AK185" s="232"/>
      <c r="AL185" s="232"/>
      <c r="AM185" s="232"/>
      <c r="AN185" s="232"/>
      <c r="AO185" s="232"/>
      <c r="AP185" s="232"/>
      <c r="AQ185" s="232"/>
      <c r="AR185" s="232"/>
      <c r="AS185" s="232"/>
      <c r="AT185" s="232"/>
      <c r="AU185" s="232"/>
      <c r="AV185" s="232"/>
      <c r="AW185" s="232"/>
      <c r="AX185" s="232"/>
      <c r="AY185" s="232"/>
      <c r="AZ185" s="232"/>
      <c r="BA185" s="232"/>
      <c r="BB185" s="232"/>
      <c r="BC185" s="232"/>
      <c r="BD185" s="232"/>
      <c r="BE185" s="232"/>
      <c r="BF185" s="232"/>
      <c r="BG185" s="232"/>
      <c r="BH185" s="38"/>
    </row>
    <row r="186" spans="1:60" x14ac:dyDescent="0.2">
      <c r="A186" s="648"/>
      <c r="B186" s="492" t="s">
        <v>271</v>
      </c>
      <c r="C186" s="656" t="s">
        <v>113</v>
      </c>
      <c r="D186" s="750"/>
      <c r="E186" s="220" t="s">
        <v>274</v>
      </c>
      <c r="F186" s="220"/>
      <c r="G186" s="220"/>
      <c r="H186" s="242" t="str">
        <f>m3gas&amp;"/won.geb"</f>
        <v>m3/won.geb</v>
      </c>
      <c r="I186" s="129"/>
      <c r="J186" s="243"/>
      <c r="K186" s="279"/>
      <c r="L186" s="279"/>
      <c r="M186" s="230">
        <f>SUM(N186:X186)</f>
        <v>0</v>
      </c>
      <c r="N186" s="135"/>
      <c r="O186" s="223">
        <f>IF(O$29=0,0,((AND(O$81=gebouw,O$102=aardgas))*O$113+(AND(O$81=gebouw,O$132=aardgas))*O$138)*1000/bibliotheek!$I$530/O$29)</f>
        <v>0</v>
      </c>
      <c r="P186" s="223">
        <f>IF(P$29=0,0,((AND(P$81=gebouw,P$102=aardgas))*P$113+(AND(P$81=gebouw,P$132=aardgas))*P$138)*1000/bibliotheek!$I$530/P$29)</f>
        <v>0</v>
      </c>
      <c r="Q186" s="223">
        <f>IF(Q$29=0,0,((AND(Q$81=gebouw,Q$102=aardgas))*Q$113+(AND(Q$81=gebouw,Q$132=aardgas))*Q$138)*1000/bibliotheek!$I$530/Q$29)</f>
        <v>0</v>
      </c>
      <c r="R186" s="373"/>
      <c r="S186" s="373"/>
      <c r="T186" s="223">
        <f>IF(T$29=0,0,T$75*1000/bibliotheek!$I$530/T$29)</f>
        <v>0</v>
      </c>
      <c r="U186" s="373"/>
      <c r="V186" s="373"/>
      <c r="W186" s="373"/>
      <c r="X186" s="122"/>
      <c r="Y186" s="230">
        <f>SUM(Z186:AJ186)</f>
        <v>0</v>
      </c>
      <c r="Z186" s="135"/>
      <c r="AA186" s="223">
        <f>IF(AA$29=0,0,((AND(AA$81=gebouw,AA$102=aardgas))*AA$113+(AND(AA$81=gebouw,AA$132=aardgas))*AA$138)*1000/bibliotheek!$I$530/AA$29)</f>
        <v>0</v>
      </c>
      <c r="AB186" s="223">
        <f>IF(AB$29=0,0,((AND(AB$81=gebouw,AB$102=aardgas))*AB$113+(AND(AB$81=gebouw,AB$132=aardgas))*AB$138)*1000/bibliotheek!$I$530/AB$29)</f>
        <v>0</v>
      </c>
      <c r="AC186" s="223">
        <f>IF(AC$29=0,0,((AND(AC$81=gebouw,AC$102=aardgas))*AC$113+(AND(AC$81=gebouw,AC$132=aardgas))*AC$138)*1000/bibliotheek!$I$530/AC$29)</f>
        <v>0</v>
      </c>
      <c r="AD186" s="373"/>
      <c r="AE186" s="373"/>
      <c r="AF186" s="223">
        <f>IF(AF$29=0,0,AF$75*1000/bibliotheek!$I$530/AF$29)</f>
        <v>0</v>
      </c>
      <c r="AG186" s="373"/>
      <c r="AH186" s="373"/>
      <c r="AI186" s="373"/>
      <c r="AJ186" s="122"/>
      <c r="AK186" s="230">
        <f>SUM(AL186:AV186)</f>
        <v>0</v>
      </c>
      <c r="AL186" s="135"/>
      <c r="AM186" s="223">
        <f>IF(AM$29=0,0,((AND(AM$81=gebouw,AM$102=aardgas))*AM$113+(AND(AM$81=gebouw,AM$132=aardgas))*AM$138)*1000/bibliotheek!$I$530/AM$29)</f>
        <v>0</v>
      </c>
      <c r="AN186" s="223">
        <f>IF(AN$29=0,0,((AND(AN$81=gebouw,AN$102=aardgas))*AN$113+(AND(AN$81=gebouw,AN$132=aardgas))*AN$138)*1000/bibliotheek!$I$530/AN$29)</f>
        <v>0</v>
      </c>
      <c r="AO186" s="223">
        <f>IF(AO$29=0,0,((AND(AO$81=gebouw,AO$102=aardgas))*AO$113+(AND(AO$81=gebouw,AO$132=aardgas))*AO$138)*1000/bibliotheek!$I$530/AO$29)</f>
        <v>0</v>
      </c>
      <c r="AP186" s="373"/>
      <c r="AQ186" s="373"/>
      <c r="AR186" s="223">
        <f>IF(AR$29=0,0,AR$75*1000/bibliotheek!$I$530/AR$29)</f>
        <v>0</v>
      </c>
      <c r="AS186" s="373"/>
      <c r="AT186" s="373"/>
      <c r="AU186" s="373"/>
      <c r="AV186" s="122"/>
      <c r="AW186" s="230">
        <f>SUM(AX186:BH186)</f>
        <v>0</v>
      </c>
      <c r="AX186" s="135"/>
      <c r="AY186" s="223">
        <f>IF(AY$29=0,0,((AND(AY$81=gebouw,AY$102=aardgas))*AY$113+(AND(AY$81=gebouw,AY$132=aardgas))*AY$138)*1000/bibliotheek!$I$530/AY$29)</f>
        <v>0</v>
      </c>
      <c r="AZ186" s="223">
        <f>IF(AZ$29=0,0,((AND(AZ$81=gebouw,AZ$102=aardgas))*AZ$113+(AND(AZ$81=gebouw,AZ$132=aardgas))*AZ$138)*1000/bibliotheek!$I$530/AZ$29)</f>
        <v>0</v>
      </c>
      <c r="BA186" s="223">
        <f>IF(BA$29=0,0,((AND(BA$81=gebouw,BA$102=aardgas))*BA$113+(AND(BA$81=gebouw,BA$132=aardgas))*BA$138)*1000/bibliotheek!$I$530/BA$29)</f>
        <v>0</v>
      </c>
      <c r="BB186" s="373"/>
      <c r="BC186" s="373"/>
      <c r="BD186" s="223">
        <f>IF(BD$29=0,0,BD$75*1000/bibliotheek!$I$530/BD$29)</f>
        <v>0</v>
      </c>
      <c r="BE186" s="373"/>
      <c r="BF186" s="373"/>
      <c r="BG186" s="373"/>
      <c r="BH186" s="255"/>
    </row>
    <row r="187" spans="1:60" x14ac:dyDescent="0.2">
      <c r="A187" s="648"/>
      <c r="B187" s="492" t="s">
        <v>271</v>
      </c>
      <c r="C187" s="656" t="s">
        <v>113</v>
      </c>
      <c r="D187" s="750"/>
      <c r="E187" s="220" t="s">
        <v>156</v>
      </c>
      <c r="F187" s="220"/>
      <c r="G187" s="220"/>
      <c r="H187" s="242" t="str">
        <f>kWh&amp;"/won.geb"</f>
        <v>kWh/won.geb</v>
      </c>
      <c r="I187" s="129"/>
      <c r="J187" s="243"/>
      <c r="K187" s="279"/>
      <c r="L187" s="279"/>
      <c r="M187" s="230">
        <f>SUM(N187:X187)</f>
        <v>0</v>
      </c>
      <c r="N187" s="135"/>
      <c r="O187" s="223">
        <f>IF(O$29=0,0,(O$171-O$167)*1000/O$29)</f>
        <v>0</v>
      </c>
      <c r="P187" s="223">
        <f>IF(OR(P$29=0,P$33=0),0,(P$171-P$167)*1000/P$29)</f>
        <v>0</v>
      </c>
      <c r="Q187" s="223">
        <f>IF(OR(Q$29=0,Q$33=0),0,(Q$171-Q$167)*1000/Q$29)</f>
        <v>0</v>
      </c>
      <c r="R187" s="223">
        <f>IF(R$29=0,0,R$171*1000/R$29)</f>
        <v>0</v>
      </c>
      <c r="S187" s="223">
        <f>IF(S$29=0,0,S$171*1000/S$29)</f>
        <v>0</v>
      </c>
      <c r="T187" s="335"/>
      <c r="U187" s="223">
        <f>IF(U$29=0,0,U$171*1000/U$29)</f>
        <v>0</v>
      </c>
      <c r="V187" s="223">
        <f>IF(V$29=0,0,V$171*1000/V$29)</f>
        <v>0</v>
      </c>
      <c r="W187" s="223">
        <f>IF(W$29=0,0,-W$168*1000/W$29)</f>
        <v>0</v>
      </c>
      <c r="X187" s="122"/>
      <c r="Y187" s="230">
        <f>SUM(Z187:AJ187)</f>
        <v>0</v>
      </c>
      <c r="Z187" s="135"/>
      <c r="AA187" s="223">
        <f>IF(AA$29=0,0,(AA$171-AA$167)*1000/AA$29)</f>
        <v>0</v>
      </c>
      <c r="AB187" s="223">
        <f>IF(OR(AB$29=0,AB$33=0),0,(AB$171-AB$167)*1000/AB$29)</f>
        <v>0</v>
      </c>
      <c r="AC187" s="223">
        <f>IF(OR(AC$29=0,AC$33=0),0,(AC$171-AC$167)*1000/AC$29)</f>
        <v>0</v>
      </c>
      <c r="AD187" s="223">
        <f>IF(AD$29=0,0,AD$171*1000/AD$29)</f>
        <v>0</v>
      </c>
      <c r="AE187" s="223">
        <f>IF(AE$29=0,0,AE$171*1000/AE$29)</f>
        <v>0</v>
      </c>
      <c r="AF187" s="335"/>
      <c r="AG187" s="223">
        <f>IF(AG$29=0,0,AG$171*1000/AG$29)</f>
        <v>0</v>
      </c>
      <c r="AH187" s="223">
        <f>IF(AH$29=0,0,AH$171*1000/AH$29)</f>
        <v>0</v>
      </c>
      <c r="AI187" s="223">
        <f>IF(AI$29=0,0,-AI$168*1000/AI$29)</f>
        <v>0</v>
      </c>
      <c r="AJ187" s="122"/>
      <c r="AK187" s="230">
        <f>SUM(AL187:AV187)</f>
        <v>0</v>
      </c>
      <c r="AL187" s="135"/>
      <c r="AM187" s="223">
        <f>IF(AM$29=0,0,(AM$171-AM$167)*1000/AM$29)</f>
        <v>0</v>
      </c>
      <c r="AN187" s="223">
        <f>IF(OR(AN$29=0,AN$33=0),0,(AN$171-AN$167)*1000/AN$29)</f>
        <v>0</v>
      </c>
      <c r="AO187" s="223">
        <f>IF(OR(AO$29=0,AO$33=0),0,(AO$171-AO$167)*1000/AO$29)</f>
        <v>0</v>
      </c>
      <c r="AP187" s="223">
        <f>IF(AP$29=0,0,AP$171*1000/AP$29)</f>
        <v>0</v>
      </c>
      <c r="AQ187" s="223">
        <f>IF(AQ$29=0,0,AQ$171*1000/AQ$29)</f>
        <v>0</v>
      </c>
      <c r="AR187" s="207"/>
      <c r="AS187" s="223">
        <f>IF(AS$29=0,0,AS$171*1000/AS$29)</f>
        <v>0</v>
      </c>
      <c r="AT187" s="223">
        <f>IF(AT$29=0,0,AT$171*1000/AT$29)</f>
        <v>0</v>
      </c>
      <c r="AU187" s="223">
        <f>IF(AU$29=0,0,-AU$168*1000/AU$29)</f>
        <v>0</v>
      </c>
      <c r="AV187" s="122"/>
      <c r="AW187" s="230">
        <f>SUM(AX187:BH187)</f>
        <v>0</v>
      </c>
      <c r="AX187" s="135"/>
      <c r="AY187" s="223">
        <f>IF(AY$29=0,0,(AY$171-AY$167)*1000/AY$29)</f>
        <v>0</v>
      </c>
      <c r="AZ187" s="223">
        <f>IF(OR(AZ$29=0,AZ$33=0),0,(AZ$171-AZ$167)*1000/AZ$29)</f>
        <v>0</v>
      </c>
      <c r="BA187" s="223">
        <f>IF(OR(BA$29=0,BA$33=0),0,(BA$171-BA$167)*1000/BA$29)</f>
        <v>0</v>
      </c>
      <c r="BB187" s="223">
        <f>IF(BB$29=0,0,BB$171*1000/BB$29)</f>
        <v>0</v>
      </c>
      <c r="BC187" s="223">
        <f>IF(BC$29=0,0,BC$171*1000/BC$29)</f>
        <v>0</v>
      </c>
      <c r="BD187" s="335"/>
      <c r="BE187" s="223">
        <f>IF(BE$29=0,0,BE$171*1000/BE$29)</f>
        <v>0</v>
      </c>
      <c r="BF187" s="223">
        <f>IF(BF$29=0,0,BF$171*1000/BF$29)</f>
        <v>0</v>
      </c>
      <c r="BG187" s="223">
        <f>IF(BG$29=0,0,-BG$168*1000/BG$29)</f>
        <v>0</v>
      </c>
      <c r="BH187" s="255"/>
    </row>
    <row r="188" spans="1:60" x14ac:dyDescent="0.2">
      <c r="A188" s="648"/>
      <c r="B188" s="492" t="s">
        <v>271</v>
      </c>
      <c r="C188" s="656" t="s">
        <v>113</v>
      </c>
      <c r="D188" s="750"/>
      <c r="E188" s="220" t="s">
        <v>275</v>
      </c>
      <c r="F188" s="220"/>
      <c r="G188" s="220"/>
      <c r="H188" s="242" t="str">
        <f>GJ&amp;"/won.geb"</f>
        <v>GJ/won.geb</v>
      </c>
      <c r="I188" s="129"/>
      <c r="J188" s="243"/>
      <c r="K188" s="279"/>
      <c r="L188" s="279"/>
      <c r="M188" s="243">
        <f>SUM(N188:X188)</f>
        <v>0</v>
      </c>
      <c r="N188" s="100"/>
      <c r="O188" s="207">
        <f>IF(O$29=0,0,(O$81&lt;&gt;gebouw)*(O$75+O$85-O$88)*3.6/O$29)</f>
        <v>0</v>
      </c>
      <c r="P188" s="207">
        <f>IF(P$29=0,0,(P$81&lt;&gt;gebouw)*(P$75+P$85-P$88)*3.6/P$29)</f>
        <v>0</v>
      </c>
      <c r="Q188" s="207">
        <f>IF(Q$29=0,0,(Q$81&lt;&gt;gebouw)*(Q$75+Q$85-Q$88)*3.6/Q$29)</f>
        <v>0</v>
      </c>
      <c r="R188" s="335"/>
      <c r="S188" s="335"/>
      <c r="T188" s="335"/>
      <c r="U188" s="335"/>
      <c r="V188" s="335"/>
      <c r="W188" s="335"/>
      <c r="X188" s="128"/>
      <c r="Y188" s="243">
        <f>SUM(Z188:AJ188)</f>
        <v>0</v>
      </c>
      <c r="Z188" s="100"/>
      <c r="AA188" s="207">
        <f>IF(AA$29=0,0,(AA$81&lt;&gt;gebouw)*(AA$75+AA$85-AA$88)*3.6/AA$29)</f>
        <v>0</v>
      </c>
      <c r="AB188" s="207">
        <f>IF(AB$29=0,0,(AB$81&lt;&gt;gebouw)*(AB$75+AB$85-AB$88)*3.6/AB$29)</f>
        <v>0</v>
      </c>
      <c r="AC188" s="207">
        <f>IF(AC$29=0,0,(AC$81&lt;&gt;gebouw)*(AC$75+AC$85-AC$88)*3.6/AC$29)</f>
        <v>0</v>
      </c>
      <c r="AD188" s="335"/>
      <c r="AE188" s="335"/>
      <c r="AF188" s="335"/>
      <c r="AG188" s="335"/>
      <c r="AH188" s="335"/>
      <c r="AI188" s="335"/>
      <c r="AJ188" s="128"/>
      <c r="AK188" s="243">
        <f>SUM(AL188:AV188)</f>
        <v>0</v>
      </c>
      <c r="AL188" s="100"/>
      <c r="AM188" s="207">
        <f>IF(AM$29=0,0,(AM$81&lt;&gt;gebouw)*(AM$75+AM$85-AM$88)*3.6/AM$29)</f>
        <v>0</v>
      </c>
      <c r="AN188" s="207">
        <f>IF(AN$29=0,0,(AN$81&lt;&gt;gebouw)*(AN$75+AN$85-AN$88)*3.6/AN$29)</f>
        <v>0</v>
      </c>
      <c r="AO188" s="207">
        <f>IF(AO$29=0,0,(AO$81&lt;&gt;gebouw)*(AO$75+AO$85-AO$88)*3.6/AO$29)</f>
        <v>0</v>
      </c>
      <c r="AP188" s="207"/>
      <c r="AQ188" s="207"/>
      <c r="AR188" s="207"/>
      <c r="AS188" s="207"/>
      <c r="AT188" s="207"/>
      <c r="AU188" s="207"/>
      <c r="AV188" s="128"/>
      <c r="AW188" s="243">
        <f>SUM(AX188:BH188)</f>
        <v>0</v>
      </c>
      <c r="AX188" s="100"/>
      <c r="AY188" s="207">
        <f>IF(AY$29=0,0,(AY$81&lt;&gt;gebouw)*(AY$75+AY$85-AY$88)*3.6/AY$29)</f>
        <v>0</v>
      </c>
      <c r="AZ188" s="207">
        <f>IF(AZ$29=0,0,(AZ$81&lt;&gt;gebouw)*(AZ$75+AZ$85-AZ$88)*3.6/AZ$29)</f>
        <v>0</v>
      </c>
      <c r="BA188" s="207">
        <f>IF(BA$29=0,0,(BA$81&lt;&gt;gebouw)*(BA$75+BA$85-BA$88)*3.6/BA$29)</f>
        <v>0</v>
      </c>
      <c r="BB188" s="335"/>
      <c r="BC188" s="335"/>
      <c r="BD188" s="335"/>
      <c r="BE188" s="335"/>
      <c r="BF188" s="335"/>
      <c r="BG188" s="335"/>
      <c r="BH188" s="255"/>
    </row>
    <row r="189" spans="1:60" ht="18.75" x14ac:dyDescent="0.2">
      <c r="A189" s="648"/>
      <c r="B189" s="492" t="s">
        <v>271</v>
      </c>
      <c r="C189" s="739" t="s">
        <v>104</v>
      </c>
      <c r="D189" s="750"/>
      <c r="E189" s="231" t="s">
        <v>276</v>
      </c>
      <c r="F189" s="231"/>
      <c r="G189" s="231"/>
      <c r="H189" s="89"/>
      <c r="I189" s="232"/>
      <c r="J189" s="231"/>
      <c r="K189" s="232"/>
      <c r="L189" s="232"/>
      <c r="M189" s="231"/>
      <c r="N189" s="232"/>
      <c r="O189" s="232"/>
      <c r="P189" s="232"/>
      <c r="Q189" s="232"/>
      <c r="R189" s="232"/>
      <c r="S189" s="232"/>
      <c r="T189" s="232"/>
      <c r="U189" s="232"/>
      <c r="V189" s="232"/>
      <c r="W189" s="232"/>
      <c r="X189" s="232"/>
      <c r="Y189" s="232"/>
      <c r="Z189" s="232"/>
      <c r="AA189" s="232"/>
      <c r="AB189" s="232"/>
      <c r="AC189" s="232"/>
      <c r="AD189" s="232"/>
      <c r="AE189" s="232"/>
      <c r="AF189" s="232"/>
      <c r="AG189" s="232"/>
      <c r="AH189" s="232"/>
      <c r="AI189" s="232"/>
      <c r="AJ189" s="232"/>
      <c r="AK189" s="232"/>
      <c r="AL189" s="232"/>
      <c r="AM189" s="232"/>
      <c r="AN189" s="232"/>
      <c r="AO189" s="232"/>
      <c r="AP189" s="232"/>
      <c r="AQ189" s="232"/>
      <c r="AR189" s="232"/>
      <c r="AS189" s="232"/>
      <c r="AT189" s="232"/>
      <c r="AU189" s="232"/>
      <c r="AV189" s="232"/>
      <c r="AW189" s="232"/>
      <c r="AX189" s="232"/>
      <c r="AY189" s="232"/>
      <c r="AZ189" s="232"/>
      <c r="BA189" s="232"/>
      <c r="BB189" s="232"/>
      <c r="BC189" s="232"/>
      <c r="BD189" s="232"/>
      <c r="BE189" s="232"/>
      <c r="BF189" s="232"/>
      <c r="BG189" s="232"/>
      <c r="BH189" s="38"/>
    </row>
    <row r="190" spans="1:60" x14ac:dyDescent="0.2">
      <c r="A190" s="648"/>
      <c r="B190" s="492" t="s">
        <v>271</v>
      </c>
      <c r="C190" s="656" t="s">
        <v>113</v>
      </c>
      <c r="D190" s="750"/>
      <c r="E190" s="220" t="s">
        <v>274</v>
      </c>
      <c r="F190" s="220"/>
      <c r="G190" s="220"/>
      <c r="H190" s="242" t="s">
        <v>277</v>
      </c>
      <c r="I190" s="129"/>
      <c r="J190" s="243"/>
      <c r="K190" s="279"/>
      <c r="L190" s="279"/>
      <c r="M190" s="243">
        <f>IF(M$31=0,0,M186*M$24/M$31)</f>
        <v>0</v>
      </c>
      <c r="N190" s="100"/>
      <c r="O190" s="207">
        <f t="shared" ref="O190:Q192" si="118">IF(OR(O$33="",O$33=0),0,O$29*O186/O$33)</f>
        <v>0</v>
      </c>
      <c r="P190" s="207">
        <f t="shared" si="118"/>
        <v>0</v>
      </c>
      <c r="Q190" s="207">
        <f t="shared" si="118"/>
        <v>0</v>
      </c>
      <c r="R190" s="335"/>
      <c r="S190" s="335"/>
      <c r="T190" s="207">
        <f>IF(OR(T$33="",T$33=0),0,T$29*T186/T$33)</f>
        <v>0</v>
      </c>
      <c r="U190" s="335"/>
      <c r="V190" s="335"/>
      <c r="W190" s="335"/>
      <c r="X190" s="128"/>
      <c r="Y190" s="243">
        <f>IF(Y$31=0,0,Y186*Y$24/Y$31)</f>
        <v>0</v>
      </c>
      <c r="Z190" s="100"/>
      <c r="AA190" s="207">
        <f t="shared" ref="AA190:AC192" si="119">IF(OR(AA$33="",AA$33=0),0,AA$29*AA186/AA$33)</f>
        <v>0</v>
      </c>
      <c r="AB190" s="207">
        <f t="shared" si="119"/>
        <v>0</v>
      </c>
      <c r="AC190" s="207">
        <f t="shared" si="119"/>
        <v>0</v>
      </c>
      <c r="AD190" s="335"/>
      <c r="AE190" s="335"/>
      <c r="AF190" s="207">
        <f>IF(OR(AF$33="",AF$33=0),0,AF$29*AF186/AF$33)</f>
        <v>0</v>
      </c>
      <c r="AG190" s="335"/>
      <c r="AH190" s="335"/>
      <c r="AI190" s="335"/>
      <c r="AJ190" s="128"/>
      <c r="AK190" s="243">
        <f>IF(AK$31=0,0,AK186*AK$24/AK$31)</f>
        <v>0</v>
      </c>
      <c r="AL190" s="100"/>
      <c r="AM190" s="207">
        <f>IF(OR(AM$33="",AM$33=0),0,AM$29*AM186/AM$33)</f>
        <v>0</v>
      </c>
      <c r="AN190" s="207">
        <f t="shared" ref="AN190:AO192" si="120">IF(OR(AN$33="",AN$33=0),0,AN$29*AN186/AN$33)</f>
        <v>0</v>
      </c>
      <c r="AO190" s="207">
        <f t="shared" si="120"/>
        <v>0</v>
      </c>
      <c r="AP190" s="335"/>
      <c r="AQ190" s="335"/>
      <c r="AR190" s="207">
        <f>IF(OR(AR$33="",AR$33=0),0,AR$29*AR186/AR$33)</f>
        <v>0</v>
      </c>
      <c r="AS190" s="335"/>
      <c r="AT190" s="335"/>
      <c r="AU190" s="335"/>
      <c r="AV190" s="128"/>
      <c r="AW190" s="243">
        <f>IF(AW$31=0,0,AW186*AW$24/AW$31)</f>
        <v>0</v>
      </c>
      <c r="AX190" s="100"/>
      <c r="AY190" s="207">
        <f t="shared" ref="AY190:BA192" si="121">IF(OR(AY$33="",AY$33=0),0,AY$29*AY186/AY$33)</f>
        <v>0</v>
      </c>
      <c r="AZ190" s="207">
        <f t="shared" si="121"/>
        <v>0</v>
      </c>
      <c r="BA190" s="207">
        <f t="shared" si="121"/>
        <v>0</v>
      </c>
      <c r="BB190" s="335"/>
      <c r="BC190" s="335"/>
      <c r="BD190" s="207">
        <f>IF(OR(BD$33="",BD$33=0),0,BD$29*BD186/BD$33)</f>
        <v>0</v>
      </c>
      <c r="BE190" s="335"/>
      <c r="BF190" s="335"/>
      <c r="BG190" s="335"/>
      <c r="BH190" s="255"/>
    </row>
    <row r="191" spans="1:60" x14ac:dyDescent="0.2">
      <c r="A191" s="648"/>
      <c r="B191" s="492" t="s">
        <v>271</v>
      </c>
      <c r="C191" s="656" t="s">
        <v>113</v>
      </c>
      <c r="D191" s="750"/>
      <c r="E191" s="220" t="s">
        <v>156</v>
      </c>
      <c r="F191" s="220"/>
      <c r="G191" s="220"/>
      <c r="H191" s="242" t="s">
        <v>169</v>
      </c>
      <c r="I191" s="129"/>
      <c r="J191" s="243"/>
      <c r="K191" s="279"/>
      <c r="L191" s="279"/>
      <c r="M191" s="243">
        <f>IF(M$31=0,0,M187*M$24/M$31)</f>
        <v>0</v>
      </c>
      <c r="N191" s="100"/>
      <c r="O191" s="207">
        <f t="shared" si="118"/>
        <v>0</v>
      </c>
      <c r="P191" s="207">
        <f t="shared" si="118"/>
        <v>0</v>
      </c>
      <c r="Q191" s="207">
        <f t="shared" si="118"/>
        <v>0</v>
      </c>
      <c r="R191" s="207">
        <f>IF(OR(R$33="",R$33=0),0,R$29*R187/R$33)</f>
        <v>0</v>
      </c>
      <c r="S191" s="207">
        <f>IF(OR(S$33="",S$33=0),0,S$29*S187/S$33)</f>
        <v>0</v>
      </c>
      <c r="T191" s="335"/>
      <c r="U191" s="207">
        <f>IF(OR(U$33="",U$33=0),0,U$29*U187/U$33)</f>
        <v>0</v>
      </c>
      <c r="V191" s="207">
        <f>IF(OR(V$33="",V$33=0),0,V$29*V187/V$33)</f>
        <v>0</v>
      </c>
      <c r="W191" s="207">
        <f>IF(OR(W$33="",W$33=0),0,W$29*W187/W$33)</f>
        <v>0</v>
      </c>
      <c r="X191" s="128"/>
      <c r="Y191" s="243">
        <f>IF(Y$31=0,0,Y187*Y$24/Y$31)</f>
        <v>0</v>
      </c>
      <c r="Z191" s="100"/>
      <c r="AA191" s="207">
        <f t="shared" si="119"/>
        <v>0</v>
      </c>
      <c r="AB191" s="207">
        <f t="shared" si="119"/>
        <v>0</v>
      </c>
      <c r="AC191" s="207">
        <f t="shared" si="119"/>
        <v>0</v>
      </c>
      <c r="AD191" s="207">
        <f>IF(OR(AD$33="",AD$33=0),0,AD$29*AD187/AD$33)</f>
        <v>0</v>
      </c>
      <c r="AE191" s="207">
        <f>IF(OR(AE$33="",AE$33=0),0,AE$29*AE187/AE$33)</f>
        <v>0</v>
      </c>
      <c r="AF191" s="335"/>
      <c r="AG191" s="207">
        <f>IF(OR(AG$33="",AG$33=0),0,AG$29*AG187/AG$33)</f>
        <v>0</v>
      </c>
      <c r="AH191" s="207">
        <f>IF(OR(AH$33="",AH$33=0),0,AH$29*AH187/AH$33)</f>
        <v>0</v>
      </c>
      <c r="AI191" s="207">
        <f>IF(OR(AI$33="",AI$33=0),0,AI$29*AI187/AI$33)</f>
        <v>0</v>
      </c>
      <c r="AJ191" s="128"/>
      <c r="AK191" s="243">
        <f>IF(AK$31=0,0,AK187*AK$24/AK$31)</f>
        <v>0</v>
      </c>
      <c r="AL191" s="100"/>
      <c r="AM191" s="207">
        <f>IF(OR(AM$33="",AM$33=0),0,AM$29*AM187/AM$33)</f>
        <v>0</v>
      </c>
      <c r="AN191" s="207">
        <f t="shared" si="120"/>
        <v>0</v>
      </c>
      <c r="AO191" s="207">
        <f t="shared" si="120"/>
        <v>0</v>
      </c>
      <c r="AP191" s="207">
        <f>IF(OR(AP$33="",AP$33=0),0,AP$29*AP187/AP$33)</f>
        <v>0</v>
      </c>
      <c r="AQ191" s="207">
        <f>IF(OR(AQ$33="",AQ$33=0),0,AQ$29*AQ187/AQ$33)</f>
        <v>0</v>
      </c>
      <c r="AR191" s="335"/>
      <c r="AS191" s="207">
        <f>IF(OR(AS$33="",AS$33=0),0,AS$29*AS187/AS$33)</f>
        <v>0</v>
      </c>
      <c r="AT191" s="207">
        <f>IF(OR(AT$33="",AT$33=0),0,AT$29*AT187/AT$33)</f>
        <v>0</v>
      </c>
      <c r="AU191" s="207">
        <f>IF(OR(AU$33="",AU$33=0),0,AU$29*AU187/AU$33)</f>
        <v>0</v>
      </c>
      <c r="AV191" s="128"/>
      <c r="AW191" s="243">
        <f>IF(AW$31=0,0,AW187*AW$24/AW$31)</f>
        <v>0</v>
      </c>
      <c r="AX191" s="100"/>
      <c r="AY191" s="207">
        <f t="shared" si="121"/>
        <v>0</v>
      </c>
      <c r="AZ191" s="207">
        <f t="shared" si="121"/>
        <v>0</v>
      </c>
      <c r="BA191" s="207">
        <f t="shared" si="121"/>
        <v>0</v>
      </c>
      <c r="BB191" s="207">
        <f>IF(OR(BB$33="",BB$33=0),0,BB$29*BB187/BB$33)</f>
        <v>0</v>
      </c>
      <c r="BC191" s="207">
        <f>IF(OR(BC$33="",BC$33=0),0,BC$29*BC187/BC$33)</f>
        <v>0</v>
      </c>
      <c r="BD191" s="335"/>
      <c r="BE191" s="207">
        <f>IF(OR(BE$33="",BE$33=0),0,BE$29*BE187/BE$33)</f>
        <v>0</v>
      </c>
      <c r="BF191" s="207">
        <f>IF(OR(BF$33="",BF$33=0),0,BF$29*BF187/BF$33)</f>
        <v>0</v>
      </c>
      <c r="BG191" s="207">
        <f>IF(OR(BG$33="",BG$33=0),0,BG$29*BG187/BG$33)</f>
        <v>0</v>
      </c>
      <c r="BH191" s="255"/>
    </row>
    <row r="192" spans="1:60" x14ac:dyDescent="0.2">
      <c r="A192" s="648"/>
      <c r="B192" s="492" t="s">
        <v>271</v>
      </c>
      <c r="C192" s="656" t="s">
        <v>113</v>
      </c>
      <c r="D192" s="750"/>
      <c r="E192" s="220" t="s">
        <v>275</v>
      </c>
      <c r="F192" s="220"/>
      <c r="G192" s="220"/>
      <c r="H192" s="242" t="s">
        <v>278</v>
      </c>
      <c r="I192" s="129"/>
      <c r="J192" s="243"/>
      <c r="K192" s="279"/>
      <c r="L192" s="279"/>
      <c r="M192" s="243">
        <f>IF(M$31=0,0,M188*M$24/M$31)</f>
        <v>0</v>
      </c>
      <c r="N192" s="100"/>
      <c r="O192" s="207">
        <f t="shared" si="118"/>
        <v>0</v>
      </c>
      <c r="P192" s="207">
        <f t="shared" si="118"/>
        <v>0</v>
      </c>
      <c r="Q192" s="207">
        <f t="shared" si="118"/>
        <v>0</v>
      </c>
      <c r="R192" s="335"/>
      <c r="S192" s="335"/>
      <c r="T192" s="335"/>
      <c r="U192" s="335"/>
      <c r="V192" s="335"/>
      <c r="W192" s="335"/>
      <c r="X192" s="128"/>
      <c r="Y192" s="243">
        <f>IF(Y$31=0,0,Y188*Y$24/Y$31)</f>
        <v>0</v>
      </c>
      <c r="Z192" s="100"/>
      <c r="AA192" s="207">
        <f t="shared" si="119"/>
        <v>0</v>
      </c>
      <c r="AB192" s="207">
        <f t="shared" si="119"/>
        <v>0</v>
      </c>
      <c r="AC192" s="207">
        <f t="shared" si="119"/>
        <v>0</v>
      </c>
      <c r="AD192" s="335"/>
      <c r="AE192" s="335"/>
      <c r="AF192" s="335"/>
      <c r="AG192" s="335"/>
      <c r="AH192" s="335"/>
      <c r="AI192" s="335"/>
      <c r="AJ192" s="128"/>
      <c r="AK192" s="243">
        <f>IF(AK$31=0,0,AK188*AK$24/AK$31)</f>
        <v>0</v>
      </c>
      <c r="AL192" s="100"/>
      <c r="AM192" s="207">
        <f>IF(OR(AM$33="",AM$33=0),0,AM$29*AM188/AM$33)</f>
        <v>0</v>
      </c>
      <c r="AN192" s="207">
        <f t="shared" si="120"/>
        <v>0</v>
      </c>
      <c r="AO192" s="207">
        <f t="shared" si="120"/>
        <v>0</v>
      </c>
      <c r="AP192" s="335"/>
      <c r="AQ192" s="335"/>
      <c r="AR192" s="335"/>
      <c r="AS192" s="335"/>
      <c r="AT192" s="335"/>
      <c r="AU192" s="335"/>
      <c r="AV192" s="128"/>
      <c r="AW192" s="243">
        <f>IF(AW$31=0,0,AW188*AW$24/AW$31)</f>
        <v>0</v>
      </c>
      <c r="AX192" s="100"/>
      <c r="AY192" s="207">
        <f t="shared" si="121"/>
        <v>0</v>
      </c>
      <c r="AZ192" s="207">
        <f t="shared" si="121"/>
        <v>0</v>
      </c>
      <c r="BA192" s="207">
        <f t="shared" si="121"/>
        <v>0</v>
      </c>
      <c r="BB192" s="335"/>
      <c r="BC192" s="335"/>
      <c r="BD192" s="335"/>
      <c r="BE192" s="335"/>
      <c r="BF192" s="335"/>
      <c r="BG192" s="335"/>
      <c r="BH192" s="255"/>
    </row>
    <row r="193" spans="1:60" x14ac:dyDescent="0.2">
      <c r="A193" s="648"/>
      <c r="B193" s="492" t="s">
        <v>271</v>
      </c>
      <c r="C193" s="739" t="s">
        <v>104</v>
      </c>
      <c r="D193" s="747"/>
      <c r="E193" s="90"/>
      <c r="F193" s="90"/>
      <c r="G193" s="90"/>
      <c r="H193" s="96"/>
      <c r="I193" s="90"/>
      <c r="J193" s="93"/>
      <c r="K193" s="90"/>
      <c r="L193" s="90"/>
      <c r="M193" s="93"/>
      <c r="N193" s="90"/>
      <c r="O193" s="93"/>
      <c r="P193" s="93"/>
      <c r="Q193" s="93"/>
      <c r="R193" s="93"/>
      <c r="S193" s="93"/>
      <c r="T193" s="93"/>
      <c r="U193" s="93"/>
      <c r="V193" s="93"/>
      <c r="W193" s="93"/>
      <c r="X193" s="93"/>
      <c r="Y193" s="93"/>
      <c r="Z193" s="90"/>
      <c r="AA193" s="93"/>
      <c r="AB193" s="93"/>
      <c r="AC193" s="93"/>
      <c r="AD193" s="93"/>
      <c r="AE193" s="93"/>
      <c r="AF193" s="93"/>
      <c r="AG193" s="93"/>
      <c r="AH193" s="93"/>
      <c r="AI193" s="93"/>
      <c r="AJ193" s="93"/>
      <c r="AK193" s="93"/>
      <c r="AL193" s="90"/>
      <c r="AM193" s="90"/>
      <c r="AN193" s="90"/>
      <c r="AO193" s="90"/>
      <c r="AP193" s="90"/>
      <c r="AQ193" s="90"/>
      <c r="AR193" s="90"/>
      <c r="AS193" s="90"/>
      <c r="AT193" s="90"/>
      <c r="AU193" s="93"/>
      <c r="AV193" s="93"/>
      <c r="AW193" s="93"/>
      <c r="AX193" s="90"/>
      <c r="AY193" s="93"/>
      <c r="AZ193" s="93"/>
      <c r="BA193" s="93"/>
      <c r="BB193" s="93"/>
      <c r="BC193" s="93"/>
      <c r="BD193" s="93"/>
      <c r="BE193" s="93"/>
      <c r="BF193" s="93"/>
      <c r="BG193" s="93"/>
      <c r="BH193" s="1"/>
    </row>
    <row r="194" spans="1:60" x14ac:dyDescent="0.2">
      <c r="A194" s="648"/>
      <c r="B194" s="492" t="s">
        <v>279</v>
      </c>
      <c r="C194" s="656" t="s">
        <v>104</v>
      </c>
      <c r="D194" s="747"/>
      <c r="E194" s="90"/>
      <c r="F194" s="90"/>
      <c r="G194" s="90"/>
      <c r="H194" s="96"/>
      <c r="I194" s="90"/>
      <c r="J194" s="93"/>
      <c r="K194" s="90"/>
      <c r="L194" s="90"/>
      <c r="M194" s="93"/>
      <c r="N194" s="90"/>
      <c r="O194" s="93"/>
      <c r="P194" s="93"/>
      <c r="Q194" s="93"/>
      <c r="R194" s="93"/>
      <c r="S194" s="93"/>
      <c r="T194" s="93"/>
      <c r="U194" s="93"/>
      <c r="V194" s="93"/>
      <c r="W194" s="93"/>
      <c r="X194" s="93"/>
      <c r="Y194" s="93"/>
      <c r="Z194" s="90"/>
      <c r="AA194" s="93"/>
      <c r="AB194" s="93"/>
      <c r="AC194" s="93"/>
      <c r="AD194" s="93"/>
      <c r="AE194" s="93"/>
      <c r="AF194" s="93"/>
      <c r="AG194" s="93"/>
      <c r="AH194" s="93"/>
      <c r="AI194" s="93"/>
      <c r="AJ194" s="93"/>
      <c r="AK194" s="93"/>
      <c r="AL194" s="90"/>
      <c r="AM194" s="93"/>
      <c r="AN194" s="93"/>
      <c r="AO194" s="93"/>
      <c r="AP194" s="93"/>
      <c r="AQ194" s="93"/>
      <c r="AR194" s="93"/>
      <c r="AS194" s="93"/>
      <c r="AT194" s="93"/>
      <c r="AU194" s="93"/>
      <c r="AV194" s="93"/>
      <c r="AW194" s="93"/>
      <c r="AX194" s="90"/>
      <c r="AY194" s="93"/>
      <c r="AZ194" s="93"/>
      <c r="BA194" s="93"/>
      <c r="BB194" s="93"/>
      <c r="BC194" s="93"/>
      <c r="BD194" s="93"/>
      <c r="BE194" s="93"/>
      <c r="BF194" s="93"/>
      <c r="BG194" s="93"/>
      <c r="BH194" s="1"/>
    </row>
    <row r="195" spans="1:60" ht="21" x14ac:dyDescent="0.2">
      <c r="A195" s="648"/>
      <c r="B195" s="492" t="s">
        <v>279</v>
      </c>
      <c r="C195" s="739" t="s">
        <v>104</v>
      </c>
      <c r="D195" s="752"/>
      <c r="E195" s="240" t="s">
        <v>280</v>
      </c>
      <c r="F195" s="240"/>
      <c r="G195" s="240"/>
      <c r="H195" s="240"/>
      <c r="I195" s="88"/>
      <c r="J195" s="241" t="str">
        <f>J$10</f>
        <v>totaal</v>
      </c>
      <c r="K195" s="142"/>
      <c r="L195" s="142"/>
      <c r="M195" s="216" t="str">
        <f>M$10</f>
        <v>totaal</v>
      </c>
      <c r="N195" s="222"/>
      <c r="O195" s="217" t="str">
        <f t="shared" ref="O195:W195" si="122">O$10</f>
        <v>verwarming</v>
      </c>
      <c r="P195" s="217" t="str">
        <f t="shared" si="122"/>
        <v>koeling</v>
      </c>
      <c r="Q195" s="217" t="str">
        <f t="shared" si="122"/>
        <v>tapwater</v>
      </c>
      <c r="R195" s="217" t="str">
        <f t="shared" si="122"/>
        <v>verlichting</v>
      </c>
      <c r="S195" s="217" t="str">
        <f t="shared" si="122"/>
        <v>ventilatoren</v>
      </c>
      <c r="T195" s="217" t="str">
        <f t="shared" si="122"/>
        <v>kookgas</v>
      </c>
      <c r="U195" s="217" t="str">
        <f t="shared" si="122"/>
        <v>overig elektra</v>
      </c>
      <c r="V195" s="217" t="str">
        <f t="shared" si="122"/>
        <v>mobiliteit</v>
      </c>
      <c r="W195" s="217" t="str">
        <f t="shared" si="122"/>
        <v>zonnepanelen</v>
      </c>
      <c r="X195" s="214"/>
      <c r="Y195" s="216" t="str">
        <f>Y$10</f>
        <v>totaal</v>
      </c>
      <c r="Z195" s="222"/>
      <c r="AA195" s="217" t="str">
        <f t="shared" ref="AA195:AI195" si="123">AA$10</f>
        <v>verwarming</v>
      </c>
      <c r="AB195" s="217" t="str">
        <f t="shared" si="123"/>
        <v>koeling</v>
      </c>
      <c r="AC195" s="217" t="str">
        <f t="shared" si="123"/>
        <v>tapwater</v>
      </c>
      <c r="AD195" s="217" t="str">
        <f t="shared" si="123"/>
        <v>verlichting</v>
      </c>
      <c r="AE195" s="217" t="str">
        <f t="shared" si="123"/>
        <v>ventilatoren</v>
      </c>
      <c r="AF195" s="217" t="str">
        <f t="shared" si="123"/>
        <v>kookgas</v>
      </c>
      <c r="AG195" s="217" t="str">
        <f t="shared" si="123"/>
        <v>overig elektra</v>
      </c>
      <c r="AH195" s="217" t="str">
        <f t="shared" si="123"/>
        <v>mobiliteit</v>
      </c>
      <c r="AI195" s="217" t="str">
        <f t="shared" si="123"/>
        <v>zonnepanelen</v>
      </c>
      <c r="AJ195" s="214"/>
      <c r="AK195" s="216" t="str">
        <f>AK$10</f>
        <v>totaal</v>
      </c>
      <c r="AL195" s="222"/>
      <c r="AM195" s="217" t="str">
        <f>AM$10</f>
        <v>verwarming</v>
      </c>
      <c r="AN195" s="217" t="str">
        <f t="shared" ref="AN195:AU195" si="124">AN$10</f>
        <v>koeling</v>
      </c>
      <c r="AO195" s="217" t="str">
        <f t="shared" si="124"/>
        <v>tapwater</v>
      </c>
      <c r="AP195" s="217" t="str">
        <f t="shared" si="124"/>
        <v>verlichting</v>
      </c>
      <c r="AQ195" s="217" t="str">
        <f t="shared" si="124"/>
        <v>ventilatoren</v>
      </c>
      <c r="AR195" s="217" t="str">
        <f t="shared" si="124"/>
        <v>kookgas</v>
      </c>
      <c r="AS195" s="217" t="str">
        <f t="shared" si="124"/>
        <v>overig elektra</v>
      </c>
      <c r="AT195" s="217" t="str">
        <f t="shared" si="124"/>
        <v>mobiliteit</v>
      </c>
      <c r="AU195" s="217" t="str">
        <f t="shared" si="124"/>
        <v>zonnepanelen</v>
      </c>
      <c r="AV195" s="214"/>
      <c r="AW195" s="216" t="str">
        <f>AW$10</f>
        <v>totaal</v>
      </c>
      <c r="AX195" s="222"/>
      <c r="AY195" s="217" t="str">
        <f t="shared" ref="AY195:BG195" si="125">AY$10</f>
        <v>verwarming</v>
      </c>
      <c r="AZ195" s="217" t="str">
        <f t="shared" si="125"/>
        <v>koeling</v>
      </c>
      <c r="BA195" s="217" t="str">
        <f t="shared" si="125"/>
        <v>tapwater</v>
      </c>
      <c r="BB195" s="217" t="str">
        <f t="shared" si="125"/>
        <v>verlichting</v>
      </c>
      <c r="BC195" s="217" t="str">
        <f t="shared" si="125"/>
        <v>ventilatoren</v>
      </c>
      <c r="BD195" s="217" t="str">
        <f t="shared" si="125"/>
        <v>kookgas</v>
      </c>
      <c r="BE195" s="217" t="str">
        <f t="shared" si="125"/>
        <v>overig elektra</v>
      </c>
      <c r="BF195" s="217" t="str">
        <f t="shared" si="125"/>
        <v>mobiliteit</v>
      </c>
      <c r="BG195" s="217" t="str">
        <f t="shared" si="125"/>
        <v>zonnepanelen</v>
      </c>
      <c r="BH195" s="1"/>
    </row>
    <row r="196" spans="1:60" ht="18.75" x14ac:dyDescent="0.2">
      <c r="A196" s="648"/>
      <c r="B196" s="492" t="s">
        <v>279</v>
      </c>
      <c r="C196" s="739" t="s">
        <v>104</v>
      </c>
      <c r="D196" s="747"/>
      <c r="E196" s="231" t="s">
        <v>281</v>
      </c>
      <c r="F196" s="231"/>
      <c r="G196" s="231"/>
      <c r="H196" s="89"/>
      <c r="I196" s="232"/>
      <c r="J196" s="231"/>
      <c r="K196" s="232"/>
      <c r="L196" s="232"/>
      <c r="M196" s="231"/>
      <c r="N196" s="232"/>
      <c r="O196" s="232"/>
      <c r="P196" s="232"/>
      <c r="Q196" s="232"/>
      <c r="R196" s="232"/>
      <c r="S196" s="232"/>
      <c r="T196" s="232"/>
      <c r="U196" s="232"/>
      <c r="V196" s="232"/>
      <c r="W196" s="232"/>
      <c r="X196" s="232"/>
      <c r="Y196" s="232"/>
      <c r="Z196" s="232"/>
      <c r="AA196" s="232"/>
      <c r="AB196" s="232"/>
      <c r="AC196" s="232"/>
      <c r="AD196" s="232"/>
      <c r="AE196" s="232"/>
      <c r="AF196" s="232"/>
      <c r="AG196" s="232"/>
      <c r="AH196" s="232"/>
      <c r="AI196" s="232"/>
      <c r="AJ196" s="232"/>
      <c r="AK196" s="232"/>
      <c r="AL196" s="232"/>
      <c r="AM196" s="232"/>
      <c r="AN196" s="232"/>
      <c r="AO196" s="232"/>
      <c r="AP196" s="232"/>
      <c r="AQ196" s="232"/>
      <c r="AR196" s="232"/>
      <c r="AS196" s="232"/>
      <c r="AT196" s="232"/>
      <c r="AU196" s="232"/>
      <c r="AV196" s="232"/>
      <c r="AW196" s="232"/>
      <c r="AX196" s="232"/>
      <c r="AY196" s="232"/>
      <c r="AZ196" s="232"/>
      <c r="BA196" s="232"/>
      <c r="BB196" s="232"/>
      <c r="BC196" s="232"/>
      <c r="BD196" s="232"/>
      <c r="BE196" s="232"/>
      <c r="BF196" s="232"/>
      <c r="BG196" s="232"/>
      <c r="BH196" s="38"/>
    </row>
    <row r="197" spans="1:60" s="38" customFormat="1" x14ac:dyDescent="0.2">
      <c r="A197" s="648"/>
      <c r="B197" s="492" t="s">
        <v>279</v>
      </c>
      <c r="C197" s="656" t="s">
        <v>113</v>
      </c>
      <c r="D197" s="747"/>
      <c r="E197" s="287" t="s">
        <v>282</v>
      </c>
      <c r="F197" s="287" t="s">
        <v>208</v>
      </c>
      <c r="G197" s="287"/>
      <c r="H197" s="288" t="s">
        <v>70</v>
      </c>
      <c r="I197" s="289"/>
      <c r="J197" s="290"/>
      <c r="K197" s="280"/>
      <c r="L197" s="280"/>
      <c r="M197" s="290"/>
      <c r="N197" s="291"/>
      <c r="O197" s="292" t="str">
        <f>IF(AND(O$80&lt;&gt;"geen",O$102&lt;&gt;""),O$102,"")</f>
        <v>elektriciteit</v>
      </c>
      <c r="P197" s="292" t="str">
        <f>IF(AND(P$80&lt;&gt;"geen",P$102&lt;&gt;""),P$102,"")</f>
        <v/>
      </c>
      <c r="Q197" s="292" t="str">
        <f>IF(AND(Q$80&lt;&gt;"geen",Q$102&lt;&gt;""),Q$102,"")</f>
        <v>elektriciteit</v>
      </c>
      <c r="R197" s="704"/>
      <c r="S197" s="704"/>
      <c r="T197" s="704"/>
      <c r="U197" s="704"/>
      <c r="V197" s="704"/>
      <c r="W197" s="704"/>
      <c r="X197" s="137"/>
      <c r="Y197" s="290"/>
      <c r="Z197" s="291"/>
      <c r="AA197" s="292" t="str">
        <f>IF(AND(AA$80&lt;&gt;"geen",AA$102&lt;&gt;""),AA$102,"")</f>
        <v>elektriciteit</v>
      </c>
      <c r="AB197" s="292" t="str">
        <f>IF(AND(AB$80&lt;&gt;"geen",AB$102&lt;&gt;""),AB$102,"")</f>
        <v/>
      </c>
      <c r="AC197" s="292" t="str">
        <f>IF(AND(AC$80&lt;&gt;"geen",AC$102&lt;&gt;""),AC$102,"")</f>
        <v>elektriciteit</v>
      </c>
      <c r="AD197" s="704"/>
      <c r="AE197" s="704"/>
      <c r="AF197" s="704"/>
      <c r="AG197" s="704"/>
      <c r="AH197" s="704"/>
      <c r="AI197" s="704"/>
      <c r="AJ197" s="137"/>
      <c r="AK197" s="290"/>
      <c r="AL197" s="291"/>
      <c r="AM197" s="292" t="str">
        <f>IF(AND(AM$80&lt;&gt;"geen",AM$102&lt;&gt;""),AM$102,"")</f>
        <v>elektriciteit</v>
      </c>
      <c r="AN197" s="292" t="str">
        <f>IF(AND(AN$80&lt;&gt;"geen",AN$102&lt;&gt;""),AN$102,"")</f>
        <v/>
      </c>
      <c r="AO197" s="292" t="str">
        <f>IF(AND(AO$80&lt;&gt;"geen",AO$102&lt;&gt;""),AO$102,"")</f>
        <v>elektriciteit</v>
      </c>
      <c r="AP197" s="704"/>
      <c r="AQ197" s="704"/>
      <c r="AR197" s="704"/>
      <c r="AS197" s="704"/>
      <c r="AT197" s="704"/>
      <c r="AU197" s="704"/>
      <c r="AV197" s="137"/>
      <c r="AW197" s="290"/>
      <c r="AX197" s="291"/>
      <c r="AY197" s="292" t="str">
        <f>IF(AND(AY$80&lt;&gt;"geen",AY$102&lt;&gt;""),AY$102,"")</f>
        <v>elektriciteit</v>
      </c>
      <c r="AZ197" s="292" t="str">
        <f>IF(AND(AZ$80&lt;&gt;"geen",AZ$102&lt;&gt;""),AZ$102,"")</f>
        <v/>
      </c>
      <c r="BA197" s="292" t="str">
        <f>IF(AND(BA$80&lt;&gt;"geen",BA$102&lt;&gt;""),BA$102,"")</f>
        <v>elektriciteit</v>
      </c>
      <c r="BB197" s="704"/>
      <c r="BC197" s="704"/>
      <c r="BD197" s="704"/>
      <c r="BE197" s="704"/>
      <c r="BF197" s="704"/>
      <c r="BG197" s="704"/>
      <c r="BH197" s="269"/>
    </row>
    <row r="198" spans="1:60" s="2" customFormat="1" x14ac:dyDescent="0.2">
      <c r="A198" s="649"/>
      <c r="B198" s="492" t="s">
        <v>279</v>
      </c>
      <c r="C198" s="739" t="s">
        <v>113</v>
      </c>
      <c r="D198" s="753"/>
      <c r="E198" s="413"/>
      <c r="F198" s="317" t="s">
        <v>283</v>
      </c>
      <c r="G198" s="317"/>
      <c r="H198" s="427" t="s">
        <v>115</v>
      </c>
      <c r="I198" s="196"/>
      <c r="J198" s="370">
        <f>M198+Y198+AK198+AW198</f>
        <v>0</v>
      </c>
      <c r="K198" s="428"/>
      <c r="L198" s="428"/>
      <c r="M198" s="370">
        <f>SUM(N198:X198)</f>
        <v>0</v>
      </c>
      <c r="N198" s="371"/>
      <c r="O198" s="429">
        <f>IF(O197="","",(O$102=O197)*O$117)</f>
        <v>0</v>
      </c>
      <c r="P198" s="429" t="str">
        <f>IF(P197="","",(P$102=P197)*P$117)</f>
        <v/>
      </c>
      <c r="Q198" s="429">
        <f>IF(Q197="","",(Q$102=Q197)*Q$117)</f>
        <v>0</v>
      </c>
      <c r="R198" s="372"/>
      <c r="S198" s="372"/>
      <c r="T198" s="372"/>
      <c r="U198" s="372"/>
      <c r="V198" s="372"/>
      <c r="W198" s="372"/>
      <c r="X198" s="128"/>
      <c r="Y198" s="370">
        <f>SUM(Z198:AJ198)</f>
        <v>0</v>
      </c>
      <c r="Z198" s="371"/>
      <c r="AA198" s="429">
        <f>IF(AA197="","",(AA$102=AA197)*AA$117)</f>
        <v>0</v>
      </c>
      <c r="AB198" s="429" t="str">
        <f>IF(AB197="","",(AB$102=AB197)*AB$117)</f>
        <v/>
      </c>
      <c r="AC198" s="429">
        <f>IF(AC197="","",(AC$102=AC197)*AC$117)</f>
        <v>0</v>
      </c>
      <c r="AD198" s="372"/>
      <c r="AE198" s="372"/>
      <c r="AF198" s="372"/>
      <c r="AG198" s="372"/>
      <c r="AH198" s="372"/>
      <c r="AI198" s="372"/>
      <c r="AJ198" s="128"/>
      <c r="AK198" s="370">
        <f>SUM(AL198:AV198)</f>
        <v>0</v>
      </c>
      <c r="AL198" s="371"/>
      <c r="AM198" s="429">
        <f>IF(AM197="","",(AM$102=AM197)*AM$117)</f>
        <v>0</v>
      </c>
      <c r="AN198" s="429" t="str">
        <f>IF(AN197="","",(AN$102=AN197)*AN$117)</f>
        <v/>
      </c>
      <c r="AO198" s="429">
        <f>IF(AO197="","",(AO$102=AO197)*AO$117)</f>
        <v>0</v>
      </c>
      <c r="AP198" s="372"/>
      <c r="AQ198" s="372"/>
      <c r="AR198" s="372"/>
      <c r="AS198" s="372"/>
      <c r="AT198" s="372"/>
      <c r="AU198" s="372"/>
      <c r="AV198" s="128"/>
      <c r="AW198" s="370">
        <f>SUM(AX198:BH198)</f>
        <v>0</v>
      </c>
      <c r="AX198" s="371"/>
      <c r="AY198" s="429">
        <f>IF(AY197="","",(AY$102=AY197)*AY$117)</f>
        <v>0</v>
      </c>
      <c r="AZ198" s="429" t="str">
        <f>IF(AZ197="","",(AZ$102=AZ197)*AZ$117)</f>
        <v/>
      </c>
      <c r="BA198" s="429">
        <f>IF(BA197="","",(BA$102=BA197)*BA$117)</f>
        <v>0</v>
      </c>
      <c r="BB198" s="372"/>
      <c r="BC198" s="372"/>
      <c r="BD198" s="372"/>
      <c r="BE198" s="372"/>
      <c r="BF198" s="372"/>
      <c r="BG198" s="372"/>
      <c r="BH198" s="267"/>
    </row>
    <row r="199" spans="1:60" s="2" customFormat="1" x14ac:dyDescent="0.2">
      <c r="A199" s="649"/>
      <c r="B199" s="492" t="s">
        <v>279</v>
      </c>
      <c r="C199" s="739" t="s">
        <v>113</v>
      </c>
      <c r="D199" s="753"/>
      <c r="E199" s="316" t="s">
        <v>284</v>
      </c>
      <c r="F199" s="366" t="s">
        <v>208</v>
      </c>
      <c r="G199" s="366"/>
      <c r="H199" s="430" t="s">
        <v>70</v>
      </c>
      <c r="I199" s="431"/>
      <c r="J199" s="432"/>
      <c r="K199" s="433"/>
      <c r="L199" s="433"/>
      <c r="M199" s="432"/>
      <c r="N199" s="434"/>
      <c r="O199" s="435" t="str">
        <f>IF(AND(O$131&lt;&gt;"",O$131&lt;&gt;"geen"),O$132,"")</f>
        <v>elektriciteit</v>
      </c>
      <c r="P199" s="435" t="str">
        <f>IF(AND(P$131&lt;&gt;"",P$131&lt;&gt;"geen"),P$132,"")</f>
        <v/>
      </c>
      <c r="Q199" s="435" t="str">
        <f>IF(AND(Q$131&lt;&gt;"",Q$131&lt;&gt;"geen"),Q$132,"")</f>
        <v>elektriciteit</v>
      </c>
      <c r="R199" s="705"/>
      <c r="S199" s="705"/>
      <c r="T199" s="705"/>
      <c r="U199" s="705"/>
      <c r="V199" s="705"/>
      <c r="W199" s="705"/>
      <c r="X199" s="133"/>
      <c r="Y199" s="432"/>
      <c r="Z199" s="434"/>
      <c r="AA199" s="435" t="str">
        <f>IF(AND(AA$131&lt;&gt;"",AA$131&lt;&gt;"geen"),AA$132,"")</f>
        <v>elektriciteit</v>
      </c>
      <c r="AB199" s="435" t="str">
        <f>IF(AND(AB$131&lt;&gt;"",AB$131&lt;&gt;"geen"),AB$132,"")</f>
        <v/>
      </c>
      <c r="AC199" s="435" t="str">
        <f>IF(AND(AC$131&lt;&gt;"",AC$131&lt;&gt;"geen"),AC$132,"")</f>
        <v>elektriciteit</v>
      </c>
      <c r="AD199" s="705"/>
      <c r="AE199" s="705"/>
      <c r="AF199" s="705"/>
      <c r="AG199" s="705"/>
      <c r="AH199" s="705"/>
      <c r="AI199" s="705"/>
      <c r="AJ199" s="133"/>
      <c r="AK199" s="432"/>
      <c r="AL199" s="434"/>
      <c r="AM199" s="435" t="str">
        <f>IF(AND(AM$131&lt;&gt;"",AM$131&lt;&gt;"geen"),AM$132,"")</f>
        <v>elektriciteit</v>
      </c>
      <c r="AN199" s="435" t="str">
        <f>IF(AND(AN$131&lt;&gt;"",AN$131&lt;&gt;"geen"),AN$132,"")</f>
        <v/>
      </c>
      <c r="AO199" s="435" t="str">
        <f>IF(AND(AO$131&lt;&gt;"",AO$131&lt;&gt;"geen"),AO$132,"")</f>
        <v>elektriciteit</v>
      </c>
      <c r="AP199" s="705"/>
      <c r="AQ199" s="705"/>
      <c r="AR199" s="705"/>
      <c r="AS199" s="705"/>
      <c r="AT199" s="705"/>
      <c r="AU199" s="705"/>
      <c r="AV199" s="133"/>
      <c r="AW199" s="432"/>
      <c r="AX199" s="434"/>
      <c r="AY199" s="435" t="str">
        <f>IF(AND(AY$131&lt;&gt;"",AY$131&lt;&gt;"geen"),AY$132,"")</f>
        <v>elektriciteit</v>
      </c>
      <c r="AZ199" s="435" t="str">
        <f>IF(AND(AZ$131&lt;&gt;"",AZ$131&lt;&gt;"geen"),AZ$132,"")</f>
        <v/>
      </c>
      <c r="BA199" s="435" t="str">
        <f>IF(AND(BA$131&lt;&gt;"",BA$131&lt;&gt;"geen"),BA$132,"")</f>
        <v>elektriciteit</v>
      </c>
      <c r="BB199" s="705"/>
      <c r="BC199" s="705"/>
      <c r="BD199" s="705"/>
      <c r="BE199" s="705"/>
      <c r="BF199" s="705"/>
      <c r="BG199" s="705"/>
      <c r="BH199" s="267"/>
    </row>
    <row r="200" spans="1:60" s="2" customFormat="1" x14ac:dyDescent="0.2">
      <c r="A200" s="649"/>
      <c r="B200" s="492" t="s">
        <v>279</v>
      </c>
      <c r="C200" s="739" t="s">
        <v>113</v>
      </c>
      <c r="D200" s="753"/>
      <c r="E200" s="413"/>
      <c r="F200" s="317" t="s">
        <v>283</v>
      </c>
      <c r="G200" s="317"/>
      <c r="H200" s="427" t="s">
        <v>115</v>
      </c>
      <c r="I200" s="196"/>
      <c r="J200" s="370">
        <f>M200+Y200+AK200+AW200</f>
        <v>0</v>
      </c>
      <c r="K200" s="428"/>
      <c r="L200" s="428"/>
      <c r="M200" s="370">
        <f>SUM(N200:X200)</f>
        <v>0</v>
      </c>
      <c r="N200" s="371"/>
      <c r="O200" s="429">
        <f>IF(O199="",0,(O$132=O199)*O$142)</f>
        <v>0</v>
      </c>
      <c r="P200" s="429">
        <f>IF(P199="",0,(P$132=P199)*P$142)</f>
        <v>0</v>
      </c>
      <c r="Q200" s="429">
        <f>IF(Q199="",0,(Q$132=Q199)*Q$142)</f>
        <v>0</v>
      </c>
      <c r="R200" s="372"/>
      <c r="S200" s="372"/>
      <c r="T200" s="372"/>
      <c r="U200" s="372"/>
      <c r="V200" s="372"/>
      <c r="W200" s="372"/>
      <c r="X200" s="128"/>
      <c r="Y200" s="370">
        <f>SUM(Z200:AJ200)</f>
        <v>0</v>
      </c>
      <c r="Z200" s="371"/>
      <c r="AA200" s="429">
        <f>IF(AA199="",0,(AA$132=AA199)*AA$142)</f>
        <v>0</v>
      </c>
      <c r="AB200" s="429">
        <f>IF(AB199="",0,(AB$132=AB199)*AB$142)</f>
        <v>0</v>
      </c>
      <c r="AC200" s="429">
        <f>IF(AC199="",0,(AC$132=AC199)*AC$142)</f>
        <v>0</v>
      </c>
      <c r="AD200" s="372"/>
      <c r="AE200" s="372"/>
      <c r="AF200" s="372"/>
      <c r="AG200" s="372"/>
      <c r="AH200" s="372"/>
      <c r="AI200" s="372"/>
      <c r="AJ200" s="128"/>
      <c r="AK200" s="370">
        <f>SUM(AL200:AV200)</f>
        <v>0</v>
      </c>
      <c r="AL200" s="371"/>
      <c r="AM200" s="429">
        <f>IF(AM199="",0,(AM$132=AM199)*AM$142)</f>
        <v>0</v>
      </c>
      <c r="AN200" s="429">
        <f>IF(AN199="",0,(AN$132=AN199)*AN$142)</f>
        <v>0</v>
      </c>
      <c r="AO200" s="429">
        <f>IF(AO199="",0,(AO$132=AO199)*AO$142)</f>
        <v>0</v>
      </c>
      <c r="AP200" s="372"/>
      <c r="AQ200" s="372"/>
      <c r="AR200" s="372"/>
      <c r="AS200" s="372"/>
      <c r="AT200" s="372"/>
      <c r="AU200" s="372"/>
      <c r="AV200" s="128"/>
      <c r="AW200" s="370">
        <f>SUM(AX200:BH200)</f>
        <v>0</v>
      </c>
      <c r="AX200" s="371"/>
      <c r="AY200" s="429">
        <f>IF(AY199="",0,(AY$132=AY199)*AY$142)</f>
        <v>0</v>
      </c>
      <c r="AZ200" s="429">
        <f>IF(AZ199="",0,(AZ$132=AZ199)*AZ$142)</f>
        <v>0</v>
      </c>
      <c r="BA200" s="429">
        <f>IF(BA199="",0,(BA$132=BA199)*BA$142)</f>
        <v>0</v>
      </c>
      <c r="BB200" s="372"/>
      <c r="BC200" s="372"/>
      <c r="BD200" s="372"/>
      <c r="BE200" s="372"/>
      <c r="BF200" s="372"/>
      <c r="BG200" s="372"/>
      <c r="BH200" s="267"/>
    </row>
    <row r="201" spans="1:60" s="2" customFormat="1" x14ac:dyDescent="0.2">
      <c r="A201" s="649"/>
      <c r="B201" s="492" t="s">
        <v>279</v>
      </c>
      <c r="C201" s="739" t="s">
        <v>113</v>
      </c>
      <c r="D201" s="753"/>
      <c r="E201" s="316" t="s">
        <v>285</v>
      </c>
      <c r="F201" s="366" t="s">
        <v>208</v>
      </c>
      <c r="G201" s="366"/>
      <c r="H201" s="430" t="s">
        <v>70</v>
      </c>
      <c r="I201" s="431"/>
      <c r="J201" s="436"/>
      <c r="K201" s="433"/>
      <c r="L201" s="433"/>
      <c r="M201" s="432"/>
      <c r="N201" s="434"/>
      <c r="O201" s="435" t="str">
        <f t="shared" ref="O201:W201" si="126">elektriciteit</f>
        <v>elektriciteit</v>
      </c>
      <c r="P201" s="435" t="str">
        <f t="shared" si="126"/>
        <v>elektriciteit</v>
      </c>
      <c r="Q201" s="435" t="str">
        <f t="shared" si="126"/>
        <v>elektriciteit</v>
      </c>
      <c r="R201" s="435" t="str">
        <f t="shared" si="126"/>
        <v>elektriciteit</v>
      </c>
      <c r="S201" s="435" t="str">
        <f t="shared" si="126"/>
        <v>elektriciteit</v>
      </c>
      <c r="T201" s="435" t="str">
        <f>aardgas</f>
        <v>aardgas</v>
      </c>
      <c r="U201" s="435" t="str">
        <f t="shared" si="126"/>
        <v>elektriciteit</v>
      </c>
      <c r="V201" s="435" t="str">
        <f t="shared" si="126"/>
        <v>elektriciteit</v>
      </c>
      <c r="W201" s="435" t="str">
        <f t="shared" si="126"/>
        <v>elektriciteit</v>
      </c>
      <c r="X201" s="133"/>
      <c r="Y201" s="432"/>
      <c r="Z201" s="434"/>
      <c r="AA201" s="435" t="str">
        <f t="shared" ref="AA201:AI201" si="127">elektriciteit</f>
        <v>elektriciteit</v>
      </c>
      <c r="AB201" s="435" t="str">
        <f t="shared" si="127"/>
        <v>elektriciteit</v>
      </c>
      <c r="AC201" s="435" t="str">
        <f t="shared" si="127"/>
        <v>elektriciteit</v>
      </c>
      <c r="AD201" s="435" t="str">
        <f t="shared" si="127"/>
        <v>elektriciteit</v>
      </c>
      <c r="AE201" s="435" t="str">
        <f t="shared" si="127"/>
        <v>elektriciteit</v>
      </c>
      <c r="AF201" s="435" t="str">
        <f>aardgas</f>
        <v>aardgas</v>
      </c>
      <c r="AG201" s="435" t="str">
        <f t="shared" si="127"/>
        <v>elektriciteit</v>
      </c>
      <c r="AH201" s="435" t="str">
        <f t="shared" si="127"/>
        <v>elektriciteit</v>
      </c>
      <c r="AI201" s="435" t="str">
        <f t="shared" si="127"/>
        <v>elektriciteit</v>
      </c>
      <c r="AJ201" s="133"/>
      <c r="AK201" s="432"/>
      <c r="AL201" s="434"/>
      <c r="AM201" s="435" t="str">
        <f t="shared" ref="AM201:AU201" si="128">elektriciteit</f>
        <v>elektriciteit</v>
      </c>
      <c r="AN201" s="435" t="str">
        <f t="shared" si="128"/>
        <v>elektriciteit</v>
      </c>
      <c r="AO201" s="435" t="str">
        <f t="shared" si="128"/>
        <v>elektriciteit</v>
      </c>
      <c r="AP201" s="435" t="str">
        <f t="shared" si="128"/>
        <v>elektriciteit</v>
      </c>
      <c r="AQ201" s="435" t="str">
        <f t="shared" si="128"/>
        <v>elektriciteit</v>
      </c>
      <c r="AR201" s="435" t="str">
        <f>aardgas</f>
        <v>aardgas</v>
      </c>
      <c r="AS201" s="435" t="str">
        <f t="shared" si="128"/>
        <v>elektriciteit</v>
      </c>
      <c r="AT201" s="435" t="str">
        <f t="shared" si="128"/>
        <v>elektriciteit</v>
      </c>
      <c r="AU201" s="435" t="str">
        <f t="shared" si="128"/>
        <v>elektriciteit</v>
      </c>
      <c r="AV201" s="133"/>
      <c r="AW201" s="432"/>
      <c r="AX201" s="434"/>
      <c r="AY201" s="435" t="str">
        <f t="shared" ref="AY201:BG201" si="129">elektriciteit</f>
        <v>elektriciteit</v>
      </c>
      <c r="AZ201" s="435" t="str">
        <f t="shared" si="129"/>
        <v>elektriciteit</v>
      </c>
      <c r="BA201" s="435" t="str">
        <f t="shared" si="129"/>
        <v>elektriciteit</v>
      </c>
      <c r="BB201" s="435" t="str">
        <f t="shared" si="129"/>
        <v>elektriciteit</v>
      </c>
      <c r="BC201" s="435" t="str">
        <f t="shared" si="129"/>
        <v>elektriciteit</v>
      </c>
      <c r="BD201" s="435" t="str">
        <f>aardgas</f>
        <v>aardgas</v>
      </c>
      <c r="BE201" s="435" t="str">
        <f t="shared" si="129"/>
        <v>elektriciteit</v>
      </c>
      <c r="BF201" s="435" t="str">
        <f t="shared" si="129"/>
        <v>elektriciteit</v>
      </c>
      <c r="BG201" s="435" t="str">
        <f t="shared" si="129"/>
        <v>elektriciteit</v>
      </c>
      <c r="BH201" s="264"/>
    </row>
    <row r="202" spans="1:60" s="2" customFormat="1" x14ac:dyDescent="0.2">
      <c r="A202" s="649"/>
      <c r="B202" s="492" t="s">
        <v>279</v>
      </c>
      <c r="C202" s="739" t="s">
        <v>113</v>
      </c>
      <c r="D202" s="753"/>
      <c r="E202" s="317" t="s">
        <v>286</v>
      </c>
      <c r="F202" s="317" t="s">
        <v>283</v>
      </c>
      <c r="G202" s="317"/>
      <c r="H202" s="427" t="s">
        <v>115</v>
      </c>
      <c r="I202" s="196"/>
      <c r="J202" s="370">
        <f>M202+Y202+AK202+AW202</f>
        <v>0</v>
      </c>
      <c r="K202" s="428"/>
      <c r="L202" s="428"/>
      <c r="M202" s="370">
        <f>SUM(N202:X202)</f>
        <v>0</v>
      </c>
      <c r="N202" s="371"/>
      <c r="O202" s="429">
        <f>IF(O201=elektriciteit,O$159-O$177,O$75*bibliotheek!$K$223)</f>
        <v>0</v>
      </c>
      <c r="P202" s="429">
        <f>IF(P201=elektriciteit,P$159-P$177,P$75*bibliotheek!$K$223)</f>
        <v>0</v>
      </c>
      <c r="Q202" s="429">
        <f>IF(Q201=elektriciteit,Q$159-Q$177,Q$75*bibliotheek!$K$223)</f>
        <v>0</v>
      </c>
      <c r="R202" s="429">
        <f>IF(R201=elektriciteit,R$159-R$177,R$75*bibliotheek!$K$223)</f>
        <v>0</v>
      </c>
      <c r="S202" s="429">
        <f>IF(S201=elektriciteit,S$159-S$177,S$75*bibliotheek!$K$223)</f>
        <v>0</v>
      </c>
      <c r="T202" s="429">
        <f>IF(T201=elektriciteit,T$159-T$177,T$75*bibliotheek!$K$223)</f>
        <v>0</v>
      </c>
      <c r="U202" s="429">
        <f>IF(U201=elektriciteit,U$159-U$177,U$75*bibliotheek!$K$223)</f>
        <v>0</v>
      </c>
      <c r="V202" s="429">
        <f>IF(V201=elektriciteit,V$159-V$177,V$75*bibliotheek!$K$223)</f>
        <v>0</v>
      </c>
      <c r="W202" s="429">
        <f>IF(W201=elektriciteit,W$159-W$177,W$75*bibliotheek!$K$223)</f>
        <v>0</v>
      </c>
      <c r="X202" s="128"/>
      <c r="Y202" s="370">
        <f>SUM(Z202:AJ202)</f>
        <v>0</v>
      </c>
      <c r="Z202" s="371"/>
      <c r="AA202" s="429">
        <f>IF(AA201=elektriciteit,AA$159-AA$177,AA$75*bibliotheek!$K$223)</f>
        <v>0</v>
      </c>
      <c r="AB202" s="429">
        <f>IF(AB201=elektriciteit,AB$159-AB$177,AB$75*bibliotheek!$K$223)</f>
        <v>0</v>
      </c>
      <c r="AC202" s="429">
        <f>IF(AC201=elektriciteit,AC$159-AC$177,AC$75*bibliotheek!$K$223)</f>
        <v>0</v>
      </c>
      <c r="AD202" s="429">
        <f>IF(AD201=elektriciteit,AD$159-AD$177,AD$75*bibliotheek!$K$223)</f>
        <v>0</v>
      </c>
      <c r="AE202" s="429">
        <f>IF(AE201=elektriciteit,AE$159-AE$177,AE$75*bibliotheek!$K$223)</f>
        <v>0</v>
      </c>
      <c r="AF202" s="429">
        <f>IF(AF201=elektriciteit,AF$159-AF$177,AF$75*bibliotheek!$K$223)</f>
        <v>0</v>
      </c>
      <c r="AG202" s="429">
        <f>IF(AG201=elektriciteit,AG$159-AG$177,AG$75*bibliotheek!$K$223)</f>
        <v>0</v>
      </c>
      <c r="AH202" s="429">
        <f>IF(AH201=elektriciteit,AH$159-AH$177,AH$75*bibliotheek!$K$223)</f>
        <v>0</v>
      </c>
      <c r="AI202" s="429">
        <f>IF(AI201=elektriciteit,AI$159-AI$177,AI$75*bibliotheek!$K$223)</f>
        <v>0</v>
      </c>
      <c r="AJ202" s="128"/>
      <c r="AK202" s="370">
        <f>SUM(AL202:AV202)</f>
        <v>0</v>
      </c>
      <c r="AL202" s="371"/>
      <c r="AM202" s="429">
        <f>IF(AM201=elektriciteit,AM$159-AM$177,AM$75*bibliotheek!$K$223)</f>
        <v>0</v>
      </c>
      <c r="AN202" s="429">
        <f>IF(AN201=elektriciteit,AN$159-AN$177,AN$75*bibliotheek!$K$223)</f>
        <v>0</v>
      </c>
      <c r="AO202" s="429">
        <f>IF(AO201=elektriciteit,AO$159-AO$177,AO$75*bibliotheek!$K$223)</f>
        <v>0</v>
      </c>
      <c r="AP202" s="429">
        <f>IF(AP201=elektriciteit,AP$159-AP$177,AP$75*bibliotheek!$K$223)</f>
        <v>0</v>
      </c>
      <c r="AQ202" s="429">
        <f>IF(AQ201=elektriciteit,AQ$159-AQ$177,AQ$75*bibliotheek!$K$223)</f>
        <v>0</v>
      </c>
      <c r="AR202" s="429">
        <f>IF(AR201=elektriciteit,AR$159-AR$177,AR$75*bibliotheek!$K$223)</f>
        <v>0</v>
      </c>
      <c r="AS202" s="429">
        <f>IF(AS201=elektriciteit,AS$159-AS$177,AS$75*bibliotheek!$K$223)</f>
        <v>0</v>
      </c>
      <c r="AT202" s="429">
        <f>IF(AT201=elektriciteit,AT$159-AT$177,AT$75*bibliotheek!$K$223)</f>
        <v>0</v>
      </c>
      <c r="AU202" s="429">
        <f>IF(AU201=elektriciteit,AU$159-AU$177,AU$75*bibliotheek!$K$223)</f>
        <v>0</v>
      </c>
      <c r="AV202" s="128"/>
      <c r="AW202" s="370">
        <f>SUM(AX202:BH202)</f>
        <v>0</v>
      </c>
      <c r="AX202" s="371"/>
      <c r="AY202" s="429">
        <f>IF(AY201=elektriciteit,AY$159-AY$177,AY$75*bibliotheek!$K$223)</f>
        <v>0</v>
      </c>
      <c r="AZ202" s="429">
        <f>IF(AZ201=elektriciteit,AZ$159-AZ$177,AZ$75*bibliotheek!$K$223)</f>
        <v>0</v>
      </c>
      <c r="BA202" s="429">
        <f>IF(BA201=elektriciteit,BA$159-BA$177,BA$75*bibliotheek!$K$223)</f>
        <v>0</v>
      </c>
      <c r="BB202" s="429">
        <f>IF(BB201=elektriciteit,BB$159-BB$177,BB$75*bibliotheek!$K$223)</f>
        <v>0</v>
      </c>
      <c r="BC202" s="429">
        <f>IF(BC201=elektriciteit,BC$159-BC$177,BC$75*bibliotheek!$K$223)</f>
        <v>0</v>
      </c>
      <c r="BD202" s="429">
        <f>IF(BD201=elektriciteit,BD$159-BD$177,BD$75*bibliotheek!$K$223)</f>
        <v>0</v>
      </c>
      <c r="BE202" s="429">
        <f>IF(BE201=elektriciteit,BE$159-BE$177,BE$75*bibliotheek!$K$223)</f>
        <v>0</v>
      </c>
      <c r="BF202" s="429">
        <f>IF(BF201=elektriciteit,BF$159-BF$177,BF$75*bibliotheek!$K$223)</f>
        <v>0</v>
      </c>
      <c r="BG202" s="429">
        <f>IF(BG201=elektriciteit,BG$159-BG$177,BG$75*bibliotheek!$K$223)</f>
        <v>0</v>
      </c>
      <c r="BH202" s="267"/>
    </row>
    <row r="203" spans="1:60" ht="18.75" x14ac:dyDescent="0.2">
      <c r="A203" s="648"/>
      <c r="B203" s="492" t="s">
        <v>279</v>
      </c>
      <c r="C203" s="739" t="s">
        <v>104</v>
      </c>
      <c r="D203" s="747"/>
      <c r="E203" s="231" t="s">
        <v>287</v>
      </c>
      <c r="F203" s="231"/>
      <c r="G203" s="231"/>
      <c r="H203" s="89"/>
      <c r="I203" s="232"/>
      <c r="J203" s="285"/>
      <c r="K203" s="285"/>
      <c r="L203" s="285"/>
      <c r="M203" s="285"/>
      <c r="N203" s="285"/>
      <c r="O203" s="285"/>
      <c r="P203" s="285"/>
      <c r="Q203" s="285"/>
      <c r="R203" s="285"/>
      <c r="S203" s="285"/>
      <c r="T203" s="285"/>
      <c r="U203" s="285"/>
      <c r="V203" s="285"/>
      <c r="W203" s="285"/>
      <c r="X203" s="285"/>
      <c r="Y203" s="285"/>
      <c r="Z203" s="285"/>
      <c r="AA203" s="285"/>
      <c r="AB203" s="285"/>
      <c r="AC203" s="285"/>
      <c r="AD203" s="285"/>
      <c r="AE203" s="285"/>
      <c r="AF203" s="285"/>
      <c r="AG203" s="285"/>
      <c r="AH203" s="285"/>
      <c r="AI203" s="285"/>
      <c r="AJ203" s="285"/>
      <c r="AK203" s="285"/>
      <c r="AL203" s="285"/>
      <c r="AM203" s="285"/>
      <c r="AN203" s="285"/>
      <c r="AO203" s="285"/>
      <c r="AP203" s="285"/>
      <c r="AQ203" s="285"/>
      <c r="AR203" s="285"/>
      <c r="AS203" s="285"/>
      <c r="AT203" s="285"/>
      <c r="AU203" s="285"/>
      <c r="AV203" s="285"/>
      <c r="AW203" s="285"/>
      <c r="AX203" s="285"/>
      <c r="AY203" s="285"/>
      <c r="AZ203" s="285"/>
      <c r="BA203" s="285"/>
      <c r="BB203" s="285"/>
      <c r="BC203" s="285"/>
      <c r="BD203" s="285"/>
      <c r="BE203" s="285"/>
      <c r="BF203" s="285"/>
      <c r="BG203" s="285"/>
      <c r="BH203" s="38"/>
    </row>
    <row r="204" spans="1:60" s="38" customFormat="1" x14ac:dyDescent="0.2">
      <c r="A204" s="648"/>
      <c r="B204" s="492" t="s">
        <v>279</v>
      </c>
      <c r="C204" s="656" t="s">
        <v>113</v>
      </c>
      <c r="D204" s="747"/>
      <c r="E204" s="182" t="s">
        <v>288</v>
      </c>
      <c r="F204" s="182" t="s">
        <v>283</v>
      </c>
      <c r="G204" s="182"/>
      <c r="H204" s="281" t="s">
        <v>115</v>
      </c>
      <c r="I204" s="235"/>
      <c r="J204" s="282">
        <f>M204+Y204+AK204+AW204</f>
        <v>0</v>
      </c>
      <c r="K204" s="283"/>
      <c r="L204" s="283"/>
      <c r="M204" s="282">
        <f>SUM(N204:X204)</f>
        <v>0</v>
      </c>
      <c r="N204" s="99"/>
      <c r="O204" s="180">
        <f>O198+O200+O202</f>
        <v>0</v>
      </c>
      <c r="P204" s="180">
        <f t="shared" ref="P204:W204" si="130">P202+IF(P198="",0,P198)+IF(P200="",0,P200)</f>
        <v>0</v>
      </c>
      <c r="Q204" s="180">
        <f t="shared" si="130"/>
        <v>0</v>
      </c>
      <c r="R204" s="180">
        <f t="shared" si="130"/>
        <v>0</v>
      </c>
      <c r="S204" s="180">
        <f t="shared" si="130"/>
        <v>0</v>
      </c>
      <c r="T204" s="180">
        <f t="shared" si="130"/>
        <v>0</v>
      </c>
      <c r="U204" s="180">
        <f t="shared" si="130"/>
        <v>0</v>
      </c>
      <c r="V204" s="180">
        <f t="shared" si="130"/>
        <v>0</v>
      </c>
      <c r="W204" s="180">
        <f t="shared" si="130"/>
        <v>0</v>
      </c>
      <c r="X204" s="284"/>
      <c r="Y204" s="282">
        <f>SUM(Z204:AJ204)</f>
        <v>0</v>
      </c>
      <c r="Z204" s="99"/>
      <c r="AA204" s="180">
        <f>AA198+AA200+AA202</f>
        <v>0</v>
      </c>
      <c r="AB204" s="180">
        <f t="shared" ref="AB204:AI204" si="131">AB202+IF(AB198="",0,AB198)+IF(AB200="",0,AB200)</f>
        <v>0</v>
      </c>
      <c r="AC204" s="180">
        <f t="shared" si="131"/>
        <v>0</v>
      </c>
      <c r="AD204" s="180">
        <f t="shared" si="131"/>
        <v>0</v>
      </c>
      <c r="AE204" s="180">
        <f t="shared" si="131"/>
        <v>0</v>
      </c>
      <c r="AF204" s="180">
        <f t="shared" si="131"/>
        <v>0</v>
      </c>
      <c r="AG204" s="180">
        <f t="shared" si="131"/>
        <v>0</v>
      </c>
      <c r="AH204" s="180">
        <f t="shared" si="131"/>
        <v>0</v>
      </c>
      <c r="AI204" s="180">
        <f t="shared" si="131"/>
        <v>0</v>
      </c>
      <c r="AJ204" s="284"/>
      <c r="AK204" s="282">
        <f>SUM(AL204:AV204)</f>
        <v>0</v>
      </c>
      <c r="AL204" s="99"/>
      <c r="AM204" s="180">
        <f>AM198+AM200+AM202</f>
        <v>0</v>
      </c>
      <c r="AN204" s="180">
        <f t="shared" ref="AN204:AU204" si="132">AN202+IF(AN198="",0,AN198)+IF(AN200="",0,AN200)</f>
        <v>0</v>
      </c>
      <c r="AO204" s="180">
        <f t="shared" si="132"/>
        <v>0</v>
      </c>
      <c r="AP204" s="180">
        <f t="shared" si="132"/>
        <v>0</v>
      </c>
      <c r="AQ204" s="180">
        <f t="shared" si="132"/>
        <v>0</v>
      </c>
      <c r="AR204" s="180">
        <f t="shared" si="132"/>
        <v>0</v>
      </c>
      <c r="AS204" s="180">
        <f t="shared" si="132"/>
        <v>0</v>
      </c>
      <c r="AT204" s="180">
        <f t="shared" si="132"/>
        <v>0</v>
      </c>
      <c r="AU204" s="180">
        <f t="shared" si="132"/>
        <v>0</v>
      </c>
      <c r="AV204" s="284"/>
      <c r="AW204" s="282">
        <f>SUM(AX204:BH204)</f>
        <v>0</v>
      </c>
      <c r="AX204" s="99"/>
      <c r="AY204" s="180">
        <f>AY198+AY200+AY202</f>
        <v>0</v>
      </c>
      <c r="AZ204" s="180">
        <f t="shared" ref="AZ204:BG204" si="133">AZ202+IF(AZ198="",0,AZ198)+IF(AZ200="",0,AZ200)</f>
        <v>0</v>
      </c>
      <c r="BA204" s="180">
        <f t="shared" si="133"/>
        <v>0</v>
      </c>
      <c r="BB204" s="180">
        <f t="shared" si="133"/>
        <v>0</v>
      </c>
      <c r="BC204" s="180">
        <f t="shared" si="133"/>
        <v>0</v>
      </c>
      <c r="BD204" s="180">
        <f t="shared" si="133"/>
        <v>0</v>
      </c>
      <c r="BE204" s="180">
        <f t="shared" si="133"/>
        <v>0</v>
      </c>
      <c r="BF204" s="180">
        <f t="shared" si="133"/>
        <v>0</v>
      </c>
      <c r="BG204" s="180">
        <f t="shared" si="133"/>
        <v>0</v>
      </c>
      <c r="BH204" s="269"/>
    </row>
    <row r="205" spans="1:60" x14ac:dyDescent="0.2">
      <c r="A205" s="648"/>
      <c r="B205" s="492" t="s">
        <v>279</v>
      </c>
      <c r="C205" s="739" t="s">
        <v>104</v>
      </c>
      <c r="D205" s="747"/>
      <c r="E205" s="90"/>
      <c r="F205" s="90"/>
      <c r="G205" s="90"/>
      <c r="H205" s="93"/>
      <c r="I205" s="138"/>
      <c r="J205" s="128"/>
      <c r="K205" s="90"/>
      <c r="L205" s="90"/>
      <c r="M205" s="128"/>
      <c r="N205" s="90"/>
      <c r="O205" s="96"/>
      <c r="P205" s="96"/>
      <c r="Q205" s="93"/>
      <c r="R205" s="93"/>
      <c r="S205" s="93"/>
      <c r="T205" s="93"/>
      <c r="U205" s="93"/>
      <c r="V205" s="93"/>
      <c r="W205" s="93"/>
      <c r="X205" s="93"/>
      <c r="Y205" s="128"/>
      <c r="Z205" s="90"/>
      <c r="AA205" s="96"/>
      <c r="AB205" s="96"/>
      <c r="AC205" s="93"/>
      <c r="AD205" s="93"/>
      <c r="AE205" s="93"/>
      <c r="AF205" s="93"/>
      <c r="AG205" s="93"/>
      <c r="AH205" s="93"/>
      <c r="AI205" s="93"/>
      <c r="AJ205" s="93"/>
      <c r="AK205" s="128"/>
      <c r="AL205" s="90"/>
      <c r="AM205" s="96"/>
      <c r="AN205" s="96"/>
      <c r="AO205" s="93"/>
      <c r="AP205" s="93"/>
      <c r="AQ205" s="93"/>
      <c r="AR205" s="93"/>
      <c r="AS205" s="93"/>
      <c r="AT205" s="93"/>
      <c r="AU205" s="93"/>
      <c r="AV205" s="93"/>
      <c r="AW205" s="128"/>
      <c r="AX205" s="90"/>
      <c r="AY205" s="93"/>
      <c r="AZ205" s="93"/>
      <c r="BA205" s="93"/>
      <c r="BB205" s="93"/>
      <c r="BC205" s="93"/>
      <c r="BD205" s="93"/>
      <c r="BE205" s="93"/>
      <c r="BF205" s="93"/>
      <c r="BG205" s="93"/>
      <c r="BH205" s="1"/>
    </row>
    <row r="206" spans="1:60" x14ac:dyDescent="0.2">
      <c r="A206" s="648"/>
      <c r="B206" s="492" t="s">
        <v>289</v>
      </c>
      <c r="C206" s="739" t="s">
        <v>104</v>
      </c>
      <c r="D206" s="747"/>
      <c r="E206" s="90"/>
      <c r="F206" s="90"/>
      <c r="G206" s="90"/>
      <c r="H206" s="96"/>
      <c r="I206" s="90"/>
      <c r="J206" s="93"/>
      <c r="K206" s="90"/>
      <c r="L206" s="90"/>
      <c r="M206" s="93"/>
      <c r="N206" s="90"/>
      <c r="O206" s="93"/>
      <c r="P206" s="93"/>
      <c r="Q206" s="93"/>
      <c r="R206" s="93"/>
      <c r="S206" s="93"/>
      <c r="T206" s="93"/>
      <c r="U206" s="93"/>
      <c r="V206" s="93"/>
      <c r="W206" s="93"/>
      <c r="X206" s="93"/>
      <c r="Y206" s="93"/>
      <c r="Z206" s="90"/>
      <c r="AA206" s="93"/>
      <c r="AB206" s="93"/>
      <c r="AC206" s="93"/>
      <c r="AD206" s="93"/>
      <c r="AE206" s="93"/>
      <c r="AF206" s="93"/>
      <c r="AG206" s="93"/>
      <c r="AH206" s="93"/>
      <c r="AI206" s="93"/>
      <c r="AJ206" s="93"/>
      <c r="AK206" s="93"/>
      <c r="AL206" s="90"/>
      <c r="AM206" s="93"/>
      <c r="AN206" s="93"/>
      <c r="AO206" s="93"/>
      <c r="AP206" s="93"/>
      <c r="AQ206" s="93"/>
      <c r="AR206" s="93"/>
      <c r="AS206" s="93"/>
      <c r="AT206" s="93"/>
      <c r="AU206" s="93"/>
      <c r="AV206" s="93"/>
      <c r="AW206" s="93"/>
      <c r="AX206" s="90"/>
      <c r="AY206" s="93"/>
      <c r="AZ206" s="93"/>
      <c r="BA206" s="93"/>
      <c r="BB206" s="93"/>
      <c r="BC206" s="93"/>
      <c r="BD206" s="93"/>
      <c r="BE206" s="93"/>
      <c r="BF206" s="93"/>
      <c r="BG206" s="93"/>
      <c r="BH206" s="1"/>
    </row>
    <row r="207" spans="1:60" ht="21" x14ac:dyDescent="0.2">
      <c r="A207" s="648"/>
      <c r="B207" s="492" t="s">
        <v>289</v>
      </c>
      <c r="C207" s="739" t="s">
        <v>104</v>
      </c>
      <c r="D207" s="752"/>
      <c r="E207" s="240" t="s">
        <v>290</v>
      </c>
      <c r="F207" s="240"/>
      <c r="G207" s="240"/>
      <c r="H207" s="240"/>
      <c r="I207" s="88"/>
      <c r="J207" s="216" t="str">
        <f>J$10</f>
        <v>totaal</v>
      </c>
      <c r="K207" s="142"/>
      <c r="L207" s="142"/>
      <c r="M207" s="216" t="str">
        <f>M$10</f>
        <v>totaal</v>
      </c>
      <c r="N207" s="222"/>
      <c r="O207" s="217" t="str">
        <f>O$10</f>
        <v>verwarming</v>
      </c>
      <c r="P207" s="217" t="str">
        <f>P$10</f>
        <v>koeling</v>
      </c>
      <c r="Q207" s="217" t="str">
        <f>Q$10</f>
        <v>tapwater</v>
      </c>
      <c r="R207" s="217"/>
      <c r="S207" s="217"/>
      <c r="T207" s="217"/>
      <c r="U207" s="217"/>
      <c r="V207" s="217"/>
      <c r="W207" s="488" t="str">
        <f>W$10</f>
        <v>zonnepanelen</v>
      </c>
      <c r="X207" s="214"/>
      <c r="Y207" s="216" t="str">
        <f>Y$10</f>
        <v>totaal</v>
      </c>
      <c r="Z207" s="222"/>
      <c r="AA207" s="217" t="str">
        <f>AA$10</f>
        <v>verwarming</v>
      </c>
      <c r="AB207" s="217" t="str">
        <f>AB$10</f>
        <v>koeling</v>
      </c>
      <c r="AC207" s="217" t="str">
        <f>AC$10</f>
        <v>tapwater</v>
      </c>
      <c r="AD207" s="217"/>
      <c r="AE207" s="217"/>
      <c r="AF207" s="217"/>
      <c r="AG207" s="217"/>
      <c r="AH207" s="217"/>
      <c r="AI207" s="488" t="str">
        <f>AI$10</f>
        <v>zonnepanelen</v>
      </c>
      <c r="AJ207" s="214"/>
      <c r="AK207" s="216" t="str">
        <f>AK$10</f>
        <v>totaal</v>
      </c>
      <c r="AL207" s="222"/>
      <c r="AM207" s="217" t="str">
        <f>AM$10</f>
        <v>verwarming</v>
      </c>
      <c r="AN207" s="217" t="str">
        <f>AN$10</f>
        <v>koeling</v>
      </c>
      <c r="AO207" s="217" t="str">
        <f>AO$10</f>
        <v>tapwater</v>
      </c>
      <c r="AP207" s="217"/>
      <c r="AQ207" s="217"/>
      <c r="AR207" s="217"/>
      <c r="AS207" s="217"/>
      <c r="AT207" s="217"/>
      <c r="AU207" s="488" t="str">
        <f>AU$10</f>
        <v>zonnepanelen</v>
      </c>
      <c r="AV207" s="214"/>
      <c r="AW207" s="216" t="str">
        <f>AW$10</f>
        <v>totaal</v>
      </c>
      <c r="AX207" s="222"/>
      <c r="AY207" s="217" t="str">
        <f>AY$10</f>
        <v>verwarming</v>
      </c>
      <c r="AZ207" s="217" t="str">
        <f>AZ$10</f>
        <v>koeling</v>
      </c>
      <c r="BA207" s="217" t="str">
        <f>BA$10</f>
        <v>tapwater</v>
      </c>
      <c r="BB207" s="217"/>
      <c r="BC207" s="217"/>
      <c r="BD207" s="217"/>
      <c r="BE207" s="217"/>
      <c r="BF207" s="217"/>
      <c r="BG207" s="488" t="str">
        <f>BG$10</f>
        <v>zonnepanelen</v>
      </c>
      <c r="BH207" s="1"/>
    </row>
    <row r="208" spans="1:60" ht="18.75" x14ac:dyDescent="0.2">
      <c r="A208" s="648"/>
      <c r="B208" s="492" t="s">
        <v>289</v>
      </c>
      <c r="C208" s="739" t="s">
        <v>104</v>
      </c>
      <c r="D208" s="747"/>
      <c r="E208" s="231" t="s">
        <v>291</v>
      </c>
      <c r="F208" s="231"/>
      <c r="G208" s="231"/>
      <c r="H208" s="89"/>
      <c r="I208" s="232"/>
      <c r="J208" s="231"/>
      <c r="K208" s="232"/>
      <c r="L208" s="232"/>
      <c r="M208" s="231"/>
      <c r="N208" s="232"/>
      <c r="O208" s="232"/>
      <c r="P208" s="232"/>
      <c r="Q208" s="232"/>
      <c r="R208" s="232"/>
      <c r="S208" s="232"/>
      <c r="T208" s="232"/>
      <c r="U208" s="232"/>
      <c r="V208" s="232"/>
      <c r="W208" s="232"/>
      <c r="X208" s="232"/>
      <c r="Y208" s="232"/>
      <c r="Z208" s="232"/>
      <c r="AA208" s="285"/>
      <c r="AB208" s="285"/>
      <c r="AC208" s="285"/>
      <c r="AD208" s="232"/>
      <c r="AE208" s="232"/>
      <c r="AF208" s="232"/>
      <c r="AG208" s="232"/>
      <c r="AH208" s="232"/>
      <c r="AI208" s="232"/>
      <c r="AJ208" s="232"/>
      <c r="AK208" s="232"/>
      <c r="AL208" s="232"/>
      <c r="AM208" s="232"/>
      <c r="AN208" s="232"/>
      <c r="AO208" s="232"/>
      <c r="AP208" s="232"/>
      <c r="AQ208" s="232"/>
      <c r="AR208" s="232"/>
      <c r="AS208" s="232"/>
      <c r="AT208" s="232"/>
      <c r="AU208" s="232"/>
      <c r="AV208" s="232"/>
      <c r="AW208" s="232"/>
      <c r="AX208" s="232"/>
      <c r="AY208" s="232"/>
      <c r="AZ208" s="232"/>
      <c r="BA208" s="232"/>
      <c r="BB208" s="232"/>
      <c r="BC208" s="232"/>
      <c r="BD208" s="232"/>
      <c r="BE208" s="232"/>
      <c r="BF208" s="232"/>
      <c r="BG208" s="232"/>
      <c r="BH208" s="38"/>
    </row>
    <row r="209" spans="1:60" x14ac:dyDescent="0.2">
      <c r="A209" s="648"/>
      <c r="B209" s="492" t="s">
        <v>289</v>
      </c>
      <c r="C209" s="656" t="s">
        <v>113</v>
      </c>
      <c r="D209" s="750" t="s">
        <v>50</v>
      </c>
      <c r="E209" s="220" t="s">
        <v>292</v>
      </c>
      <c r="F209" s="220"/>
      <c r="G209" s="220"/>
      <c r="H209" s="242" t="s">
        <v>177</v>
      </c>
      <c r="I209" s="129"/>
      <c r="J209" s="243">
        <f t="shared" ref="J209:J215" si="134">M209+Y209+AK209+AW209</f>
        <v>0</v>
      </c>
      <c r="K209" s="236"/>
      <c r="L209" s="236"/>
      <c r="M209" s="243">
        <f t="shared" ref="M209:M215" si="135">SUM(N209:X209)</f>
        <v>0</v>
      </c>
      <c r="N209" s="129"/>
      <c r="O209" s="207">
        <f>IF(OR(O$108=0,O$108=""),0,HLOOKUP(IF(O$80="",referentie_verwarming,O$80),toestellen_RV,ROWS(bibliotheek!$E$79:$E$83),FALSE)*O$107*(1-1/O$108)*f_P_renheat)</f>
        <v>0</v>
      </c>
      <c r="P209" s="207">
        <f>IF(OR(P$108=0,P$108=""),0,HLOOKUP(IF(P$80="",referentie_koeling,P$80),toestellen_KOEL,ROWS(bibliotheek!$E$170:$E$173),FALSE)*P$107*(1-1/P$108)*f_P_rencold)</f>
        <v>0</v>
      </c>
      <c r="Q209" s="207">
        <f>IF(OR(Q$108=0,Q$108=""),0,HLOOKUP(IF(Q$80="",referentie_warmtapwater,Q$80),toestellen_TAP,ROWS(bibliotheek!$E$136:$E$140),FALSE)*Q$107*(1-1/Q$108)*f_P_renheat)</f>
        <v>0</v>
      </c>
      <c r="R209" s="335"/>
      <c r="S209" s="335"/>
      <c r="T209" s="335"/>
      <c r="U209" s="335"/>
      <c r="V209" s="335"/>
      <c r="W209" s="335"/>
      <c r="X209" s="128"/>
      <c r="Y209" s="243">
        <f t="shared" ref="Y209:Y215" si="136">SUM(Z209:AJ209)</f>
        <v>0</v>
      </c>
      <c r="Z209" s="129"/>
      <c r="AA209" s="207">
        <f>IF(OR(AA$108=0,AA$108=""),0,HLOOKUP(IF(AA$80="",referentie_verwarming,AA$80),toestellen_RV,ROWS(bibliotheek!$E$79:$E$83),FALSE)*AA$107*(1-1/AA$108)*f_P_renheat)</f>
        <v>0</v>
      </c>
      <c r="AB209" s="207">
        <f>IF(OR(AB$108=0,AB$108=""),0,HLOOKUP(IF(AB$80="",referentie_koeling,AB$80),toestellen_KOEL,ROWS(bibliotheek!$E$170:$E$173),FALSE)*AB$107*(1-1/AB$108)*f_P_rencold)</f>
        <v>0</v>
      </c>
      <c r="AC209" s="207">
        <f>IF(OR(AC$108=0,AC$108=""),0,HLOOKUP(IF(AC$80="",referentie_warmtapwater,AC$80),toestellen_TAP,ROWS(bibliotheek!$E$136:$E$140),FALSE)*AC$107*(1-1/AC$108)*f_P_renheat)</f>
        <v>0</v>
      </c>
      <c r="AD209" s="335"/>
      <c r="AE209" s="335"/>
      <c r="AF209" s="335"/>
      <c r="AG209" s="335"/>
      <c r="AH209" s="335"/>
      <c r="AI209" s="335"/>
      <c r="AJ209" s="128"/>
      <c r="AK209" s="243">
        <f t="shared" ref="AK209:AK215" si="137">SUM(AL209:AV209)</f>
        <v>0</v>
      </c>
      <c r="AL209" s="129"/>
      <c r="AM209" s="207">
        <f>IF(OR(AM$108=0,AM$108=""),0,HLOOKUP(IF(AM$80="",referentie_verwarming,AM$80),toestellen_RV,ROWS(bibliotheek!$E$79:$E$83),FALSE)*AM$107*(1-1/AM$108)*f_P_renheat)</f>
        <v>0</v>
      </c>
      <c r="AN209" s="207">
        <f>IF(OR(AN$108=0,AN$108=""),0,HLOOKUP(IF(AN$80="",referentie_koeling,AN$80),toestellen_KOEL,ROWS(bibliotheek!$E$170:$E$173),FALSE)*AN$107*(1-1/AN$108)*f_P_rencold)</f>
        <v>0</v>
      </c>
      <c r="AO209" s="207">
        <f>IF(OR(AO$108=0,AO$108=""),0,HLOOKUP(IF(AO$80="",referentie_warmtapwater,AO$80),toestellen_TAP,ROWS(bibliotheek!$E$136:$E$140),FALSE)*AO$107*(1-1/AO$108)*f_P_renheat)</f>
        <v>0</v>
      </c>
      <c r="AP209" s="335"/>
      <c r="AQ209" s="335"/>
      <c r="AR209" s="335"/>
      <c r="AS209" s="335"/>
      <c r="AT209" s="335"/>
      <c r="AU209" s="335"/>
      <c r="AV209" s="128"/>
      <c r="AW209" s="243">
        <f t="shared" ref="AW209:AW215" si="138">SUM(AX209:BH209)</f>
        <v>0</v>
      </c>
      <c r="AX209" s="129"/>
      <c r="AY209" s="207">
        <f>IF(OR(AY$108=0,AY$108=""),0,HLOOKUP(IF(AY$80="",referentie_verwarming,AY$80),toestellen_RV,ROWS(bibliotheek!$E$79:$E$83),FALSE)*AY$107*(1-1/AY$108)*f_P_renheat)</f>
        <v>0</v>
      </c>
      <c r="AZ209" s="207">
        <f>IF(OR(AZ$108=0,AZ$108=""),0,HLOOKUP(IF(AZ$80="",referentie_koeling,AZ$80),toestellen_KOEL,ROWS(bibliotheek!$E$170:$E$173),FALSE)*AZ$107*(1-1/AZ$108)*f_P_rencold)</f>
        <v>0</v>
      </c>
      <c r="BA209" s="207">
        <f>IF(OR(BA$108=0,BA$108=""),0,HLOOKUP(IF(BA$80="",referentie_warmtapwater,BA$80),toestellen_TAP,ROWS(bibliotheek!$E$136:$E$140),FALSE)*BA$107*(1-1/BA$108)*f_P_renheat)</f>
        <v>0</v>
      </c>
      <c r="BB209" s="335"/>
      <c r="BC209" s="335"/>
      <c r="BD209" s="335"/>
      <c r="BE209" s="335"/>
      <c r="BF209" s="335"/>
      <c r="BG209" s="335"/>
      <c r="BH209" s="255"/>
    </row>
    <row r="210" spans="1:60" x14ac:dyDescent="0.2">
      <c r="A210" s="648"/>
      <c r="B210" s="492" t="s">
        <v>289</v>
      </c>
      <c r="C210" s="656" t="s">
        <v>113</v>
      </c>
      <c r="D210" s="750" t="s">
        <v>50</v>
      </c>
      <c r="E210" s="220" t="s">
        <v>293</v>
      </c>
      <c r="F210" s="220"/>
      <c r="G210" s="220"/>
      <c r="H210" s="242" t="s">
        <v>177</v>
      </c>
      <c r="I210" s="129"/>
      <c r="J210" s="243">
        <f t="shared" si="134"/>
        <v>0</v>
      </c>
      <c r="K210" s="236"/>
      <c r="L210" s="236"/>
      <c r="M210" s="243">
        <f t="shared" si="135"/>
        <v>0</v>
      </c>
      <c r="N210" s="129"/>
      <c r="O210" s="335"/>
      <c r="P210" s="207">
        <f>IF(OR(P$107=0,P$108&lt;=8),0,P$107*f_P_rencold*INDEX(bibliotheek!$E$175:$AC$175,MATCH(P$80,toestellen_KOEL_kopregel,0)))</f>
        <v>0</v>
      </c>
      <c r="Q210" s="335"/>
      <c r="R210" s="335"/>
      <c r="S210" s="335"/>
      <c r="T210" s="335"/>
      <c r="U210" s="335"/>
      <c r="V210" s="335"/>
      <c r="W210" s="335"/>
      <c r="X210" s="128"/>
      <c r="Y210" s="243">
        <f t="shared" si="136"/>
        <v>0</v>
      </c>
      <c r="Z210" s="129"/>
      <c r="AA210" s="335"/>
      <c r="AB210" s="207">
        <f>IF(OR(AB$107=0,AB$108&lt;=8),0,AB$107*f_P_rencold*INDEX(bibliotheek!$E$175:$AC$175,MATCH(AB$80,toestellen_KOEL_kopregel,0)))</f>
        <v>0</v>
      </c>
      <c r="AC210" s="335"/>
      <c r="AD210" s="335"/>
      <c r="AE210" s="335"/>
      <c r="AF210" s="335"/>
      <c r="AG210" s="335"/>
      <c r="AH210" s="335"/>
      <c r="AI210" s="335"/>
      <c r="AJ210" s="128"/>
      <c r="AK210" s="243">
        <f t="shared" si="137"/>
        <v>0</v>
      </c>
      <c r="AL210" s="129"/>
      <c r="AM210" s="335"/>
      <c r="AN210" s="207">
        <f>IF(OR(AN$107=0,AN$108&lt;=8),0,AN$107*f_P_rencold*INDEX(bibliotheek!$E$175:$AC$175,MATCH(AN$80,toestellen_KOEL_kopregel,0)))</f>
        <v>0</v>
      </c>
      <c r="AO210" s="335"/>
      <c r="AP210" s="335"/>
      <c r="AQ210" s="335"/>
      <c r="AR210" s="335"/>
      <c r="AS210" s="335"/>
      <c r="AT210" s="335"/>
      <c r="AU210" s="335"/>
      <c r="AV210" s="128"/>
      <c r="AW210" s="243">
        <f t="shared" si="138"/>
        <v>0</v>
      </c>
      <c r="AX210" s="129"/>
      <c r="AY210" s="335"/>
      <c r="AZ210" s="207">
        <f>IF(OR(AZ$107=0,AZ$108&lt;=8),0,AZ$107*f_P_rencold*INDEX(bibliotheek!$E$175:$AC$175,MATCH(AZ$80,toestellen_KOEL_kopregel,0)))</f>
        <v>0</v>
      </c>
      <c r="BA210" s="335"/>
      <c r="BB210" s="335"/>
      <c r="BC210" s="335"/>
      <c r="BD210" s="335"/>
      <c r="BE210" s="335"/>
      <c r="BF210" s="335"/>
      <c r="BG210" s="335"/>
      <c r="BH210" s="255"/>
    </row>
    <row r="211" spans="1:60" x14ac:dyDescent="0.2">
      <c r="A211" s="648"/>
      <c r="B211" s="492" t="s">
        <v>289</v>
      </c>
      <c r="C211" s="656" t="s">
        <v>113</v>
      </c>
      <c r="D211" s="750" t="s">
        <v>50</v>
      </c>
      <c r="E211" s="220" t="s">
        <v>294</v>
      </c>
      <c r="F211" s="220"/>
      <c r="G211" s="220"/>
      <c r="H211" s="242" t="s">
        <v>177</v>
      </c>
      <c r="I211" s="129"/>
      <c r="J211" s="243">
        <f t="shared" si="134"/>
        <v>0</v>
      </c>
      <c r="K211" s="236"/>
      <c r="L211" s="236"/>
      <c r="M211" s="243">
        <f t="shared" si="135"/>
        <v>0</v>
      </c>
      <c r="N211" s="129"/>
      <c r="O211" s="207">
        <f>IF(OR(O$107=0,LEFT(O$103,2)&lt;&gt;"bm"),0,O$107*INDEX(energiedragers_fPren,MATCH(O$102,energiedragers_namen,0)))+
IF(OR(O$135=0,LEFT(O$133,2)&lt;&gt;"bm"),0,O$135*INDEX(energiedragers_fPren,MATCH(O$132,energiedragers_namen,0)))</f>
        <v>0</v>
      </c>
      <c r="P211" s="335"/>
      <c r="Q211" s="207">
        <f>IF(OR(Q$107=0,LEFT(Q$103,2)&lt;&gt;"bm"),0,Q$107*INDEX(energiedragers_fPren,MATCH(Q$102,energiedragers_namen,0)))+
IF(OR(Q$135=0,LEFT(Q$133,2)&lt;&gt;"bm"),0,Q$135*INDEX(energiedragers_fPren,MATCH(Q$132,energiedragers_namen,0)))</f>
        <v>0</v>
      </c>
      <c r="R211" s="335"/>
      <c r="S211" s="335"/>
      <c r="T211" s="335"/>
      <c r="U211" s="335"/>
      <c r="V211" s="335"/>
      <c r="W211" s="335"/>
      <c r="X211" s="128"/>
      <c r="Y211" s="243">
        <f t="shared" si="136"/>
        <v>0</v>
      </c>
      <c r="Z211" s="129"/>
      <c r="AA211" s="207">
        <f>IF(OR(AA$107=0,LEFT(AA$103,2)&lt;&gt;"bm"),0,AA$107*INDEX(energiedragers_fPren,MATCH(AA$102,energiedragers_namen,0)))+
IF(OR(AA$135=0,LEFT(AA$133,2)&lt;&gt;"bm"),0,AA$135*INDEX(energiedragers_fPren,MATCH(AA$132,energiedragers_namen,0)))</f>
        <v>0</v>
      </c>
      <c r="AB211" s="335"/>
      <c r="AC211" s="207">
        <f>IF(OR(AC$107=0,LEFT(AC$103,2)&lt;&gt;"bm"),0,AC$107*INDEX(energiedragers_fPren,MATCH(AC$102,energiedragers_namen,0)))+
IF(OR(AC$135=0,LEFT(AC$133,2)&lt;&gt;"bm"),0,AC$135*INDEX(energiedragers_fPren,MATCH(AC$132,energiedragers_namen,0)))</f>
        <v>0</v>
      </c>
      <c r="AD211" s="335"/>
      <c r="AE211" s="335"/>
      <c r="AF211" s="335"/>
      <c r="AG211" s="335"/>
      <c r="AH211" s="335"/>
      <c r="AI211" s="335"/>
      <c r="AJ211" s="128"/>
      <c r="AK211" s="243">
        <f t="shared" si="137"/>
        <v>0</v>
      </c>
      <c r="AL211" s="129"/>
      <c r="AM211" s="207">
        <f>IF(OR(AM$107=0,LEFT(AM$103,2)&lt;&gt;"bm"),0,AM$107*INDEX(energiedragers_fPren,MATCH(AM$102,energiedragers_namen,0)))+
IF(OR(AM$135=0,LEFT(AM$133,2)&lt;&gt;"bm"),0,AM$135*INDEX(energiedragers_fPren,MATCH(AM$132,energiedragers_namen,0)))</f>
        <v>0</v>
      </c>
      <c r="AN211" s="335"/>
      <c r="AO211" s="207">
        <f>IF(OR(AO$107=0,LEFT(AO$103,2)&lt;&gt;"bm"),0,AO$107*INDEX(energiedragers_fPren,MATCH(AO$102,energiedragers_namen,0)))+
IF(OR(AO$135=0,LEFT(AO$133,2)&lt;&gt;"bm"),0,AO$135*INDEX(energiedragers_fPren,MATCH(AO$132,energiedragers_namen,0)))</f>
        <v>0</v>
      </c>
      <c r="AP211" s="335"/>
      <c r="AQ211" s="335"/>
      <c r="AR211" s="335"/>
      <c r="AS211" s="335"/>
      <c r="AT211" s="335"/>
      <c r="AU211" s="335"/>
      <c r="AV211" s="128"/>
      <c r="AW211" s="243">
        <f t="shared" si="138"/>
        <v>0</v>
      </c>
      <c r="AX211" s="129"/>
      <c r="AY211" s="207">
        <f>IF(OR(AY$107=0,LEFT(AY$103,2)&lt;&gt;"bm"),0,AY$107*INDEX(energiedragers_fPren,MATCH(AY$102,energiedragers_namen,0)))+
IF(OR(AY$135=0,LEFT(AY$133,2)&lt;&gt;"bm"),0,AY$135*INDEX(energiedragers_fPren,MATCH(AY$132,energiedragers_namen,0)))</f>
        <v>0</v>
      </c>
      <c r="AZ211" s="335"/>
      <c r="BA211" s="207">
        <f>IF(OR(BA$107=0,LEFT(BA$103,2)&lt;&gt;"bm"),0,BA$107*INDEX(energiedragers_fPren,MATCH(BA$102,energiedragers_namen,0)))+
IF(OR(BA$135=0,LEFT(BA$133,2)&lt;&gt;"bm"),0,BA$135*INDEX(energiedragers_fPren,MATCH(BA$132,energiedragers_namen,0)))</f>
        <v>0</v>
      </c>
      <c r="BB211" s="335"/>
      <c r="BC211" s="335"/>
      <c r="BD211" s="335"/>
      <c r="BE211" s="335"/>
      <c r="BF211" s="335"/>
      <c r="BG211" s="335"/>
      <c r="BH211" s="255"/>
    </row>
    <row r="212" spans="1:60" x14ac:dyDescent="0.2">
      <c r="A212" s="648"/>
      <c r="B212" s="492" t="s">
        <v>289</v>
      </c>
      <c r="C212" s="656" t="s">
        <v>113</v>
      </c>
      <c r="D212" s="750" t="s">
        <v>50</v>
      </c>
      <c r="E212" s="220" t="s">
        <v>295</v>
      </c>
      <c r="F212" s="220"/>
      <c r="G212" s="220"/>
      <c r="H212" s="242" t="s">
        <v>177</v>
      </c>
      <c r="I212" s="129"/>
      <c r="J212" s="243">
        <f t="shared" si="134"/>
        <v>0</v>
      </c>
      <c r="K212" s="236"/>
      <c r="L212" s="236"/>
      <c r="M212" s="243">
        <f t="shared" si="135"/>
        <v>0</v>
      </c>
      <c r="N212" s="129"/>
      <c r="O212" s="207">
        <f>IF(OR(O$107=0,LEFT(O$103,2)&lt;&gt;"dx"),0,O$107*INDEX(energiedragers_fPren,MATCH(O$102,energiedragers_namen,0)))+
IF(OR(O$135=0,LEFT(O$133,2)&lt;&gt;"dx"),0,O$135*INDEX(energiedragers_fPren,MATCH(O$132,energiedragers_namen,0)))</f>
        <v>0</v>
      </c>
      <c r="P212" s="207">
        <f>IF(OR(P$107=0,LEFT(P$103,2)&lt;&gt;"dx"),0,P$107*INDEX(energiedragers_fPren,MATCH(P$102,energiedragers_namen,0)))+
IF(OR(P$135=0,LEFT(P$133,2)&lt;&gt;"dx"),0,P$135*INDEX(energiedragers_fPren,MATCH(P$132,energiedragers_namen,0)))</f>
        <v>0</v>
      </c>
      <c r="Q212" s="207">
        <f>IF(OR(Q$107=0,LEFT(Q$103,2)&lt;&gt;"dx"),0,Q$107*INDEX(energiedragers_fPren,MATCH(Q$102,energiedragers_namen,0)))+
IF(OR(Q$135=0,LEFT(Q$133,2)&lt;&gt;"dx"),0,Q$135*INDEX(energiedragers_fPren,MATCH(Q$132,energiedragers_namen,0)))</f>
        <v>0</v>
      </c>
      <c r="R212" s="335"/>
      <c r="S212" s="335"/>
      <c r="T212" s="335"/>
      <c r="U212" s="335"/>
      <c r="V212" s="335"/>
      <c r="W212" s="335"/>
      <c r="X212" s="128"/>
      <c r="Y212" s="243">
        <f t="shared" si="136"/>
        <v>0</v>
      </c>
      <c r="Z212" s="129"/>
      <c r="AA212" s="207">
        <f>IF(OR(AA$107=0,LEFT(AA$103,2)&lt;&gt;"dx"),0,AA$107*INDEX(energiedragers_fPren,MATCH(AA$102,energiedragers_namen,0)))+
IF(OR(AA$135=0,LEFT(AA$133,2)&lt;&gt;"dx"),0,AA$135*INDEX(energiedragers_fPren,MATCH(AA$132,energiedragers_namen,0)))</f>
        <v>0</v>
      </c>
      <c r="AB212" s="207">
        <f>IF(OR(AB$107=0,LEFT(AB$103,2)&lt;&gt;"dx"),0,AB$107*INDEX(energiedragers_fPren,MATCH(AB$102,energiedragers_namen,0)))+
IF(OR(AB$135=0,LEFT(AB$133,2)&lt;&gt;"dx"),0,AB$135*INDEX(energiedragers_fPren,MATCH(AB$132,energiedragers_namen,0)))</f>
        <v>0</v>
      </c>
      <c r="AC212" s="207">
        <f>IF(OR(AC$107=0,LEFT(AC$103,2)&lt;&gt;"dx"),0,AC$107*INDEX(energiedragers_fPren,MATCH(AC$102,energiedragers_namen,0)))+
IF(OR(AC$135=0,LEFT(AC$133,2)&lt;&gt;"dx"),0,AC$135*INDEX(energiedragers_fPren,MATCH(AC$132,energiedragers_namen,0)))</f>
        <v>0</v>
      </c>
      <c r="AD212" s="335"/>
      <c r="AE212" s="335"/>
      <c r="AF212" s="335"/>
      <c r="AG212" s="335"/>
      <c r="AH212" s="335"/>
      <c r="AI212" s="335"/>
      <c r="AJ212" s="128"/>
      <c r="AK212" s="243">
        <f t="shared" si="137"/>
        <v>0</v>
      </c>
      <c r="AL212" s="129"/>
      <c r="AM212" s="207">
        <f>IF(OR(AM$107=0,LEFT(AM$103,2)&lt;&gt;"dx"),0,AM$107*INDEX(energiedragers_fPren,MATCH(AM$102,energiedragers_namen,0)))+
IF(OR(AM$135=0,LEFT(AM$133,2)&lt;&gt;"dx"),0,AM$135*INDEX(energiedragers_fPren,MATCH(AM$132,energiedragers_namen,0)))</f>
        <v>0</v>
      </c>
      <c r="AN212" s="207">
        <f>IF(OR(AN$107=0,LEFT(AN$103,2)&lt;&gt;"dx"),0,AN$107*INDEX(energiedragers_fPren,MATCH(AN$102,energiedragers_namen,0)))+
IF(OR(AN$135=0,LEFT(AN$133,2)&lt;&gt;"dx"),0,AN$135*INDEX(energiedragers_fPren,MATCH(AN$132,energiedragers_namen,0)))</f>
        <v>0</v>
      </c>
      <c r="AO212" s="207">
        <f>IF(OR(AO$107=0,LEFT(AO$103,2)&lt;&gt;"dx"),0,AO$107*INDEX(energiedragers_fPren,MATCH(AO$102,energiedragers_namen,0)))+
IF(OR(AO$135=0,LEFT(AO$133,2)&lt;&gt;"dx"),0,AO$135*INDEX(energiedragers_fPren,MATCH(AO$132,energiedragers_namen,0)))</f>
        <v>0</v>
      </c>
      <c r="AP212" s="335"/>
      <c r="AQ212" s="335"/>
      <c r="AR212" s="335"/>
      <c r="AS212" s="335"/>
      <c r="AT212" s="335"/>
      <c r="AU212" s="335"/>
      <c r="AV212" s="128"/>
      <c r="AW212" s="243">
        <f t="shared" si="138"/>
        <v>0</v>
      </c>
      <c r="AX212" s="129"/>
      <c r="AY212" s="207">
        <f>IF(OR(AY$107=0,LEFT(AY$103,2)&lt;&gt;"dx"),0,AY$107*INDEX(energiedragers_fPren,MATCH(AY$102,energiedragers_namen,0)))+
IF(OR(AY$135=0,LEFT(AY$133,2)&lt;&gt;"dx"),0,AY$135*INDEX(energiedragers_fPren,MATCH(AY$132,energiedragers_namen,0)))</f>
        <v>0</v>
      </c>
      <c r="AZ212" s="207">
        <f>IF(OR(AZ$107=0,LEFT(AZ$103,2)&lt;&gt;"dx"),0,AZ$107*INDEX(energiedragers_fPren,MATCH(AZ$102,energiedragers_namen,0)))+
IF(OR(AZ$135=0,LEFT(AZ$133,2)&lt;&gt;"dx"),0,AZ$135*INDEX(energiedragers_fPren,MATCH(AZ$132,energiedragers_namen,0)))</f>
        <v>0</v>
      </c>
      <c r="BA212" s="207">
        <f>IF(OR(BA$107=0,LEFT(BA$103,2)&lt;&gt;"dx"),0,BA$107*INDEX(energiedragers_fPren,MATCH(BA$102,energiedragers_namen,0)))+
IF(OR(BA$135=0,LEFT(BA$133,2)&lt;&gt;"dx"),0,BA$135*INDEX(energiedragers_fPren,MATCH(BA$132,energiedragers_namen,0)))</f>
        <v>0</v>
      </c>
      <c r="BB212" s="335"/>
      <c r="BC212" s="335"/>
      <c r="BD212" s="335"/>
      <c r="BE212" s="335"/>
      <c r="BF212" s="335"/>
      <c r="BG212" s="335"/>
      <c r="BH212" s="255"/>
    </row>
    <row r="213" spans="1:60" x14ac:dyDescent="0.2">
      <c r="A213" s="648"/>
      <c r="B213" s="492" t="s">
        <v>289</v>
      </c>
      <c r="C213" s="656" t="s">
        <v>113</v>
      </c>
      <c r="D213" s="750" t="s">
        <v>50</v>
      </c>
      <c r="E213" s="220" t="s">
        <v>296</v>
      </c>
      <c r="F213" s="220"/>
      <c r="G213" s="220"/>
      <c r="H213" s="242" t="s">
        <v>177</v>
      </c>
      <c r="I213" s="129"/>
      <c r="J213" s="243">
        <f t="shared" si="134"/>
        <v>0</v>
      </c>
      <c r="K213" s="236"/>
      <c r="L213" s="236"/>
      <c r="M213" s="243">
        <f t="shared" si="135"/>
        <v>0</v>
      </c>
      <c r="N213" s="129"/>
      <c r="O213" s="335"/>
      <c r="P213" s="207">
        <f>IF(OR(P$107=0,LEFT(P$103,2)&lt;&gt;"dx"),0,P$107*INDEX(energiedragers_fPren,MATCH(P$102,energiedragers_namen,0))+
IF(OR(P$135=0,LEFT(P$133,2)&lt;&gt;"dx"),0,P$135*INDEX(energiedragers_fPren,MATCH(P$132,energiedragers_namen,0))))</f>
        <v>0</v>
      </c>
      <c r="Q213" s="335"/>
      <c r="R213" s="335"/>
      <c r="S213" s="335"/>
      <c r="T213" s="335"/>
      <c r="U213" s="335"/>
      <c r="V213" s="335"/>
      <c r="W213" s="335"/>
      <c r="X213" s="128"/>
      <c r="Y213" s="243">
        <f t="shared" si="136"/>
        <v>0</v>
      </c>
      <c r="Z213" s="129"/>
      <c r="AA213" s="335"/>
      <c r="AB213" s="207">
        <f>IF(OR(AB$107=0,LEFT(AB$103,2)&lt;&gt;"dx"),0,AB$107*INDEX(energiedragers_fPren,MATCH(AB$102,energiedragers_namen,0))+
IF(OR(AB$135=0,LEFT(AB$133,2)&lt;&gt;"dx"),0,AB$135*INDEX(energiedragers_fPren,MATCH(AB$132,energiedragers_namen,0))))</f>
        <v>0</v>
      </c>
      <c r="AC213" s="335"/>
      <c r="AD213" s="335"/>
      <c r="AE213" s="335"/>
      <c r="AF213" s="335"/>
      <c r="AG213" s="335"/>
      <c r="AH213" s="335"/>
      <c r="AI213" s="335"/>
      <c r="AJ213" s="128"/>
      <c r="AK213" s="243">
        <f t="shared" si="137"/>
        <v>0</v>
      </c>
      <c r="AL213" s="129"/>
      <c r="AM213" s="335"/>
      <c r="AN213" s="207">
        <f>IF(OR(AN$107=0,LEFT(AN$103,2)&lt;&gt;"dx"),0,AN$107*INDEX(energiedragers_fPren,MATCH(AN$102,energiedragers_namen,0))+
IF(OR(AN$135=0,LEFT(AN$133,2)&lt;&gt;"dx"),0,AN$135*INDEX(energiedragers_fPren,MATCH(AN$132,energiedragers_namen,0))))</f>
        <v>0</v>
      </c>
      <c r="AO213" s="335"/>
      <c r="AP213" s="335"/>
      <c r="AQ213" s="335"/>
      <c r="AR213" s="335"/>
      <c r="AS213" s="335"/>
      <c r="AT213" s="335"/>
      <c r="AU213" s="335"/>
      <c r="AV213" s="128"/>
      <c r="AW213" s="243">
        <f t="shared" si="138"/>
        <v>0</v>
      </c>
      <c r="AX213" s="129"/>
      <c r="AY213" s="335"/>
      <c r="AZ213" s="207">
        <f>IF(OR(AZ$107=0,LEFT(AZ$103,2)&lt;&gt;"dx"),0,AZ$107*INDEX(energiedragers_fPren,MATCH(AZ$102,energiedragers_namen,0))+
IF(OR(AZ$135=0,LEFT(AZ$133,2)&lt;&gt;"dx"),0,AZ$135*INDEX(energiedragers_fPren,MATCH(AZ$132,energiedragers_namen,0))))</f>
        <v>0</v>
      </c>
      <c r="BA213" s="335"/>
      <c r="BB213" s="335"/>
      <c r="BC213" s="335"/>
      <c r="BD213" s="335"/>
      <c r="BE213" s="335"/>
      <c r="BF213" s="335"/>
      <c r="BG213" s="335"/>
      <c r="BH213" s="255"/>
    </row>
    <row r="214" spans="1:60" x14ac:dyDescent="0.2">
      <c r="A214" s="648"/>
      <c r="B214" s="492" t="s">
        <v>289</v>
      </c>
      <c r="C214" s="656" t="s">
        <v>113</v>
      </c>
      <c r="D214" s="750" t="s">
        <v>50</v>
      </c>
      <c r="E214" s="220" t="s">
        <v>297</v>
      </c>
      <c r="F214" s="220"/>
      <c r="G214" s="220"/>
      <c r="H214" s="242" t="s">
        <v>177</v>
      </c>
      <c r="I214" s="129"/>
      <c r="J214" s="243">
        <f t="shared" si="134"/>
        <v>0</v>
      </c>
      <c r="K214" s="236"/>
      <c r="L214" s="236"/>
      <c r="M214" s="243">
        <f t="shared" si="135"/>
        <v>0</v>
      </c>
      <c r="N214" s="129"/>
      <c r="O214" s="207">
        <f>O$88*f_P_renheat</f>
        <v>0</v>
      </c>
      <c r="P214" s="335"/>
      <c r="Q214" s="207">
        <f>Q$88*f_P_renheat</f>
        <v>0</v>
      </c>
      <c r="R214" s="335"/>
      <c r="S214" s="335"/>
      <c r="T214" s="335"/>
      <c r="U214" s="335"/>
      <c r="V214" s="335"/>
      <c r="W214" s="335"/>
      <c r="X214" s="122"/>
      <c r="Y214" s="243">
        <f t="shared" si="136"/>
        <v>0</v>
      </c>
      <c r="Z214" s="129"/>
      <c r="AA214" s="207">
        <f>AA$88*f_P_renheat</f>
        <v>0</v>
      </c>
      <c r="AB214" s="335"/>
      <c r="AC214" s="207">
        <f>AC$88*f_P_renheat</f>
        <v>0</v>
      </c>
      <c r="AD214" s="335"/>
      <c r="AE214" s="335"/>
      <c r="AF214" s="335"/>
      <c r="AG214" s="335"/>
      <c r="AH214" s="335"/>
      <c r="AI214" s="335"/>
      <c r="AJ214" s="122"/>
      <c r="AK214" s="243">
        <f t="shared" si="137"/>
        <v>0</v>
      </c>
      <c r="AL214" s="129"/>
      <c r="AM214" s="207">
        <f>AM$88*f_P_renheat</f>
        <v>0</v>
      </c>
      <c r="AN214" s="335"/>
      <c r="AO214" s="207">
        <f>AO$88*f_P_renheat</f>
        <v>0</v>
      </c>
      <c r="AP214" s="335"/>
      <c r="AQ214" s="335"/>
      <c r="AR214" s="335"/>
      <c r="AS214" s="335"/>
      <c r="AT214" s="335"/>
      <c r="AU214" s="335"/>
      <c r="AV214" s="122"/>
      <c r="AW214" s="243">
        <f t="shared" si="138"/>
        <v>0</v>
      </c>
      <c r="AX214" s="129"/>
      <c r="AY214" s="207">
        <f>AY$88*f_P_renheat</f>
        <v>0</v>
      </c>
      <c r="AZ214" s="335"/>
      <c r="BA214" s="207">
        <f>BA$88*f_P_renheat</f>
        <v>0</v>
      </c>
      <c r="BB214" s="335"/>
      <c r="BC214" s="335"/>
      <c r="BD214" s="335"/>
      <c r="BE214" s="335"/>
      <c r="BF214" s="335"/>
      <c r="BG214" s="335"/>
      <c r="BH214" s="214"/>
    </row>
    <row r="215" spans="1:60" x14ac:dyDescent="0.2">
      <c r="A215" s="648"/>
      <c r="B215" s="492" t="s">
        <v>289</v>
      </c>
      <c r="C215" s="656" t="s">
        <v>113</v>
      </c>
      <c r="D215" s="750" t="s">
        <v>50</v>
      </c>
      <c r="E215" s="220" t="s">
        <v>298</v>
      </c>
      <c r="F215" s="220"/>
      <c r="G215" s="220"/>
      <c r="H215" s="242" t="s">
        <v>177</v>
      </c>
      <c r="I215" s="129"/>
      <c r="J215" s="243">
        <f t="shared" si="134"/>
        <v>0</v>
      </c>
      <c r="K215" s="236"/>
      <c r="L215" s="236"/>
      <c r="M215" s="243">
        <f t="shared" si="135"/>
        <v>0</v>
      </c>
      <c r="N215" s="129"/>
      <c r="O215" s="335"/>
      <c r="P215" s="335"/>
      <c r="Q215" s="335"/>
      <c r="R215" s="335"/>
      <c r="S215" s="335"/>
      <c r="T215" s="335"/>
      <c r="U215" s="335"/>
      <c r="V215" s="335"/>
      <c r="W215" s="207">
        <f>M70*f_P_renelect</f>
        <v>0</v>
      </c>
      <c r="X215" s="128"/>
      <c r="Y215" s="243">
        <f t="shared" si="136"/>
        <v>0</v>
      </c>
      <c r="Z215" s="129"/>
      <c r="AA215" s="335"/>
      <c r="AB215" s="335"/>
      <c r="AC215" s="335"/>
      <c r="AD215" s="335"/>
      <c r="AE215" s="335"/>
      <c r="AF215" s="335"/>
      <c r="AG215" s="335"/>
      <c r="AH215" s="335"/>
      <c r="AI215" s="207">
        <f>Y70*f_P_renelect</f>
        <v>0</v>
      </c>
      <c r="AJ215" s="128"/>
      <c r="AK215" s="243">
        <f t="shared" si="137"/>
        <v>0</v>
      </c>
      <c r="AL215" s="129"/>
      <c r="AM215" s="335"/>
      <c r="AN215" s="335"/>
      <c r="AO215" s="335"/>
      <c r="AP215" s="335"/>
      <c r="AQ215" s="335"/>
      <c r="AR215" s="335"/>
      <c r="AS215" s="335"/>
      <c r="AT215" s="335"/>
      <c r="AU215" s="207">
        <f>AK70*f_P_renelect</f>
        <v>0</v>
      </c>
      <c r="AV215" s="128"/>
      <c r="AW215" s="243">
        <f t="shared" si="138"/>
        <v>0</v>
      </c>
      <c r="AX215" s="129"/>
      <c r="AY215" s="335"/>
      <c r="AZ215" s="335"/>
      <c r="BA215" s="335"/>
      <c r="BB215" s="335"/>
      <c r="BC215" s="335"/>
      <c r="BD215" s="335"/>
      <c r="BE215" s="335"/>
      <c r="BF215" s="335"/>
      <c r="BG215" s="207">
        <f>AW70*f_P_renelect</f>
        <v>0</v>
      </c>
      <c r="BH215" s="255"/>
    </row>
    <row r="216" spans="1:60" x14ac:dyDescent="0.2">
      <c r="A216" s="648"/>
      <c r="B216" s="492" t="s">
        <v>289</v>
      </c>
      <c r="C216" s="656" t="s">
        <v>113</v>
      </c>
      <c r="D216" s="747"/>
      <c r="E216" s="220" t="s">
        <v>258</v>
      </c>
      <c r="F216" s="220"/>
      <c r="G216" s="220"/>
      <c r="H216" s="242" t="s">
        <v>177</v>
      </c>
      <c r="I216" s="129"/>
      <c r="J216" s="243">
        <f>SUM(J209:J215)</f>
        <v>0</v>
      </c>
      <c r="K216" s="236"/>
      <c r="L216" s="236"/>
      <c r="M216" s="243">
        <f>SUM(M209:M215)</f>
        <v>0</v>
      </c>
      <c r="N216" s="129"/>
      <c r="O216" s="207">
        <f t="shared" ref="O216:W216" si="139">SUM(O209:O215)</f>
        <v>0</v>
      </c>
      <c r="P216" s="207">
        <f t="shared" si="139"/>
        <v>0</v>
      </c>
      <c r="Q216" s="207">
        <f t="shared" si="139"/>
        <v>0</v>
      </c>
      <c r="R216" s="335"/>
      <c r="S216" s="335"/>
      <c r="T216" s="335"/>
      <c r="U216" s="335"/>
      <c r="V216" s="335"/>
      <c r="W216" s="207">
        <f t="shared" si="139"/>
        <v>0</v>
      </c>
      <c r="X216" s="128"/>
      <c r="Y216" s="243">
        <f>SUM(Y209:Y215)</f>
        <v>0</v>
      </c>
      <c r="Z216" s="129"/>
      <c r="AA216" s="207">
        <f>SUM(AA209:AA215)</f>
        <v>0</v>
      </c>
      <c r="AB216" s="207">
        <f>SUM(AB209:AB215)</f>
        <v>0</v>
      </c>
      <c r="AC216" s="207">
        <f>SUM(AC209:AC215)</f>
        <v>0</v>
      </c>
      <c r="AD216" s="335"/>
      <c r="AE216" s="335"/>
      <c r="AF216" s="335"/>
      <c r="AG216" s="335"/>
      <c r="AH216" s="335"/>
      <c r="AI216" s="207">
        <f>SUM(AI209:AI215)</f>
        <v>0</v>
      </c>
      <c r="AJ216" s="128"/>
      <c r="AK216" s="243">
        <f>SUM(AK209:AK215)</f>
        <v>0</v>
      </c>
      <c r="AL216" s="129"/>
      <c r="AM216" s="207">
        <f>SUM(AM209:AM215)</f>
        <v>0</v>
      </c>
      <c r="AN216" s="207">
        <f>SUM(AN209:AN215)</f>
        <v>0</v>
      </c>
      <c r="AO216" s="207">
        <f>SUM(AO209:AO215)</f>
        <v>0</v>
      </c>
      <c r="AP216" s="335"/>
      <c r="AQ216" s="335"/>
      <c r="AR216" s="335"/>
      <c r="AS216" s="335"/>
      <c r="AT216" s="335"/>
      <c r="AU216" s="207">
        <f>SUM(AU209:AU215)</f>
        <v>0</v>
      </c>
      <c r="AV216" s="128"/>
      <c r="AW216" s="243">
        <f>SUM(AW209:AW215)</f>
        <v>0</v>
      </c>
      <c r="AX216" s="129"/>
      <c r="AY216" s="207">
        <f>SUM(AY209:AY215)</f>
        <v>0</v>
      </c>
      <c r="AZ216" s="207">
        <f>SUM(AZ209:AZ215)</f>
        <v>0</v>
      </c>
      <c r="BA216" s="207">
        <f>SUM(BA209:BA215)</f>
        <v>0</v>
      </c>
      <c r="BB216" s="335"/>
      <c r="BC216" s="335"/>
      <c r="BD216" s="335"/>
      <c r="BE216" s="335"/>
      <c r="BF216" s="335"/>
      <c r="BG216" s="207">
        <f>SUM(BG209:BG215)</f>
        <v>0</v>
      </c>
      <c r="BH216" s="255"/>
    </row>
    <row r="217" spans="1:60" x14ac:dyDescent="0.2">
      <c r="A217" s="648"/>
      <c r="B217" s="492" t="s">
        <v>289</v>
      </c>
      <c r="C217" s="739" t="s">
        <v>104</v>
      </c>
      <c r="D217" s="747"/>
      <c r="E217" s="90"/>
      <c r="F217" s="90"/>
      <c r="G217" s="90"/>
      <c r="H217" s="96"/>
      <c r="I217" s="90"/>
      <c r="J217" s="93"/>
      <c r="K217" s="90"/>
      <c r="L217" s="90"/>
      <c r="M217" s="93"/>
      <c r="N217" s="90"/>
      <c r="O217" s="93"/>
      <c r="P217" s="93"/>
      <c r="Q217" s="93"/>
      <c r="R217" s="93"/>
      <c r="S217" s="93"/>
      <c r="T217" s="93"/>
      <c r="U217" s="93"/>
      <c r="V217" s="93"/>
      <c r="W217" s="93"/>
      <c r="X217" s="93"/>
      <c r="Y217" s="93"/>
      <c r="Z217" s="90"/>
      <c r="AA217" s="93"/>
      <c r="AB217" s="93"/>
      <c r="AC217" s="93"/>
      <c r="AD217" s="93"/>
      <c r="AE217" s="93"/>
      <c r="AF217" s="93"/>
      <c r="AG217" s="93"/>
      <c r="AH217" s="93"/>
      <c r="AI217" s="93"/>
      <c r="AJ217" s="93"/>
      <c r="AK217" s="93"/>
      <c r="AL217" s="90"/>
      <c r="AM217" s="93"/>
      <c r="AN217" s="93"/>
      <c r="AO217" s="93"/>
      <c r="AP217" s="93"/>
      <c r="AQ217" s="93"/>
      <c r="AR217" s="93"/>
      <c r="AS217" s="93"/>
      <c r="AT217" s="93"/>
      <c r="AU217" s="93"/>
      <c r="AV217" s="93"/>
      <c r="AW217" s="93"/>
      <c r="AX217" s="90"/>
      <c r="AY217" s="93"/>
      <c r="AZ217" s="93"/>
      <c r="BA217" s="93"/>
      <c r="BB217" s="93"/>
      <c r="BC217" s="93"/>
      <c r="BD217" s="93"/>
      <c r="BE217" s="93"/>
      <c r="BF217" s="93"/>
      <c r="BG217" s="93"/>
      <c r="BH217" s="1"/>
    </row>
    <row r="218" spans="1:60" x14ac:dyDescent="0.2">
      <c r="A218" s="648"/>
      <c r="B218" s="492" t="s">
        <v>299</v>
      </c>
      <c r="C218" s="656" t="s">
        <v>104</v>
      </c>
      <c r="D218" s="747"/>
      <c r="E218" s="275"/>
      <c r="F218" s="90"/>
      <c r="G218" s="90"/>
      <c r="H218" s="96"/>
      <c r="I218" s="138"/>
      <c r="J218" s="93"/>
      <c r="K218" s="90"/>
      <c r="L218" s="90"/>
      <c r="M218" s="93"/>
      <c r="N218" s="90"/>
      <c r="O218" s="96"/>
      <c r="P218" s="96"/>
      <c r="Q218" s="93"/>
      <c r="R218" s="93"/>
      <c r="S218" s="93"/>
      <c r="T218" s="93"/>
      <c r="U218" s="93"/>
      <c r="V218" s="93"/>
      <c r="W218" s="93"/>
      <c r="X218" s="93"/>
      <c r="Y218" s="93"/>
      <c r="Z218" s="90"/>
      <c r="AA218" s="96"/>
      <c r="AB218" s="96"/>
      <c r="AC218" s="93"/>
      <c r="AD218" s="93"/>
      <c r="AE218" s="93"/>
      <c r="AF218" s="93"/>
      <c r="AG218" s="93"/>
      <c r="AH218" s="93"/>
      <c r="AI218" s="93"/>
      <c r="AJ218" s="93"/>
      <c r="AK218" s="93"/>
      <c r="AL218" s="90"/>
      <c r="AM218" s="96"/>
      <c r="AN218" s="96"/>
      <c r="AO218" s="93"/>
      <c r="AP218" s="93"/>
      <c r="AQ218" s="93"/>
      <c r="AR218" s="93"/>
      <c r="AS218" s="93"/>
      <c r="AT218" s="93"/>
      <c r="AU218" s="93"/>
      <c r="AV218" s="93"/>
      <c r="AW218" s="93"/>
      <c r="AX218" s="90"/>
      <c r="AY218" s="128"/>
      <c r="AZ218" s="93"/>
      <c r="BA218" s="93"/>
      <c r="BB218" s="93"/>
      <c r="BC218" s="93"/>
      <c r="BD218" s="93"/>
      <c r="BE218" s="93"/>
      <c r="BF218" s="93"/>
      <c r="BG218" s="93"/>
      <c r="BH218" s="1"/>
    </row>
    <row r="219" spans="1:60" ht="21" x14ac:dyDescent="0.2">
      <c r="A219" s="648"/>
      <c r="B219" s="492" t="s">
        <v>299</v>
      </c>
      <c r="C219" s="739" t="s">
        <v>104</v>
      </c>
      <c r="D219" s="752"/>
      <c r="E219" s="215" t="s">
        <v>300</v>
      </c>
      <c r="F219" s="240"/>
      <c r="G219" s="240"/>
      <c r="H219" s="240"/>
      <c r="I219" s="88"/>
      <c r="J219" s="241" t="str">
        <f>J$10</f>
        <v>totaal</v>
      </c>
      <c r="K219" s="142"/>
      <c r="L219" s="142"/>
      <c r="M219" s="216" t="str">
        <f>M$10</f>
        <v>totaal</v>
      </c>
      <c r="N219" s="222"/>
      <c r="O219" s="217" t="str">
        <f t="shared" ref="O219:W219" si="140">O$10</f>
        <v>verwarming</v>
      </c>
      <c r="P219" s="217" t="str">
        <f t="shared" si="140"/>
        <v>koeling</v>
      </c>
      <c r="Q219" s="217" t="str">
        <f t="shared" si="140"/>
        <v>tapwater</v>
      </c>
      <c r="R219" s="217" t="str">
        <f t="shared" si="140"/>
        <v>verlichting</v>
      </c>
      <c r="S219" s="217" t="str">
        <f t="shared" si="140"/>
        <v>ventilatoren</v>
      </c>
      <c r="T219" s="217" t="str">
        <f t="shared" si="140"/>
        <v>kookgas</v>
      </c>
      <c r="U219" s="217" t="str">
        <f t="shared" si="140"/>
        <v>overig elektra</v>
      </c>
      <c r="V219" s="217" t="str">
        <f t="shared" si="140"/>
        <v>mobiliteit</v>
      </c>
      <c r="W219" s="217" t="str">
        <f t="shared" si="140"/>
        <v>zonnepanelen</v>
      </c>
      <c r="X219" s="214"/>
      <c r="Y219" s="216" t="str">
        <f>Y$10</f>
        <v>totaal</v>
      </c>
      <c r="Z219" s="222"/>
      <c r="AA219" s="217" t="str">
        <f t="shared" ref="AA219:AI219" si="141">AA$10</f>
        <v>verwarming</v>
      </c>
      <c r="AB219" s="217" t="str">
        <f t="shared" si="141"/>
        <v>koeling</v>
      </c>
      <c r="AC219" s="217" t="str">
        <f t="shared" si="141"/>
        <v>tapwater</v>
      </c>
      <c r="AD219" s="217" t="str">
        <f t="shared" si="141"/>
        <v>verlichting</v>
      </c>
      <c r="AE219" s="217" t="str">
        <f t="shared" si="141"/>
        <v>ventilatoren</v>
      </c>
      <c r="AF219" s="217" t="str">
        <f t="shared" si="141"/>
        <v>kookgas</v>
      </c>
      <c r="AG219" s="217" t="str">
        <f t="shared" si="141"/>
        <v>overig elektra</v>
      </c>
      <c r="AH219" s="217" t="str">
        <f t="shared" si="141"/>
        <v>mobiliteit</v>
      </c>
      <c r="AI219" s="217" t="str">
        <f t="shared" si="141"/>
        <v>zonnepanelen</v>
      </c>
      <c r="AJ219" s="214"/>
      <c r="AK219" s="216" t="str">
        <f>AK$10</f>
        <v>totaal</v>
      </c>
      <c r="AL219" s="222"/>
      <c r="AM219" s="217" t="str">
        <f t="shared" ref="AM219:AU219" si="142">AM$10</f>
        <v>verwarming</v>
      </c>
      <c r="AN219" s="217" t="str">
        <f t="shared" si="142"/>
        <v>koeling</v>
      </c>
      <c r="AO219" s="217" t="str">
        <f t="shared" si="142"/>
        <v>tapwater</v>
      </c>
      <c r="AP219" s="217" t="str">
        <f t="shared" si="142"/>
        <v>verlichting</v>
      </c>
      <c r="AQ219" s="217" t="str">
        <f t="shared" si="142"/>
        <v>ventilatoren</v>
      </c>
      <c r="AR219" s="217" t="str">
        <f t="shared" si="142"/>
        <v>kookgas</v>
      </c>
      <c r="AS219" s="217" t="str">
        <f t="shared" si="142"/>
        <v>overig elektra</v>
      </c>
      <c r="AT219" s="217" t="str">
        <f t="shared" si="142"/>
        <v>mobiliteit</v>
      </c>
      <c r="AU219" s="217" t="str">
        <f t="shared" si="142"/>
        <v>zonnepanelen</v>
      </c>
      <c r="AV219" s="214"/>
      <c r="AW219" s="216" t="str">
        <f>AW$10</f>
        <v>totaal</v>
      </c>
      <c r="AX219" s="222"/>
      <c r="AY219" s="217" t="str">
        <f t="shared" ref="AY219:BG219" si="143">AY$10</f>
        <v>verwarming</v>
      </c>
      <c r="AZ219" s="217" t="str">
        <f t="shared" si="143"/>
        <v>koeling</v>
      </c>
      <c r="BA219" s="217" t="str">
        <f t="shared" si="143"/>
        <v>tapwater</v>
      </c>
      <c r="BB219" s="217" t="str">
        <f t="shared" si="143"/>
        <v>verlichting</v>
      </c>
      <c r="BC219" s="217" t="str">
        <f t="shared" si="143"/>
        <v>ventilatoren</v>
      </c>
      <c r="BD219" s="217" t="str">
        <f t="shared" si="143"/>
        <v>kookgas</v>
      </c>
      <c r="BE219" s="217" t="str">
        <f t="shared" si="143"/>
        <v>overig elektra</v>
      </c>
      <c r="BF219" s="217" t="str">
        <f t="shared" si="143"/>
        <v>mobiliteit</v>
      </c>
      <c r="BG219" s="217" t="str">
        <f t="shared" si="143"/>
        <v>zonnepanelen</v>
      </c>
      <c r="BH219" s="1"/>
    </row>
    <row r="220" spans="1:60" ht="18.75" x14ac:dyDescent="0.2">
      <c r="A220" s="648"/>
      <c r="B220" s="492" t="s">
        <v>299</v>
      </c>
      <c r="C220" s="739" t="s">
        <v>104</v>
      </c>
      <c r="D220" s="747"/>
      <c r="E220" s="231" t="s">
        <v>301</v>
      </c>
      <c r="F220" s="231"/>
      <c r="G220" s="231"/>
      <c r="H220" s="89"/>
      <c r="I220" s="232"/>
      <c r="J220" s="231"/>
      <c r="K220" s="232"/>
      <c r="L220" s="232"/>
      <c r="M220" s="231"/>
      <c r="N220" s="232"/>
      <c r="O220" s="285"/>
      <c r="P220" s="285"/>
      <c r="Q220" s="232"/>
      <c r="R220" s="232"/>
      <c r="S220" s="232"/>
      <c r="T220" s="232"/>
      <c r="U220" s="232"/>
      <c r="V220" s="232"/>
      <c r="W220" s="232"/>
      <c r="X220" s="232"/>
      <c r="Y220" s="232"/>
      <c r="Z220" s="232"/>
      <c r="AA220" s="232"/>
      <c r="AB220" s="232"/>
      <c r="AC220" s="232"/>
      <c r="AD220" s="232"/>
      <c r="AE220" s="232"/>
      <c r="AF220" s="232"/>
      <c r="AG220" s="232"/>
      <c r="AH220" s="232"/>
      <c r="AI220" s="232"/>
      <c r="AJ220" s="232"/>
      <c r="AK220" s="232"/>
      <c r="AL220" s="232"/>
      <c r="AM220" s="232"/>
      <c r="AN220" s="232"/>
      <c r="AO220" s="232"/>
      <c r="AP220" s="232"/>
      <c r="AQ220" s="232"/>
      <c r="AR220" s="232"/>
      <c r="AS220" s="232"/>
      <c r="AT220" s="232"/>
      <c r="AU220" s="232"/>
      <c r="AV220" s="232"/>
      <c r="AW220" s="232"/>
      <c r="AX220" s="232"/>
      <c r="AY220" s="232"/>
      <c r="AZ220" s="232"/>
      <c r="BA220" s="232"/>
      <c r="BB220" s="232"/>
      <c r="BC220" s="232"/>
      <c r="BD220" s="232"/>
      <c r="BE220" s="232"/>
      <c r="BF220" s="232"/>
      <c r="BG220" s="232"/>
      <c r="BH220" s="38"/>
    </row>
    <row r="221" spans="1:60" x14ac:dyDescent="0.2">
      <c r="A221" s="648"/>
      <c r="B221" s="492" t="s">
        <v>299</v>
      </c>
      <c r="C221" s="656" t="s">
        <v>113</v>
      </c>
      <c r="D221" s="747"/>
      <c r="E221" s="220" t="s">
        <v>302</v>
      </c>
      <c r="F221" s="220"/>
      <c r="G221" s="220"/>
      <c r="H221" s="242" t="s">
        <v>70</v>
      </c>
      <c r="I221" s="129"/>
      <c r="J221" s="271"/>
      <c r="K221" s="279"/>
      <c r="L221" s="279"/>
      <c r="M221" s="243" t="str">
        <f>CONCATENATE(O221,"/",Q221)</f>
        <v>gebouw/gebouw</v>
      </c>
      <c r="N221" s="100"/>
      <c r="O221" s="207" t="str">
        <f>IF(O80=geen,"-",O81)</f>
        <v>gebouw</v>
      </c>
      <c r="P221" s="207" t="str">
        <f>IF(P80=geen,"-",P81)</f>
        <v>-</v>
      </c>
      <c r="Q221" s="207" t="str">
        <f>IF(Q80=geen,"-",Q81)</f>
        <v>gebouw</v>
      </c>
      <c r="R221" s="335"/>
      <c r="S221" s="335"/>
      <c r="T221" s="335"/>
      <c r="U221" s="335"/>
      <c r="V221" s="335"/>
      <c r="W221" s="335"/>
      <c r="X221" s="128"/>
      <c r="Y221" s="243" t="str">
        <f>CONCATENATE(AA221,"/",AC221)</f>
        <v>gebouw/gebouw</v>
      </c>
      <c r="Z221" s="100"/>
      <c r="AA221" s="207" t="str">
        <f>IF(AA80=geen,"-",AA81)</f>
        <v>gebouw</v>
      </c>
      <c r="AB221" s="207" t="str">
        <f>IF(AB80=geen,"-",AB81)</f>
        <v>-</v>
      </c>
      <c r="AC221" s="207" t="str">
        <f>IF(AC80=geen,"-",AC81)</f>
        <v>gebouw</v>
      </c>
      <c r="AD221" s="335"/>
      <c r="AE221" s="335"/>
      <c r="AF221" s="335"/>
      <c r="AG221" s="335"/>
      <c r="AH221" s="335"/>
      <c r="AI221" s="335"/>
      <c r="AJ221" s="128"/>
      <c r="AK221" s="243" t="str">
        <f>CONCATENATE(AM221,"/",AO221)</f>
        <v>gebouw/gebouw</v>
      </c>
      <c r="AL221" s="100"/>
      <c r="AM221" s="207" t="str">
        <f>IF(AM80=geen,"-",AM81)</f>
        <v>gebouw</v>
      </c>
      <c r="AN221" s="207" t="str">
        <f>IF(AN80=geen,"-",AN81)</f>
        <v>-</v>
      </c>
      <c r="AO221" s="207" t="str">
        <f>IF(AO80=geen,"-",AO81)</f>
        <v>gebouw</v>
      </c>
      <c r="AP221" s="335"/>
      <c r="AQ221" s="335"/>
      <c r="AR221" s="335"/>
      <c r="AS221" s="335"/>
      <c r="AT221" s="335"/>
      <c r="AU221" s="335"/>
      <c r="AV221" s="128"/>
      <c r="AW221" s="243" t="str">
        <f>CONCATENATE(AY221,"/",BA221)</f>
        <v>gebouw/gebouw</v>
      </c>
      <c r="AX221" s="100"/>
      <c r="AY221" s="207" t="str">
        <f>IF(AY80=geen,"-",AY81)</f>
        <v>gebouw</v>
      </c>
      <c r="AZ221" s="207" t="str">
        <f>IF(AZ80=geen,"-",AZ81)</f>
        <v>-</v>
      </c>
      <c r="BA221" s="207" t="str">
        <f>IF(BA80=geen,"-",BA81)</f>
        <v>gebouw</v>
      </c>
      <c r="BB221" s="207"/>
      <c r="BC221" s="335"/>
      <c r="BD221" s="335"/>
      <c r="BE221" s="335"/>
      <c r="BF221" s="335"/>
      <c r="BG221" s="335"/>
      <c r="BH221" s="255"/>
    </row>
    <row r="222" spans="1:60" x14ac:dyDescent="0.2">
      <c r="A222" s="648"/>
      <c r="B222" s="492" t="s">
        <v>299</v>
      </c>
      <c r="C222" s="656" t="s">
        <v>113</v>
      </c>
      <c r="D222" s="747"/>
      <c r="E222" s="220" t="s">
        <v>222</v>
      </c>
      <c r="F222" s="220"/>
      <c r="G222" s="220"/>
      <c r="H222" s="242" t="s">
        <v>70</v>
      </c>
      <c r="I222" s="129"/>
      <c r="J222" s="271"/>
      <c r="K222" s="277"/>
      <c r="L222" s="277"/>
      <c r="M222" s="271" t="str">
        <f>IF(SUM(O222:Q222)=0,"",((O$221&lt;&gt;gebouw)*(O$117+O$142+O$159-O$177) + (P$221&lt;&gt;gebouw)*(P$117+P$142+P$159-P$177) + (Q$221&lt;&gt;gebouw)*(Q$117+Q$142+Q$159-Q$177) )/  ((O$221&lt;&gt;gebouw)*O$75 + AND(P$221&lt;&gt;gebouw,P$221&lt;&gt;"-")*P$75 + (Q$221&lt;&gt;gebouw)*Q$75) )</f>
        <v/>
      </c>
      <c r="N222" s="278"/>
      <c r="O222" s="272" t="str">
        <f>IF(OR(O$204=0,O$221=gebouw),"-",(O$117+O$142+O$159-O$177)/O$75)</f>
        <v>-</v>
      </c>
      <c r="P222" s="272" t="str">
        <f>IF(OR(P$204=0,P$221=gebouw),"-",(P$117+P$142+P$159-P$177)/P$75)</f>
        <v>-</v>
      </c>
      <c r="Q222" s="272" t="str">
        <f>IF(OR(Q$204=0,Q$221=gebouw),"-",(Q$117+Q$142+Q$159-Q$177)/Q$75)</f>
        <v>-</v>
      </c>
      <c r="R222" s="336"/>
      <c r="S222" s="336"/>
      <c r="T222" s="336"/>
      <c r="U222" s="336"/>
      <c r="V222" s="336"/>
      <c r="W222" s="336"/>
      <c r="X222" s="139"/>
      <c r="Y222" s="271" t="str">
        <f>IF(SUM(AA222:AC222)=0,"",((AA$221&lt;&gt;gebouw)*(AA$117+AA$142+AA$159-AA$177) + (AB$221&lt;&gt;gebouw)*(AB$117+AB$142+AB$159-AB$177) + (AC$221&lt;&gt;gebouw)*(AC$117+AC$142+AC$159-AC$177) )/  ((AA$221&lt;&gt;gebouw)*AA$75 + AND(AB$221&lt;&gt;gebouw,AB$221&lt;&gt;"-")*AB$75 + (AC$221&lt;&gt;gebouw)*AC$75) )</f>
        <v/>
      </c>
      <c r="Z222" s="278"/>
      <c r="AA222" s="272" t="str">
        <f>IF(OR(AA$204=0,AA$221=gebouw),"-",(AA$117+AA$142+AA$159-AA$177)/AA$75)</f>
        <v>-</v>
      </c>
      <c r="AB222" s="272" t="str">
        <f>IF(OR(AB$204=0,AB$221=gebouw),"-",(AB$117+AB$142+AB$159-AB$177)/AB$75)</f>
        <v>-</v>
      </c>
      <c r="AC222" s="272" t="str">
        <f>IF(OR(AC$204=0,AC$221=gebouw),"-",(AC$117+AC$142+AC$159-AC$177)/AC$75)</f>
        <v>-</v>
      </c>
      <c r="AD222" s="336"/>
      <c r="AE222" s="336"/>
      <c r="AF222" s="336"/>
      <c r="AG222" s="336"/>
      <c r="AH222" s="336"/>
      <c r="AI222" s="336"/>
      <c r="AJ222" s="139"/>
      <c r="AK222" s="271" t="str">
        <f>IF(SUM(AM222:AO222)=0,"",((AM$221&lt;&gt;gebouw)*(AM$117+AM$142+AM$159-AM$177) + (AN$221&lt;&gt;gebouw)*(AN$117+AN$142+AN$159-AN$177) + (AO$221&lt;&gt;gebouw)*(AO$117+AO$142+AO$159-AO$177) )/  ((AM$221&lt;&gt;gebouw)*AM$75 + AND(AN$221&lt;&gt;gebouw,AN$221&lt;&gt;"-")*AN$75 + (AO$221&lt;&gt;gebouw)*AO$75) )</f>
        <v/>
      </c>
      <c r="AL222" s="278"/>
      <c r="AM222" s="272" t="str">
        <f>IF(OR(AM$204=0,AM$221=gebouw),"-",(AM$117+AM$142+AM$159-AM$177)/AM$75)</f>
        <v>-</v>
      </c>
      <c r="AN222" s="272" t="str">
        <f>IF(OR(AN$204=0,AN$221=gebouw),"-",(AN$117+AN$142+AN$159-AN$177)/AN$75)</f>
        <v>-</v>
      </c>
      <c r="AO222" s="272" t="str">
        <f>IF(OR(AO$204=0,AO$221=gebouw),"-",(AO$117+AO$142+AO$159-AO$177)/AO$75)</f>
        <v>-</v>
      </c>
      <c r="AP222" s="336"/>
      <c r="AQ222" s="336"/>
      <c r="AR222" s="336"/>
      <c r="AS222" s="336"/>
      <c r="AT222" s="336"/>
      <c r="AU222" s="336"/>
      <c r="AV222" s="139"/>
      <c r="AW222" s="271" t="str">
        <f>IF(SUM(AY222:BA222)=0,"",((AY$221&lt;&gt;gebouw)*(AY$117+AY$142+AY$159-AY$177) + (AZ$221&lt;&gt;gebouw)*(AZ$117+AZ$142+AZ$159-AZ$177) + (BA$221&lt;&gt;gebouw)*(BA$117+BA$142+BA$159-BA$177) )/  ((AY$221&lt;&gt;gebouw)*AY$75 + AND(AZ$221&lt;&gt;gebouw,AZ$221&lt;&gt;"-")*AZ$75 + (BA$221&lt;&gt;gebouw)*BA$75) )</f>
        <v/>
      </c>
      <c r="AX222" s="278"/>
      <c r="AY222" s="272" t="str">
        <f>IF(OR(AY$204=0,AY$221=gebouw),"-",(AY$117+AY$142+AY$159-AY$177)/AY$75)</f>
        <v>-</v>
      </c>
      <c r="AZ222" s="272" t="str">
        <f>IF(OR(AZ$204=0,AZ$221=gebouw),"-",(AZ$117+AZ$142+AZ$159-AZ$177)/AZ$75)</f>
        <v>-</v>
      </c>
      <c r="BA222" s="272" t="str">
        <f>IF(OR(BA$204=0,BA$221=gebouw),"-",(BA$117+BA$142+BA$159-BA$177)/BA$75)</f>
        <v>-</v>
      </c>
      <c r="BB222" s="272"/>
      <c r="BC222" s="336"/>
      <c r="BD222" s="336"/>
      <c r="BE222" s="336"/>
      <c r="BF222" s="336"/>
      <c r="BG222" s="336"/>
      <c r="BH222" s="255"/>
    </row>
    <row r="223" spans="1:60" x14ac:dyDescent="0.2">
      <c r="A223" s="648"/>
      <c r="B223" s="492" t="s">
        <v>299</v>
      </c>
      <c r="C223" s="739" t="s">
        <v>104</v>
      </c>
      <c r="D223" s="747"/>
      <c r="E223" s="90"/>
      <c r="F223" s="90"/>
      <c r="G223" s="90"/>
      <c r="H223" s="96"/>
      <c r="I223" s="90"/>
      <c r="J223" s="93"/>
      <c r="K223" s="90"/>
      <c r="L223" s="90"/>
      <c r="M223" s="690"/>
      <c r="N223" s="90"/>
      <c r="O223" s="93"/>
      <c r="P223" s="93"/>
      <c r="Q223" s="93"/>
      <c r="R223" s="93"/>
      <c r="S223" s="93"/>
      <c r="T223" s="93"/>
      <c r="U223" s="93"/>
      <c r="V223" s="93"/>
      <c r="W223" s="93"/>
      <c r="X223" s="93"/>
      <c r="Y223" s="139"/>
      <c r="Z223" s="90"/>
      <c r="AA223" s="93"/>
      <c r="AB223" s="93"/>
      <c r="AC223" s="93"/>
      <c r="AD223" s="93"/>
      <c r="AE223" s="93"/>
      <c r="AF223" s="93"/>
      <c r="AG223" s="93"/>
      <c r="AH223" s="93"/>
      <c r="AI223" s="93"/>
      <c r="AJ223" s="93"/>
      <c r="AK223" s="93"/>
      <c r="AL223" s="90"/>
      <c r="AM223" s="93"/>
      <c r="AN223" s="93"/>
      <c r="AO223" s="93"/>
      <c r="AP223" s="93"/>
      <c r="AQ223" s="93"/>
      <c r="AR223" s="93"/>
      <c r="AS223" s="93"/>
      <c r="AT223" s="93"/>
      <c r="AU223" s="93"/>
      <c r="AV223" s="93"/>
      <c r="AW223" s="93"/>
      <c r="AX223" s="90"/>
      <c r="AY223" s="90"/>
      <c r="AZ223" s="93"/>
      <c r="BA223" s="93"/>
      <c r="BB223" s="93"/>
      <c r="BC223" s="93"/>
      <c r="BD223" s="93"/>
      <c r="BE223" s="93"/>
      <c r="BF223" s="93"/>
      <c r="BG223" s="93"/>
      <c r="BH223" s="1"/>
    </row>
    <row r="224" spans="1:60" x14ac:dyDescent="0.2">
      <c r="A224" s="648"/>
      <c r="B224" s="492" t="s">
        <v>303</v>
      </c>
      <c r="C224" s="656" t="s">
        <v>104</v>
      </c>
      <c r="D224" s="747"/>
      <c r="E224" s="90"/>
      <c r="F224" s="90"/>
      <c r="G224" s="90"/>
      <c r="H224" s="96"/>
      <c r="I224" s="90"/>
      <c r="J224" s="93"/>
      <c r="K224" s="90"/>
      <c r="L224" s="90"/>
      <c r="M224" s="93"/>
      <c r="N224" s="90"/>
      <c r="O224" s="93"/>
      <c r="P224" s="93"/>
      <c r="Q224" s="93"/>
      <c r="R224" s="93"/>
      <c r="S224" s="93"/>
      <c r="T224" s="93"/>
      <c r="U224" s="93"/>
      <c r="V224" s="93"/>
      <c r="W224" s="93"/>
      <c r="X224" s="93"/>
      <c r="Y224" s="93"/>
      <c r="Z224" s="90"/>
      <c r="AA224" s="93"/>
      <c r="AB224" s="93"/>
      <c r="AC224" s="93"/>
      <c r="AD224" s="93"/>
      <c r="AE224" s="93"/>
      <c r="AF224" s="93"/>
      <c r="AG224" s="93"/>
      <c r="AH224" s="93"/>
      <c r="AI224" s="93"/>
      <c r="AJ224" s="93"/>
      <c r="AK224" s="93"/>
      <c r="AL224" s="90"/>
      <c r="AM224" s="93"/>
      <c r="AN224" s="93"/>
      <c r="AO224" s="93"/>
      <c r="AP224" s="93"/>
      <c r="AQ224" s="93"/>
      <c r="AR224" s="93"/>
      <c r="AS224" s="93"/>
      <c r="AT224" s="93"/>
      <c r="AU224" s="93"/>
      <c r="AV224" s="93"/>
      <c r="AW224" s="93"/>
      <c r="AX224" s="90"/>
      <c r="AY224" s="93"/>
      <c r="AZ224" s="93"/>
      <c r="BA224" s="93"/>
      <c r="BB224" s="93"/>
      <c r="BC224" s="93"/>
      <c r="BD224" s="93"/>
      <c r="BE224" s="93"/>
      <c r="BF224" s="93"/>
      <c r="BG224" s="93"/>
      <c r="BH224" s="1"/>
    </row>
    <row r="225" spans="1:60" s="2" customFormat="1" ht="21" x14ac:dyDescent="0.2">
      <c r="A225" s="649"/>
      <c r="B225" s="492" t="s">
        <v>303</v>
      </c>
      <c r="C225" s="739" t="s">
        <v>104</v>
      </c>
      <c r="D225" s="749" t="s">
        <v>50</v>
      </c>
      <c r="E225" s="253" t="s">
        <v>304</v>
      </c>
      <c r="F225" s="253"/>
      <c r="G225" s="253"/>
      <c r="H225" s="253"/>
      <c r="I225" s="146"/>
      <c r="J225" s="318"/>
      <c r="K225" s="142"/>
      <c r="L225" s="142"/>
      <c r="M225" s="318"/>
      <c r="N225" s="222"/>
      <c r="O225" s="320" t="str">
        <f t="shared" ref="O225:W225" si="144">O$17</f>
        <v/>
      </c>
      <c r="P225" s="320" t="str">
        <f t="shared" si="144"/>
        <v/>
      </c>
      <c r="Q225" s="320" t="str">
        <f t="shared" si="144"/>
        <v/>
      </c>
      <c r="R225" s="320" t="str">
        <f t="shared" si="144"/>
        <v/>
      </c>
      <c r="S225" s="320" t="str">
        <f t="shared" si="144"/>
        <v/>
      </c>
      <c r="T225" s="320" t="str">
        <f t="shared" si="144"/>
        <v/>
      </c>
      <c r="U225" s="320" t="str">
        <f t="shared" si="144"/>
        <v/>
      </c>
      <c r="V225" s="320" t="str">
        <f t="shared" si="144"/>
        <v/>
      </c>
      <c r="W225" s="320" t="str">
        <f t="shared" si="144"/>
        <v/>
      </c>
      <c r="X225" s="214"/>
      <c r="Y225" s="318"/>
      <c r="Z225" s="222"/>
      <c r="AA225" s="320" t="str">
        <f t="shared" ref="AA225:AI225" si="145">AA$17</f>
        <v/>
      </c>
      <c r="AB225" s="320" t="str">
        <f t="shared" si="145"/>
        <v/>
      </c>
      <c r="AC225" s="320" t="str">
        <f t="shared" si="145"/>
        <v/>
      </c>
      <c r="AD225" s="320" t="str">
        <f t="shared" si="145"/>
        <v/>
      </c>
      <c r="AE225" s="320" t="str">
        <f t="shared" si="145"/>
        <v/>
      </c>
      <c r="AF225" s="320" t="str">
        <f t="shared" si="145"/>
        <v/>
      </c>
      <c r="AG225" s="320" t="str">
        <f t="shared" si="145"/>
        <v/>
      </c>
      <c r="AH225" s="320" t="str">
        <f t="shared" si="145"/>
        <v/>
      </c>
      <c r="AI225" s="320" t="str">
        <f t="shared" si="145"/>
        <v/>
      </c>
      <c r="AJ225" s="214"/>
      <c r="AK225" s="318"/>
      <c r="AL225" s="222"/>
      <c r="AM225" s="320" t="str">
        <f>AM$17</f>
        <v/>
      </c>
      <c r="AN225" s="320" t="str">
        <f t="shared" ref="AN225:AU225" si="146">AN$17</f>
        <v/>
      </c>
      <c r="AO225" s="320" t="str">
        <f t="shared" si="146"/>
        <v/>
      </c>
      <c r="AP225" s="320" t="str">
        <f t="shared" si="146"/>
        <v/>
      </c>
      <c r="AQ225" s="320" t="str">
        <f t="shared" si="146"/>
        <v/>
      </c>
      <c r="AR225" s="320" t="str">
        <f t="shared" si="146"/>
        <v/>
      </c>
      <c r="AS225" s="320" t="str">
        <f t="shared" si="146"/>
        <v/>
      </c>
      <c r="AT225" s="320" t="str">
        <f t="shared" si="146"/>
        <v/>
      </c>
      <c r="AU225" s="320" t="str">
        <f t="shared" si="146"/>
        <v/>
      </c>
      <c r="AV225" s="214"/>
      <c r="AW225" s="318"/>
      <c r="AX225" s="222"/>
      <c r="AY225" s="374" t="str">
        <f>AY$17</f>
        <v/>
      </c>
      <c r="AZ225" s="374" t="str">
        <f t="shared" ref="AZ225:BG225" si="147">AZ$17</f>
        <v/>
      </c>
      <c r="BA225" s="374" t="str">
        <f t="shared" si="147"/>
        <v/>
      </c>
      <c r="BB225" s="374" t="str">
        <f t="shared" si="147"/>
        <v/>
      </c>
      <c r="BC225" s="374" t="str">
        <f t="shared" si="147"/>
        <v/>
      </c>
      <c r="BD225" s="374" t="str">
        <f t="shared" si="147"/>
        <v/>
      </c>
      <c r="BE225" s="374" t="str">
        <f t="shared" si="147"/>
        <v/>
      </c>
      <c r="BF225" s="374" t="str">
        <f t="shared" si="147"/>
        <v/>
      </c>
      <c r="BG225" s="374" t="str">
        <f t="shared" si="147"/>
        <v/>
      </c>
      <c r="BH225" s="1"/>
    </row>
    <row r="226" spans="1:60" ht="18.75" x14ac:dyDescent="0.2">
      <c r="A226" s="648"/>
      <c r="B226" s="492" t="s">
        <v>303</v>
      </c>
      <c r="C226" s="739" t="s">
        <v>104</v>
      </c>
      <c r="D226" s="747"/>
      <c r="E226" s="236" t="s">
        <v>305</v>
      </c>
      <c r="F226" s="236"/>
      <c r="G226" s="236"/>
      <c r="H226" s="89"/>
      <c r="I226" s="236"/>
      <c r="J226" s="236"/>
      <c r="K226" s="236"/>
      <c r="L226" s="236"/>
      <c r="M226" s="236"/>
      <c r="N226" s="236"/>
      <c r="O226" s="236"/>
      <c r="P226" s="236"/>
      <c r="Q226" s="236"/>
      <c r="R226" s="236"/>
      <c r="S226" s="236"/>
      <c r="T226" s="236"/>
      <c r="U226" s="236"/>
      <c r="V226" s="236"/>
      <c r="W226" s="236"/>
      <c r="X226" s="236"/>
      <c r="Y226" s="236"/>
      <c r="Z226" s="236"/>
      <c r="AA226" s="236"/>
      <c r="AB226" s="236"/>
      <c r="AC226" s="236"/>
      <c r="AD226" s="236"/>
      <c r="AE226" s="236"/>
      <c r="AF226" s="236"/>
      <c r="AG226" s="236"/>
      <c r="AH226" s="236"/>
      <c r="AI226" s="236"/>
      <c r="AJ226" s="236"/>
      <c r="AK226" s="236"/>
      <c r="AL226" s="236"/>
      <c r="AM226" s="236"/>
      <c r="AN226" s="236"/>
      <c r="AO226" s="236"/>
      <c r="AP226" s="236"/>
      <c r="AQ226" s="236"/>
      <c r="AR226" s="236"/>
      <c r="AS226" s="236"/>
      <c r="AT226" s="236"/>
      <c r="AU226" s="236"/>
      <c r="AV226" s="236"/>
      <c r="AW226" s="236"/>
      <c r="AX226" s="236"/>
      <c r="AY226" s="236"/>
      <c r="AZ226" s="236"/>
      <c r="BA226" s="236"/>
      <c r="BB226" s="236"/>
      <c r="BC226" s="236"/>
      <c r="BD226" s="236"/>
      <c r="BE226" s="236"/>
      <c r="BF226" s="236"/>
      <c r="BG226" s="236"/>
      <c r="BH226" s="38"/>
    </row>
    <row r="227" spans="1:60" x14ac:dyDescent="0.2">
      <c r="A227" s="648"/>
      <c r="B227" s="492" t="s">
        <v>303</v>
      </c>
      <c r="C227" s="656" t="s">
        <v>113</v>
      </c>
      <c r="D227" s="750"/>
      <c r="E227" s="220" t="s">
        <v>306</v>
      </c>
      <c r="F227" s="220"/>
      <c r="G227" s="220"/>
      <c r="H227" s="242" t="s">
        <v>169</v>
      </c>
      <c r="I227" s="129"/>
      <c r="J227" s="243"/>
      <c r="K227" s="279"/>
      <c r="L227" s="279"/>
      <c r="M227" s="243"/>
      <c r="N227" s="100"/>
      <c r="O227" s="207" t="str">
        <f t="shared" ref="O227:W227" si="148">IF(O$19="","",O60)</f>
        <v/>
      </c>
      <c r="P227" s="207" t="str">
        <f t="shared" si="148"/>
        <v/>
      </c>
      <c r="Q227" s="207" t="str">
        <f t="shared" si="148"/>
        <v/>
      </c>
      <c r="R227" s="207" t="str">
        <f t="shared" si="148"/>
        <v/>
      </c>
      <c r="S227" s="207" t="str">
        <f t="shared" si="148"/>
        <v/>
      </c>
      <c r="T227" s="207" t="str">
        <f t="shared" si="148"/>
        <v/>
      </c>
      <c r="U227" s="207" t="str">
        <f t="shared" si="148"/>
        <v/>
      </c>
      <c r="V227" s="207" t="str">
        <f t="shared" si="148"/>
        <v/>
      </c>
      <c r="W227" s="207" t="str">
        <f t="shared" si="148"/>
        <v/>
      </c>
      <c r="X227" s="128"/>
      <c r="Y227" s="243"/>
      <c r="Z227" s="100"/>
      <c r="AA227" s="207" t="str">
        <f t="shared" ref="AA227:AI227" si="149">IF(AA$19="","",AA60)</f>
        <v/>
      </c>
      <c r="AB227" s="207" t="str">
        <f t="shared" si="149"/>
        <v/>
      </c>
      <c r="AC227" s="207" t="str">
        <f t="shared" si="149"/>
        <v/>
      </c>
      <c r="AD227" s="207" t="str">
        <f t="shared" si="149"/>
        <v/>
      </c>
      <c r="AE227" s="207" t="str">
        <f t="shared" si="149"/>
        <v/>
      </c>
      <c r="AF227" s="207" t="str">
        <f t="shared" si="149"/>
        <v/>
      </c>
      <c r="AG227" s="207" t="str">
        <f t="shared" si="149"/>
        <v/>
      </c>
      <c r="AH227" s="207" t="str">
        <f t="shared" si="149"/>
        <v/>
      </c>
      <c r="AI227" s="207" t="str">
        <f t="shared" si="149"/>
        <v/>
      </c>
      <c r="AJ227" s="128"/>
      <c r="AK227" s="243"/>
      <c r="AL227" s="100"/>
      <c r="AM227" s="207" t="str">
        <f t="shared" ref="AM227:AU227" si="150">IF(AM$19="","",AM60)</f>
        <v/>
      </c>
      <c r="AN227" s="207" t="str">
        <f t="shared" si="150"/>
        <v/>
      </c>
      <c r="AO227" s="207" t="str">
        <f t="shared" si="150"/>
        <v/>
      </c>
      <c r="AP227" s="207" t="str">
        <f t="shared" si="150"/>
        <v/>
      </c>
      <c r="AQ227" s="207" t="str">
        <f t="shared" si="150"/>
        <v/>
      </c>
      <c r="AR227" s="207" t="str">
        <f t="shared" si="150"/>
        <v/>
      </c>
      <c r="AS227" s="207" t="str">
        <f t="shared" si="150"/>
        <v/>
      </c>
      <c r="AT227" s="207" t="str">
        <f t="shared" si="150"/>
        <v/>
      </c>
      <c r="AU227" s="207" t="str">
        <f t="shared" si="150"/>
        <v/>
      </c>
      <c r="AV227" s="128"/>
      <c r="AW227" s="243"/>
      <c r="AX227" s="100"/>
      <c r="AY227" s="207" t="str">
        <f t="shared" ref="AY227:BG227" si="151">IF(AY$19="","",AY60)</f>
        <v/>
      </c>
      <c r="AZ227" s="207" t="str">
        <f t="shared" si="151"/>
        <v/>
      </c>
      <c r="BA227" s="207" t="str">
        <f t="shared" si="151"/>
        <v/>
      </c>
      <c r="BB227" s="207" t="str">
        <f t="shared" si="151"/>
        <v/>
      </c>
      <c r="BC227" s="207" t="str">
        <f t="shared" si="151"/>
        <v/>
      </c>
      <c r="BD227" s="207" t="str">
        <f t="shared" si="151"/>
        <v/>
      </c>
      <c r="BE227" s="207" t="str">
        <f t="shared" si="151"/>
        <v/>
      </c>
      <c r="BF227" s="207" t="str">
        <f t="shared" si="151"/>
        <v/>
      </c>
      <c r="BG227" s="207" t="str">
        <f t="shared" si="151"/>
        <v/>
      </c>
      <c r="BH227" s="255"/>
    </row>
    <row r="228" spans="1:60" ht="18.75" x14ac:dyDescent="0.2">
      <c r="A228" s="648"/>
      <c r="B228" s="492" t="s">
        <v>303</v>
      </c>
      <c r="C228" s="739" t="s">
        <v>104</v>
      </c>
      <c r="D228" s="747"/>
      <c r="E228" s="236" t="s">
        <v>307</v>
      </c>
      <c r="F228" s="236"/>
      <c r="G228" s="236"/>
      <c r="H228" s="89"/>
      <c r="I228" s="236"/>
      <c r="J228" s="236"/>
      <c r="K228" s="236"/>
      <c r="L228" s="236"/>
      <c r="M228" s="236"/>
      <c r="N228" s="236"/>
      <c r="O228" s="236"/>
      <c r="P228" s="236"/>
      <c r="Q228" s="236"/>
      <c r="R228" s="236"/>
      <c r="S228" s="236"/>
      <c r="T228" s="236"/>
      <c r="U228" s="236"/>
      <c r="V228" s="236"/>
      <c r="W228" s="236"/>
      <c r="X228" s="236"/>
      <c r="Y228" s="236"/>
      <c r="Z228" s="236"/>
      <c r="AA228" s="236"/>
      <c r="AB228" s="236"/>
      <c r="AC228" s="236"/>
      <c r="AD228" s="236"/>
      <c r="AE228" s="236"/>
      <c r="AF228" s="236"/>
      <c r="AG228" s="236"/>
      <c r="AH228" s="236"/>
      <c r="AI228" s="236"/>
      <c r="AJ228" s="236"/>
      <c r="AK228" s="236"/>
      <c r="AL228" s="236"/>
      <c r="AM228" s="236"/>
      <c r="AN228" s="236"/>
      <c r="AO228" s="236"/>
      <c r="AP228" s="236"/>
      <c r="AQ228" s="236"/>
      <c r="AR228" s="236"/>
      <c r="AS228" s="236"/>
      <c r="AT228" s="236"/>
      <c r="AU228" s="236"/>
      <c r="AV228" s="236"/>
      <c r="AW228" s="236"/>
      <c r="AX228" s="236"/>
      <c r="AY228" s="236"/>
      <c r="AZ228" s="236"/>
      <c r="BA228" s="236"/>
      <c r="BB228" s="236"/>
      <c r="BC228" s="236"/>
      <c r="BD228" s="236"/>
      <c r="BE228" s="236"/>
      <c r="BF228" s="236"/>
      <c r="BG228" s="236"/>
      <c r="BH228" s="38"/>
    </row>
    <row r="229" spans="1:60" x14ac:dyDescent="0.2">
      <c r="A229" s="648"/>
      <c r="B229" s="492" t="s">
        <v>303</v>
      </c>
      <c r="C229" s="656" t="s">
        <v>113</v>
      </c>
      <c r="D229" s="750"/>
      <c r="E229" s="220" t="s">
        <v>306</v>
      </c>
      <c r="F229" s="220"/>
      <c r="G229" s="220"/>
      <c r="H229" s="242" t="s">
        <v>169</v>
      </c>
      <c r="I229" s="129"/>
      <c r="J229" s="243"/>
      <c r="K229" s="279"/>
      <c r="L229" s="279"/>
      <c r="M229" s="243"/>
      <c r="N229" s="100"/>
      <c r="O229" s="207" t="str">
        <f t="shared" ref="O229:W229" si="152">IF(O$19="","-",O61)</f>
        <v>-</v>
      </c>
      <c r="P229" s="207" t="str">
        <f t="shared" si="152"/>
        <v>-</v>
      </c>
      <c r="Q229" s="207" t="str">
        <f t="shared" si="152"/>
        <v>-</v>
      </c>
      <c r="R229" s="207" t="str">
        <f t="shared" si="152"/>
        <v>-</v>
      </c>
      <c r="S229" s="207" t="str">
        <f t="shared" si="152"/>
        <v>-</v>
      </c>
      <c r="T229" s="207" t="str">
        <f t="shared" si="152"/>
        <v>-</v>
      </c>
      <c r="U229" s="207" t="str">
        <f t="shared" si="152"/>
        <v>-</v>
      </c>
      <c r="V229" s="207" t="str">
        <f t="shared" si="152"/>
        <v>-</v>
      </c>
      <c r="W229" s="207" t="str">
        <f t="shared" si="152"/>
        <v>-</v>
      </c>
      <c r="X229" s="128"/>
      <c r="Y229" s="243"/>
      <c r="Z229" s="100"/>
      <c r="AA229" s="207" t="str">
        <f t="shared" ref="AA229:AI229" si="153">IF(AA$19="","-",AA61)</f>
        <v>-</v>
      </c>
      <c r="AB229" s="207" t="str">
        <f t="shared" si="153"/>
        <v>-</v>
      </c>
      <c r="AC229" s="207" t="str">
        <f t="shared" si="153"/>
        <v>-</v>
      </c>
      <c r="AD229" s="207" t="str">
        <f t="shared" si="153"/>
        <v>-</v>
      </c>
      <c r="AE229" s="207" t="str">
        <f t="shared" si="153"/>
        <v>-</v>
      </c>
      <c r="AF229" s="207" t="str">
        <f t="shared" si="153"/>
        <v>-</v>
      </c>
      <c r="AG229" s="207" t="str">
        <f t="shared" si="153"/>
        <v>-</v>
      </c>
      <c r="AH229" s="207" t="str">
        <f t="shared" si="153"/>
        <v>-</v>
      </c>
      <c r="AI229" s="207" t="str">
        <f t="shared" si="153"/>
        <v>-</v>
      </c>
      <c r="AJ229" s="128"/>
      <c r="AK229" s="243"/>
      <c r="AL229" s="100"/>
      <c r="AM229" s="207" t="str">
        <f t="shared" ref="AM229:AU229" si="154">IF(AM$19="","-",AM61)</f>
        <v>-</v>
      </c>
      <c r="AN229" s="207" t="str">
        <f t="shared" si="154"/>
        <v>-</v>
      </c>
      <c r="AO229" s="207" t="str">
        <f t="shared" si="154"/>
        <v>-</v>
      </c>
      <c r="AP229" s="207" t="str">
        <f t="shared" si="154"/>
        <v>-</v>
      </c>
      <c r="AQ229" s="207" t="str">
        <f t="shared" si="154"/>
        <v>-</v>
      </c>
      <c r="AR229" s="207" t="str">
        <f t="shared" si="154"/>
        <v>-</v>
      </c>
      <c r="AS229" s="207" t="str">
        <f t="shared" si="154"/>
        <v>-</v>
      </c>
      <c r="AT229" s="207" t="str">
        <f t="shared" si="154"/>
        <v>-</v>
      </c>
      <c r="AU229" s="207" t="str">
        <f t="shared" si="154"/>
        <v>-</v>
      </c>
      <c r="AV229" s="128"/>
      <c r="AW229" s="243"/>
      <c r="AX229" s="100"/>
      <c r="AY229" s="207" t="str">
        <f t="shared" ref="AY229:BG229" si="155">IF(AY$19="","-",AY61)</f>
        <v>-</v>
      </c>
      <c r="AZ229" s="207" t="str">
        <f t="shared" si="155"/>
        <v>-</v>
      </c>
      <c r="BA229" s="207" t="str">
        <f t="shared" si="155"/>
        <v>-</v>
      </c>
      <c r="BB229" s="207" t="str">
        <f t="shared" si="155"/>
        <v>-</v>
      </c>
      <c r="BC229" s="207" t="str">
        <f t="shared" si="155"/>
        <v>-</v>
      </c>
      <c r="BD229" s="207" t="str">
        <f t="shared" si="155"/>
        <v>-</v>
      </c>
      <c r="BE229" s="207" t="str">
        <f t="shared" si="155"/>
        <v>-</v>
      </c>
      <c r="BF229" s="207" t="str">
        <f t="shared" si="155"/>
        <v>-</v>
      </c>
      <c r="BG229" s="207" t="str">
        <f t="shared" si="155"/>
        <v>-</v>
      </c>
      <c r="BH229" s="255"/>
    </row>
    <row r="230" spans="1:60" x14ac:dyDescent="0.2">
      <c r="A230" s="648"/>
      <c r="B230" s="492" t="s">
        <v>303</v>
      </c>
      <c r="C230" s="739" t="s">
        <v>104</v>
      </c>
      <c r="D230" s="747"/>
      <c r="E230" s="90"/>
      <c r="F230" s="90"/>
      <c r="G230" s="90"/>
      <c r="H230" s="96"/>
      <c r="I230" s="90"/>
      <c r="J230" s="93"/>
      <c r="K230" s="90"/>
      <c r="L230" s="90"/>
      <c r="M230" s="93"/>
      <c r="N230" s="90"/>
      <c r="O230" s="92"/>
      <c r="P230" s="93"/>
      <c r="Q230" s="93"/>
      <c r="R230" s="93"/>
      <c r="S230" s="93"/>
      <c r="T230" s="93"/>
      <c r="U230" s="93"/>
      <c r="V230" s="93"/>
      <c r="W230" s="93"/>
      <c r="X230" s="93"/>
      <c r="Y230" s="93"/>
      <c r="Z230" s="90"/>
      <c r="AA230" s="93"/>
      <c r="AB230" s="93"/>
      <c r="AC230" s="93"/>
      <c r="AD230" s="93"/>
      <c r="AE230" s="93"/>
      <c r="AF230" s="93"/>
      <c r="AG230" s="93"/>
      <c r="AH230" s="93"/>
      <c r="AI230" s="93"/>
      <c r="AJ230" s="93"/>
      <c r="AK230" s="93"/>
      <c r="AL230" s="90"/>
      <c r="AM230" s="93"/>
      <c r="AN230" s="93"/>
      <c r="AO230" s="93"/>
      <c r="AP230" s="93"/>
      <c r="AQ230" s="93"/>
      <c r="AR230" s="93"/>
      <c r="AS230" s="93"/>
      <c r="AT230" s="93"/>
      <c r="AU230" s="93"/>
      <c r="AV230" s="93"/>
      <c r="AW230" s="93"/>
      <c r="AX230" s="90"/>
      <c r="AY230" s="93"/>
      <c r="AZ230" s="93"/>
      <c r="BA230" s="93"/>
      <c r="BB230" s="93"/>
      <c r="BC230" s="93"/>
      <c r="BD230" s="93"/>
      <c r="BE230" s="93"/>
      <c r="BF230" s="93"/>
      <c r="BG230" s="93"/>
      <c r="BH230" s="1"/>
    </row>
    <row r="231" spans="1:60" hidden="1" x14ac:dyDescent="0.2">
      <c r="A231" s="648"/>
      <c r="B231" s="492" t="s">
        <v>308</v>
      </c>
      <c r="C231" s="739" t="s">
        <v>309</v>
      </c>
      <c r="D231" s="747"/>
      <c r="E231" s="90"/>
      <c r="F231" s="90"/>
      <c r="G231" s="90"/>
      <c r="H231" s="96"/>
      <c r="I231" s="90"/>
      <c r="J231" s="93"/>
      <c r="K231" s="90"/>
      <c r="L231" s="90"/>
      <c r="M231" s="93"/>
      <c r="N231" s="90"/>
      <c r="O231" s="93"/>
      <c r="P231" s="93"/>
      <c r="Q231" s="93"/>
      <c r="R231" s="93"/>
      <c r="S231" s="93"/>
      <c r="T231" s="93"/>
      <c r="U231" s="93"/>
      <c r="V231" s="93"/>
      <c r="W231" s="93"/>
      <c r="X231" s="93"/>
      <c r="Y231" s="93"/>
      <c r="Z231" s="90"/>
      <c r="AA231" s="93"/>
      <c r="AB231" s="93"/>
      <c r="AC231" s="93"/>
      <c r="AD231" s="93"/>
      <c r="AE231" s="93"/>
      <c r="AF231" s="93"/>
      <c r="AG231" s="93"/>
      <c r="AH231" s="93"/>
      <c r="AI231" s="93"/>
      <c r="AJ231" s="93"/>
      <c r="AK231" s="93"/>
      <c r="AL231" s="90"/>
      <c r="AM231" s="93"/>
      <c r="AN231" s="93"/>
      <c r="AO231" s="93"/>
      <c r="AP231" s="93"/>
      <c r="AQ231" s="93"/>
      <c r="AR231" s="93"/>
      <c r="AS231" s="93"/>
      <c r="AT231" s="93"/>
      <c r="AU231" s="93"/>
      <c r="AV231" s="93"/>
      <c r="AW231" s="93"/>
      <c r="AX231" s="90"/>
      <c r="AY231" s="93"/>
      <c r="AZ231" s="93"/>
      <c r="BA231" s="93"/>
      <c r="BB231" s="93"/>
      <c r="BC231" s="93"/>
      <c r="BD231" s="93"/>
      <c r="BE231" s="93"/>
      <c r="BF231" s="93"/>
      <c r="BG231" s="93"/>
      <c r="BH231" s="1"/>
    </row>
    <row r="232" spans="1:60" s="2" customFormat="1" ht="21" hidden="1" x14ac:dyDescent="0.2">
      <c r="A232" s="649"/>
      <c r="B232" s="492" t="s">
        <v>308</v>
      </c>
      <c r="C232" s="739" t="s">
        <v>309</v>
      </c>
      <c r="D232" s="749"/>
      <c r="E232" s="253" t="s">
        <v>310</v>
      </c>
      <c r="F232" s="253"/>
      <c r="G232" s="253"/>
      <c r="H232" s="253"/>
      <c r="I232" s="146"/>
      <c r="J232" s="318" t="str">
        <f>J$10</f>
        <v>totaal</v>
      </c>
      <c r="K232" s="142"/>
      <c r="L232" s="142"/>
      <c r="M232" s="318" t="str">
        <f>M$10</f>
        <v>totaal</v>
      </c>
      <c r="N232" s="222"/>
      <c r="O232" s="320" t="str">
        <f t="shared" ref="O232:W232" si="156">O$17</f>
        <v/>
      </c>
      <c r="P232" s="320" t="str">
        <f t="shared" si="156"/>
        <v/>
      </c>
      <c r="Q232" s="320" t="str">
        <f t="shared" si="156"/>
        <v/>
      </c>
      <c r="R232" s="320" t="str">
        <f t="shared" si="156"/>
        <v/>
      </c>
      <c r="S232" s="320" t="str">
        <f t="shared" si="156"/>
        <v/>
      </c>
      <c r="T232" s="320" t="str">
        <f t="shared" si="156"/>
        <v/>
      </c>
      <c r="U232" s="320" t="str">
        <f t="shared" si="156"/>
        <v/>
      </c>
      <c r="V232" s="320" t="str">
        <f t="shared" si="156"/>
        <v/>
      </c>
      <c r="W232" s="320" t="str">
        <f t="shared" si="156"/>
        <v/>
      </c>
      <c r="X232" s="214"/>
      <c r="Y232" s="318" t="str">
        <f>Y$10</f>
        <v>totaal</v>
      </c>
      <c r="Z232" s="222"/>
      <c r="AA232" s="320" t="str">
        <f t="shared" ref="AA232:AI232" si="157">AA$17</f>
        <v/>
      </c>
      <c r="AB232" s="320" t="str">
        <f t="shared" si="157"/>
        <v/>
      </c>
      <c r="AC232" s="320" t="str">
        <f t="shared" si="157"/>
        <v/>
      </c>
      <c r="AD232" s="320" t="str">
        <f t="shared" si="157"/>
        <v/>
      </c>
      <c r="AE232" s="320" t="str">
        <f t="shared" si="157"/>
        <v/>
      </c>
      <c r="AF232" s="320" t="str">
        <f t="shared" si="157"/>
        <v/>
      </c>
      <c r="AG232" s="320" t="str">
        <f t="shared" si="157"/>
        <v/>
      </c>
      <c r="AH232" s="320" t="str">
        <f t="shared" si="157"/>
        <v/>
      </c>
      <c r="AI232" s="320" t="str">
        <f t="shared" si="157"/>
        <v/>
      </c>
      <c r="AJ232" s="214"/>
      <c r="AK232" s="318" t="str">
        <f>AK$10</f>
        <v>totaal</v>
      </c>
      <c r="AL232" s="222"/>
      <c r="AM232" s="320" t="str">
        <f>AM$17</f>
        <v/>
      </c>
      <c r="AN232" s="320" t="str">
        <f t="shared" ref="AN232:AU232" si="158">AN$17</f>
        <v/>
      </c>
      <c r="AO232" s="320" t="str">
        <f t="shared" si="158"/>
        <v/>
      </c>
      <c r="AP232" s="320" t="str">
        <f t="shared" si="158"/>
        <v/>
      </c>
      <c r="AQ232" s="320" t="str">
        <f t="shared" si="158"/>
        <v/>
      </c>
      <c r="AR232" s="320" t="str">
        <f t="shared" si="158"/>
        <v/>
      </c>
      <c r="AS232" s="320" t="str">
        <f t="shared" si="158"/>
        <v/>
      </c>
      <c r="AT232" s="320" t="str">
        <f t="shared" si="158"/>
        <v/>
      </c>
      <c r="AU232" s="320" t="str">
        <f t="shared" si="158"/>
        <v/>
      </c>
      <c r="AV232" s="214"/>
      <c r="AW232" s="318" t="str">
        <f>AW$10</f>
        <v>totaal</v>
      </c>
      <c r="AX232" s="222"/>
      <c r="AY232" s="320" t="str">
        <f>AY$17</f>
        <v/>
      </c>
      <c r="AZ232" s="320" t="str">
        <f t="shared" ref="AZ232:BG232" si="159">AZ$17</f>
        <v/>
      </c>
      <c r="BA232" s="320" t="str">
        <f t="shared" si="159"/>
        <v/>
      </c>
      <c r="BB232" s="320" t="str">
        <f t="shared" si="159"/>
        <v/>
      </c>
      <c r="BC232" s="320" t="str">
        <f t="shared" si="159"/>
        <v/>
      </c>
      <c r="BD232" s="320" t="str">
        <f t="shared" si="159"/>
        <v/>
      </c>
      <c r="BE232" s="320" t="str">
        <f t="shared" si="159"/>
        <v/>
      </c>
      <c r="BF232" s="320" t="str">
        <f t="shared" si="159"/>
        <v/>
      </c>
      <c r="BG232" s="320" t="str">
        <f t="shared" si="159"/>
        <v/>
      </c>
      <c r="BH232" s="1"/>
    </row>
    <row r="233" spans="1:60" ht="18.75" hidden="1" x14ac:dyDescent="0.2">
      <c r="A233" s="648"/>
      <c r="B233" s="492" t="s">
        <v>308</v>
      </c>
      <c r="C233" s="739" t="s">
        <v>309</v>
      </c>
      <c r="D233" s="747"/>
      <c r="E233" s="236" t="s">
        <v>311</v>
      </c>
      <c r="F233" s="236"/>
      <c r="G233" s="236"/>
      <c r="H233" s="89"/>
      <c r="I233" s="236"/>
      <c r="J233" s="236"/>
      <c r="K233" s="236"/>
      <c r="L233" s="236"/>
      <c r="M233" s="236"/>
      <c r="N233" s="236"/>
      <c r="O233" s="236"/>
      <c r="P233" s="236"/>
      <c r="Q233" s="236"/>
      <c r="R233" s="236"/>
      <c r="S233" s="236"/>
      <c r="T233" s="236"/>
      <c r="U233" s="236"/>
      <c r="V233" s="236"/>
      <c r="W233" s="236"/>
      <c r="X233" s="236"/>
      <c r="Y233" s="236"/>
      <c r="Z233" s="236"/>
      <c r="AA233" s="236"/>
      <c r="AB233" s="236"/>
      <c r="AC233" s="236"/>
      <c r="AD233" s="236"/>
      <c r="AE233" s="236"/>
      <c r="AF233" s="236"/>
      <c r="AG233" s="236"/>
      <c r="AH233" s="236"/>
      <c r="AI233" s="236"/>
      <c r="AJ233" s="236"/>
      <c r="AK233" s="236"/>
      <c r="AL233" s="236"/>
      <c r="AM233" s="236"/>
      <c r="AN233" s="236"/>
      <c r="AO233" s="236"/>
      <c r="AP233" s="236"/>
      <c r="AQ233" s="236"/>
      <c r="AR233" s="236"/>
      <c r="AS233" s="236"/>
      <c r="AT233" s="236"/>
      <c r="AU233" s="236"/>
      <c r="AV233" s="236"/>
      <c r="AW233" s="236"/>
      <c r="AX233" s="236"/>
      <c r="AY233" s="236"/>
      <c r="AZ233" s="236"/>
      <c r="BA233" s="236"/>
      <c r="BB233" s="236"/>
      <c r="BC233" s="236"/>
      <c r="BD233" s="236"/>
      <c r="BE233" s="236"/>
      <c r="BF233" s="236"/>
      <c r="BG233" s="236"/>
      <c r="BH233" s="38"/>
    </row>
    <row r="234" spans="1:60" hidden="1" x14ac:dyDescent="0.2">
      <c r="A234" s="648"/>
      <c r="B234" s="492" t="s">
        <v>308</v>
      </c>
      <c r="C234" s="739" t="s">
        <v>309</v>
      </c>
      <c r="D234" s="750" t="s">
        <v>50</v>
      </c>
      <c r="E234" s="220" t="s">
        <v>312</v>
      </c>
      <c r="F234" s="220"/>
      <c r="G234" s="220"/>
      <c r="H234" s="242" t="s">
        <v>70</v>
      </c>
      <c r="I234" s="129"/>
      <c r="J234" s="230"/>
      <c r="K234" s="236"/>
      <c r="L234" s="236"/>
      <c r="M234" s="423">
        <f>SUM(N234:X234)</f>
        <v>0</v>
      </c>
      <c r="N234" s="424"/>
      <c r="O234" s="273">
        <f t="shared" ref="O234:W235" si="160">IF(OR(O$19="",$M60=0),0,O$32*O60/$M60/1000)</f>
        <v>0</v>
      </c>
      <c r="P234" s="273">
        <f t="shared" si="160"/>
        <v>0</v>
      </c>
      <c r="Q234" s="273">
        <f t="shared" si="160"/>
        <v>0</v>
      </c>
      <c r="R234" s="273">
        <f t="shared" si="160"/>
        <v>0</v>
      </c>
      <c r="S234" s="273">
        <f t="shared" si="160"/>
        <v>0</v>
      </c>
      <c r="T234" s="273">
        <f t="shared" si="160"/>
        <v>0</v>
      </c>
      <c r="U234" s="273">
        <f t="shared" si="160"/>
        <v>0</v>
      </c>
      <c r="V234" s="273">
        <f t="shared" si="160"/>
        <v>0</v>
      </c>
      <c r="W234" s="273">
        <f t="shared" si="160"/>
        <v>0</v>
      </c>
      <c r="X234" s="422"/>
      <c r="Y234" s="423">
        <f>SUM(Z234:AJ234)</f>
        <v>0</v>
      </c>
      <c r="Z234" s="424"/>
      <c r="AA234" s="273">
        <f t="shared" ref="AA234:AI235" si="161">IF(OR(AA$19="",$Y60=0),0,AA$32*AA60/$Y60/1000)</f>
        <v>0</v>
      </c>
      <c r="AB234" s="273">
        <f t="shared" si="161"/>
        <v>0</v>
      </c>
      <c r="AC234" s="273">
        <f t="shared" si="161"/>
        <v>0</v>
      </c>
      <c r="AD234" s="273">
        <f t="shared" si="161"/>
        <v>0</v>
      </c>
      <c r="AE234" s="273">
        <f t="shared" si="161"/>
        <v>0</v>
      </c>
      <c r="AF234" s="273">
        <f t="shared" si="161"/>
        <v>0</v>
      </c>
      <c r="AG234" s="273">
        <f t="shared" si="161"/>
        <v>0</v>
      </c>
      <c r="AH234" s="273">
        <f t="shared" si="161"/>
        <v>0</v>
      </c>
      <c r="AI234" s="273">
        <f t="shared" si="161"/>
        <v>0</v>
      </c>
      <c r="AJ234" s="422"/>
      <c r="AK234" s="423">
        <f>SUM(AL234:AV234)</f>
        <v>0</v>
      </c>
      <c r="AL234" s="424"/>
      <c r="AM234" s="273">
        <f t="shared" ref="AM234:AU235" si="162">IF(OR(AM$19="",$AK60=0),0,AM$32*AM60/$AK60/1000)</f>
        <v>0</v>
      </c>
      <c r="AN234" s="273">
        <f t="shared" si="162"/>
        <v>0</v>
      </c>
      <c r="AO234" s="273">
        <f t="shared" si="162"/>
        <v>0</v>
      </c>
      <c r="AP234" s="273">
        <f t="shared" si="162"/>
        <v>0</v>
      </c>
      <c r="AQ234" s="273">
        <f t="shared" si="162"/>
        <v>0</v>
      </c>
      <c r="AR234" s="273">
        <f t="shared" si="162"/>
        <v>0</v>
      </c>
      <c r="AS234" s="273">
        <f t="shared" si="162"/>
        <v>0</v>
      </c>
      <c r="AT234" s="273">
        <f t="shared" si="162"/>
        <v>0</v>
      </c>
      <c r="AU234" s="273">
        <f t="shared" si="162"/>
        <v>0</v>
      </c>
      <c r="AV234" s="422"/>
      <c r="AW234" s="423">
        <f>SUM(AX234:BH234)</f>
        <v>0</v>
      </c>
      <c r="AX234" s="424"/>
      <c r="AY234" s="273">
        <f t="shared" ref="AY234:BG235" si="163">IF(OR(AY$19="",$AW60=0),0,AY$32*AY60/$AW60/1000)</f>
        <v>0</v>
      </c>
      <c r="AZ234" s="273">
        <f t="shared" si="163"/>
        <v>0</v>
      </c>
      <c r="BA234" s="273">
        <f t="shared" si="163"/>
        <v>0</v>
      </c>
      <c r="BB234" s="273">
        <f t="shared" si="163"/>
        <v>0</v>
      </c>
      <c r="BC234" s="273">
        <f t="shared" si="163"/>
        <v>0</v>
      </c>
      <c r="BD234" s="273">
        <f t="shared" si="163"/>
        <v>0</v>
      </c>
      <c r="BE234" s="273">
        <f t="shared" si="163"/>
        <v>0</v>
      </c>
      <c r="BF234" s="273">
        <f t="shared" si="163"/>
        <v>0</v>
      </c>
      <c r="BG234" s="273">
        <f t="shared" si="163"/>
        <v>0</v>
      </c>
      <c r="BH234" s="255"/>
    </row>
    <row r="235" spans="1:60" hidden="1" x14ac:dyDescent="0.2">
      <c r="A235" s="648"/>
      <c r="B235" s="492" t="s">
        <v>308</v>
      </c>
      <c r="C235" s="739" t="s">
        <v>309</v>
      </c>
      <c r="D235" s="747"/>
      <c r="E235" s="220" t="s">
        <v>313</v>
      </c>
      <c r="F235" s="220"/>
      <c r="G235" s="220"/>
      <c r="H235" s="242" t="s">
        <v>70</v>
      </c>
      <c r="I235" s="129"/>
      <c r="J235" s="230"/>
      <c r="K235" s="236"/>
      <c r="L235" s="236"/>
      <c r="M235" s="423">
        <f>SUM(N235:X235)</f>
        <v>0</v>
      </c>
      <c r="N235" s="424"/>
      <c r="O235" s="273">
        <f t="shared" si="160"/>
        <v>0</v>
      </c>
      <c r="P235" s="273">
        <f t="shared" si="160"/>
        <v>0</v>
      </c>
      <c r="Q235" s="273">
        <f t="shared" si="160"/>
        <v>0</v>
      </c>
      <c r="R235" s="273">
        <f t="shared" si="160"/>
        <v>0</v>
      </c>
      <c r="S235" s="273">
        <f t="shared" si="160"/>
        <v>0</v>
      </c>
      <c r="T235" s="273">
        <f t="shared" si="160"/>
        <v>0</v>
      </c>
      <c r="U235" s="273">
        <f t="shared" si="160"/>
        <v>0</v>
      </c>
      <c r="V235" s="273">
        <f t="shared" si="160"/>
        <v>0</v>
      </c>
      <c r="W235" s="273">
        <f t="shared" si="160"/>
        <v>0</v>
      </c>
      <c r="X235" s="422"/>
      <c r="Y235" s="423">
        <f>SUM(Z235:AJ235)</f>
        <v>0</v>
      </c>
      <c r="Z235" s="424"/>
      <c r="AA235" s="273">
        <f t="shared" si="161"/>
        <v>0</v>
      </c>
      <c r="AB235" s="273">
        <f t="shared" si="161"/>
        <v>0</v>
      </c>
      <c r="AC235" s="273">
        <f t="shared" si="161"/>
        <v>0</v>
      </c>
      <c r="AD235" s="273">
        <f t="shared" si="161"/>
        <v>0</v>
      </c>
      <c r="AE235" s="273">
        <f t="shared" si="161"/>
        <v>0</v>
      </c>
      <c r="AF235" s="273">
        <f t="shared" si="161"/>
        <v>0</v>
      </c>
      <c r="AG235" s="273">
        <f t="shared" si="161"/>
        <v>0</v>
      </c>
      <c r="AH235" s="273">
        <f t="shared" si="161"/>
        <v>0</v>
      </c>
      <c r="AI235" s="273">
        <f t="shared" si="161"/>
        <v>0</v>
      </c>
      <c r="AJ235" s="422"/>
      <c r="AK235" s="423">
        <f>SUM(AL235:AV235)</f>
        <v>0</v>
      </c>
      <c r="AL235" s="424"/>
      <c r="AM235" s="273">
        <f t="shared" si="162"/>
        <v>0</v>
      </c>
      <c r="AN235" s="273">
        <f t="shared" si="162"/>
        <v>0</v>
      </c>
      <c r="AO235" s="273">
        <f t="shared" si="162"/>
        <v>0</v>
      </c>
      <c r="AP235" s="273">
        <f t="shared" si="162"/>
        <v>0</v>
      </c>
      <c r="AQ235" s="273">
        <f t="shared" si="162"/>
        <v>0</v>
      </c>
      <c r="AR235" s="273">
        <f t="shared" si="162"/>
        <v>0</v>
      </c>
      <c r="AS235" s="273">
        <f t="shared" si="162"/>
        <v>0</v>
      </c>
      <c r="AT235" s="273">
        <f t="shared" si="162"/>
        <v>0</v>
      </c>
      <c r="AU235" s="273">
        <f t="shared" si="162"/>
        <v>0</v>
      </c>
      <c r="AV235" s="422"/>
      <c r="AW235" s="423">
        <f>SUM(AX235:BH235)</f>
        <v>0</v>
      </c>
      <c r="AX235" s="424"/>
      <c r="AY235" s="273">
        <f t="shared" si="163"/>
        <v>0</v>
      </c>
      <c r="AZ235" s="273">
        <f t="shared" si="163"/>
        <v>0</v>
      </c>
      <c r="BA235" s="273">
        <f t="shared" si="163"/>
        <v>0</v>
      </c>
      <c r="BB235" s="273">
        <f t="shared" si="163"/>
        <v>0</v>
      </c>
      <c r="BC235" s="273">
        <f t="shared" si="163"/>
        <v>0</v>
      </c>
      <c r="BD235" s="273">
        <f t="shared" si="163"/>
        <v>0</v>
      </c>
      <c r="BE235" s="273">
        <f t="shared" si="163"/>
        <v>0</v>
      </c>
      <c r="BF235" s="273">
        <f t="shared" si="163"/>
        <v>0</v>
      </c>
      <c r="BG235" s="273">
        <f t="shared" si="163"/>
        <v>0</v>
      </c>
      <c r="BH235" s="255"/>
    </row>
    <row r="236" spans="1:60" hidden="1" x14ac:dyDescent="0.2">
      <c r="A236" s="648"/>
      <c r="B236" s="492" t="s">
        <v>308</v>
      </c>
      <c r="C236" s="739" t="s">
        <v>309</v>
      </c>
      <c r="D236" s="747"/>
      <c r="E236" s="220" t="s">
        <v>314</v>
      </c>
      <c r="F236" s="220"/>
      <c r="G236" s="220"/>
      <c r="H236" s="242" t="s">
        <v>70</v>
      </c>
      <c r="I236" s="129"/>
      <c r="J236" s="230"/>
      <c r="K236" s="236"/>
      <c r="L236" s="236"/>
      <c r="M236" s="423">
        <f>SUM(N236:X236)</f>
        <v>0</v>
      </c>
      <c r="N236" s="424"/>
      <c r="O236" s="273">
        <f t="shared" ref="O236:W236" si="164">IF(OR(O$19="",$M$62=0),0,O$32*O62/$M62/1000)</f>
        <v>0</v>
      </c>
      <c r="P236" s="273">
        <f t="shared" si="164"/>
        <v>0</v>
      </c>
      <c r="Q236" s="273">
        <f t="shared" si="164"/>
        <v>0</v>
      </c>
      <c r="R236" s="273">
        <f t="shared" si="164"/>
        <v>0</v>
      </c>
      <c r="S236" s="273">
        <f t="shared" si="164"/>
        <v>0</v>
      </c>
      <c r="T236" s="273">
        <f t="shared" si="164"/>
        <v>0</v>
      </c>
      <c r="U236" s="273">
        <f t="shared" si="164"/>
        <v>0</v>
      </c>
      <c r="V236" s="273">
        <f t="shared" si="164"/>
        <v>0</v>
      </c>
      <c r="W236" s="273">
        <f t="shared" si="164"/>
        <v>0</v>
      </c>
      <c r="X236" s="422"/>
      <c r="Y236" s="423">
        <f>SUM(Z236:AJ236)</f>
        <v>0</v>
      </c>
      <c r="Z236" s="424"/>
      <c r="AA236" s="273">
        <f t="shared" ref="AA236:AI236" si="165">IF(OR(AA$19="",$Y$62=0),0,AA$32*AA62/$Y62/1000)</f>
        <v>0</v>
      </c>
      <c r="AB236" s="273">
        <f t="shared" si="165"/>
        <v>0</v>
      </c>
      <c r="AC236" s="273">
        <f t="shared" si="165"/>
        <v>0</v>
      </c>
      <c r="AD236" s="273">
        <f t="shared" si="165"/>
        <v>0</v>
      </c>
      <c r="AE236" s="273">
        <f t="shared" si="165"/>
        <v>0</v>
      </c>
      <c r="AF236" s="273">
        <f t="shared" si="165"/>
        <v>0</v>
      </c>
      <c r="AG236" s="273">
        <f t="shared" si="165"/>
        <v>0</v>
      </c>
      <c r="AH236" s="273">
        <f t="shared" si="165"/>
        <v>0</v>
      </c>
      <c r="AI236" s="273">
        <f t="shared" si="165"/>
        <v>0</v>
      </c>
      <c r="AJ236" s="422"/>
      <c r="AK236" s="423">
        <f>SUM(AL236:AV236)</f>
        <v>0</v>
      </c>
      <c r="AL236" s="424"/>
      <c r="AM236" s="273">
        <f t="shared" ref="AM236:AU236" si="166">IF(OR(AM$19="",$AK$62=0),0,AM$32*AM62/$AK62/1000)</f>
        <v>0</v>
      </c>
      <c r="AN236" s="273">
        <f t="shared" si="166"/>
        <v>0</v>
      </c>
      <c r="AO236" s="273">
        <f t="shared" si="166"/>
        <v>0</v>
      </c>
      <c r="AP236" s="273">
        <f t="shared" si="166"/>
        <v>0</v>
      </c>
      <c r="AQ236" s="273">
        <f t="shared" si="166"/>
        <v>0</v>
      </c>
      <c r="AR236" s="273">
        <f t="shared" si="166"/>
        <v>0</v>
      </c>
      <c r="AS236" s="273">
        <f t="shared" si="166"/>
        <v>0</v>
      </c>
      <c r="AT236" s="273">
        <f t="shared" si="166"/>
        <v>0</v>
      </c>
      <c r="AU236" s="273">
        <f t="shared" si="166"/>
        <v>0</v>
      </c>
      <c r="AV236" s="422"/>
      <c r="AW236" s="423">
        <f>SUM(AX236:BH236)</f>
        <v>0</v>
      </c>
      <c r="AX236" s="424"/>
      <c r="AY236" s="273">
        <f t="shared" ref="AY236:BG236" si="167">IF(OR(AY$19="",$AW$62=0),0,AY$32*AY62/$AW62/1000)</f>
        <v>0</v>
      </c>
      <c r="AZ236" s="273">
        <f t="shared" si="167"/>
        <v>0</v>
      </c>
      <c r="BA236" s="273">
        <f t="shared" si="167"/>
        <v>0</v>
      </c>
      <c r="BB236" s="273">
        <f t="shared" si="167"/>
        <v>0</v>
      </c>
      <c r="BC236" s="273">
        <f t="shared" si="167"/>
        <v>0</v>
      </c>
      <c r="BD236" s="273">
        <f t="shared" si="167"/>
        <v>0</v>
      </c>
      <c r="BE236" s="273">
        <f t="shared" si="167"/>
        <v>0</v>
      </c>
      <c r="BF236" s="273">
        <f t="shared" si="167"/>
        <v>0</v>
      </c>
      <c r="BG236" s="273">
        <f t="shared" si="167"/>
        <v>0</v>
      </c>
      <c r="BH236" s="255"/>
    </row>
    <row r="237" spans="1:60" hidden="1" x14ac:dyDescent="0.2">
      <c r="A237" s="648"/>
      <c r="B237" s="492" t="s">
        <v>308</v>
      </c>
      <c r="C237" s="739" t="s">
        <v>309</v>
      </c>
      <c r="D237" s="747"/>
      <c r="E237" s="90"/>
      <c r="F237" s="90"/>
      <c r="G237" s="90"/>
      <c r="H237" s="96"/>
      <c r="I237" s="90"/>
      <c r="J237" s="93"/>
      <c r="K237" s="90"/>
      <c r="L237" s="90"/>
      <c r="M237" s="93"/>
      <c r="N237" s="90"/>
      <c r="O237" s="92"/>
      <c r="P237" s="93"/>
      <c r="Q237" s="93"/>
      <c r="R237" s="93"/>
      <c r="S237" s="93"/>
      <c r="T237" s="93"/>
      <c r="U237" s="93"/>
      <c r="V237" s="93"/>
      <c r="W237" s="93"/>
      <c r="X237" s="93"/>
      <c r="Y237" s="93"/>
      <c r="Z237" s="90"/>
      <c r="AA237" s="93"/>
      <c r="AB237" s="93"/>
      <c r="AC237" s="93"/>
      <c r="AD237" s="93"/>
      <c r="AE237" s="93"/>
      <c r="AF237" s="93"/>
      <c r="AG237" s="93"/>
      <c r="AH237" s="93"/>
      <c r="AI237" s="93"/>
      <c r="AJ237" s="93"/>
      <c r="AK237" s="93"/>
      <c r="AL237" s="90"/>
      <c r="AM237" s="93"/>
      <c r="AN237" s="93"/>
      <c r="AO237" s="93"/>
      <c r="AP237" s="93"/>
      <c r="AQ237" s="93"/>
      <c r="AR237" s="93"/>
      <c r="AS237" s="93"/>
      <c r="AT237" s="93"/>
      <c r="AU237" s="93"/>
      <c r="AV237" s="93"/>
      <c r="AW237" s="93"/>
      <c r="AX237" s="90"/>
      <c r="AY237" s="93"/>
      <c r="AZ237" s="93"/>
      <c r="BA237" s="93"/>
      <c r="BB237" s="93"/>
      <c r="BC237" s="93"/>
      <c r="BD237" s="93"/>
      <c r="BE237" s="93"/>
      <c r="BF237" s="93"/>
      <c r="BG237" s="93"/>
      <c r="BH237" s="1"/>
    </row>
    <row r="238" spans="1:60" x14ac:dyDescent="0.2">
      <c r="A238" s="648"/>
      <c r="B238" s="492" t="s">
        <v>315</v>
      </c>
      <c r="C238" s="656" t="s">
        <v>104</v>
      </c>
      <c r="D238" s="747"/>
      <c r="E238" s="90"/>
      <c r="F238" s="90"/>
      <c r="G238" s="90"/>
      <c r="H238" s="96"/>
      <c r="I238" s="90"/>
      <c r="J238" s="93"/>
      <c r="K238" s="90"/>
      <c r="L238" s="90"/>
      <c r="M238" s="93"/>
      <c r="N238" s="90"/>
      <c r="O238" s="93"/>
      <c r="P238" s="93"/>
      <c r="Q238" s="93"/>
      <c r="R238" s="93"/>
      <c r="S238" s="93"/>
      <c r="T238" s="93"/>
      <c r="U238" s="93"/>
      <c r="V238" s="93"/>
      <c r="W238" s="93"/>
      <c r="X238" s="93"/>
      <c r="Y238" s="93"/>
      <c r="Z238" s="90"/>
      <c r="AA238" s="93"/>
      <c r="AB238" s="93"/>
      <c r="AC238" s="93"/>
      <c r="AD238" s="93"/>
      <c r="AE238" s="93"/>
      <c r="AF238" s="93"/>
      <c r="AG238" s="93"/>
      <c r="AH238" s="93"/>
      <c r="AI238" s="93"/>
      <c r="AJ238" s="93"/>
      <c r="AK238" s="93"/>
      <c r="AL238" s="90"/>
      <c r="AM238" s="93"/>
      <c r="AN238" s="93"/>
      <c r="AO238" s="93"/>
      <c r="AP238" s="93"/>
      <c r="AQ238" s="93"/>
      <c r="AR238" s="93"/>
      <c r="AS238" s="93"/>
      <c r="AT238" s="93"/>
      <c r="AU238" s="93"/>
      <c r="AV238" s="93"/>
      <c r="AW238" s="93"/>
      <c r="AX238" s="90"/>
      <c r="AY238" s="93"/>
      <c r="AZ238" s="93"/>
      <c r="BA238" s="93"/>
      <c r="BB238" s="93"/>
      <c r="BC238" s="93"/>
      <c r="BD238" s="93"/>
      <c r="BE238" s="93"/>
      <c r="BF238" s="93"/>
      <c r="BG238" s="93"/>
      <c r="BH238" s="1"/>
    </row>
    <row r="239" spans="1:60" s="2" customFormat="1" ht="21" x14ac:dyDescent="0.2">
      <c r="A239" s="649"/>
      <c r="B239" s="492" t="s">
        <v>315</v>
      </c>
      <c r="C239" s="739" t="s">
        <v>104</v>
      </c>
      <c r="D239" s="749" t="s">
        <v>50</v>
      </c>
      <c r="E239" s="253" t="s">
        <v>114</v>
      </c>
      <c r="F239" s="253"/>
      <c r="G239" s="253"/>
      <c r="H239" s="253"/>
      <c r="I239" s="146"/>
      <c r="J239" s="318" t="str">
        <f>J$10&amp;" MWh"</f>
        <v>totaal MWh</v>
      </c>
      <c r="K239" s="142"/>
      <c r="L239" s="142"/>
      <c r="M239" s="318" t="str">
        <f>M$10&amp;" MWh"</f>
        <v>totaal MWh</v>
      </c>
      <c r="N239" s="222"/>
      <c r="O239" s="320" t="str">
        <f t="shared" ref="O239:W239" si="168">O$17</f>
        <v/>
      </c>
      <c r="P239" s="320" t="str">
        <f t="shared" si="168"/>
        <v/>
      </c>
      <c r="Q239" s="320" t="str">
        <f t="shared" si="168"/>
        <v/>
      </c>
      <c r="R239" s="320" t="str">
        <f t="shared" si="168"/>
        <v/>
      </c>
      <c r="S239" s="320" t="str">
        <f t="shared" si="168"/>
        <v/>
      </c>
      <c r="T239" s="320" t="str">
        <f t="shared" si="168"/>
        <v/>
      </c>
      <c r="U239" s="320" t="str">
        <f t="shared" si="168"/>
        <v/>
      </c>
      <c r="V239" s="320" t="str">
        <f t="shared" si="168"/>
        <v/>
      </c>
      <c r="W239" s="320" t="str">
        <f t="shared" si="168"/>
        <v/>
      </c>
      <c r="X239" s="214"/>
      <c r="Y239" s="318" t="str">
        <f>Y$10&amp;" MWh"</f>
        <v>totaal MWh</v>
      </c>
      <c r="Z239" s="222"/>
      <c r="AA239" s="320" t="str">
        <f t="shared" ref="AA239:AI239" si="169">AA$17</f>
        <v/>
      </c>
      <c r="AB239" s="320" t="str">
        <f t="shared" si="169"/>
        <v/>
      </c>
      <c r="AC239" s="320" t="str">
        <f t="shared" si="169"/>
        <v/>
      </c>
      <c r="AD239" s="320" t="str">
        <f t="shared" si="169"/>
        <v/>
      </c>
      <c r="AE239" s="320" t="str">
        <f t="shared" si="169"/>
        <v/>
      </c>
      <c r="AF239" s="320" t="str">
        <f t="shared" si="169"/>
        <v/>
      </c>
      <c r="AG239" s="320" t="str">
        <f t="shared" si="169"/>
        <v/>
      </c>
      <c r="AH239" s="320" t="str">
        <f t="shared" si="169"/>
        <v/>
      </c>
      <c r="AI239" s="320" t="str">
        <f t="shared" si="169"/>
        <v/>
      </c>
      <c r="AJ239" s="214"/>
      <c r="AK239" s="318" t="str">
        <f>AK$10&amp;" MWh"</f>
        <v>totaal MWh</v>
      </c>
      <c r="AL239" s="222"/>
      <c r="AM239" s="320" t="str">
        <f>AM$17</f>
        <v/>
      </c>
      <c r="AN239" s="320" t="str">
        <f t="shared" ref="AN239:AU239" si="170">AN$17</f>
        <v/>
      </c>
      <c r="AO239" s="320" t="str">
        <f t="shared" si="170"/>
        <v/>
      </c>
      <c r="AP239" s="320" t="str">
        <f t="shared" si="170"/>
        <v/>
      </c>
      <c r="AQ239" s="320" t="str">
        <f t="shared" si="170"/>
        <v/>
      </c>
      <c r="AR239" s="320" t="str">
        <f t="shared" si="170"/>
        <v/>
      </c>
      <c r="AS239" s="320" t="str">
        <f t="shared" si="170"/>
        <v/>
      </c>
      <c r="AT239" s="320" t="str">
        <f t="shared" si="170"/>
        <v/>
      </c>
      <c r="AU239" s="320" t="str">
        <f t="shared" si="170"/>
        <v/>
      </c>
      <c r="AV239" s="214"/>
      <c r="AW239" s="318" t="str">
        <f>AW$10&amp;" MWh"</f>
        <v>totaal MWh</v>
      </c>
      <c r="AX239" s="222"/>
      <c r="AY239" s="320" t="str">
        <f>AY$17</f>
        <v/>
      </c>
      <c r="AZ239" s="320" t="str">
        <f t="shared" ref="AZ239:BG239" si="171">AZ$17</f>
        <v/>
      </c>
      <c r="BA239" s="320" t="str">
        <f t="shared" si="171"/>
        <v/>
      </c>
      <c r="BB239" s="320" t="str">
        <f t="shared" si="171"/>
        <v/>
      </c>
      <c r="BC239" s="320" t="str">
        <f t="shared" si="171"/>
        <v/>
      </c>
      <c r="BD239" s="320" t="str">
        <f t="shared" si="171"/>
        <v/>
      </c>
      <c r="BE239" s="320" t="str">
        <f t="shared" si="171"/>
        <v/>
      </c>
      <c r="BF239" s="320" t="str">
        <f t="shared" si="171"/>
        <v/>
      </c>
      <c r="BG239" s="320" t="str">
        <f t="shared" si="171"/>
        <v/>
      </c>
      <c r="BH239" s="1"/>
    </row>
    <row r="240" spans="1:60" ht="18.75" x14ac:dyDescent="0.2">
      <c r="A240" s="648"/>
      <c r="B240" s="492" t="s">
        <v>315</v>
      </c>
      <c r="C240" s="739" t="s">
        <v>104</v>
      </c>
      <c r="D240" s="747"/>
      <c r="E240" s="236" t="s">
        <v>316</v>
      </c>
      <c r="F240" s="236"/>
      <c r="G240" s="236"/>
      <c r="H240" s="89"/>
      <c r="I240" s="236"/>
      <c r="J240" s="236"/>
      <c r="K240" s="236"/>
      <c r="L240" s="236"/>
      <c r="M240" s="236"/>
      <c r="N240" s="236"/>
      <c r="O240" s="236"/>
      <c r="P240" s="236"/>
      <c r="Q240" s="236"/>
      <c r="R240" s="236"/>
      <c r="S240" s="236"/>
      <c r="T240" s="236"/>
      <c r="U240" s="236"/>
      <c r="V240" s="236"/>
      <c r="W240" s="236"/>
      <c r="X240" s="236"/>
      <c r="Y240" s="236"/>
      <c r="Z240" s="236"/>
      <c r="AA240" s="236"/>
      <c r="AB240" s="236"/>
      <c r="AC240" s="236"/>
      <c r="AD240" s="236"/>
      <c r="AE240" s="236"/>
      <c r="AF240" s="236"/>
      <c r="AG240" s="236"/>
      <c r="AH240" s="236"/>
      <c r="AI240" s="236"/>
      <c r="AJ240" s="236"/>
      <c r="AK240" s="236"/>
      <c r="AL240" s="236"/>
      <c r="AM240" s="236"/>
      <c r="AN240" s="236"/>
      <c r="AO240" s="236"/>
      <c r="AP240" s="236"/>
      <c r="AQ240" s="236"/>
      <c r="AR240" s="236"/>
      <c r="AS240" s="236"/>
      <c r="AT240" s="236"/>
      <c r="AU240" s="236"/>
      <c r="AV240" s="236"/>
      <c r="AW240" s="236"/>
      <c r="AX240" s="236"/>
      <c r="AY240" s="236"/>
      <c r="AZ240" s="236"/>
      <c r="BA240" s="236"/>
      <c r="BB240" s="236"/>
      <c r="BC240" s="236"/>
      <c r="BD240" s="236"/>
      <c r="BE240" s="236"/>
      <c r="BF240" s="236"/>
      <c r="BG240" s="236"/>
      <c r="BH240" s="38"/>
    </row>
    <row r="241" spans="1:60" x14ac:dyDescent="0.2">
      <c r="A241" s="648"/>
      <c r="B241" s="492" t="s">
        <v>315</v>
      </c>
      <c r="C241" s="656" t="s">
        <v>113</v>
      </c>
      <c r="D241" s="750"/>
      <c r="E241" s="367" t="str">
        <f>$O$73</f>
        <v>verwarming</v>
      </c>
      <c r="F241" s="220"/>
      <c r="G241" s="220"/>
      <c r="H241" s="242" t="s">
        <v>317</v>
      </c>
      <c r="I241" s="129"/>
      <c r="J241" s="243">
        <f t="shared" ref="J241:J249" si="172">M241+Y241+AK241+AW241</f>
        <v>0</v>
      </c>
      <c r="K241" s="236"/>
      <c r="L241" s="236"/>
      <c r="M241" s="243">
        <f t="shared" ref="M241:M248" si="173">SUMPRODUCT(N241:X241,N$24:X$24,N$31:X$31)/1000</f>
        <v>0</v>
      </c>
      <c r="N241" s="129"/>
      <c r="O241" s="207">
        <f t="shared" ref="O241:W241" si="174">IF(OR(O$24=0,$O$75=0),0,
(($O$117+$O$142+$O$159)/$O$75)*O60)</f>
        <v>0</v>
      </c>
      <c r="P241" s="207">
        <f t="shared" si="174"/>
        <v>0</v>
      </c>
      <c r="Q241" s="207">
        <f t="shared" si="174"/>
        <v>0</v>
      </c>
      <c r="R241" s="207">
        <f t="shared" si="174"/>
        <v>0</v>
      </c>
      <c r="S241" s="207">
        <f t="shared" si="174"/>
        <v>0</v>
      </c>
      <c r="T241" s="207">
        <f t="shared" si="174"/>
        <v>0</v>
      </c>
      <c r="U241" s="207">
        <f t="shared" si="174"/>
        <v>0</v>
      </c>
      <c r="V241" s="207">
        <f t="shared" si="174"/>
        <v>0</v>
      </c>
      <c r="W241" s="207">
        <f t="shared" si="174"/>
        <v>0</v>
      </c>
      <c r="X241" s="128"/>
      <c r="Y241" s="243">
        <f t="shared" ref="Y241:Y248" si="175">SUMPRODUCT(Z241:AJ241,Z$24:AJ$24,Z$31:AJ$31)/1000</f>
        <v>0</v>
      </c>
      <c r="Z241" s="129"/>
      <c r="AA241" s="207">
        <f t="shared" ref="AA241:AI241" si="176">IF(AA$24=0,0,
(($AA$117+$AA$142+$AA$159)/$AA$75)*AA60)</f>
        <v>0</v>
      </c>
      <c r="AB241" s="207">
        <f t="shared" si="176"/>
        <v>0</v>
      </c>
      <c r="AC241" s="207">
        <f t="shared" si="176"/>
        <v>0</v>
      </c>
      <c r="AD241" s="207">
        <f t="shared" si="176"/>
        <v>0</v>
      </c>
      <c r="AE241" s="207">
        <f t="shared" si="176"/>
        <v>0</v>
      </c>
      <c r="AF241" s="207">
        <f t="shared" si="176"/>
        <v>0</v>
      </c>
      <c r="AG241" s="207">
        <f t="shared" si="176"/>
        <v>0</v>
      </c>
      <c r="AH241" s="207">
        <f t="shared" si="176"/>
        <v>0</v>
      </c>
      <c r="AI241" s="207">
        <f t="shared" si="176"/>
        <v>0</v>
      </c>
      <c r="AJ241" s="128"/>
      <c r="AK241" s="243">
        <f t="shared" ref="AK241:AK248" si="177">SUMPRODUCT(AL241:AV241,AL$24:AV$24,AL$31:AV$31)/1000</f>
        <v>0</v>
      </c>
      <c r="AL241" s="129"/>
      <c r="AM241" s="207">
        <f t="shared" ref="AM241:AU241" si="178">IF(AM$24=0,0,
(($AM$117+$AM$142+$AM$159)/$AM$75)*AM60)</f>
        <v>0</v>
      </c>
      <c r="AN241" s="207">
        <f t="shared" si="178"/>
        <v>0</v>
      </c>
      <c r="AO241" s="207">
        <f t="shared" si="178"/>
        <v>0</v>
      </c>
      <c r="AP241" s="207">
        <f t="shared" si="178"/>
        <v>0</v>
      </c>
      <c r="AQ241" s="207">
        <f t="shared" si="178"/>
        <v>0</v>
      </c>
      <c r="AR241" s="207">
        <f t="shared" si="178"/>
        <v>0</v>
      </c>
      <c r="AS241" s="207">
        <f t="shared" si="178"/>
        <v>0</v>
      </c>
      <c r="AT241" s="207">
        <f t="shared" si="178"/>
        <v>0</v>
      </c>
      <c r="AU241" s="207">
        <f t="shared" si="178"/>
        <v>0</v>
      </c>
      <c r="AV241" s="128"/>
      <c r="AW241" s="243">
        <f t="shared" ref="AW241:AW248" si="179">SUMPRODUCT(AX241:BH241,AX$24:BH$24,AX$31:BH$31)/1000</f>
        <v>0</v>
      </c>
      <c r="AX241" s="129"/>
      <c r="AY241" s="207">
        <f t="shared" ref="AY241:BG241" si="180">IF(AY$24=0,0,
(($AY$117+$AY$142+$AY$159)/$AY$75)*AY60)</f>
        <v>0</v>
      </c>
      <c r="AZ241" s="207">
        <f t="shared" si="180"/>
        <v>0</v>
      </c>
      <c r="BA241" s="207">
        <f t="shared" si="180"/>
        <v>0</v>
      </c>
      <c r="BB241" s="207">
        <f t="shared" si="180"/>
        <v>0</v>
      </c>
      <c r="BC241" s="207">
        <f t="shared" si="180"/>
        <v>0</v>
      </c>
      <c r="BD241" s="207">
        <f t="shared" si="180"/>
        <v>0</v>
      </c>
      <c r="BE241" s="207">
        <f t="shared" si="180"/>
        <v>0</v>
      </c>
      <c r="BF241" s="207">
        <f t="shared" si="180"/>
        <v>0</v>
      </c>
      <c r="BG241" s="207">
        <f t="shared" si="180"/>
        <v>0</v>
      </c>
      <c r="BH241" s="255"/>
    </row>
    <row r="242" spans="1:60" x14ac:dyDescent="0.2">
      <c r="A242" s="648"/>
      <c r="B242" s="492" t="s">
        <v>315</v>
      </c>
      <c r="C242" s="656" t="s">
        <v>113</v>
      </c>
      <c r="D242" s="750"/>
      <c r="E242" s="367" t="str">
        <f>$P$73</f>
        <v>koeling</v>
      </c>
      <c r="F242" s="220"/>
      <c r="G242" s="220"/>
      <c r="H242" s="242" t="s">
        <v>317</v>
      </c>
      <c r="I242" s="129"/>
      <c r="J242" s="243">
        <f t="shared" si="172"/>
        <v>0</v>
      </c>
      <c r="K242" s="236"/>
      <c r="L242" s="236"/>
      <c r="M242" s="243">
        <f t="shared" si="173"/>
        <v>0</v>
      </c>
      <c r="N242" s="129"/>
      <c r="O242" s="207">
        <f t="shared" ref="O242:W242" si="181">IF(OR(O$24=0,$P$75=0),0,
(($P$117+$P$142+$P$159)/$P$75)*O61)</f>
        <v>0</v>
      </c>
      <c r="P242" s="207">
        <f t="shared" si="181"/>
        <v>0</v>
      </c>
      <c r="Q242" s="207">
        <f t="shared" si="181"/>
        <v>0</v>
      </c>
      <c r="R242" s="207">
        <f t="shared" si="181"/>
        <v>0</v>
      </c>
      <c r="S242" s="207">
        <f t="shared" si="181"/>
        <v>0</v>
      </c>
      <c r="T242" s="207">
        <f t="shared" si="181"/>
        <v>0</v>
      </c>
      <c r="U242" s="207">
        <f t="shared" si="181"/>
        <v>0</v>
      </c>
      <c r="V242" s="207">
        <f t="shared" si="181"/>
        <v>0</v>
      </c>
      <c r="W242" s="207">
        <f t="shared" si="181"/>
        <v>0</v>
      </c>
      <c r="X242" s="128"/>
      <c r="Y242" s="243">
        <f t="shared" si="175"/>
        <v>0</v>
      </c>
      <c r="Z242" s="129"/>
      <c r="AA242" s="207">
        <f t="shared" ref="AA242:AI242" si="182">IF(OR(AA$24=0,$AB$75=0),0,
(($AB$117+$AB$142+$AB$159)/$AB$75)*AA61)</f>
        <v>0</v>
      </c>
      <c r="AB242" s="207">
        <f t="shared" si="182"/>
        <v>0</v>
      </c>
      <c r="AC242" s="207">
        <f t="shared" si="182"/>
        <v>0</v>
      </c>
      <c r="AD242" s="207">
        <f t="shared" si="182"/>
        <v>0</v>
      </c>
      <c r="AE242" s="207">
        <f t="shared" si="182"/>
        <v>0</v>
      </c>
      <c r="AF242" s="207">
        <f t="shared" si="182"/>
        <v>0</v>
      </c>
      <c r="AG242" s="207">
        <f t="shared" si="182"/>
        <v>0</v>
      </c>
      <c r="AH242" s="207">
        <f t="shared" si="182"/>
        <v>0</v>
      </c>
      <c r="AI242" s="207">
        <f t="shared" si="182"/>
        <v>0</v>
      </c>
      <c r="AJ242" s="128"/>
      <c r="AK242" s="243">
        <f t="shared" si="177"/>
        <v>0</v>
      </c>
      <c r="AL242" s="129"/>
      <c r="AM242" s="207">
        <f t="shared" ref="AM242:AU242" si="183">IF(OR(AM$24=0,$AN$75=0),0,
(($AN$117+$AN$142+$AN$159)/$AN$75)*AM61)</f>
        <v>0</v>
      </c>
      <c r="AN242" s="207">
        <f t="shared" si="183"/>
        <v>0</v>
      </c>
      <c r="AO242" s="207">
        <f t="shared" si="183"/>
        <v>0</v>
      </c>
      <c r="AP242" s="207">
        <f t="shared" si="183"/>
        <v>0</v>
      </c>
      <c r="AQ242" s="207">
        <f t="shared" si="183"/>
        <v>0</v>
      </c>
      <c r="AR242" s="207">
        <f t="shared" si="183"/>
        <v>0</v>
      </c>
      <c r="AS242" s="207">
        <f t="shared" si="183"/>
        <v>0</v>
      </c>
      <c r="AT242" s="207">
        <f t="shared" si="183"/>
        <v>0</v>
      </c>
      <c r="AU242" s="207">
        <f t="shared" si="183"/>
        <v>0</v>
      </c>
      <c r="AV242" s="128"/>
      <c r="AW242" s="243">
        <f t="shared" si="179"/>
        <v>0</v>
      </c>
      <c r="AX242" s="129"/>
      <c r="AY242" s="207">
        <f t="shared" ref="AY242:BG242" si="184">IF(OR(AY$24=0,$AZ$75=0),0,
(($AZ$117+$AZ$142+$AZ$159)/$AZ$75)*AY61)</f>
        <v>0</v>
      </c>
      <c r="AZ242" s="207">
        <f t="shared" si="184"/>
        <v>0</v>
      </c>
      <c r="BA242" s="207">
        <f t="shared" si="184"/>
        <v>0</v>
      </c>
      <c r="BB242" s="207">
        <f t="shared" si="184"/>
        <v>0</v>
      </c>
      <c r="BC242" s="207">
        <f t="shared" si="184"/>
        <v>0</v>
      </c>
      <c r="BD242" s="207">
        <f t="shared" si="184"/>
        <v>0</v>
      </c>
      <c r="BE242" s="207">
        <f t="shared" si="184"/>
        <v>0</v>
      </c>
      <c r="BF242" s="207">
        <f t="shared" si="184"/>
        <v>0</v>
      </c>
      <c r="BG242" s="207">
        <f t="shared" si="184"/>
        <v>0</v>
      </c>
      <c r="BH242" s="255"/>
    </row>
    <row r="243" spans="1:60" x14ac:dyDescent="0.2">
      <c r="A243" s="648"/>
      <c r="B243" s="492" t="s">
        <v>315</v>
      </c>
      <c r="C243" s="656" t="s">
        <v>113</v>
      </c>
      <c r="D243" s="750"/>
      <c r="E243" s="367" t="str">
        <f>$Q$73</f>
        <v>tapwater</v>
      </c>
      <c r="F243" s="220"/>
      <c r="G243" s="220"/>
      <c r="H243" s="242" t="s">
        <v>317</v>
      </c>
      <c r="I243" s="129"/>
      <c r="J243" s="243">
        <f t="shared" si="172"/>
        <v>0</v>
      </c>
      <c r="K243" s="236"/>
      <c r="L243" s="236"/>
      <c r="M243" s="243">
        <f t="shared" si="173"/>
        <v>0</v>
      </c>
      <c r="N243" s="129"/>
      <c r="O243" s="207">
        <f t="shared" ref="O243:W243" si="185">IF(O$24=0,0,
(($Q$117+$Q$142+$Q$159)/$Q$75)*O62)</f>
        <v>0</v>
      </c>
      <c r="P243" s="207">
        <f t="shared" si="185"/>
        <v>0</v>
      </c>
      <c r="Q243" s="207">
        <f t="shared" si="185"/>
        <v>0</v>
      </c>
      <c r="R243" s="207">
        <f t="shared" si="185"/>
        <v>0</v>
      </c>
      <c r="S243" s="207">
        <f t="shared" si="185"/>
        <v>0</v>
      </c>
      <c r="T243" s="207">
        <f t="shared" si="185"/>
        <v>0</v>
      </c>
      <c r="U243" s="207">
        <f t="shared" si="185"/>
        <v>0</v>
      </c>
      <c r="V243" s="207">
        <f t="shared" si="185"/>
        <v>0</v>
      </c>
      <c r="W243" s="207">
        <f t="shared" si="185"/>
        <v>0</v>
      </c>
      <c r="X243" s="128"/>
      <c r="Y243" s="243">
        <f t="shared" si="175"/>
        <v>0</v>
      </c>
      <c r="Z243" s="129"/>
      <c r="AA243" s="207">
        <f t="shared" ref="AA243:AI243" si="186">IF(AA$24=0,0,
(($AC$117+$AC$142+$AC$159)/$AC$75)*AA62)</f>
        <v>0</v>
      </c>
      <c r="AB243" s="207">
        <f t="shared" si="186"/>
        <v>0</v>
      </c>
      <c r="AC243" s="207">
        <f t="shared" si="186"/>
        <v>0</v>
      </c>
      <c r="AD243" s="207">
        <f t="shared" si="186"/>
        <v>0</v>
      </c>
      <c r="AE243" s="207">
        <f t="shared" si="186"/>
        <v>0</v>
      </c>
      <c r="AF243" s="207">
        <f t="shared" si="186"/>
        <v>0</v>
      </c>
      <c r="AG243" s="207">
        <f t="shared" si="186"/>
        <v>0</v>
      </c>
      <c r="AH243" s="207">
        <f t="shared" si="186"/>
        <v>0</v>
      </c>
      <c r="AI243" s="207">
        <f t="shared" si="186"/>
        <v>0</v>
      </c>
      <c r="AJ243" s="128"/>
      <c r="AK243" s="243">
        <f t="shared" si="177"/>
        <v>0</v>
      </c>
      <c r="AL243" s="129"/>
      <c r="AM243" s="207">
        <f t="shared" ref="AM243:AU243" si="187">IF(AM$24=0,0,
(($AO$117+$AO$142+$AO$159)/$AO$75)*AM62)</f>
        <v>0</v>
      </c>
      <c r="AN243" s="207">
        <f t="shared" si="187"/>
        <v>0</v>
      </c>
      <c r="AO243" s="207">
        <f t="shared" si="187"/>
        <v>0</v>
      </c>
      <c r="AP243" s="207">
        <f t="shared" si="187"/>
        <v>0</v>
      </c>
      <c r="AQ243" s="207">
        <f t="shared" si="187"/>
        <v>0</v>
      </c>
      <c r="AR243" s="207">
        <f t="shared" si="187"/>
        <v>0</v>
      </c>
      <c r="AS243" s="207">
        <f t="shared" si="187"/>
        <v>0</v>
      </c>
      <c r="AT243" s="207">
        <f t="shared" si="187"/>
        <v>0</v>
      </c>
      <c r="AU243" s="207">
        <f t="shared" si="187"/>
        <v>0</v>
      </c>
      <c r="AV243" s="128"/>
      <c r="AW243" s="243">
        <f t="shared" si="179"/>
        <v>0</v>
      </c>
      <c r="AX243" s="129"/>
      <c r="AY243" s="207">
        <f t="shared" ref="AY243:BG243" si="188">IF(AY$24=0,0,
(($BA$117+$BA$142+$BA$159)/$BA$75)*AY62)</f>
        <v>0</v>
      </c>
      <c r="AZ243" s="207">
        <f t="shared" si="188"/>
        <v>0</v>
      </c>
      <c r="BA243" s="207">
        <f t="shared" si="188"/>
        <v>0</v>
      </c>
      <c r="BB243" s="207">
        <f t="shared" si="188"/>
        <v>0</v>
      </c>
      <c r="BC243" s="207">
        <f t="shared" si="188"/>
        <v>0</v>
      </c>
      <c r="BD243" s="207">
        <f t="shared" si="188"/>
        <v>0</v>
      </c>
      <c r="BE243" s="207">
        <f t="shared" si="188"/>
        <v>0</v>
      </c>
      <c r="BF243" s="207">
        <f t="shared" si="188"/>
        <v>0</v>
      </c>
      <c r="BG243" s="207">
        <f t="shared" si="188"/>
        <v>0</v>
      </c>
      <c r="BH243" s="255"/>
    </row>
    <row r="244" spans="1:60" x14ac:dyDescent="0.2">
      <c r="A244" s="648"/>
      <c r="B244" s="492" t="s">
        <v>315</v>
      </c>
      <c r="C244" s="656" t="s">
        <v>113</v>
      </c>
      <c r="D244" s="750"/>
      <c r="E244" s="367" t="str">
        <f>$R$73</f>
        <v>verlichting</v>
      </c>
      <c r="F244" s="220"/>
      <c r="G244" s="220"/>
      <c r="H244" s="242" t="s">
        <v>317</v>
      </c>
      <c r="I244" s="129"/>
      <c r="J244" s="243">
        <f t="shared" si="172"/>
        <v>0</v>
      </c>
      <c r="K244" s="236"/>
      <c r="L244" s="236"/>
      <c r="M244" s="243">
        <f t="shared" si="173"/>
        <v>0</v>
      </c>
      <c r="N244" s="129"/>
      <c r="O244" s="207">
        <f t="shared" ref="O244:W244" si="189">IF(O$24=0,0,$R$159/$R$75*O63)</f>
        <v>0</v>
      </c>
      <c r="P244" s="207">
        <f t="shared" si="189"/>
        <v>0</v>
      </c>
      <c r="Q244" s="207">
        <f t="shared" si="189"/>
        <v>0</v>
      </c>
      <c r="R244" s="207">
        <f t="shared" si="189"/>
        <v>0</v>
      </c>
      <c r="S244" s="207">
        <f t="shared" si="189"/>
        <v>0</v>
      </c>
      <c r="T244" s="207">
        <f t="shared" si="189"/>
        <v>0</v>
      </c>
      <c r="U244" s="207">
        <f t="shared" si="189"/>
        <v>0</v>
      </c>
      <c r="V244" s="207">
        <f t="shared" si="189"/>
        <v>0</v>
      </c>
      <c r="W244" s="207">
        <f t="shared" si="189"/>
        <v>0</v>
      </c>
      <c r="X244" s="128"/>
      <c r="Y244" s="243">
        <f t="shared" si="175"/>
        <v>0</v>
      </c>
      <c r="Z244" s="129"/>
      <c r="AA244" s="207">
        <f t="shared" ref="AA244:AI244" si="190">IF(AA$24=0,0,$AD$159/$AD$75*AA63)</f>
        <v>0</v>
      </c>
      <c r="AB244" s="207">
        <f t="shared" si="190"/>
        <v>0</v>
      </c>
      <c r="AC244" s="207">
        <f t="shared" si="190"/>
        <v>0</v>
      </c>
      <c r="AD244" s="207">
        <f t="shared" si="190"/>
        <v>0</v>
      </c>
      <c r="AE244" s="207">
        <f t="shared" si="190"/>
        <v>0</v>
      </c>
      <c r="AF244" s="207">
        <f t="shared" si="190"/>
        <v>0</v>
      </c>
      <c r="AG244" s="207">
        <f t="shared" si="190"/>
        <v>0</v>
      </c>
      <c r="AH244" s="207">
        <f t="shared" si="190"/>
        <v>0</v>
      </c>
      <c r="AI244" s="207">
        <f t="shared" si="190"/>
        <v>0</v>
      </c>
      <c r="AJ244" s="128"/>
      <c r="AK244" s="243">
        <f t="shared" si="177"/>
        <v>0</v>
      </c>
      <c r="AL244" s="129"/>
      <c r="AM244" s="207">
        <f t="shared" ref="AM244:AU244" si="191">IF(AM$24=0,0,$AP$159/$AP$75*AM63)</f>
        <v>0</v>
      </c>
      <c r="AN244" s="207">
        <f t="shared" si="191"/>
        <v>0</v>
      </c>
      <c r="AO244" s="207">
        <f t="shared" si="191"/>
        <v>0</v>
      </c>
      <c r="AP244" s="207">
        <f t="shared" si="191"/>
        <v>0</v>
      </c>
      <c r="AQ244" s="207">
        <f t="shared" si="191"/>
        <v>0</v>
      </c>
      <c r="AR244" s="207">
        <f t="shared" si="191"/>
        <v>0</v>
      </c>
      <c r="AS244" s="207">
        <f t="shared" si="191"/>
        <v>0</v>
      </c>
      <c r="AT244" s="207">
        <f t="shared" si="191"/>
        <v>0</v>
      </c>
      <c r="AU244" s="207">
        <f t="shared" si="191"/>
        <v>0</v>
      </c>
      <c r="AV244" s="128"/>
      <c r="AW244" s="243">
        <f t="shared" si="179"/>
        <v>0</v>
      </c>
      <c r="AX244" s="129"/>
      <c r="AY244" s="207">
        <f t="shared" ref="AY244:BG244" si="192">IF(AY$24=0,0,$BB$159/$BB$75*AY63)</f>
        <v>0</v>
      </c>
      <c r="AZ244" s="207">
        <f t="shared" si="192"/>
        <v>0</v>
      </c>
      <c r="BA244" s="207">
        <f t="shared" si="192"/>
        <v>0</v>
      </c>
      <c r="BB244" s="207">
        <f t="shared" si="192"/>
        <v>0</v>
      </c>
      <c r="BC244" s="207">
        <f t="shared" si="192"/>
        <v>0</v>
      </c>
      <c r="BD244" s="207">
        <f t="shared" si="192"/>
        <v>0</v>
      </c>
      <c r="BE244" s="207">
        <f t="shared" si="192"/>
        <v>0</v>
      </c>
      <c r="BF244" s="207">
        <f t="shared" si="192"/>
        <v>0</v>
      </c>
      <c r="BG244" s="207">
        <f t="shared" si="192"/>
        <v>0</v>
      </c>
      <c r="BH244" s="255"/>
    </row>
    <row r="245" spans="1:60" x14ac:dyDescent="0.2">
      <c r="A245" s="648"/>
      <c r="B245" s="492" t="s">
        <v>315</v>
      </c>
      <c r="C245" s="656" t="s">
        <v>113</v>
      </c>
      <c r="D245" s="750"/>
      <c r="E245" s="367" t="str">
        <f>$S$73</f>
        <v>ventilatoren</v>
      </c>
      <c r="F245" s="220"/>
      <c r="G245" s="220"/>
      <c r="H245" s="242" t="s">
        <v>317</v>
      </c>
      <c r="I245" s="129"/>
      <c r="J245" s="243">
        <f t="shared" si="172"/>
        <v>0</v>
      </c>
      <c r="K245" s="236"/>
      <c r="L245" s="236"/>
      <c r="M245" s="243">
        <f t="shared" si="173"/>
        <v>0</v>
      </c>
      <c r="N245" s="129"/>
      <c r="O245" s="207">
        <f t="shared" ref="O245:W245" si="193">IF(OR(O$24=0,$S$75=0),0,$S$159/$S$75*O64)</f>
        <v>0</v>
      </c>
      <c r="P245" s="207">
        <f t="shared" si="193"/>
        <v>0</v>
      </c>
      <c r="Q245" s="207">
        <f t="shared" si="193"/>
        <v>0</v>
      </c>
      <c r="R245" s="207">
        <f t="shared" si="193"/>
        <v>0</v>
      </c>
      <c r="S245" s="207">
        <f t="shared" si="193"/>
        <v>0</v>
      </c>
      <c r="T245" s="207">
        <f t="shared" si="193"/>
        <v>0</v>
      </c>
      <c r="U245" s="207">
        <f t="shared" si="193"/>
        <v>0</v>
      </c>
      <c r="V245" s="207">
        <f t="shared" si="193"/>
        <v>0</v>
      </c>
      <c r="W245" s="207">
        <f t="shared" si="193"/>
        <v>0</v>
      </c>
      <c r="X245" s="128"/>
      <c r="Y245" s="243">
        <f t="shared" si="175"/>
        <v>0</v>
      </c>
      <c r="Z245" s="129"/>
      <c r="AA245" s="207">
        <f t="shared" ref="AA245:AI245" si="194">IF(OR(AA$24=0,$AE$75=0),0,$AE$159/$AE$75*AA64)</f>
        <v>0</v>
      </c>
      <c r="AB245" s="207">
        <f t="shared" si="194"/>
        <v>0</v>
      </c>
      <c r="AC245" s="207">
        <f t="shared" si="194"/>
        <v>0</v>
      </c>
      <c r="AD245" s="207">
        <f t="shared" si="194"/>
        <v>0</v>
      </c>
      <c r="AE245" s="207">
        <f t="shared" si="194"/>
        <v>0</v>
      </c>
      <c r="AF245" s="207">
        <f t="shared" si="194"/>
        <v>0</v>
      </c>
      <c r="AG245" s="207">
        <f t="shared" si="194"/>
        <v>0</v>
      </c>
      <c r="AH245" s="207">
        <f t="shared" si="194"/>
        <v>0</v>
      </c>
      <c r="AI245" s="207">
        <f t="shared" si="194"/>
        <v>0</v>
      </c>
      <c r="AJ245" s="128"/>
      <c r="AK245" s="243">
        <f t="shared" si="177"/>
        <v>0</v>
      </c>
      <c r="AL245" s="129"/>
      <c r="AM245" s="207">
        <f t="shared" ref="AM245:AU245" si="195">IF(OR(AM$24=0,$AQ$75=0),0,$AQ$159/$AQ$75*AM64)</f>
        <v>0</v>
      </c>
      <c r="AN245" s="207">
        <f t="shared" si="195"/>
        <v>0</v>
      </c>
      <c r="AO245" s="207">
        <f t="shared" si="195"/>
        <v>0</v>
      </c>
      <c r="AP245" s="207">
        <f t="shared" si="195"/>
        <v>0</v>
      </c>
      <c r="AQ245" s="207">
        <f t="shared" si="195"/>
        <v>0</v>
      </c>
      <c r="AR245" s="207">
        <f t="shared" si="195"/>
        <v>0</v>
      </c>
      <c r="AS245" s="207">
        <f t="shared" si="195"/>
        <v>0</v>
      </c>
      <c r="AT245" s="207">
        <f t="shared" si="195"/>
        <v>0</v>
      </c>
      <c r="AU245" s="207">
        <f t="shared" si="195"/>
        <v>0</v>
      </c>
      <c r="AV245" s="128"/>
      <c r="AW245" s="243">
        <f t="shared" si="179"/>
        <v>0</v>
      </c>
      <c r="AX245" s="129"/>
      <c r="AY245" s="207">
        <f t="shared" ref="AY245:BG245" si="196">IF(OR(AY$24=0,$BC$75=0),0,$BC$159/$BC$75*AY64)</f>
        <v>0</v>
      </c>
      <c r="AZ245" s="207">
        <f t="shared" si="196"/>
        <v>0</v>
      </c>
      <c r="BA245" s="207">
        <f t="shared" si="196"/>
        <v>0</v>
      </c>
      <c r="BB245" s="207">
        <f t="shared" si="196"/>
        <v>0</v>
      </c>
      <c r="BC245" s="207">
        <f t="shared" si="196"/>
        <v>0</v>
      </c>
      <c r="BD245" s="207">
        <f t="shared" si="196"/>
        <v>0</v>
      </c>
      <c r="BE245" s="207">
        <f t="shared" si="196"/>
        <v>0</v>
      </c>
      <c r="BF245" s="207">
        <f t="shared" si="196"/>
        <v>0</v>
      </c>
      <c r="BG245" s="207">
        <f t="shared" si="196"/>
        <v>0</v>
      </c>
      <c r="BH245" s="255"/>
    </row>
    <row r="246" spans="1:60" x14ac:dyDescent="0.2">
      <c r="A246" s="648"/>
      <c r="B246" s="492" t="s">
        <v>315</v>
      </c>
      <c r="C246" s="656" t="s">
        <v>113</v>
      </c>
      <c r="D246" s="750"/>
      <c r="E246" s="367" t="str">
        <f>$T$73</f>
        <v>kookgas</v>
      </c>
      <c r="F246" s="220"/>
      <c r="G246" s="220"/>
      <c r="H246" s="242" t="s">
        <v>317</v>
      </c>
      <c r="I246" s="129"/>
      <c r="J246" s="243">
        <f t="shared" si="172"/>
        <v>0</v>
      </c>
      <c r="K246" s="236"/>
      <c r="L246" s="236"/>
      <c r="M246" s="243">
        <f t="shared" si="173"/>
        <v>0</v>
      </c>
      <c r="N246" s="129"/>
      <c r="O246" s="207">
        <f t="shared" ref="O246:W246" si="197">IF(OR(O$24=0,$T$75=0),0,$T$204/$T$75*O65)</f>
        <v>0</v>
      </c>
      <c r="P246" s="207">
        <f t="shared" si="197"/>
        <v>0</v>
      </c>
      <c r="Q246" s="207">
        <f t="shared" si="197"/>
        <v>0</v>
      </c>
      <c r="R246" s="207">
        <f t="shared" si="197"/>
        <v>0</v>
      </c>
      <c r="S246" s="207">
        <f t="shared" si="197"/>
        <v>0</v>
      </c>
      <c r="T246" s="207">
        <f t="shared" si="197"/>
        <v>0</v>
      </c>
      <c r="U246" s="207">
        <f t="shared" si="197"/>
        <v>0</v>
      </c>
      <c r="V246" s="207">
        <f t="shared" si="197"/>
        <v>0</v>
      </c>
      <c r="W246" s="207">
        <f t="shared" si="197"/>
        <v>0</v>
      </c>
      <c r="X246" s="128"/>
      <c r="Y246" s="243">
        <f t="shared" si="175"/>
        <v>0</v>
      </c>
      <c r="Z246" s="129"/>
      <c r="AA246" s="207">
        <f t="shared" ref="AA246:AI246" si="198">IF(OR(AA$24=0,$AF$75=0),0,$AF$204/$AF$75*AA65)</f>
        <v>0</v>
      </c>
      <c r="AB246" s="207">
        <f t="shared" si="198"/>
        <v>0</v>
      </c>
      <c r="AC246" s="207">
        <f t="shared" si="198"/>
        <v>0</v>
      </c>
      <c r="AD246" s="207">
        <f t="shared" si="198"/>
        <v>0</v>
      </c>
      <c r="AE246" s="207">
        <f t="shared" si="198"/>
        <v>0</v>
      </c>
      <c r="AF246" s="207">
        <f t="shared" si="198"/>
        <v>0</v>
      </c>
      <c r="AG246" s="207">
        <f t="shared" si="198"/>
        <v>0</v>
      </c>
      <c r="AH246" s="207">
        <f t="shared" si="198"/>
        <v>0</v>
      </c>
      <c r="AI246" s="207">
        <f t="shared" si="198"/>
        <v>0</v>
      </c>
      <c r="AJ246" s="128"/>
      <c r="AK246" s="243">
        <f t="shared" si="177"/>
        <v>0</v>
      </c>
      <c r="AL246" s="129"/>
      <c r="AM246" s="207">
        <f t="shared" ref="AM246:AU246" si="199">IF(OR(AM$24=0,$AR$75=0),0,$AR$204/$AR$75*AM65)</f>
        <v>0</v>
      </c>
      <c r="AN246" s="207">
        <f t="shared" si="199"/>
        <v>0</v>
      </c>
      <c r="AO246" s="207">
        <f t="shared" si="199"/>
        <v>0</v>
      </c>
      <c r="AP246" s="207">
        <f t="shared" si="199"/>
        <v>0</v>
      </c>
      <c r="AQ246" s="207">
        <f t="shared" si="199"/>
        <v>0</v>
      </c>
      <c r="AR246" s="207">
        <f t="shared" si="199"/>
        <v>0</v>
      </c>
      <c r="AS246" s="207">
        <f t="shared" si="199"/>
        <v>0</v>
      </c>
      <c r="AT246" s="207">
        <f t="shared" si="199"/>
        <v>0</v>
      </c>
      <c r="AU246" s="207">
        <f t="shared" si="199"/>
        <v>0</v>
      </c>
      <c r="AV246" s="128"/>
      <c r="AW246" s="243">
        <f t="shared" si="179"/>
        <v>0</v>
      </c>
      <c r="AX246" s="129">
        <f>IF(AX$24=0,0,$BD$204/$BD$75*AX65)</f>
        <v>0</v>
      </c>
      <c r="AY246" s="207">
        <f t="shared" ref="AY246:BG246" si="200">IF(OR(AY$24=0,$BD$75=0),0,$BD$204/$BD$75*AY65)</f>
        <v>0</v>
      </c>
      <c r="AZ246" s="207">
        <f t="shared" si="200"/>
        <v>0</v>
      </c>
      <c r="BA246" s="207">
        <f t="shared" si="200"/>
        <v>0</v>
      </c>
      <c r="BB246" s="207">
        <f t="shared" si="200"/>
        <v>0</v>
      </c>
      <c r="BC246" s="207">
        <f t="shared" si="200"/>
        <v>0</v>
      </c>
      <c r="BD246" s="207">
        <f t="shared" si="200"/>
        <v>0</v>
      </c>
      <c r="BE246" s="207">
        <f t="shared" si="200"/>
        <v>0</v>
      </c>
      <c r="BF246" s="207">
        <f t="shared" si="200"/>
        <v>0</v>
      </c>
      <c r="BG246" s="207">
        <f t="shared" si="200"/>
        <v>0</v>
      </c>
      <c r="BH246" s="255"/>
    </row>
    <row r="247" spans="1:60" x14ac:dyDescent="0.2">
      <c r="A247" s="648"/>
      <c r="B247" s="492" t="s">
        <v>315</v>
      </c>
      <c r="C247" s="656" t="s">
        <v>113</v>
      </c>
      <c r="D247" s="750"/>
      <c r="E247" s="367" t="str">
        <f>$U$73</f>
        <v>overig elektra</v>
      </c>
      <c r="F247" s="220"/>
      <c r="G247" s="220"/>
      <c r="H247" s="242" t="s">
        <v>317</v>
      </c>
      <c r="I247" s="129"/>
      <c r="J247" s="243">
        <f t="shared" si="172"/>
        <v>0</v>
      </c>
      <c r="K247" s="236"/>
      <c r="L247" s="236"/>
      <c r="M247" s="243">
        <f t="shared" si="173"/>
        <v>0</v>
      </c>
      <c r="N247" s="129"/>
      <c r="O247" s="207">
        <f t="shared" ref="O247:W247" si="201">IF(OR(O$24=0,$U$75=0),0,$U$159/$U$75*O66)</f>
        <v>0</v>
      </c>
      <c r="P247" s="207">
        <f t="shared" si="201"/>
        <v>0</v>
      </c>
      <c r="Q247" s="207">
        <f t="shared" si="201"/>
        <v>0</v>
      </c>
      <c r="R247" s="207">
        <f t="shared" si="201"/>
        <v>0</v>
      </c>
      <c r="S247" s="207">
        <f t="shared" si="201"/>
        <v>0</v>
      </c>
      <c r="T247" s="207">
        <f t="shared" si="201"/>
        <v>0</v>
      </c>
      <c r="U247" s="207">
        <f t="shared" si="201"/>
        <v>0</v>
      </c>
      <c r="V247" s="207">
        <f t="shared" si="201"/>
        <v>0</v>
      </c>
      <c r="W247" s="207">
        <f t="shared" si="201"/>
        <v>0</v>
      </c>
      <c r="X247" s="128"/>
      <c r="Y247" s="243">
        <f t="shared" si="175"/>
        <v>0</v>
      </c>
      <c r="Z247" s="129"/>
      <c r="AA247" s="207">
        <f t="shared" ref="AA247:AI247" si="202">IF(OR(AA$24=0,$U$75=0),0,$AG$159/$U$75*AA66)</f>
        <v>0</v>
      </c>
      <c r="AB247" s="207">
        <f t="shared" si="202"/>
        <v>0</v>
      </c>
      <c r="AC247" s="207">
        <f t="shared" si="202"/>
        <v>0</v>
      </c>
      <c r="AD247" s="207">
        <f t="shared" si="202"/>
        <v>0</v>
      </c>
      <c r="AE247" s="207">
        <f t="shared" si="202"/>
        <v>0</v>
      </c>
      <c r="AF247" s="207">
        <f t="shared" si="202"/>
        <v>0</v>
      </c>
      <c r="AG247" s="207">
        <f t="shared" si="202"/>
        <v>0</v>
      </c>
      <c r="AH247" s="207">
        <f t="shared" si="202"/>
        <v>0</v>
      </c>
      <c r="AI247" s="207">
        <f t="shared" si="202"/>
        <v>0</v>
      </c>
      <c r="AJ247" s="128"/>
      <c r="AK247" s="243">
        <f t="shared" si="177"/>
        <v>0</v>
      </c>
      <c r="AL247" s="129"/>
      <c r="AM247" s="207">
        <f t="shared" ref="AM247:AU247" si="203">IF(OR(AM$24=0,$U$75=0),0,$AS$159/$U$75*AM66)</f>
        <v>0</v>
      </c>
      <c r="AN247" s="207">
        <f t="shared" si="203"/>
        <v>0</v>
      </c>
      <c r="AO247" s="207">
        <f t="shared" si="203"/>
        <v>0</v>
      </c>
      <c r="AP247" s="207">
        <f t="shared" si="203"/>
        <v>0</v>
      </c>
      <c r="AQ247" s="207">
        <f t="shared" si="203"/>
        <v>0</v>
      </c>
      <c r="AR247" s="207">
        <f t="shared" si="203"/>
        <v>0</v>
      </c>
      <c r="AS247" s="207">
        <f t="shared" si="203"/>
        <v>0</v>
      </c>
      <c r="AT247" s="207">
        <f t="shared" si="203"/>
        <v>0</v>
      </c>
      <c r="AU247" s="207">
        <f t="shared" si="203"/>
        <v>0</v>
      </c>
      <c r="AV247" s="128"/>
      <c r="AW247" s="243">
        <f t="shared" si="179"/>
        <v>0</v>
      </c>
      <c r="AX247" s="129"/>
      <c r="AY247" s="207">
        <f t="shared" ref="AY247:BG247" si="204">IF(OR(AY$24=0,$U$75=0),0,$BE$159/$U$75*AY66)</f>
        <v>0</v>
      </c>
      <c r="AZ247" s="207">
        <f t="shared" si="204"/>
        <v>0</v>
      </c>
      <c r="BA247" s="207">
        <f t="shared" si="204"/>
        <v>0</v>
      </c>
      <c r="BB247" s="207">
        <f t="shared" si="204"/>
        <v>0</v>
      </c>
      <c r="BC247" s="207">
        <f t="shared" si="204"/>
        <v>0</v>
      </c>
      <c r="BD247" s="207">
        <f t="shared" si="204"/>
        <v>0</v>
      </c>
      <c r="BE247" s="207">
        <f t="shared" si="204"/>
        <v>0</v>
      </c>
      <c r="BF247" s="207">
        <f t="shared" si="204"/>
        <v>0</v>
      </c>
      <c r="BG247" s="207">
        <f t="shared" si="204"/>
        <v>0</v>
      </c>
      <c r="BH247" s="255"/>
    </row>
    <row r="248" spans="1:60" x14ac:dyDescent="0.2">
      <c r="A248" s="648"/>
      <c r="B248" s="492" t="s">
        <v>315</v>
      </c>
      <c r="C248" s="656" t="s">
        <v>113</v>
      </c>
      <c r="D248" s="750"/>
      <c r="E248" s="367" t="str">
        <f>$V$73</f>
        <v>mobiliteit</v>
      </c>
      <c r="F248" s="220"/>
      <c r="G248" s="220"/>
      <c r="H248" s="242" t="s">
        <v>317</v>
      </c>
      <c r="I248" s="129"/>
      <c r="J248" s="243">
        <f t="shared" si="172"/>
        <v>0</v>
      </c>
      <c r="K248" s="236"/>
      <c r="L248" s="236"/>
      <c r="M248" s="243">
        <f t="shared" si="173"/>
        <v>0</v>
      </c>
      <c r="N248" s="129"/>
      <c r="O248" s="207">
        <f t="shared" ref="O248:W248" si="205">IF(OR($V$154=0,O$31=0),0,$V$159/$V$154*O$68/O$31)</f>
        <v>0</v>
      </c>
      <c r="P248" s="207">
        <f t="shared" si="205"/>
        <v>0</v>
      </c>
      <c r="Q248" s="207">
        <f t="shared" si="205"/>
        <v>0</v>
      </c>
      <c r="R248" s="207">
        <f t="shared" si="205"/>
        <v>0</v>
      </c>
      <c r="S248" s="207">
        <f t="shared" si="205"/>
        <v>0</v>
      </c>
      <c r="T248" s="207">
        <f t="shared" si="205"/>
        <v>0</v>
      </c>
      <c r="U248" s="207">
        <f t="shared" si="205"/>
        <v>0</v>
      </c>
      <c r="V248" s="207">
        <f t="shared" si="205"/>
        <v>0</v>
      </c>
      <c r="W248" s="207">
        <f t="shared" si="205"/>
        <v>0</v>
      </c>
      <c r="X248" s="128"/>
      <c r="Y248" s="243">
        <f t="shared" si="175"/>
        <v>0</v>
      </c>
      <c r="Z248" s="129"/>
      <c r="AA248" s="207">
        <f t="shared" ref="AA248:AI248" si="206">IF(OR($AH$154=0,AA$31=0),0,$AH$159/$AH$154*AA$68/AA$31)</f>
        <v>0</v>
      </c>
      <c r="AB248" s="207">
        <f t="shared" si="206"/>
        <v>0</v>
      </c>
      <c r="AC248" s="207">
        <f t="shared" si="206"/>
        <v>0</v>
      </c>
      <c r="AD248" s="207">
        <f t="shared" si="206"/>
        <v>0</v>
      </c>
      <c r="AE248" s="207">
        <f t="shared" si="206"/>
        <v>0</v>
      </c>
      <c r="AF248" s="207">
        <f t="shared" si="206"/>
        <v>0</v>
      </c>
      <c r="AG248" s="207">
        <f t="shared" si="206"/>
        <v>0</v>
      </c>
      <c r="AH248" s="207">
        <f t="shared" si="206"/>
        <v>0</v>
      </c>
      <c r="AI248" s="207">
        <f t="shared" si="206"/>
        <v>0</v>
      </c>
      <c r="AJ248" s="128"/>
      <c r="AK248" s="243">
        <f t="shared" si="177"/>
        <v>0</v>
      </c>
      <c r="AL248" s="129"/>
      <c r="AM248" s="207">
        <f t="shared" ref="AM248:AU248" si="207">IF(OR($AT$154=0,AM$31=0),0,$AT$159/$AT$154*AM$68/AM$31)</f>
        <v>0</v>
      </c>
      <c r="AN248" s="207">
        <f t="shared" si="207"/>
        <v>0</v>
      </c>
      <c r="AO248" s="207">
        <f t="shared" si="207"/>
        <v>0</v>
      </c>
      <c r="AP248" s="207">
        <f t="shared" si="207"/>
        <v>0</v>
      </c>
      <c r="AQ248" s="207">
        <f t="shared" si="207"/>
        <v>0</v>
      </c>
      <c r="AR248" s="207">
        <f t="shared" si="207"/>
        <v>0</v>
      </c>
      <c r="AS248" s="207">
        <f t="shared" si="207"/>
        <v>0</v>
      </c>
      <c r="AT248" s="207">
        <f t="shared" si="207"/>
        <v>0</v>
      </c>
      <c r="AU248" s="207">
        <f t="shared" si="207"/>
        <v>0</v>
      </c>
      <c r="AV248" s="128"/>
      <c r="AW248" s="243">
        <f t="shared" si="179"/>
        <v>0</v>
      </c>
      <c r="AX248" s="129"/>
      <c r="AY248" s="207">
        <f>IF(OR($BF$154=0,AY$24=0),0,$BF$159/$BF$154*AY$68/AY$31)</f>
        <v>0</v>
      </c>
      <c r="AZ248" s="207">
        <f t="shared" ref="AZ248:BG248" si="208">IF(OR($BF$154=0,AZ$31=0),0,$BF$159/$BF$154*AZ$68/AZ$31)</f>
        <v>0</v>
      </c>
      <c r="BA248" s="207">
        <f t="shared" si="208"/>
        <v>0</v>
      </c>
      <c r="BB248" s="207">
        <f t="shared" si="208"/>
        <v>0</v>
      </c>
      <c r="BC248" s="207">
        <f t="shared" si="208"/>
        <v>0</v>
      </c>
      <c r="BD248" s="207">
        <f t="shared" si="208"/>
        <v>0</v>
      </c>
      <c r="BE248" s="207">
        <f t="shared" si="208"/>
        <v>0</v>
      </c>
      <c r="BF248" s="207">
        <f t="shared" si="208"/>
        <v>0</v>
      </c>
      <c r="BG248" s="207">
        <f t="shared" si="208"/>
        <v>0</v>
      </c>
      <c r="BH248" s="255"/>
    </row>
    <row r="249" spans="1:60" x14ac:dyDescent="0.2">
      <c r="A249" s="648"/>
      <c r="B249" s="492" t="s">
        <v>315</v>
      </c>
      <c r="C249" s="656" t="s">
        <v>113</v>
      </c>
      <c r="D249" s="750"/>
      <c r="E249" s="220" t="s">
        <v>318</v>
      </c>
      <c r="F249" s="220"/>
      <c r="G249" s="220"/>
      <c r="H249" s="242" t="s">
        <v>317</v>
      </c>
      <c r="I249" s="129"/>
      <c r="J249" s="243">
        <f t="shared" si="172"/>
        <v>0</v>
      </c>
      <c r="K249" s="236"/>
      <c r="L249" s="236"/>
      <c r="M249" s="243">
        <f>SUM(M241:M248)</f>
        <v>0</v>
      </c>
      <c r="N249" s="129"/>
      <c r="O249" s="207">
        <f t="shared" ref="O249:W249" si="209">SUM(O241:O248)</f>
        <v>0</v>
      </c>
      <c r="P249" s="207">
        <f t="shared" si="209"/>
        <v>0</v>
      </c>
      <c r="Q249" s="207">
        <f t="shared" si="209"/>
        <v>0</v>
      </c>
      <c r="R249" s="207">
        <f t="shared" si="209"/>
        <v>0</v>
      </c>
      <c r="S249" s="207">
        <f t="shared" si="209"/>
        <v>0</v>
      </c>
      <c r="T249" s="207">
        <f>SUM(T241:T248)</f>
        <v>0</v>
      </c>
      <c r="U249" s="207">
        <f t="shared" si="209"/>
        <v>0</v>
      </c>
      <c r="V249" s="207">
        <f t="shared" si="209"/>
        <v>0</v>
      </c>
      <c r="W249" s="207">
        <f t="shared" si="209"/>
        <v>0</v>
      </c>
      <c r="X249" s="128"/>
      <c r="Y249" s="243">
        <f>SUM(Y241:Y248)</f>
        <v>0</v>
      </c>
      <c r="Z249" s="129"/>
      <c r="AA249" s="207">
        <f t="shared" ref="AA249:AI249" si="210">SUM(AA241:AA248)</f>
        <v>0</v>
      </c>
      <c r="AB249" s="207">
        <f t="shared" si="210"/>
        <v>0</v>
      </c>
      <c r="AC249" s="207">
        <f t="shared" si="210"/>
        <v>0</v>
      </c>
      <c r="AD249" s="207">
        <f t="shared" si="210"/>
        <v>0</v>
      </c>
      <c r="AE249" s="207">
        <f t="shared" si="210"/>
        <v>0</v>
      </c>
      <c r="AF249" s="207">
        <f>SUM(AF241:AF248)</f>
        <v>0</v>
      </c>
      <c r="AG249" s="207">
        <f t="shared" si="210"/>
        <v>0</v>
      </c>
      <c r="AH249" s="207">
        <f t="shared" si="210"/>
        <v>0</v>
      </c>
      <c r="AI249" s="207">
        <f t="shared" si="210"/>
        <v>0</v>
      </c>
      <c r="AJ249" s="128"/>
      <c r="AK249" s="243">
        <f t="shared" ref="AK249:AU249" si="211">SUM(AK241:AK248)</f>
        <v>0</v>
      </c>
      <c r="AL249" s="129"/>
      <c r="AM249" s="207">
        <f t="shared" si="211"/>
        <v>0</v>
      </c>
      <c r="AN249" s="207">
        <f t="shared" si="211"/>
        <v>0</v>
      </c>
      <c r="AO249" s="207">
        <f t="shared" si="211"/>
        <v>0</v>
      </c>
      <c r="AP249" s="207">
        <f t="shared" si="211"/>
        <v>0</v>
      </c>
      <c r="AQ249" s="207">
        <f t="shared" si="211"/>
        <v>0</v>
      </c>
      <c r="AR249" s="207">
        <f>SUM(AR241:AR248)</f>
        <v>0</v>
      </c>
      <c r="AS249" s="207">
        <f t="shared" si="211"/>
        <v>0</v>
      </c>
      <c r="AT249" s="207">
        <f t="shared" si="211"/>
        <v>0</v>
      </c>
      <c r="AU249" s="207">
        <f t="shared" si="211"/>
        <v>0</v>
      </c>
      <c r="AV249" s="128"/>
      <c r="AW249" s="243">
        <f>SUM(AW241:AW248)</f>
        <v>0</v>
      </c>
      <c r="AX249" s="129"/>
      <c r="AY249" s="207">
        <f t="shared" ref="AY249:BG249" si="212">SUM(AY241:AY248)</f>
        <v>0</v>
      </c>
      <c r="AZ249" s="207">
        <f t="shared" si="212"/>
        <v>0</v>
      </c>
      <c r="BA249" s="207">
        <f t="shared" si="212"/>
        <v>0</v>
      </c>
      <c r="BB249" s="207">
        <f t="shared" si="212"/>
        <v>0</v>
      </c>
      <c r="BC249" s="207">
        <f t="shared" si="212"/>
        <v>0</v>
      </c>
      <c r="BD249" s="207">
        <f>SUM(BD241:BD248)</f>
        <v>0</v>
      </c>
      <c r="BE249" s="207">
        <f t="shared" si="212"/>
        <v>0</v>
      </c>
      <c r="BF249" s="207">
        <f t="shared" si="212"/>
        <v>0</v>
      </c>
      <c r="BG249" s="207">
        <f t="shared" si="212"/>
        <v>0</v>
      </c>
      <c r="BH249" s="255"/>
    </row>
    <row r="250" spans="1:60" ht="18.75" x14ac:dyDescent="0.2">
      <c r="A250" s="648"/>
      <c r="B250" s="492" t="s">
        <v>315</v>
      </c>
      <c r="C250" s="739" t="s">
        <v>104</v>
      </c>
      <c r="D250" s="747"/>
      <c r="E250" s="236" t="s">
        <v>319</v>
      </c>
      <c r="F250" s="236"/>
      <c r="G250" s="236"/>
      <c r="H250" s="89"/>
      <c r="I250" s="236"/>
      <c r="J250" s="279"/>
      <c r="K250" s="236"/>
      <c r="L250" s="236"/>
      <c r="M250" s="279"/>
      <c r="N250" s="236"/>
      <c r="O250" s="236"/>
      <c r="P250" s="236"/>
      <c r="Q250" s="236"/>
      <c r="R250" s="236"/>
      <c r="S250" s="236"/>
      <c r="T250" s="236"/>
      <c r="U250" s="236"/>
      <c r="V250" s="236"/>
      <c r="W250" s="236"/>
      <c r="X250" s="236"/>
      <c r="Y250" s="279"/>
      <c r="Z250" s="236"/>
      <c r="AA250" s="236"/>
      <c r="AB250" s="236"/>
      <c r="AC250" s="236"/>
      <c r="AD250" s="236"/>
      <c r="AE250" s="236"/>
      <c r="AF250" s="236"/>
      <c r="AG250" s="236"/>
      <c r="AH250" s="236"/>
      <c r="AI250" s="236"/>
      <c r="AJ250" s="236"/>
      <c r="AK250" s="279"/>
      <c r="AL250" s="236"/>
      <c r="AM250" s="236"/>
      <c r="AN250" s="236"/>
      <c r="AO250" s="236"/>
      <c r="AP250" s="236"/>
      <c r="AQ250" s="236"/>
      <c r="AR250" s="236"/>
      <c r="AS250" s="236"/>
      <c r="AT250" s="236"/>
      <c r="AU250" s="236"/>
      <c r="AV250" s="236"/>
      <c r="AW250" s="279"/>
      <c r="AX250" s="236"/>
      <c r="AY250" s="236"/>
      <c r="AZ250" s="236"/>
      <c r="BA250" s="236"/>
      <c r="BB250" s="236"/>
      <c r="BC250" s="236"/>
      <c r="BD250" s="236"/>
      <c r="BE250" s="236"/>
      <c r="BF250" s="236"/>
      <c r="BG250" s="236"/>
      <c r="BH250" s="38"/>
    </row>
    <row r="251" spans="1:60" x14ac:dyDescent="0.2">
      <c r="A251" s="648"/>
      <c r="B251" s="492" t="s">
        <v>315</v>
      </c>
      <c r="C251" s="656" t="s">
        <v>113</v>
      </c>
      <c r="D251" s="750"/>
      <c r="E251" s="220" t="s">
        <v>320</v>
      </c>
      <c r="F251" s="220"/>
      <c r="G251" s="220"/>
      <c r="H251" s="242" t="s">
        <v>317</v>
      </c>
      <c r="I251" s="129"/>
      <c r="J251" s="243">
        <f>M251+Y251+AK251+AW251</f>
        <v>0</v>
      </c>
      <c r="K251" s="236"/>
      <c r="L251" s="236"/>
      <c r="M251" s="243">
        <f>SUMPRODUCT(N251:X251,N$24:X$24,N$31:X$31)/1000</f>
        <v>0</v>
      </c>
      <c r="N251" s="129"/>
      <c r="O251" s="207">
        <f t="shared" ref="O251:W251" si="213">IF(OR(O$24=0,O$31=0,$M$167+$M$168=0),0,
-(O234*($M$167/($M$167+$M$168))*$M$177*1000)/(O24*O31))</f>
        <v>0</v>
      </c>
      <c r="P251" s="207">
        <f t="shared" si="213"/>
        <v>0</v>
      </c>
      <c r="Q251" s="207">
        <f t="shared" si="213"/>
        <v>0</v>
      </c>
      <c r="R251" s="207">
        <f t="shared" si="213"/>
        <v>0</v>
      </c>
      <c r="S251" s="207">
        <f t="shared" si="213"/>
        <v>0</v>
      </c>
      <c r="T251" s="207">
        <f t="shared" si="213"/>
        <v>0</v>
      </c>
      <c r="U251" s="207">
        <f t="shared" si="213"/>
        <v>0</v>
      </c>
      <c r="V251" s="207">
        <f t="shared" si="213"/>
        <v>0</v>
      </c>
      <c r="W251" s="207">
        <f t="shared" si="213"/>
        <v>0</v>
      </c>
      <c r="X251" s="128"/>
      <c r="Y251" s="243">
        <f>SUMPRODUCT(Z251:AJ251,Z$24:AJ$24,Z$31:AJ$31)/1000</f>
        <v>0</v>
      </c>
      <c r="Z251" s="129"/>
      <c r="AA251" s="207">
        <f t="shared" ref="AA251:AI251" si="214">IF(OR(AA$19="-",AA$24=0,AA$31=0,$Y$167+$Y$168=0),0,
-(AA234*($Y$167/($Y$167+$Y$168))*$Y$177*1000)/(AA24*AA31))</f>
        <v>0</v>
      </c>
      <c r="AB251" s="207">
        <f t="shared" si="214"/>
        <v>0</v>
      </c>
      <c r="AC251" s="207">
        <f t="shared" si="214"/>
        <v>0</v>
      </c>
      <c r="AD251" s="207">
        <f t="shared" si="214"/>
        <v>0</v>
      </c>
      <c r="AE251" s="207">
        <f t="shared" si="214"/>
        <v>0</v>
      </c>
      <c r="AF251" s="207">
        <f t="shared" si="214"/>
        <v>0</v>
      </c>
      <c r="AG251" s="207">
        <f t="shared" si="214"/>
        <v>0</v>
      </c>
      <c r="AH251" s="207">
        <f t="shared" si="214"/>
        <v>0</v>
      </c>
      <c r="AI251" s="207">
        <f t="shared" si="214"/>
        <v>0</v>
      </c>
      <c r="AJ251" s="128"/>
      <c r="AK251" s="243">
        <f>SUMPRODUCT(AL251:AV251,AL$24:AV$24,AL$31:AV$31)/1000</f>
        <v>0</v>
      </c>
      <c r="AL251" s="129"/>
      <c r="AM251" s="207">
        <f t="shared" ref="AM251:AU251" si="215">IF(OR(AM$24=0,AM$31=0,$AK$167+$AK$168=0),0,
-AM234*($AK$167/($AK$167+$AK$168))*$AK$177*1000/(AM24*AM31))</f>
        <v>0</v>
      </c>
      <c r="AN251" s="207">
        <f t="shared" si="215"/>
        <v>0</v>
      </c>
      <c r="AO251" s="207">
        <f t="shared" si="215"/>
        <v>0</v>
      </c>
      <c r="AP251" s="207">
        <f t="shared" si="215"/>
        <v>0</v>
      </c>
      <c r="AQ251" s="207">
        <f t="shared" si="215"/>
        <v>0</v>
      </c>
      <c r="AR251" s="207">
        <f t="shared" si="215"/>
        <v>0</v>
      </c>
      <c r="AS251" s="207">
        <f t="shared" si="215"/>
        <v>0</v>
      </c>
      <c r="AT251" s="207">
        <f t="shared" si="215"/>
        <v>0</v>
      </c>
      <c r="AU251" s="207">
        <f t="shared" si="215"/>
        <v>0</v>
      </c>
      <c r="AV251" s="128"/>
      <c r="AW251" s="243">
        <f>SUMPRODUCT(AX251:BH251,AX$24:BH$24,AX$31:BH$31)/1000</f>
        <v>0</v>
      </c>
      <c r="AX251" s="129"/>
      <c r="AY251" s="207">
        <f t="shared" ref="AY251:BG251" si="216">IF(OR(AY$24=0,AY$31=0,$AW$167+$AW$168=0),0,
-AY234*($AW$167/($AW$167+$AW$168))*$AW$177*1000/(AY24*AY31))</f>
        <v>0</v>
      </c>
      <c r="AZ251" s="207">
        <f t="shared" si="216"/>
        <v>0</v>
      </c>
      <c r="BA251" s="207">
        <f t="shared" si="216"/>
        <v>0</v>
      </c>
      <c r="BB251" s="207">
        <f t="shared" si="216"/>
        <v>0</v>
      </c>
      <c r="BC251" s="207">
        <f t="shared" si="216"/>
        <v>0</v>
      </c>
      <c r="BD251" s="207">
        <f t="shared" si="216"/>
        <v>0</v>
      </c>
      <c r="BE251" s="207">
        <f t="shared" si="216"/>
        <v>0</v>
      </c>
      <c r="BF251" s="207">
        <f t="shared" si="216"/>
        <v>0</v>
      </c>
      <c r="BG251" s="207">
        <f t="shared" si="216"/>
        <v>0</v>
      </c>
      <c r="BH251" s="255"/>
    </row>
    <row r="252" spans="1:60" x14ac:dyDescent="0.2">
      <c r="A252" s="648"/>
      <c r="B252" s="492" t="s">
        <v>315</v>
      </c>
      <c r="C252" s="656" t="s">
        <v>113</v>
      </c>
      <c r="D252" s="750"/>
      <c r="E252" s="220" t="s">
        <v>321</v>
      </c>
      <c r="F252" s="220"/>
      <c r="G252" s="220"/>
      <c r="H252" s="242" t="s">
        <v>317</v>
      </c>
      <c r="I252" s="129"/>
      <c r="J252" s="243">
        <f>M252+Y252+AK252+AW252</f>
        <v>0</v>
      </c>
      <c r="K252" s="236"/>
      <c r="L252" s="236"/>
      <c r="M252" s="243">
        <f>SUMPRODUCT(N252:X252,N$24:X$24,N$31:X$31)/1000</f>
        <v>0</v>
      </c>
      <c r="N252" s="129"/>
      <c r="O252" s="207">
        <f t="shared" ref="O252:W252" si="217">IF(OR(O$24=0,O$31=0,$M$167+$M$168=0),0,
-O70*($M$177/($M$167+$M$168))/O31)</f>
        <v>0</v>
      </c>
      <c r="P252" s="207">
        <f t="shared" si="217"/>
        <v>0</v>
      </c>
      <c r="Q252" s="207">
        <f t="shared" si="217"/>
        <v>0</v>
      </c>
      <c r="R252" s="207">
        <f t="shared" si="217"/>
        <v>0</v>
      </c>
      <c r="S252" s="207">
        <f t="shared" si="217"/>
        <v>0</v>
      </c>
      <c r="T252" s="207">
        <f t="shared" si="217"/>
        <v>0</v>
      </c>
      <c r="U252" s="207">
        <f t="shared" si="217"/>
        <v>0</v>
      </c>
      <c r="V252" s="207">
        <f t="shared" si="217"/>
        <v>0</v>
      </c>
      <c r="W252" s="207">
        <f t="shared" si="217"/>
        <v>0</v>
      </c>
      <c r="X252" s="128"/>
      <c r="Y252" s="243">
        <f>SUMPRODUCT(Z252:AJ252,Z$24:AJ$24,Z$31:AJ$31)/1000</f>
        <v>0</v>
      </c>
      <c r="Z252" s="129"/>
      <c r="AA252" s="207">
        <f t="shared" ref="AA252:AI252" si="218">IF(OR(AA$24=0,AA$31=0,$Y$167+$Y$168=0),0,
-AA70*($Y$177/($Y$167+$Y$168))/AA31)</f>
        <v>0</v>
      </c>
      <c r="AB252" s="207">
        <f t="shared" si="218"/>
        <v>0</v>
      </c>
      <c r="AC252" s="207">
        <f t="shared" si="218"/>
        <v>0</v>
      </c>
      <c r="AD252" s="207">
        <f t="shared" si="218"/>
        <v>0</v>
      </c>
      <c r="AE252" s="207">
        <f t="shared" si="218"/>
        <v>0</v>
      </c>
      <c r="AF252" s="207">
        <f t="shared" si="218"/>
        <v>0</v>
      </c>
      <c r="AG252" s="207">
        <f t="shared" si="218"/>
        <v>0</v>
      </c>
      <c r="AH252" s="207">
        <f t="shared" si="218"/>
        <v>0</v>
      </c>
      <c r="AI252" s="207">
        <f t="shared" si="218"/>
        <v>0</v>
      </c>
      <c r="AJ252" s="128"/>
      <c r="AK252" s="243">
        <f>SUMPRODUCT(AL252:AV252,AL$24:AV$24,AL$31:AV$31)/1000</f>
        <v>0</v>
      </c>
      <c r="AL252" s="129"/>
      <c r="AM252" s="207">
        <f t="shared" ref="AM252:AU252" si="219">IF(OR(AM$24=0,AM$31=0,$AK$167+$AK$168=0),0,
-AM70*($AK$177/($AK$167+$AK$168))/AM31)</f>
        <v>0</v>
      </c>
      <c r="AN252" s="207">
        <f t="shared" si="219"/>
        <v>0</v>
      </c>
      <c r="AO252" s="207">
        <f t="shared" si="219"/>
        <v>0</v>
      </c>
      <c r="AP252" s="207">
        <f t="shared" si="219"/>
        <v>0</v>
      </c>
      <c r="AQ252" s="207">
        <f t="shared" si="219"/>
        <v>0</v>
      </c>
      <c r="AR252" s="207">
        <f t="shared" si="219"/>
        <v>0</v>
      </c>
      <c r="AS252" s="207">
        <f t="shared" si="219"/>
        <v>0</v>
      </c>
      <c r="AT252" s="207">
        <f t="shared" si="219"/>
        <v>0</v>
      </c>
      <c r="AU252" s="207">
        <f t="shared" si="219"/>
        <v>0</v>
      </c>
      <c r="AV252" s="128"/>
      <c r="AW252" s="243">
        <f>SUMPRODUCT(AX252:BH252,AX$24:BH$24,AX$31:BH$31)/1000</f>
        <v>0</v>
      </c>
      <c r="AX252" s="129"/>
      <c r="AY252" s="207">
        <f t="shared" ref="AY252:BG252" si="220">IF(OR(AY$24=0,AY$31=0,$AW$167+$AW$168=0),0,
-AY70*($AW$177/($AW$167+$AW$168))/AY31)</f>
        <v>0</v>
      </c>
      <c r="AZ252" s="207">
        <f t="shared" si="220"/>
        <v>0</v>
      </c>
      <c r="BA252" s="207">
        <f t="shared" si="220"/>
        <v>0</v>
      </c>
      <c r="BB252" s="207">
        <f t="shared" si="220"/>
        <v>0</v>
      </c>
      <c r="BC252" s="207">
        <f t="shared" si="220"/>
        <v>0</v>
      </c>
      <c r="BD252" s="207">
        <f t="shared" si="220"/>
        <v>0</v>
      </c>
      <c r="BE252" s="207">
        <f t="shared" si="220"/>
        <v>0</v>
      </c>
      <c r="BF252" s="207">
        <f t="shared" si="220"/>
        <v>0</v>
      </c>
      <c r="BG252" s="207">
        <f t="shared" si="220"/>
        <v>0</v>
      </c>
      <c r="BH252" s="255"/>
    </row>
    <row r="253" spans="1:60" x14ac:dyDescent="0.2">
      <c r="A253" s="648"/>
      <c r="B253" s="492" t="s">
        <v>315</v>
      </c>
      <c r="C253" s="656" t="s">
        <v>113</v>
      </c>
      <c r="D253" s="750"/>
      <c r="E253" s="220" t="s">
        <v>322</v>
      </c>
      <c r="F253" s="220"/>
      <c r="G253" s="220"/>
      <c r="H253" s="242" t="s">
        <v>317</v>
      </c>
      <c r="I253" s="129"/>
      <c r="J253" s="243">
        <f>M253+Y253+AK253+AW253</f>
        <v>0</v>
      </c>
      <c r="K253" s="236"/>
      <c r="L253" s="236"/>
      <c r="M253" s="243">
        <f>M251+M252</f>
        <v>0</v>
      </c>
      <c r="N253" s="129"/>
      <c r="O253" s="207">
        <f>O251+O252</f>
        <v>0</v>
      </c>
      <c r="P253" s="207">
        <f t="shared" ref="P253:W253" si="221">P251+P252</f>
        <v>0</v>
      </c>
      <c r="Q253" s="207">
        <f t="shared" si="221"/>
        <v>0</v>
      </c>
      <c r="R253" s="207">
        <f t="shared" si="221"/>
        <v>0</v>
      </c>
      <c r="S253" s="207">
        <f t="shared" si="221"/>
        <v>0</v>
      </c>
      <c r="T253" s="207">
        <f>T251+T252</f>
        <v>0</v>
      </c>
      <c r="U253" s="207">
        <f t="shared" si="221"/>
        <v>0</v>
      </c>
      <c r="V253" s="207">
        <f t="shared" si="221"/>
        <v>0</v>
      </c>
      <c r="W253" s="207">
        <f t="shared" si="221"/>
        <v>0</v>
      </c>
      <c r="X253" s="128"/>
      <c r="Y253" s="243">
        <f>Y251+Y252</f>
        <v>0</v>
      </c>
      <c r="Z253" s="129"/>
      <c r="AA253" s="207">
        <f>AA251+AA252</f>
        <v>0</v>
      </c>
      <c r="AB253" s="207">
        <f t="shared" ref="AB253:AI253" si="222">AB251+AB252</f>
        <v>0</v>
      </c>
      <c r="AC253" s="207">
        <f t="shared" si="222"/>
        <v>0</v>
      </c>
      <c r="AD253" s="207">
        <f t="shared" si="222"/>
        <v>0</v>
      </c>
      <c r="AE253" s="207">
        <f t="shared" si="222"/>
        <v>0</v>
      </c>
      <c r="AF253" s="207">
        <f>AF251+AF252</f>
        <v>0</v>
      </c>
      <c r="AG253" s="207">
        <f t="shared" si="222"/>
        <v>0</v>
      </c>
      <c r="AH253" s="207">
        <f t="shared" si="222"/>
        <v>0</v>
      </c>
      <c r="AI253" s="207">
        <f t="shared" si="222"/>
        <v>0</v>
      </c>
      <c r="AJ253" s="128"/>
      <c r="AK253" s="243">
        <f>AK251+AK252</f>
        <v>0</v>
      </c>
      <c r="AL253" s="129"/>
      <c r="AM253" s="207">
        <f>AM251+AM252</f>
        <v>0</v>
      </c>
      <c r="AN253" s="207">
        <f t="shared" ref="AN253:AU253" si="223">AN251+AN252</f>
        <v>0</v>
      </c>
      <c r="AO253" s="207">
        <f t="shared" si="223"/>
        <v>0</v>
      </c>
      <c r="AP253" s="207">
        <f t="shared" si="223"/>
        <v>0</v>
      </c>
      <c r="AQ253" s="207">
        <f t="shared" si="223"/>
        <v>0</v>
      </c>
      <c r="AR253" s="207">
        <f>AR251+AR252</f>
        <v>0</v>
      </c>
      <c r="AS253" s="207">
        <f t="shared" si="223"/>
        <v>0</v>
      </c>
      <c r="AT253" s="207">
        <f t="shared" si="223"/>
        <v>0</v>
      </c>
      <c r="AU253" s="207">
        <f t="shared" si="223"/>
        <v>0</v>
      </c>
      <c r="AV253" s="128"/>
      <c r="AW253" s="243">
        <f>AW251+AW252</f>
        <v>0</v>
      </c>
      <c r="AX253" s="129"/>
      <c r="AY253" s="207">
        <f>AY251+AY252</f>
        <v>0</v>
      </c>
      <c r="AZ253" s="207">
        <f t="shared" ref="AZ253:BG253" si="224">AZ251+AZ252</f>
        <v>0</v>
      </c>
      <c r="BA253" s="207">
        <f t="shared" si="224"/>
        <v>0</v>
      </c>
      <c r="BB253" s="207">
        <f t="shared" si="224"/>
        <v>0</v>
      </c>
      <c r="BC253" s="207">
        <f t="shared" si="224"/>
        <v>0</v>
      </c>
      <c r="BD253" s="207">
        <f>BD251+BD252</f>
        <v>0</v>
      </c>
      <c r="BE253" s="207">
        <f t="shared" si="224"/>
        <v>0</v>
      </c>
      <c r="BF253" s="207">
        <f t="shared" si="224"/>
        <v>0</v>
      </c>
      <c r="BG253" s="207">
        <f t="shared" si="224"/>
        <v>0</v>
      </c>
      <c r="BH253" s="255"/>
    </row>
    <row r="254" spans="1:60" ht="18.75" x14ac:dyDescent="0.2">
      <c r="A254" s="648"/>
      <c r="B254" s="492" t="s">
        <v>315</v>
      </c>
      <c r="C254" s="739" t="s">
        <v>104</v>
      </c>
      <c r="D254" s="747"/>
      <c r="E254" s="236" t="s">
        <v>287</v>
      </c>
      <c r="F254" s="236"/>
      <c r="G254" s="236"/>
      <c r="H254" s="89"/>
      <c r="I254" s="236"/>
      <c r="J254" s="279"/>
      <c r="K254" s="236"/>
      <c r="L254" s="236"/>
      <c r="M254" s="279"/>
      <c r="N254" s="236"/>
      <c r="O254" s="236"/>
      <c r="P254" s="236"/>
      <c r="Q254" s="236"/>
      <c r="R254" s="236"/>
      <c r="S254" s="236"/>
      <c r="T254" s="236"/>
      <c r="U254" s="236"/>
      <c r="V254" s="236"/>
      <c r="W254" s="236"/>
      <c r="X254" s="236"/>
      <c r="Y254" s="279"/>
      <c r="Z254" s="236"/>
      <c r="AA254" s="236"/>
      <c r="AB254" s="236"/>
      <c r="AC254" s="236"/>
      <c r="AD254" s="236"/>
      <c r="AE254" s="236"/>
      <c r="AF254" s="236"/>
      <c r="AG254" s="236"/>
      <c r="AH254" s="236"/>
      <c r="AI254" s="236"/>
      <c r="AJ254" s="236"/>
      <c r="AK254" s="279"/>
      <c r="AL254" s="236"/>
      <c r="AM254" s="236"/>
      <c r="AN254" s="236"/>
      <c r="AO254" s="236"/>
      <c r="AP254" s="236"/>
      <c r="AQ254" s="236"/>
      <c r="AR254" s="236"/>
      <c r="AS254" s="236"/>
      <c r="AT254" s="236"/>
      <c r="AU254" s="236"/>
      <c r="AV254" s="236"/>
      <c r="AW254" s="279"/>
      <c r="AX254" s="236"/>
      <c r="AY254" s="236"/>
      <c r="AZ254" s="236"/>
      <c r="BA254" s="236"/>
      <c r="BB254" s="236"/>
      <c r="BC254" s="236"/>
      <c r="BD254" s="236"/>
      <c r="BE254" s="236"/>
      <c r="BF254" s="236"/>
      <c r="BG254" s="236"/>
      <c r="BH254" s="38"/>
    </row>
    <row r="255" spans="1:60" x14ac:dyDescent="0.2">
      <c r="A255" s="648"/>
      <c r="B255" s="492" t="s">
        <v>315</v>
      </c>
      <c r="C255" s="656" t="s">
        <v>113</v>
      </c>
      <c r="D255" s="750"/>
      <c r="E255" s="220" t="s">
        <v>258</v>
      </c>
      <c r="F255" s="220"/>
      <c r="G255" s="220"/>
      <c r="H255" s="242" t="s">
        <v>317</v>
      </c>
      <c r="I255" s="129"/>
      <c r="J255" s="243">
        <f>M255+Y255+AK255+AW255</f>
        <v>0</v>
      </c>
      <c r="K255" s="236"/>
      <c r="L255" s="236"/>
      <c r="M255" s="243">
        <f>M249+M253</f>
        <v>0</v>
      </c>
      <c r="N255" s="129"/>
      <c r="O255" s="207">
        <f>O249+O253</f>
        <v>0</v>
      </c>
      <c r="P255" s="207">
        <f t="shared" ref="P255:W255" si="225">P249+P253</f>
        <v>0</v>
      </c>
      <c r="Q255" s="207">
        <f t="shared" si="225"/>
        <v>0</v>
      </c>
      <c r="R255" s="207">
        <f t="shared" si="225"/>
        <v>0</v>
      </c>
      <c r="S255" s="207">
        <f t="shared" si="225"/>
        <v>0</v>
      </c>
      <c r="T255" s="207">
        <f>T249+T253</f>
        <v>0</v>
      </c>
      <c r="U255" s="207">
        <f t="shared" si="225"/>
        <v>0</v>
      </c>
      <c r="V255" s="207">
        <f t="shared" si="225"/>
        <v>0</v>
      </c>
      <c r="W255" s="207">
        <f t="shared" si="225"/>
        <v>0</v>
      </c>
      <c r="X255" s="128"/>
      <c r="Y255" s="243">
        <f>Y249+Y253</f>
        <v>0</v>
      </c>
      <c r="Z255" s="129"/>
      <c r="AA255" s="207">
        <f>AA249+AA253</f>
        <v>0</v>
      </c>
      <c r="AB255" s="207">
        <f t="shared" ref="AB255:AI255" si="226">AB249+AB253</f>
        <v>0</v>
      </c>
      <c r="AC255" s="207">
        <f t="shared" si="226"/>
        <v>0</v>
      </c>
      <c r="AD255" s="207">
        <f t="shared" si="226"/>
        <v>0</v>
      </c>
      <c r="AE255" s="207">
        <f t="shared" si="226"/>
        <v>0</v>
      </c>
      <c r="AF255" s="207">
        <f>AF249+AF253</f>
        <v>0</v>
      </c>
      <c r="AG255" s="207">
        <f t="shared" si="226"/>
        <v>0</v>
      </c>
      <c r="AH255" s="207">
        <f t="shared" si="226"/>
        <v>0</v>
      </c>
      <c r="AI255" s="207">
        <f t="shared" si="226"/>
        <v>0</v>
      </c>
      <c r="AJ255" s="128"/>
      <c r="AK255" s="243">
        <f>AK249+AK253</f>
        <v>0</v>
      </c>
      <c r="AL255" s="129"/>
      <c r="AM255" s="207">
        <f>AM249+AM253</f>
        <v>0</v>
      </c>
      <c r="AN255" s="207">
        <f t="shared" ref="AN255:AU255" si="227">AN249+AN253</f>
        <v>0</v>
      </c>
      <c r="AO255" s="207">
        <f t="shared" si="227"/>
        <v>0</v>
      </c>
      <c r="AP255" s="207">
        <f t="shared" si="227"/>
        <v>0</v>
      </c>
      <c r="AQ255" s="207">
        <f t="shared" si="227"/>
        <v>0</v>
      </c>
      <c r="AR255" s="207">
        <f>AR249+AR253</f>
        <v>0</v>
      </c>
      <c r="AS255" s="207">
        <f t="shared" si="227"/>
        <v>0</v>
      </c>
      <c r="AT255" s="207">
        <f t="shared" si="227"/>
        <v>0</v>
      </c>
      <c r="AU255" s="207">
        <f t="shared" si="227"/>
        <v>0</v>
      </c>
      <c r="AV255" s="128"/>
      <c r="AW255" s="243">
        <f>AW249+AW253</f>
        <v>0</v>
      </c>
      <c r="AX255" s="129"/>
      <c r="AY255" s="207">
        <f>AY249+AY253</f>
        <v>0</v>
      </c>
      <c r="AZ255" s="207">
        <f t="shared" ref="AZ255:BG255" si="228">AZ249+AZ253</f>
        <v>0</v>
      </c>
      <c r="BA255" s="207">
        <f t="shared" si="228"/>
        <v>0</v>
      </c>
      <c r="BB255" s="207">
        <f t="shared" si="228"/>
        <v>0</v>
      </c>
      <c r="BC255" s="207">
        <f t="shared" si="228"/>
        <v>0</v>
      </c>
      <c r="BD255" s="207">
        <f>BD249+BD253</f>
        <v>0</v>
      </c>
      <c r="BE255" s="207">
        <f t="shared" si="228"/>
        <v>0</v>
      </c>
      <c r="BF255" s="207">
        <f t="shared" si="228"/>
        <v>0</v>
      </c>
      <c r="BG255" s="207">
        <f t="shared" si="228"/>
        <v>0</v>
      </c>
      <c r="BH255" s="255"/>
    </row>
    <row r="256" spans="1:60" ht="18.75" x14ac:dyDescent="0.2">
      <c r="A256" s="648"/>
      <c r="B256" s="492" t="s">
        <v>315</v>
      </c>
      <c r="C256" s="739" t="s">
        <v>104</v>
      </c>
      <c r="D256" s="747"/>
      <c r="E256" s="236" t="s">
        <v>323</v>
      </c>
      <c r="F256" s="236"/>
      <c r="G256" s="236"/>
      <c r="H256" s="89"/>
      <c r="I256" s="236"/>
      <c r="J256" s="279"/>
      <c r="K256" s="236"/>
      <c r="L256" s="236"/>
      <c r="M256" s="279"/>
      <c r="N256" s="236"/>
      <c r="O256" s="236"/>
      <c r="P256" s="236"/>
      <c r="Q256" s="236"/>
      <c r="R256" s="236"/>
      <c r="S256" s="236"/>
      <c r="T256" s="236"/>
      <c r="U256" s="236"/>
      <c r="V256" s="236"/>
      <c r="W256" s="236"/>
      <c r="X256" s="236"/>
      <c r="Y256" s="279"/>
      <c r="Z256" s="236"/>
      <c r="AA256" s="236"/>
      <c r="AB256" s="236"/>
      <c r="AC256" s="236"/>
      <c r="AD256" s="236"/>
      <c r="AE256" s="236"/>
      <c r="AF256" s="236"/>
      <c r="AG256" s="236"/>
      <c r="AH256" s="236"/>
      <c r="AI256" s="236"/>
      <c r="AJ256" s="236"/>
      <c r="AK256" s="279"/>
      <c r="AL256" s="236"/>
      <c r="AM256" s="236"/>
      <c r="AN256" s="236"/>
      <c r="AO256" s="236"/>
      <c r="AP256" s="236"/>
      <c r="AQ256" s="236"/>
      <c r="AR256" s="236"/>
      <c r="AS256" s="236"/>
      <c r="AT256" s="236"/>
      <c r="AU256" s="236"/>
      <c r="AV256" s="236"/>
      <c r="AW256" s="279"/>
      <c r="AX256" s="236"/>
      <c r="AY256" s="236"/>
      <c r="AZ256" s="236"/>
      <c r="BA256" s="236"/>
      <c r="BB256" s="236"/>
      <c r="BC256" s="236"/>
      <c r="BD256" s="236"/>
      <c r="BE256" s="236"/>
      <c r="BF256" s="236"/>
      <c r="BG256" s="236"/>
      <c r="BH256" s="38"/>
    </row>
    <row r="257" spans="1:60" x14ac:dyDescent="0.2">
      <c r="A257" s="648"/>
      <c r="B257" s="492" t="s">
        <v>315</v>
      </c>
      <c r="C257" s="656" t="s">
        <v>113</v>
      </c>
      <c r="D257" s="750"/>
      <c r="E257" s="220" t="s">
        <v>258</v>
      </c>
      <c r="F257" s="220"/>
      <c r="G257" s="220"/>
      <c r="H257" s="242" t="s">
        <v>317</v>
      </c>
      <c r="I257" s="129"/>
      <c r="J257" s="243">
        <f>M257+Y257+AK257+AW257</f>
        <v>0</v>
      </c>
      <c r="K257" s="236"/>
      <c r="L257" s="236"/>
      <c r="M257" s="375">
        <f>SUMPRODUCT(N257:X257,N$24:X$24,N$31:X$31)/1000</f>
        <v>0</v>
      </c>
      <c r="N257" s="129"/>
      <c r="O257" s="207">
        <f t="shared" ref="O257:W257" si="229">O255+(O241+O251)*($M$53-1)</f>
        <v>0</v>
      </c>
      <c r="P257" s="207">
        <f t="shared" si="229"/>
        <v>0</v>
      </c>
      <c r="Q257" s="207">
        <f t="shared" si="229"/>
        <v>0</v>
      </c>
      <c r="R257" s="207">
        <f t="shared" si="229"/>
        <v>0</v>
      </c>
      <c r="S257" s="207">
        <f t="shared" si="229"/>
        <v>0</v>
      </c>
      <c r="T257" s="207">
        <f t="shared" si="229"/>
        <v>0</v>
      </c>
      <c r="U257" s="207">
        <f t="shared" si="229"/>
        <v>0</v>
      </c>
      <c r="V257" s="207">
        <f t="shared" si="229"/>
        <v>0</v>
      </c>
      <c r="W257" s="207">
        <f t="shared" si="229"/>
        <v>0</v>
      </c>
      <c r="X257" s="128"/>
      <c r="Y257" s="375">
        <f>SUMPRODUCT(Z257:AJ257,Z$24:AJ$24,Z$31:AJ$31)/1000</f>
        <v>0</v>
      </c>
      <c r="Z257" s="129"/>
      <c r="AA257" s="207">
        <f t="shared" ref="AA257:AI257" si="230">AA255+(AA241+AA251)*($Y$53-1)</f>
        <v>0</v>
      </c>
      <c r="AB257" s="207">
        <f t="shared" si="230"/>
        <v>0</v>
      </c>
      <c r="AC257" s="207">
        <f t="shared" si="230"/>
        <v>0</v>
      </c>
      <c r="AD257" s="207">
        <f t="shared" si="230"/>
        <v>0</v>
      </c>
      <c r="AE257" s="207">
        <f t="shared" si="230"/>
        <v>0</v>
      </c>
      <c r="AF257" s="207">
        <f t="shared" si="230"/>
        <v>0</v>
      </c>
      <c r="AG257" s="207">
        <f t="shared" si="230"/>
        <v>0</v>
      </c>
      <c r="AH257" s="207">
        <f t="shared" si="230"/>
        <v>0</v>
      </c>
      <c r="AI257" s="207">
        <f t="shared" si="230"/>
        <v>0</v>
      </c>
      <c r="AJ257" s="128"/>
      <c r="AK257" s="375">
        <f>SUMPRODUCT(AL257:AV257,AL$24:AV$24,AL$31:AV$31)/1000</f>
        <v>0</v>
      </c>
      <c r="AL257" s="129"/>
      <c r="AM257" s="207">
        <f t="shared" ref="AM257:AU257" si="231">AM255+(AM241+AM251)*($AK$53-1)</f>
        <v>0</v>
      </c>
      <c r="AN257" s="207">
        <f t="shared" si="231"/>
        <v>0</v>
      </c>
      <c r="AO257" s="207">
        <f t="shared" si="231"/>
        <v>0</v>
      </c>
      <c r="AP257" s="207">
        <f t="shared" si="231"/>
        <v>0</v>
      </c>
      <c r="AQ257" s="207">
        <f t="shared" si="231"/>
        <v>0</v>
      </c>
      <c r="AR257" s="207">
        <f t="shared" si="231"/>
        <v>0</v>
      </c>
      <c r="AS257" s="207">
        <f t="shared" si="231"/>
        <v>0</v>
      </c>
      <c r="AT257" s="207">
        <f t="shared" si="231"/>
        <v>0</v>
      </c>
      <c r="AU257" s="207">
        <f t="shared" si="231"/>
        <v>0</v>
      </c>
      <c r="AV257" s="128"/>
      <c r="AW257" s="375">
        <f>SUMPRODUCT(AX257:BH257,AX$24:BH$24,AX$31:BH$31)/1000</f>
        <v>0</v>
      </c>
      <c r="AX257" s="129"/>
      <c r="AY257" s="207">
        <f t="shared" ref="AY257:BG257" si="232">AY255+(AY241+AY251)*($AW$53-1)</f>
        <v>0</v>
      </c>
      <c r="AZ257" s="207">
        <f t="shared" si="232"/>
        <v>0</v>
      </c>
      <c r="BA257" s="207">
        <f t="shared" si="232"/>
        <v>0</v>
      </c>
      <c r="BB257" s="207">
        <f t="shared" si="232"/>
        <v>0</v>
      </c>
      <c r="BC257" s="207">
        <f t="shared" si="232"/>
        <v>0</v>
      </c>
      <c r="BD257" s="207">
        <f t="shared" si="232"/>
        <v>0</v>
      </c>
      <c r="BE257" s="207">
        <f t="shared" si="232"/>
        <v>0</v>
      </c>
      <c r="BF257" s="207">
        <f t="shared" si="232"/>
        <v>0</v>
      </c>
      <c r="BG257" s="207">
        <f t="shared" si="232"/>
        <v>0</v>
      </c>
      <c r="BH257" s="255"/>
    </row>
    <row r="258" spans="1:60" x14ac:dyDescent="0.2">
      <c r="A258" s="648"/>
      <c r="B258" s="492" t="s">
        <v>315</v>
      </c>
      <c r="C258" s="739" t="s">
        <v>104</v>
      </c>
      <c r="D258" s="747"/>
      <c r="E258" s="90"/>
      <c r="F258" s="90"/>
      <c r="G258" s="90"/>
      <c r="H258" s="96"/>
      <c r="I258" s="90"/>
      <c r="J258" s="93"/>
      <c r="K258" s="90"/>
      <c r="L258" s="90"/>
      <c r="M258" s="93"/>
      <c r="N258" s="90"/>
      <c r="O258" s="92"/>
      <c r="P258" s="93"/>
      <c r="Q258" s="93"/>
      <c r="R258" s="93"/>
      <c r="S258" s="93"/>
      <c r="T258" s="93"/>
      <c r="U258" s="93"/>
      <c r="V258" s="93"/>
      <c r="W258" s="93"/>
      <c r="X258" s="93"/>
      <c r="Y258" s="93"/>
      <c r="Z258" s="90"/>
      <c r="AA258" s="93"/>
      <c r="AB258" s="93"/>
      <c r="AC258" s="93"/>
      <c r="AD258" s="93"/>
      <c r="AE258" s="93"/>
      <c r="AF258" s="93"/>
      <c r="AG258" s="93"/>
      <c r="AH258" s="93"/>
      <c r="AI258" s="93"/>
      <c r="AJ258" s="93"/>
      <c r="AK258" s="128"/>
      <c r="AL258" s="90"/>
      <c r="AM258" s="93"/>
      <c r="AN258" s="93"/>
      <c r="AO258" s="93"/>
      <c r="AP258" s="93"/>
      <c r="AQ258" s="93"/>
      <c r="AR258" s="93"/>
      <c r="AS258" s="93"/>
      <c r="AT258" s="93"/>
      <c r="AU258" s="93"/>
      <c r="AV258" s="93"/>
      <c r="AW258" s="93"/>
      <c r="AX258" s="90"/>
      <c r="AY258" s="93"/>
      <c r="AZ258" s="93"/>
      <c r="BA258" s="93"/>
      <c r="BB258" s="93"/>
      <c r="BC258" s="93"/>
      <c r="BD258" s="93"/>
      <c r="BE258" s="93"/>
      <c r="BF258" s="93"/>
      <c r="BG258" s="93"/>
      <c r="BH258" s="1"/>
    </row>
    <row r="259" spans="1:60" x14ac:dyDescent="0.2">
      <c r="A259" s="648"/>
      <c r="B259" s="492" t="s">
        <v>324</v>
      </c>
      <c r="C259" s="656" t="s">
        <v>104</v>
      </c>
      <c r="D259" s="747"/>
      <c r="E259" s="90"/>
      <c r="F259" s="90"/>
      <c r="G259" s="90"/>
      <c r="H259" s="96"/>
      <c r="I259" s="90"/>
      <c r="J259" s="93"/>
      <c r="K259" s="90"/>
      <c r="L259" s="90"/>
      <c r="M259" s="93"/>
      <c r="N259" s="90"/>
      <c r="O259" s="93"/>
      <c r="P259" s="93"/>
      <c r="Q259" s="93"/>
      <c r="R259" s="93"/>
      <c r="S259" s="93"/>
      <c r="T259" s="93"/>
      <c r="U259" s="93"/>
      <c r="V259" s="93"/>
      <c r="W259" s="93"/>
      <c r="X259" s="93"/>
      <c r="Y259" s="93"/>
      <c r="Z259" s="90"/>
      <c r="AA259" s="93"/>
      <c r="AB259" s="128"/>
      <c r="AC259" s="93"/>
      <c r="AD259" s="93"/>
      <c r="AE259" s="93"/>
      <c r="AF259" s="93"/>
      <c r="AG259" s="93"/>
      <c r="AH259" s="93"/>
      <c r="AI259" s="93"/>
      <c r="AJ259" s="93"/>
      <c r="AK259" s="93"/>
      <c r="AL259" s="90"/>
      <c r="AM259" s="93"/>
      <c r="AN259" s="93"/>
      <c r="AO259" s="93"/>
      <c r="AP259" s="93"/>
      <c r="AQ259" s="93"/>
      <c r="AR259" s="93"/>
      <c r="AS259" s="93"/>
      <c r="AT259" s="93"/>
      <c r="AU259" s="93"/>
      <c r="AV259" s="93"/>
      <c r="AW259" s="93"/>
      <c r="AX259" s="90"/>
      <c r="AY259" s="93"/>
      <c r="AZ259" s="93"/>
      <c r="BA259" s="93"/>
      <c r="BB259" s="93"/>
      <c r="BC259" s="93"/>
      <c r="BD259" s="93"/>
      <c r="BE259" s="93"/>
      <c r="BF259" s="93"/>
      <c r="BG259" s="93"/>
      <c r="BH259" s="1"/>
    </row>
    <row r="260" spans="1:60" s="2" customFormat="1" ht="21" x14ac:dyDescent="0.2">
      <c r="A260" s="649"/>
      <c r="B260" s="492" t="s">
        <v>324</v>
      </c>
      <c r="C260" s="739" t="s">
        <v>104</v>
      </c>
      <c r="D260" s="750" t="s">
        <v>50</v>
      </c>
      <c r="E260" s="253" t="s">
        <v>325</v>
      </c>
      <c r="F260" s="253"/>
      <c r="G260" s="253"/>
      <c r="H260" s="253"/>
      <c r="I260" s="146"/>
      <c r="J260" s="318" t="str">
        <f>J$10&amp;" MWh"</f>
        <v>totaal MWh</v>
      </c>
      <c r="K260" s="142"/>
      <c r="L260" s="142"/>
      <c r="M260" s="318" t="str">
        <f>M$10&amp;" MWh"</f>
        <v>totaal MWh</v>
      </c>
      <c r="N260" s="222"/>
      <c r="O260" s="320" t="str">
        <f t="shared" ref="O260:W260" si="233">O$17</f>
        <v/>
      </c>
      <c r="P260" s="320" t="str">
        <f t="shared" si="233"/>
        <v/>
      </c>
      <c r="Q260" s="320" t="str">
        <f t="shared" si="233"/>
        <v/>
      </c>
      <c r="R260" s="320" t="str">
        <f t="shared" si="233"/>
        <v/>
      </c>
      <c r="S260" s="320" t="str">
        <f t="shared" si="233"/>
        <v/>
      </c>
      <c r="T260" s="320" t="str">
        <f t="shared" si="233"/>
        <v/>
      </c>
      <c r="U260" s="320" t="str">
        <f t="shared" si="233"/>
        <v/>
      </c>
      <c r="V260" s="320" t="str">
        <f t="shared" si="233"/>
        <v/>
      </c>
      <c r="W260" s="320" t="str">
        <f t="shared" si="233"/>
        <v/>
      </c>
      <c r="X260" s="214"/>
      <c r="Y260" s="318"/>
      <c r="Z260" s="222"/>
      <c r="AA260" s="320" t="str">
        <f t="shared" ref="AA260:AI260" si="234">AA$17</f>
        <v/>
      </c>
      <c r="AB260" s="320" t="str">
        <f t="shared" si="234"/>
        <v/>
      </c>
      <c r="AC260" s="320" t="str">
        <f t="shared" si="234"/>
        <v/>
      </c>
      <c r="AD260" s="320" t="str">
        <f t="shared" si="234"/>
        <v/>
      </c>
      <c r="AE260" s="320" t="str">
        <f t="shared" si="234"/>
        <v/>
      </c>
      <c r="AF260" s="320" t="str">
        <f t="shared" si="234"/>
        <v/>
      </c>
      <c r="AG260" s="320" t="str">
        <f t="shared" si="234"/>
        <v/>
      </c>
      <c r="AH260" s="320" t="str">
        <f t="shared" si="234"/>
        <v/>
      </c>
      <c r="AI260" s="320" t="str">
        <f t="shared" si="234"/>
        <v/>
      </c>
      <c r="AJ260" s="214"/>
      <c r="AK260" s="318"/>
      <c r="AL260" s="222"/>
      <c r="AM260" s="320" t="str">
        <f>AM$17</f>
        <v/>
      </c>
      <c r="AN260" s="320" t="str">
        <f t="shared" ref="AN260:AU260" si="235">AN$17</f>
        <v/>
      </c>
      <c r="AO260" s="320" t="str">
        <f t="shared" si="235"/>
        <v/>
      </c>
      <c r="AP260" s="320" t="str">
        <f t="shared" si="235"/>
        <v/>
      </c>
      <c r="AQ260" s="320" t="str">
        <f t="shared" si="235"/>
        <v/>
      </c>
      <c r="AR260" s="320" t="str">
        <f t="shared" si="235"/>
        <v/>
      </c>
      <c r="AS260" s="320" t="str">
        <f t="shared" si="235"/>
        <v/>
      </c>
      <c r="AT260" s="320" t="str">
        <f t="shared" si="235"/>
        <v/>
      </c>
      <c r="AU260" s="320" t="str">
        <f t="shared" si="235"/>
        <v/>
      </c>
      <c r="AV260" s="214"/>
      <c r="AW260" s="318"/>
      <c r="AX260" s="222"/>
      <c r="AY260" s="320" t="str">
        <f>AY$17</f>
        <v/>
      </c>
      <c r="AZ260" s="320" t="str">
        <f t="shared" ref="AZ260:BG260" si="236">AZ$17</f>
        <v/>
      </c>
      <c r="BA260" s="320" t="str">
        <f t="shared" si="236"/>
        <v/>
      </c>
      <c r="BB260" s="320" t="str">
        <f t="shared" si="236"/>
        <v/>
      </c>
      <c r="BC260" s="320" t="str">
        <f t="shared" si="236"/>
        <v/>
      </c>
      <c r="BD260" s="320" t="str">
        <f t="shared" si="236"/>
        <v/>
      </c>
      <c r="BE260" s="320" t="str">
        <f t="shared" si="236"/>
        <v/>
      </c>
      <c r="BF260" s="320" t="str">
        <f t="shared" si="236"/>
        <v/>
      </c>
      <c r="BG260" s="320" t="str">
        <f t="shared" si="236"/>
        <v/>
      </c>
      <c r="BH260" s="1"/>
    </row>
    <row r="261" spans="1:60" ht="18.75" x14ac:dyDescent="0.2">
      <c r="A261" s="648"/>
      <c r="B261" s="492" t="s">
        <v>324</v>
      </c>
      <c r="C261" s="739" t="s">
        <v>104</v>
      </c>
      <c r="D261" s="747"/>
      <c r="E261" s="236" t="s">
        <v>326</v>
      </c>
      <c r="F261" s="236"/>
      <c r="G261" s="236"/>
      <c r="H261" s="89"/>
      <c r="I261" s="236"/>
      <c r="J261" s="236"/>
      <c r="K261" s="236"/>
      <c r="L261" s="236"/>
      <c r="M261" s="236"/>
      <c r="N261" s="236"/>
      <c r="O261" s="236"/>
      <c r="P261" s="236"/>
      <c r="Q261" s="236"/>
      <c r="R261" s="236"/>
      <c r="S261" s="236"/>
      <c r="T261" s="236"/>
      <c r="U261" s="236"/>
      <c r="V261" s="236"/>
      <c r="W261" s="236"/>
      <c r="X261" s="236"/>
      <c r="Y261" s="236"/>
      <c r="Z261" s="236"/>
      <c r="AA261" s="236"/>
      <c r="AB261" s="279"/>
      <c r="AC261" s="236"/>
      <c r="AD261" s="236"/>
      <c r="AE261" s="236"/>
      <c r="AF261" s="236"/>
      <c r="AG261" s="236"/>
      <c r="AH261" s="236"/>
      <c r="AI261" s="236"/>
      <c r="AJ261" s="236"/>
      <c r="AK261" s="236"/>
      <c r="AL261" s="236"/>
      <c r="AM261" s="236"/>
      <c r="AN261" s="236"/>
      <c r="AO261" s="279"/>
      <c r="AP261" s="236"/>
      <c r="AQ261" s="236"/>
      <c r="AR261" s="236"/>
      <c r="AS261" s="236"/>
      <c r="AT261" s="236"/>
      <c r="AU261" s="236"/>
      <c r="AV261" s="236"/>
      <c r="AW261" s="236"/>
      <c r="AX261" s="236"/>
      <c r="AY261" s="236"/>
      <c r="AZ261" s="236"/>
      <c r="BA261" s="236"/>
      <c r="BB261" s="236"/>
      <c r="BC261" s="236"/>
      <c r="BD261" s="236"/>
      <c r="BE261" s="236"/>
      <c r="BF261" s="236"/>
      <c r="BG261" s="236"/>
      <c r="BH261" s="38"/>
    </row>
    <row r="262" spans="1:60" x14ac:dyDescent="0.2">
      <c r="A262" s="648"/>
      <c r="B262" s="492" t="s">
        <v>324</v>
      </c>
      <c r="C262" s="656" t="s">
        <v>113</v>
      </c>
      <c r="D262" s="750" t="s">
        <v>50</v>
      </c>
      <c r="E262" s="220" t="s">
        <v>327</v>
      </c>
      <c r="F262" s="220"/>
      <c r="G262" s="220"/>
      <c r="H262" s="242" t="s">
        <v>317</v>
      </c>
      <c r="I262" s="129"/>
      <c r="J262" s="243">
        <f>M262+Y262+AK262+AW262</f>
        <v>0</v>
      </c>
      <c r="K262" s="236"/>
      <c r="L262" s="236"/>
      <c r="M262" s="243">
        <f>SUMPRODUCT(N262:X262,N$32:X$32)/1000</f>
        <v>0</v>
      </c>
      <c r="N262" s="129"/>
      <c r="O262" s="207" t="str">
        <f t="shared" ref="O262:W262" si="237">IF(OR(O$19="",O$24=0,O$31=0),"",O$255-O$248-O$247-IF(OR(O$21=woning,O$21=woongebouw),O244,0))</f>
        <v/>
      </c>
      <c r="P262" s="207" t="str">
        <f t="shared" si="237"/>
        <v/>
      </c>
      <c r="Q262" s="207" t="str">
        <f t="shared" si="237"/>
        <v/>
      </c>
      <c r="R262" s="207" t="str">
        <f t="shared" si="237"/>
        <v/>
      </c>
      <c r="S262" s="207" t="str">
        <f t="shared" si="237"/>
        <v/>
      </c>
      <c r="T262" s="207" t="str">
        <f t="shared" si="237"/>
        <v/>
      </c>
      <c r="U262" s="207" t="str">
        <f t="shared" si="237"/>
        <v/>
      </c>
      <c r="V262" s="207" t="str">
        <f t="shared" si="237"/>
        <v/>
      </c>
      <c r="W262" s="207" t="str">
        <f t="shared" si="237"/>
        <v/>
      </c>
      <c r="X262" s="128"/>
      <c r="Y262" s="243">
        <f>SUMPRODUCT(Z262:AJ262,Z$32:AJ$32)/1000</f>
        <v>0</v>
      </c>
      <c r="Z262" s="129"/>
      <c r="AA262" s="207" t="str">
        <f t="shared" ref="AA262:AI262" si="238">IF(OR(AA$19="",AA$24=0,AA$31=0),"",AA$255-AA$248-AA$247-IF(OR(AA$21=woning,AA$21=woongebouw),AA244,0))</f>
        <v/>
      </c>
      <c r="AB262" s="207" t="str">
        <f t="shared" si="238"/>
        <v/>
      </c>
      <c r="AC262" s="207" t="str">
        <f t="shared" si="238"/>
        <v/>
      </c>
      <c r="AD262" s="207" t="str">
        <f t="shared" si="238"/>
        <v/>
      </c>
      <c r="AE262" s="207" t="str">
        <f t="shared" si="238"/>
        <v/>
      </c>
      <c r="AF262" s="207" t="str">
        <f t="shared" si="238"/>
        <v/>
      </c>
      <c r="AG262" s="207" t="str">
        <f t="shared" si="238"/>
        <v/>
      </c>
      <c r="AH262" s="207" t="str">
        <f t="shared" si="238"/>
        <v/>
      </c>
      <c r="AI262" s="207" t="str">
        <f t="shared" si="238"/>
        <v/>
      </c>
      <c r="AJ262" s="128"/>
      <c r="AK262" s="243">
        <f>SUMPRODUCT(AL262:AV262,AL$32:AV$32)/1000</f>
        <v>0</v>
      </c>
      <c r="AL262" s="129"/>
      <c r="AM262" s="207" t="str">
        <f t="shared" ref="AM262:AU262" si="239">IF(OR(AM$19="",AM$24=0,AM$31=0),"",AM$255-AM$248-AM$247-IF(OR(AM$21=woning,AM$21=woongebouw),AM244,0))</f>
        <v/>
      </c>
      <c r="AN262" s="207" t="str">
        <f t="shared" si="239"/>
        <v/>
      </c>
      <c r="AO262" s="207" t="str">
        <f t="shared" si="239"/>
        <v/>
      </c>
      <c r="AP262" s="207" t="str">
        <f t="shared" si="239"/>
        <v/>
      </c>
      <c r="AQ262" s="207" t="str">
        <f t="shared" si="239"/>
        <v/>
      </c>
      <c r="AR262" s="207" t="str">
        <f t="shared" si="239"/>
        <v/>
      </c>
      <c r="AS262" s="207" t="str">
        <f t="shared" si="239"/>
        <v/>
      </c>
      <c r="AT262" s="207" t="str">
        <f t="shared" si="239"/>
        <v/>
      </c>
      <c r="AU262" s="207" t="str">
        <f t="shared" si="239"/>
        <v/>
      </c>
      <c r="AV262" s="128"/>
      <c r="AW262" s="243">
        <f>SUMPRODUCT(AX262:BH262,AX$32:BH$32)/1000</f>
        <v>0</v>
      </c>
      <c r="AX262" s="129"/>
      <c r="AY262" s="207" t="str">
        <f t="shared" ref="AY262:BG262" si="240">IF(OR(AY$19="",AY$24=0,AY$31=0),"",AY$255-AY$248-AY$247-IF(OR(AY$21=woning,AY$21=woongebouw),AY244,0))</f>
        <v/>
      </c>
      <c r="AZ262" s="207" t="str">
        <f t="shared" si="240"/>
        <v/>
      </c>
      <c r="BA262" s="207" t="str">
        <f t="shared" si="240"/>
        <v/>
      </c>
      <c r="BB262" s="207" t="str">
        <f t="shared" si="240"/>
        <v/>
      </c>
      <c r="BC262" s="207" t="str">
        <f t="shared" si="240"/>
        <v/>
      </c>
      <c r="BD262" s="207" t="str">
        <f t="shared" si="240"/>
        <v/>
      </c>
      <c r="BE262" s="207" t="str">
        <f t="shared" si="240"/>
        <v/>
      </c>
      <c r="BF262" s="207" t="str">
        <f t="shared" si="240"/>
        <v/>
      </c>
      <c r="BG262" s="207" t="str">
        <f t="shared" si="240"/>
        <v/>
      </c>
      <c r="BH262" s="255"/>
    </row>
    <row r="263" spans="1:60" ht="18.75" x14ac:dyDescent="0.2">
      <c r="A263" s="648"/>
      <c r="B263" s="492" t="s">
        <v>324</v>
      </c>
      <c r="C263" s="739" t="s">
        <v>104</v>
      </c>
      <c r="D263" s="747"/>
      <c r="E263" s="236" t="s">
        <v>328</v>
      </c>
      <c r="F263" s="236"/>
      <c r="G263" s="236"/>
      <c r="H263" s="89"/>
      <c r="I263" s="236"/>
      <c r="J263" s="236"/>
      <c r="K263" s="236"/>
      <c r="L263" s="236"/>
      <c r="M263" s="236"/>
      <c r="N263" s="236"/>
      <c r="O263" s="236"/>
      <c r="P263" s="236"/>
      <c r="Q263" s="236"/>
      <c r="R263" s="236"/>
      <c r="S263" s="236"/>
      <c r="T263" s="236"/>
      <c r="U263" s="236"/>
      <c r="V263" s="236"/>
      <c r="W263" s="236"/>
      <c r="X263" s="236"/>
      <c r="Y263" s="236"/>
      <c r="Z263" s="236"/>
      <c r="AA263" s="236"/>
      <c r="AB263" s="236"/>
      <c r="AC263" s="236"/>
      <c r="AD263" s="236"/>
      <c r="AE263" s="236"/>
      <c r="AF263" s="236"/>
      <c r="AG263" s="236"/>
      <c r="AH263" s="236"/>
      <c r="AI263" s="236"/>
      <c r="AJ263" s="236"/>
      <c r="AK263" s="236"/>
      <c r="AL263" s="236"/>
      <c r="AM263" s="236"/>
      <c r="AN263" s="236"/>
      <c r="AO263" s="236"/>
      <c r="AP263" s="236"/>
      <c r="AQ263" s="236"/>
      <c r="AR263" s="236"/>
      <c r="AS263" s="236"/>
      <c r="AT263" s="236"/>
      <c r="AU263" s="236"/>
      <c r="AV263" s="236"/>
      <c r="AW263" s="236"/>
      <c r="AX263" s="236"/>
      <c r="AY263" s="236"/>
      <c r="AZ263" s="236"/>
      <c r="BA263" s="236"/>
      <c r="BB263" s="236"/>
      <c r="BC263" s="236"/>
      <c r="BD263" s="236"/>
      <c r="BE263" s="236"/>
      <c r="BF263" s="236"/>
      <c r="BG263" s="236"/>
      <c r="BH263" s="38"/>
    </row>
    <row r="264" spans="1:60" x14ac:dyDescent="0.2">
      <c r="A264" s="648"/>
      <c r="B264" s="492" t="s">
        <v>324</v>
      </c>
      <c r="C264" s="656" t="s">
        <v>113</v>
      </c>
      <c r="D264" s="750" t="s">
        <v>50</v>
      </c>
      <c r="E264" s="220" t="s">
        <v>329</v>
      </c>
      <c r="F264" s="220"/>
      <c r="G264" s="220"/>
      <c r="H264" s="242" t="s">
        <v>317</v>
      </c>
      <c r="I264" s="129"/>
      <c r="J264" s="243">
        <f t="shared" ref="J264:J269" si="241">M264+Y264+AK264+AW264</f>
        <v>0</v>
      </c>
      <c r="K264" s="236"/>
      <c r="L264" s="236"/>
      <c r="M264" s="243">
        <f t="shared" ref="M264:M269" si="242">SUMPRODUCT(N264:X264,N$32:X$32)/1000</f>
        <v>0</v>
      </c>
      <c r="N264" s="129"/>
      <c r="O264" s="207" t="str">
        <f t="shared" ref="O264:W264" si="243">IF(OR(O$19="",O$24=0,O$31=0),"",
(O$234*$O209+O$235*$P209+O$236*$Q209)*1000/(O$24*O$31))</f>
        <v/>
      </c>
      <c r="P264" s="207" t="str">
        <f t="shared" si="243"/>
        <v/>
      </c>
      <c r="Q264" s="207" t="str">
        <f t="shared" si="243"/>
        <v/>
      </c>
      <c r="R264" s="207" t="str">
        <f t="shared" si="243"/>
        <v/>
      </c>
      <c r="S264" s="207" t="str">
        <f t="shared" si="243"/>
        <v/>
      </c>
      <c r="T264" s="207" t="str">
        <f t="shared" si="243"/>
        <v/>
      </c>
      <c r="U264" s="207" t="str">
        <f t="shared" si="243"/>
        <v/>
      </c>
      <c r="V264" s="207" t="str">
        <f t="shared" si="243"/>
        <v/>
      </c>
      <c r="W264" s="207" t="str">
        <f t="shared" si="243"/>
        <v/>
      </c>
      <c r="X264" s="128"/>
      <c r="Y264" s="243">
        <f t="shared" ref="Y264:Y269" si="244">SUMPRODUCT(Z264:AJ264,Z$32:AJ$32)/1000</f>
        <v>0</v>
      </c>
      <c r="Z264" s="129"/>
      <c r="AA264" s="207" t="str">
        <f t="shared" ref="AA264:AI264" si="245">IF(OR(AA$19="",AA$24=0,AA$31=0),"",
(AA$234*$AA209+AA$235*$AB209+AA$236*$AC209)*1000/(AA$24*AA$31))</f>
        <v/>
      </c>
      <c r="AB264" s="207" t="str">
        <f t="shared" si="245"/>
        <v/>
      </c>
      <c r="AC264" s="207" t="str">
        <f t="shared" si="245"/>
        <v/>
      </c>
      <c r="AD264" s="207" t="str">
        <f t="shared" si="245"/>
        <v/>
      </c>
      <c r="AE264" s="207" t="str">
        <f t="shared" si="245"/>
        <v/>
      </c>
      <c r="AF264" s="207" t="str">
        <f t="shared" si="245"/>
        <v/>
      </c>
      <c r="AG264" s="207" t="str">
        <f t="shared" si="245"/>
        <v/>
      </c>
      <c r="AH264" s="207" t="str">
        <f t="shared" si="245"/>
        <v/>
      </c>
      <c r="AI264" s="207" t="str">
        <f t="shared" si="245"/>
        <v/>
      </c>
      <c r="AJ264" s="128"/>
      <c r="AK264" s="243">
        <f t="shared" ref="AK264:AK269" si="246">SUMPRODUCT(AL264:AV264,AL$32:AV$32)/1000</f>
        <v>0</v>
      </c>
      <c r="AL264" s="129"/>
      <c r="AM264" s="207" t="str">
        <f t="shared" ref="AM264:AU264" si="247">IF(OR(AM$19="",AM$24=0,AM$31=0),"",
(AM$234*$AM209+AM$235*$AN209+AM$236*$AO209)*1000/(AM$24*AM$31))</f>
        <v/>
      </c>
      <c r="AN264" s="207" t="str">
        <f t="shared" si="247"/>
        <v/>
      </c>
      <c r="AO264" s="207" t="str">
        <f t="shared" si="247"/>
        <v/>
      </c>
      <c r="AP264" s="207" t="str">
        <f t="shared" si="247"/>
        <v/>
      </c>
      <c r="AQ264" s="207" t="str">
        <f t="shared" si="247"/>
        <v/>
      </c>
      <c r="AR264" s="207" t="str">
        <f t="shared" si="247"/>
        <v/>
      </c>
      <c r="AS264" s="207" t="str">
        <f t="shared" si="247"/>
        <v/>
      </c>
      <c r="AT264" s="207" t="str">
        <f t="shared" si="247"/>
        <v/>
      </c>
      <c r="AU264" s="207" t="str">
        <f t="shared" si="247"/>
        <v/>
      </c>
      <c r="AV264" s="128"/>
      <c r="AW264" s="243">
        <f t="shared" ref="AW264:AW269" si="248">SUMPRODUCT(AX264:BH264,AX$32:BH$32)/1000</f>
        <v>0</v>
      </c>
      <c r="AX264" s="129"/>
      <c r="AY264" s="207" t="str">
        <f t="shared" ref="AY264:BG264" si="249">IF(OR(AY$19="",AY$24=0,AY$31=0),"",
(AY$234*$AY209+AY$235*$AZ209+AY$236*$BA209)*1000/(AY$24*AY$31))</f>
        <v/>
      </c>
      <c r="AZ264" s="207" t="str">
        <f t="shared" si="249"/>
        <v/>
      </c>
      <c r="BA264" s="207" t="str">
        <f t="shared" si="249"/>
        <v/>
      </c>
      <c r="BB264" s="207" t="str">
        <f t="shared" si="249"/>
        <v/>
      </c>
      <c r="BC264" s="207" t="str">
        <f t="shared" si="249"/>
        <v/>
      </c>
      <c r="BD264" s="207" t="str">
        <f t="shared" si="249"/>
        <v/>
      </c>
      <c r="BE264" s="207" t="str">
        <f t="shared" si="249"/>
        <v/>
      </c>
      <c r="BF264" s="207" t="str">
        <f t="shared" si="249"/>
        <v/>
      </c>
      <c r="BG264" s="207" t="str">
        <f t="shared" si="249"/>
        <v/>
      </c>
      <c r="BH264" s="255"/>
    </row>
    <row r="265" spans="1:60" x14ac:dyDescent="0.2">
      <c r="A265" s="648"/>
      <c r="B265" s="492" t="s">
        <v>324</v>
      </c>
      <c r="C265" s="656" t="s">
        <v>113</v>
      </c>
      <c r="D265" s="750" t="s">
        <v>50</v>
      </c>
      <c r="E265" s="220" t="s">
        <v>330</v>
      </c>
      <c r="F265" s="220"/>
      <c r="G265" s="220"/>
      <c r="H265" s="242" t="s">
        <v>317</v>
      </c>
      <c r="I265" s="129"/>
      <c r="J265" s="243">
        <f t="shared" si="241"/>
        <v>0</v>
      </c>
      <c r="K265" s="236"/>
      <c r="L265" s="236"/>
      <c r="M265" s="243">
        <f t="shared" si="242"/>
        <v>0</v>
      </c>
      <c r="N265" s="129"/>
      <c r="O265" s="207" t="str">
        <f t="shared" ref="O265:W265" si="250">IF(OR(O$19="",O$24=0,O$31=0),"",
(O$235*$P210)*1000/(O$24*O$31))</f>
        <v/>
      </c>
      <c r="P265" s="207" t="str">
        <f t="shared" si="250"/>
        <v/>
      </c>
      <c r="Q265" s="207" t="str">
        <f t="shared" si="250"/>
        <v/>
      </c>
      <c r="R265" s="207" t="str">
        <f t="shared" si="250"/>
        <v/>
      </c>
      <c r="S265" s="207" t="str">
        <f t="shared" si="250"/>
        <v/>
      </c>
      <c r="T265" s="207" t="str">
        <f t="shared" si="250"/>
        <v/>
      </c>
      <c r="U265" s="207" t="str">
        <f t="shared" si="250"/>
        <v/>
      </c>
      <c r="V265" s="207" t="str">
        <f t="shared" si="250"/>
        <v/>
      </c>
      <c r="W265" s="207" t="str">
        <f t="shared" si="250"/>
        <v/>
      </c>
      <c r="X265" s="128"/>
      <c r="Y265" s="243">
        <f t="shared" si="244"/>
        <v>0</v>
      </c>
      <c r="Z265" s="129"/>
      <c r="AA265" s="207" t="str">
        <f t="shared" ref="AA265:AI265" si="251">IF(OR(AA$19="",AA$24=0,AA$31=0),"",
(AA$235*$AB210)*1000/(AA$24*AA$31))</f>
        <v/>
      </c>
      <c r="AB265" s="207" t="str">
        <f t="shared" si="251"/>
        <v/>
      </c>
      <c r="AC265" s="207" t="str">
        <f t="shared" si="251"/>
        <v/>
      </c>
      <c r="AD265" s="207" t="str">
        <f t="shared" si="251"/>
        <v/>
      </c>
      <c r="AE265" s="207" t="str">
        <f t="shared" si="251"/>
        <v/>
      </c>
      <c r="AF265" s="207" t="str">
        <f t="shared" si="251"/>
        <v/>
      </c>
      <c r="AG265" s="207" t="str">
        <f t="shared" si="251"/>
        <v/>
      </c>
      <c r="AH265" s="207" t="str">
        <f t="shared" si="251"/>
        <v/>
      </c>
      <c r="AI265" s="207" t="str">
        <f t="shared" si="251"/>
        <v/>
      </c>
      <c r="AJ265" s="128"/>
      <c r="AK265" s="243">
        <f t="shared" si="246"/>
        <v>0</v>
      </c>
      <c r="AL265" s="129"/>
      <c r="AM265" s="207" t="str">
        <f t="shared" ref="AM265:AU265" si="252">IF(OR(AM$19="",AM$24=0,AM$31=0),"",
(AM$235*$AN210)*1000/(AM$24*AM$31))</f>
        <v/>
      </c>
      <c r="AN265" s="207" t="str">
        <f t="shared" si="252"/>
        <v/>
      </c>
      <c r="AO265" s="207" t="str">
        <f t="shared" si="252"/>
        <v/>
      </c>
      <c r="AP265" s="207" t="str">
        <f t="shared" si="252"/>
        <v/>
      </c>
      <c r="AQ265" s="207" t="str">
        <f t="shared" si="252"/>
        <v/>
      </c>
      <c r="AR265" s="207" t="str">
        <f t="shared" si="252"/>
        <v/>
      </c>
      <c r="AS265" s="207" t="str">
        <f t="shared" si="252"/>
        <v/>
      </c>
      <c r="AT265" s="207" t="str">
        <f t="shared" si="252"/>
        <v/>
      </c>
      <c r="AU265" s="207" t="str">
        <f t="shared" si="252"/>
        <v/>
      </c>
      <c r="AV265" s="128"/>
      <c r="AW265" s="243">
        <f t="shared" si="248"/>
        <v>0</v>
      </c>
      <c r="AX265" s="129"/>
      <c r="AY265" s="207" t="str">
        <f t="shared" ref="AY265:BG265" si="253">IF(OR(AY$19="",AY$24=0,AY$31=0),"",
(AY$235*$AZ210)*1000/(AY$24*AY$31))</f>
        <v/>
      </c>
      <c r="AZ265" s="207" t="str">
        <f t="shared" si="253"/>
        <v/>
      </c>
      <c r="BA265" s="207" t="str">
        <f t="shared" si="253"/>
        <v/>
      </c>
      <c r="BB265" s="207" t="str">
        <f t="shared" si="253"/>
        <v/>
      </c>
      <c r="BC265" s="207" t="str">
        <f t="shared" si="253"/>
        <v/>
      </c>
      <c r="BD265" s="207" t="str">
        <f t="shared" si="253"/>
        <v/>
      </c>
      <c r="BE265" s="207" t="str">
        <f t="shared" si="253"/>
        <v/>
      </c>
      <c r="BF265" s="207" t="str">
        <f t="shared" si="253"/>
        <v/>
      </c>
      <c r="BG265" s="207" t="str">
        <f t="shared" si="253"/>
        <v/>
      </c>
      <c r="BH265" s="255"/>
    </row>
    <row r="266" spans="1:60" x14ac:dyDescent="0.2">
      <c r="A266" s="648"/>
      <c r="B266" s="492" t="s">
        <v>324</v>
      </c>
      <c r="C266" s="656" t="s">
        <v>113</v>
      </c>
      <c r="D266" s="750" t="s">
        <v>50</v>
      </c>
      <c r="E266" s="220" t="s">
        <v>294</v>
      </c>
      <c r="F266" s="220"/>
      <c r="G266" s="220"/>
      <c r="H266" s="242" t="s">
        <v>317</v>
      </c>
      <c r="I266" s="129"/>
      <c r="J266" s="243">
        <f t="shared" si="241"/>
        <v>0</v>
      </c>
      <c r="K266" s="236"/>
      <c r="L266" s="236"/>
      <c r="M266" s="243">
        <f t="shared" si="242"/>
        <v>0</v>
      </c>
      <c r="N266" s="129"/>
      <c r="O266" s="207" t="str">
        <f t="shared" ref="O266:W266" si="254">IF(OR(O$19="",O$24=0,O$31=0),"",
(O$234*$O211+O$236*$Q211)*1000/(O$24*O$31))</f>
        <v/>
      </c>
      <c r="P266" s="207" t="str">
        <f t="shared" si="254"/>
        <v/>
      </c>
      <c r="Q266" s="207" t="str">
        <f t="shared" si="254"/>
        <v/>
      </c>
      <c r="R266" s="207" t="str">
        <f t="shared" si="254"/>
        <v/>
      </c>
      <c r="S266" s="207" t="str">
        <f t="shared" si="254"/>
        <v/>
      </c>
      <c r="T266" s="207" t="str">
        <f t="shared" si="254"/>
        <v/>
      </c>
      <c r="U266" s="207" t="str">
        <f t="shared" si="254"/>
        <v/>
      </c>
      <c r="V266" s="207" t="str">
        <f t="shared" si="254"/>
        <v/>
      </c>
      <c r="W266" s="207" t="str">
        <f t="shared" si="254"/>
        <v/>
      </c>
      <c r="X266" s="128"/>
      <c r="Y266" s="243">
        <f t="shared" si="244"/>
        <v>0</v>
      </c>
      <c r="Z266" s="129"/>
      <c r="AA266" s="207" t="str">
        <f t="shared" ref="AA266:AI266" si="255">IF(OR(AA$19="",AA$24=0,AA$31=0),"",
(AA$234*$AA211+AA$236*$AC211)*1000/(AA$24*AA$31))</f>
        <v/>
      </c>
      <c r="AB266" s="207" t="str">
        <f t="shared" si="255"/>
        <v/>
      </c>
      <c r="AC266" s="207" t="str">
        <f t="shared" si="255"/>
        <v/>
      </c>
      <c r="AD266" s="207" t="str">
        <f t="shared" si="255"/>
        <v/>
      </c>
      <c r="AE266" s="207" t="str">
        <f t="shared" si="255"/>
        <v/>
      </c>
      <c r="AF266" s="207" t="str">
        <f t="shared" si="255"/>
        <v/>
      </c>
      <c r="AG266" s="207" t="str">
        <f t="shared" si="255"/>
        <v/>
      </c>
      <c r="AH266" s="207" t="str">
        <f t="shared" si="255"/>
        <v/>
      </c>
      <c r="AI266" s="207" t="str">
        <f t="shared" si="255"/>
        <v/>
      </c>
      <c r="AJ266" s="128"/>
      <c r="AK266" s="243">
        <f t="shared" si="246"/>
        <v>0</v>
      </c>
      <c r="AL266" s="129"/>
      <c r="AM266" s="207" t="str">
        <f t="shared" ref="AM266:AU266" si="256">IF(OR(AM$19="",AM$24=0,AM$31=0),"",
(AM$234*$AM211+AM$236*$AO211)*1000/(AM$24*AM$31))</f>
        <v/>
      </c>
      <c r="AN266" s="207" t="str">
        <f t="shared" si="256"/>
        <v/>
      </c>
      <c r="AO266" s="207" t="str">
        <f t="shared" si="256"/>
        <v/>
      </c>
      <c r="AP266" s="207" t="str">
        <f t="shared" si="256"/>
        <v/>
      </c>
      <c r="AQ266" s="207" t="str">
        <f t="shared" si="256"/>
        <v/>
      </c>
      <c r="AR266" s="207" t="str">
        <f t="shared" si="256"/>
        <v/>
      </c>
      <c r="AS266" s="207" t="str">
        <f t="shared" si="256"/>
        <v/>
      </c>
      <c r="AT266" s="207" t="str">
        <f t="shared" si="256"/>
        <v/>
      </c>
      <c r="AU266" s="207" t="str">
        <f t="shared" si="256"/>
        <v/>
      </c>
      <c r="AV266" s="128"/>
      <c r="AW266" s="243">
        <f t="shared" si="248"/>
        <v>0</v>
      </c>
      <c r="AX266" s="129"/>
      <c r="AY266" s="207" t="str">
        <f t="shared" ref="AY266:BG266" si="257">IF(OR(AY$19="",AY$24=0,AY$31=0),"",
(AY$234*$AY211+AY$236*$BA211)*1000/(AY$24*AY$31))</f>
        <v/>
      </c>
      <c r="AZ266" s="207" t="str">
        <f t="shared" si="257"/>
        <v/>
      </c>
      <c r="BA266" s="207" t="str">
        <f t="shared" si="257"/>
        <v/>
      </c>
      <c r="BB266" s="207" t="str">
        <f t="shared" si="257"/>
        <v/>
      </c>
      <c r="BC266" s="207" t="str">
        <f t="shared" si="257"/>
        <v/>
      </c>
      <c r="BD266" s="207" t="str">
        <f t="shared" si="257"/>
        <v/>
      </c>
      <c r="BE266" s="207" t="str">
        <f t="shared" si="257"/>
        <v/>
      </c>
      <c r="BF266" s="207" t="str">
        <f t="shared" si="257"/>
        <v/>
      </c>
      <c r="BG266" s="207" t="str">
        <f t="shared" si="257"/>
        <v/>
      </c>
      <c r="BH266" s="255"/>
    </row>
    <row r="267" spans="1:60" x14ac:dyDescent="0.2">
      <c r="A267" s="648"/>
      <c r="B267" s="492" t="s">
        <v>324</v>
      </c>
      <c r="C267" s="656" t="s">
        <v>113</v>
      </c>
      <c r="D267" s="750" t="s">
        <v>50</v>
      </c>
      <c r="E267" s="220" t="s">
        <v>295</v>
      </c>
      <c r="F267" s="220"/>
      <c r="G267" s="220"/>
      <c r="H267" s="242" t="s">
        <v>317</v>
      </c>
      <c r="I267" s="129"/>
      <c r="J267" s="243">
        <f t="shared" si="241"/>
        <v>0</v>
      </c>
      <c r="K267" s="236"/>
      <c r="L267" s="236"/>
      <c r="M267" s="243">
        <f t="shared" si="242"/>
        <v>0</v>
      </c>
      <c r="N267" s="129"/>
      <c r="O267" s="207" t="str">
        <f t="shared" ref="O267:W267" si="258">IF(OR(O$19="",O$24=0,O$31=0),"",
(O$234*$O212+O$235*$P212+O$236*$Q212)*1000/(O$24*O$31))</f>
        <v/>
      </c>
      <c r="P267" s="207" t="str">
        <f t="shared" si="258"/>
        <v/>
      </c>
      <c r="Q267" s="207" t="str">
        <f t="shared" si="258"/>
        <v/>
      </c>
      <c r="R267" s="207" t="str">
        <f t="shared" si="258"/>
        <v/>
      </c>
      <c r="S267" s="207" t="str">
        <f t="shared" si="258"/>
        <v/>
      </c>
      <c r="T267" s="207" t="str">
        <f t="shared" si="258"/>
        <v/>
      </c>
      <c r="U267" s="207" t="str">
        <f t="shared" si="258"/>
        <v/>
      </c>
      <c r="V267" s="207" t="str">
        <f t="shared" si="258"/>
        <v/>
      </c>
      <c r="W267" s="207" t="str">
        <f t="shared" si="258"/>
        <v/>
      </c>
      <c r="X267" s="128"/>
      <c r="Y267" s="243">
        <f t="shared" si="244"/>
        <v>0</v>
      </c>
      <c r="Z267" s="129"/>
      <c r="AA267" s="207" t="str">
        <f t="shared" ref="AA267:AI267" si="259">IF(OR(AA$19="",AA$24=0,AA$31=0),"",
(AA$234*$AA212+AA$235*$AB212+AA$236*$AC212)*1000/(AA$24*AA$31))</f>
        <v/>
      </c>
      <c r="AB267" s="207" t="str">
        <f t="shared" si="259"/>
        <v/>
      </c>
      <c r="AC267" s="207" t="str">
        <f t="shared" si="259"/>
        <v/>
      </c>
      <c r="AD267" s="207" t="str">
        <f t="shared" si="259"/>
        <v/>
      </c>
      <c r="AE267" s="207" t="str">
        <f t="shared" si="259"/>
        <v/>
      </c>
      <c r="AF267" s="207" t="str">
        <f t="shared" si="259"/>
        <v/>
      </c>
      <c r="AG267" s="207" t="str">
        <f t="shared" si="259"/>
        <v/>
      </c>
      <c r="AH267" s="207" t="str">
        <f t="shared" si="259"/>
        <v/>
      </c>
      <c r="AI267" s="207" t="str">
        <f t="shared" si="259"/>
        <v/>
      </c>
      <c r="AJ267" s="128"/>
      <c r="AK267" s="243">
        <f t="shared" si="246"/>
        <v>0</v>
      </c>
      <c r="AL267" s="129"/>
      <c r="AM267" s="207" t="str">
        <f t="shared" ref="AM267:AU267" si="260">IF(OR(AM$19="",AM$24=0,AM$31=0),"",
(AM$234*$AM212+AM$235*$AN212+AM$236*$AO212)*1000/(AM$24*AM$31))</f>
        <v/>
      </c>
      <c r="AN267" s="207" t="str">
        <f t="shared" si="260"/>
        <v/>
      </c>
      <c r="AO267" s="207" t="str">
        <f t="shared" si="260"/>
        <v/>
      </c>
      <c r="AP267" s="207" t="str">
        <f t="shared" si="260"/>
        <v/>
      </c>
      <c r="AQ267" s="207" t="str">
        <f t="shared" si="260"/>
        <v/>
      </c>
      <c r="AR267" s="207" t="str">
        <f t="shared" si="260"/>
        <v/>
      </c>
      <c r="AS267" s="207" t="str">
        <f t="shared" si="260"/>
        <v/>
      </c>
      <c r="AT267" s="207" t="str">
        <f t="shared" si="260"/>
        <v/>
      </c>
      <c r="AU267" s="207" t="str">
        <f t="shared" si="260"/>
        <v/>
      </c>
      <c r="AV267" s="128"/>
      <c r="AW267" s="243">
        <f t="shared" si="248"/>
        <v>0</v>
      </c>
      <c r="AX267" s="129"/>
      <c r="AY267" s="207" t="str">
        <f t="shared" ref="AY267:BG267" si="261">IF(OR(AY$19="",AY$24=0,AY$31=0),"",
(AY$234*$AY212+AY$235*$AZ212+AY$236*$BA212)*1000/(AY$24*AY$31))</f>
        <v/>
      </c>
      <c r="AZ267" s="207" t="str">
        <f t="shared" si="261"/>
        <v/>
      </c>
      <c r="BA267" s="207" t="str">
        <f t="shared" si="261"/>
        <v/>
      </c>
      <c r="BB267" s="207" t="str">
        <f t="shared" si="261"/>
        <v/>
      </c>
      <c r="BC267" s="207" t="str">
        <f t="shared" si="261"/>
        <v/>
      </c>
      <c r="BD267" s="207" t="str">
        <f t="shared" si="261"/>
        <v/>
      </c>
      <c r="BE267" s="207" t="str">
        <f t="shared" si="261"/>
        <v/>
      </c>
      <c r="BF267" s="207" t="str">
        <f t="shared" si="261"/>
        <v/>
      </c>
      <c r="BG267" s="207" t="str">
        <f t="shared" si="261"/>
        <v/>
      </c>
      <c r="BH267" s="255"/>
    </row>
    <row r="268" spans="1:60" x14ac:dyDescent="0.2">
      <c r="A268" s="648"/>
      <c r="B268" s="492" t="s">
        <v>324</v>
      </c>
      <c r="C268" s="656" t="s">
        <v>113</v>
      </c>
      <c r="D268" s="750" t="s">
        <v>50</v>
      </c>
      <c r="E268" s="220" t="s">
        <v>296</v>
      </c>
      <c r="F268" s="220"/>
      <c r="G268" s="220"/>
      <c r="H268" s="242" t="s">
        <v>317</v>
      </c>
      <c r="I268" s="129"/>
      <c r="J268" s="243">
        <f t="shared" si="241"/>
        <v>0</v>
      </c>
      <c r="K268" s="236"/>
      <c r="L268" s="236"/>
      <c r="M268" s="243">
        <f t="shared" si="242"/>
        <v>0</v>
      </c>
      <c r="N268" s="129"/>
      <c r="O268" s="207" t="str">
        <f t="shared" ref="O268:W268" si="262">IF(OR(O$19="",O$24=0,O$31=0),"",
(O$235*$P213)*1000/(O$24*O$31))</f>
        <v/>
      </c>
      <c r="P268" s="207" t="str">
        <f t="shared" si="262"/>
        <v/>
      </c>
      <c r="Q268" s="207" t="str">
        <f t="shared" si="262"/>
        <v/>
      </c>
      <c r="R268" s="207" t="str">
        <f t="shared" si="262"/>
        <v/>
      </c>
      <c r="S268" s="207" t="str">
        <f t="shared" si="262"/>
        <v/>
      </c>
      <c r="T268" s="207" t="str">
        <f t="shared" si="262"/>
        <v/>
      </c>
      <c r="U268" s="207" t="str">
        <f t="shared" si="262"/>
        <v/>
      </c>
      <c r="V268" s="207" t="str">
        <f t="shared" si="262"/>
        <v/>
      </c>
      <c r="W268" s="207" t="str">
        <f t="shared" si="262"/>
        <v/>
      </c>
      <c r="X268" s="128"/>
      <c r="Y268" s="243">
        <f t="shared" si="244"/>
        <v>0</v>
      </c>
      <c r="Z268" s="129"/>
      <c r="AA268" s="207" t="str">
        <f t="shared" ref="AA268:AI268" si="263">IF(OR(AA$19="",AA$24=0,AA$31=0),"",
(AA$235*$AB213)*1000/(AA$24*AA$31))</f>
        <v/>
      </c>
      <c r="AB268" s="207" t="str">
        <f t="shared" si="263"/>
        <v/>
      </c>
      <c r="AC268" s="207" t="str">
        <f t="shared" si="263"/>
        <v/>
      </c>
      <c r="AD268" s="207" t="str">
        <f t="shared" si="263"/>
        <v/>
      </c>
      <c r="AE268" s="207" t="str">
        <f t="shared" si="263"/>
        <v/>
      </c>
      <c r="AF268" s="207" t="str">
        <f t="shared" si="263"/>
        <v/>
      </c>
      <c r="AG268" s="207" t="str">
        <f t="shared" si="263"/>
        <v/>
      </c>
      <c r="AH268" s="207" t="str">
        <f t="shared" si="263"/>
        <v/>
      </c>
      <c r="AI268" s="207" t="str">
        <f t="shared" si="263"/>
        <v/>
      </c>
      <c r="AJ268" s="128"/>
      <c r="AK268" s="243">
        <f t="shared" si="246"/>
        <v>0</v>
      </c>
      <c r="AL268" s="129"/>
      <c r="AM268" s="207" t="str">
        <f t="shared" ref="AM268:AU268" si="264">IF(OR(AM$19="",AM$24=0,AM$31=0),"",
(AM$235*$AN213)*1000/(AM$24*AM$31))</f>
        <v/>
      </c>
      <c r="AN268" s="207" t="str">
        <f t="shared" si="264"/>
        <v/>
      </c>
      <c r="AO268" s="207" t="str">
        <f t="shared" si="264"/>
        <v/>
      </c>
      <c r="AP268" s="207" t="str">
        <f t="shared" si="264"/>
        <v/>
      </c>
      <c r="AQ268" s="207" t="str">
        <f t="shared" si="264"/>
        <v/>
      </c>
      <c r="AR268" s="207" t="str">
        <f t="shared" si="264"/>
        <v/>
      </c>
      <c r="AS268" s="207" t="str">
        <f t="shared" si="264"/>
        <v/>
      </c>
      <c r="AT268" s="207" t="str">
        <f t="shared" si="264"/>
        <v/>
      </c>
      <c r="AU268" s="207" t="str">
        <f t="shared" si="264"/>
        <v/>
      </c>
      <c r="AV268" s="128"/>
      <c r="AW268" s="243">
        <f t="shared" si="248"/>
        <v>0</v>
      </c>
      <c r="AX268" s="129"/>
      <c r="AY268" s="207" t="str">
        <f t="shared" ref="AY268:BG268" si="265">IF(OR(AY$19="",AY$24=0,AY$31=0),"",
(AY$235*$AZ213)*1000/(AY$24*AY$31))</f>
        <v/>
      </c>
      <c r="AZ268" s="207" t="str">
        <f t="shared" si="265"/>
        <v/>
      </c>
      <c r="BA268" s="207" t="str">
        <f t="shared" si="265"/>
        <v/>
      </c>
      <c r="BB268" s="207" t="str">
        <f t="shared" si="265"/>
        <v/>
      </c>
      <c r="BC268" s="207" t="str">
        <f t="shared" si="265"/>
        <v/>
      </c>
      <c r="BD268" s="207" t="str">
        <f t="shared" si="265"/>
        <v/>
      </c>
      <c r="BE268" s="207" t="str">
        <f t="shared" si="265"/>
        <v/>
      </c>
      <c r="BF268" s="207" t="str">
        <f t="shared" si="265"/>
        <v/>
      </c>
      <c r="BG268" s="207" t="str">
        <f t="shared" si="265"/>
        <v/>
      </c>
      <c r="BH268" s="255"/>
    </row>
    <row r="269" spans="1:60" x14ac:dyDescent="0.2">
      <c r="A269" s="648"/>
      <c r="B269" s="492" t="s">
        <v>324</v>
      </c>
      <c r="C269" s="656" t="s">
        <v>113</v>
      </c>
      <c r="D269" s="750" t="s">
        <v>50</v>
      </c>
      <c r="E269" s="220" t="s">
        <v>297</v>
      </c>
      <c r="F269" s="220"/>
      <c r="G269" s="220"/>
      <c r="H269" s="242" t="s">
        <v>317</v>
      </c>
      <c r="I269" s="129"/>
      <c r="J269" s="243">
        <f t="shared" si="241"/>
        <v>0</v>
      </c>
      <c r="K269" s="236"/>
      <c r="L269" s="236"/>
      <c r="M269" s="243">
        <f t="shared" si="242"/>
        <v>0</v>
      </c>
      <c r="N269" s="129"/>
      <c r="O269" s="207" t="str">
        <f t="shared" ref="O269:W269" si="266">IF(OR(O$19="",O$24=0,O$31=0),"",
(O$234*$O214+O$236*$Q214)*1000/(O$24*O$31))</f>
        <v/>
      </c>
      <c r="P269" s="207" t="str">
        <f t="shared" si="266"/>
        <v/>
      </c>
      <c r="Q269" s="207" t="str">
        <f t="shared" si="266"/>
        <v/>
      </c>
      <c r="R269" s="207" t="str">
        <f t="shared" si="266"/>
        <v/>
      </c>
      <c r="S269" s="207" t="str">
        <f t="shared" si="266"/>
        <v/>
      </c>
      <c r="T269" s="207" t="str">
        <f t="shared" si="266"/>
        <v/>
      </c>
      <c r="U269" s="207" t="str">
        <f t="shared" si="266"/>
        <v/>
      </c>
      <c r="V269" s="207" t="str">
        <f t="shared" si="266"/>
        <v/>
      </c>
      <c r="W269" s="207" t="str">
        <f t="shared" si="266"/>
        <v/>
      </c>
      <c r="X269" s="122"/>
      <c r="Y269" s="243">
        <f t="shared" si="244"/>
        <v>0</v>
      </c>
      <c r="Z269" s="129"/>
      <c r="AA269" s="207" t="str">
        <f t="shared" ref="AA269:AI269" si="267">IF(OR(AA$19="",AA$24=0,AA$31=0),"",
(AA$234*$AA214+AA$236*$AC214)*1000/(AA$24*AA$31))</f>
        <v/>
      </c>
      <c r="AB269" s="207" t="str">
        <f t="shared" si="267"/>
        <v/>
      </c>
      <c r="AC269" s="207" t="str">
        <f t="shared" si="267"/>
        <v/>
      </c>
      <c r="AD269" s="207" t="str">
        <f t="shared" si="267"/>
        <v/>
      </c>
      <c r="AE269" s="207" t="str">
        <f t="shared" si="267"/>
        <v/>
      </c>
      <c r="AF269" s="207" t="str">
        <f t="shared" si="267"/>
        <v/>
      </c>
      <c r="AG269" s="207" t="str">
        <f t="shared" si="267"/>
        <v/>
      </c>
      <c r="AH269" s="207" t="str">
        <f t="shared" si="267"/>
        <v/>
      </c>
      <c r="AI269" s="207" t="str">
        <f t="shared" si="267"/>
        <v/>
      </c>
      <c r="AJ269" s="122"/>
      <c r="AK269" s="243">
        <f t="shared" si="246"/>
        <v>0</v>
      </c>
      <c r="AL269" s="129"/>
      <c r="AM269" s="207" t="str">
        <f t="shared" ref="AM269:AU269" si="268">IF(OR(AM$19="",AM$24=0,AM$31=0),"",
(AM$234*$AM214+AM$236*$AO214)*1000/(AM$24*AM$31))</f>
        <v/>
      </c>
      <c r="AN269" s="207" t="str">
        <f t="shared" si="268"/>
        <v/>
      </c>
      <c r="AO269" s="207" t="str">
        <f t="shared" si="268"/>
        <v/>
      </c>
      <c r="AP269" s="207" t="str">
        <f t="shared" si="268"/>
        <v/>
      </c>
      <c r="AQ269" s="207" t="str">
        <f t="shared" si="268"/>
        <v/>
      </c>
      <c r="AR269" s="207" t="str">
        <f t="shared" si="268"/>
        <v/>
      </c>
      <c r="AS269" s="207" t="str">
        <f t="shared" si="268"/>
        <v/>
      </c>
      <c r="AT269" s="207" t="str">
        <f t="shared" si="268"/>
        <v/>
      </c>
      <c r="AU269" s="207" t="str">
        <f t="shared" si="268"/>
        <v/>
      </c>
      <c r="AV269" s="122"/>
      <c r="AW269" s="243">
        <f t="shared" si="248"/>
        <v>0</v>
      </c>
      <c r="AX269" s="129"/>
      <c r="AY269" s="207" t="str">
        <f t="shared" ref="AY269:BG269" si="269">IF(OR(AY$19="",AY$24=0,AY$31=0),"",
(AY$234*$AY214+AY$236*$BA214)*1000/(AY$24*AY$31))</f>
        <v/>
      </c>
      <c r="AZ269" s="207" t="str">
        <f t="shared" si="269"/>
        <v/>
      </c>
      <c r="BA269" s="207" t="str">
        <f t="shared" si="269"/>
        <v/>
      </c>
      <c r="BB269" s="207" t="str">
        <f t="shared" si="269"/>
        <v/>
      </c>
      <c r="BC269" s="207" t="str">
        <f t="shared" si="269"/>
        <v/>
      </c>
      <c r="BD269" s="207" t="str">
        <f t="shared" si="269"/>
        <v/>
      </c>
      <c r="BE269" s="207" t="str">
        <f t="shared" si="269"/>
        <v/>
      </c>
      <c r="BF269" s="207" t="str">
        <f t="shared" si="269"/>
        <v/>
      </c>
      <c r="BG269" s="207" t="str">
        <f t="shared" si="269"/>
        <v/>
      </c>
      <c r="BH269" s="214"/>
    </row>
    <row r="270" spans="1:60" ht="18.75" x14ac:dyDescent="0.2">
      <c r="A270" s="648"/>
      <c r="B270" s="492" t="s">
        <v>324</v>
      </c>
      <c r="C270" s="739" t="s">
        <v>104</v>
      </c>
      <c r="D270" s="747"/>
      <c r="E270" s="236" t="s">
        <v>331</v>
      </c>
      <c r="F270" s="236"/>
      <c r="G270" s="236"/>
      <c r="H270" s="89"/>
      <c r="I270" s="236"/>
      <c r="J270" s="236"/>
      <c r="K270" s="236"/>
      <c r="L270" s="236"/>
      <c r="M270" s="236"/>
      <c r="N270" s="236"/>
      <c r="O270" s="236"/>
      <c r="P270" s="236"/>
      <c r="Q270" s="236"/>
      <c r="R270" s="236"/>
      <c r="S270" s="236"/>
      <c r="T270" s="236"/>
      <c r="U270" s="236"/>
      <c r="V270" s="236"/>
      <c r="W270" s="236"/>
      <c r="X270" s="236"/>
      <c r="Y270" s="236"/>
      <c r="Z270" s="236"/>
      <c r="AA270" s="236"/>
      <c r="AB270" s="236"/>
      <c r="AC270" s="236"/>
      <c r="AD270" s="236"/>
      <c r="AE270" s="236"/>
      <c r="AF270" s="236"/>
      <c r="AG270" s="236"/>
      <c r="AH270" s="236"/>
      <c r="AI270" s="236"/>
      <c r="AJ270" s="236"/>
      <c r="AK270" s="236"/>
      <c r="AL270" s="236"/>
      <c r="AM270" s="236"/>
      <c r="AN270" s="236"/>
      <c r="AO270" s="236"/>
      <c r="AP270" s="236"/>
      <c r="AQ270" s="236"/>
      <c r="AR270" s="236"/>
      <c r="AS270" s="236"/>
      <c r="AT270" s="236"/>
      <c r="AU270" s="236"/>
      <c r="AV270" s="236"/>
      <c r="AW270" s="236"/>
      <c r="AX270" s="236"/>
      <c r="AY270" s="236"/>
      <c r="AZ270" s="236"/>
      <c r="BA270" s="236"/>
      <c r="BB270" s="236"/>
      <c r="BC270" s="236"/>
      <c r="BD270" s="236"/>
      <c r="BE270" s="236"/>
      <c r="BF270" s="236"/>
      <c r="BG270" s="236"/>
      <c r="BH270" s="38"/>
    </row>
    <row r="271" spans="1:60" x14ac:dyDescent="0.2">
      <c r="A271" s="648"/>
      <c r="B271" s="492" t="s">
        <v>324</v>
      </c>
      <c r="C271" s="656" t="s">
        <v>113</v>
      </c>
      <c r="D271" s="750" t="s">
        <v>50</v>
      </c>
      <c r="E271" s="220" t="s">
        <v>298</v>
      </c>
      <c r="F271" s="220"/>
      <c r="G271" s="220"/>
      <c r="H271" s="242" t="s">
        <v>317</v>
      </c>
      <c r="I271" s="129"/>
      <c r="J271" s="243">
        <f>M271+Y271+AK271+AW271</f>
        <v>0</v>
      </c>
      <c r="K271" s="236"/>
      <c r="L271" s="236"/>
      <c r="M271" s="243">
        <f>SUMPRODUCT(N271:X271,N$32:X$32)/1000</f>
        <v>0</v>
      </c>
      <c r="N271" s="129"/>
      <c r="O271" s="207" t="str">
        <f t="shared" ref="O271:W271" si="270">IF(OR(O$19="",O$24=0,O$31=0),"",
O$70/O$31*f_P_renelect)</f>
        <v/>
      </c>
      <c r="P271" s="207" t="str">
        <f t="shared" si="270"/>
        <v/>
      </c>
      <c r="Q271" s="207" t="str">
        <f t="shared" si="270"/>
        <v/>
      </c>
      <c r="R271" s="207" t="str">
        <f t="shared" si="270"/>
        <v/>
      </c>
      <c r="S271" s="207" t="str">
        <f t="shared" si="270"/>
        <v/>
      </c>
      <c r="T271" s="207" t="str">
        <f t="shared" si="270"/>
        <v/>
      </c>
      <c r="U271" s="207" t="str">
        <f t="shared" si="270"/>
        <v/>
      </c>
      <c r="V271" s="207" t="str">
        <f t="shared" si="270"/>
        <v/>
      </c>
      <c r="W271" s="207" t="str">
        <f t="shared" si="270"/>
        <v/>
      </c>
      <c r="X271" s="128"/>
      <c r="Y271" s="243">
        <f>SUMPRODUCT(Z271:AJ271,Z$32:AJ$32)/1000</f>
        <v>0</v>
      </c>
      <c r="Z271" s="129"/>
      <c r="AA271" s="207" t="str">
        <f t="shared" ref="AA271:AI271" si="271">IF(OR(AA$19="",AA$24=0,AA$31=0),"",
AA$70/AA$31*f_P_renelect)</f>
        <v/>
      </c>
      <c r="AB271" s="207" t="str">
        <f t="shared" si="271"/>
        <v/>
      </c>
      <c r="AC271" s="207" t="str">
        <f t="shared" si="271"/>
        <v/>
      </c>
      <c r="AD271" s="207" t="str">
        <f t="shared" si="271"/>
        <v/>
      </c>
      <c r="AE271" s="207" t="str">
        <f t="shared" si="271"/>
        <v/>
      </c>
      <c r="AF271" s="207" t="str">
        <f t="shared" si="271"/>
        <v/>
      </c>
      <c r="AG271" s="207" t="str">
        <f t="shared" si="271"/>
        <v/>
      </c>
      <c r="AH271" s="207" t="str">
        <f t="shared" si="271"/>
        <v/>
      </c>
      <c r="AI271" s="207" t="str">
        <f t="shared" si="271"/>
        <v/>
      </c>
      <c r="AJ271" s="128"/>
      <c r="AK271" s="243">
        <f>SUMPRODUCT(AL271:AV271,AL$32:AV$32)/1000</f>
        <v>0</v>
      </c>
      <c r="AL271" s="129"/>
      <c r="AM271" s="207" t="str">
        <f t="shared" ref="AM271:AU271" si="272">IF(OR(AM$19="",AM$24=0,AM$31=0),"",
AM$70/AM$31*f_P_renelect)</f>
        <v/>
      </c>
      <c r="AN271" s="207" t="str">
        <f t="shared" si="272"/>
        <v/>
      </c>
      <c r="AO271" s="207" t="str">
        <f t="shared" si="272"/>
        <v/>
      </c>
      <c r="AP271" s="207" t="str">
        <f t="shared" si="272"/>
        <v/>
      </c>
      <c r="AQ271" s="207" t="str">
        <f t="shared" si="272"/>
        <v/>
      </c>
      <c r="AR271" s="207" t="str">
        <f t="shared" si="272"/>
        <v/>
      </c>
      <c r="AS271" s="207" t="str">
        <f t="shared" si="272"/>
        <v/>
      </c>
      <c r="AT271" s="207" t="str">
        <f t="shared" si="272"/>
        <v/>
      </c>
      <c r="AU271" s="207" t="str">
        <f t="shared" si="272"/>
        <v/>
      </c>
      <c r="AV271" s="128"/>
      <c r="AW271" s="243">
        <f>SUMPRODUCT(AX271:BH271,AX$32:BH$32)/1000</f>
        <v>0</v>
      </c>
      <c r="AX271" s="129"/>
      <c r="AY271" s="207" t="str">
        <f t="shared" ref="AY271:BG271" si="273">IF(OR(AY$19="",AY$24=0,AY$31=0),"",
AY$70/AY$31*f_P_renelect)</f>
        <v/>
      </c>
      <c r="AZ271" s="207" t="str">
        <f t="shared" si="273"/>
        <v/>
      </c>
      <c r="BA271" s="207" t="str">
        <f t="shared" si="273"/>
        <v/>
      </c>
      <c r="BB271" s="207" t="str">
        <f t="shared" si="273"/>
        <v/>
      </c>
      <c r="BC271" s="207" t="str">
        <f t="shared" si="273"/>
        <v/>
      </c>
      <c r="BD271" s="207" t="str">
        <f t="shared" si="273"/>
        <v/>
      </c>
      <c r="BE271" s="207" t="str">
        <f t="shared" si="273"/>
        <v/>
      </c>
      <c r="BF271" s="207" t="str">
        <f t="shared" si="273"/>
        <v/>
      </c>
      <c r="BG271" s="207" t="str">
        <f t="shared" si="273"/>
        <v/>
      </c>
      <c r="BH271" s="255"/>
    </row>
    <row r="272" spans="1:60" ht="18.75" x14ac:dyDescent="0.2">
      <c r="A272" s="648"/>
      <c r="B272" s="492" t="s">
        <v>324</v>
      </c>
      <c r="C272" s="739" t="s">
        <v>104</v>
      </c>
      <c r="D272" s="747"/>
      <c r="E272" s="236" t="s">
        <v>258</v>
      </c>
      <c r="F272" s="236"/>
      <c r="G272" s="236"/>
      <c r="H272" s="89"/>
      <c r="I272" s="236"/>
      <c r="J272" s="236"/>
      <c r="K272" s="236"/>
      <c r="L272" s="236"/>
      <c r="M272" s="236"/>
      <c r="N272" s="236"/>
      <c r="O272" s="236"/>
      <c r="P272" s="236"/>
      <c r="Q272" s="236"/>
      <c r="R272" s="236"/>
      <c r="S272" s="236"/>
      <c r="T272" s="236"/>
      <c r="U272" s="236"/>
      <c r="V272" s="236"/>
      <c r="W272" s="236"/>
      <c r="X272" s="236"/>
      <c r="Y272" s="236"/>
      <c r="Z272" s="236"/>
      <c r="AA272" s="236"/>
      <c r="AB272" s="279"/>
      <c r="AC272" s="236"/>
      <c r="AD272" s="236"/>
      <c r="AE272" s="236"/>
      <c r="AF272" s="236"/>
      <c r="AG272" s="236"/>
      <c r="AH272" s="236"/>
      <c r="AI272" s="236"/>
      <c r="AJ272" s="236"/>
      <c r="AK272" s="236"/>
      <c r="AL272" s="236"/>
      <c r="AM272" s="236"/>
      <c r="AN272" s="236"/>
      <c r="AO272" s="236"/>
      <c r="AP272" s="236"/>
      <c r="AQ272" s="236"/>
      <c r="AR272" s="236"/>
      <c r="AS272" s="236"/>
      <c r="AT272" s="236"/>
      <c r="AU272" s="236"/>
      <c r="AV272" s="236"/>
      <c r="AW272" s="236"/>
      <c r="AX272" s="236"/>
      <c r="AY272" s="236"/>
      <c r="AZ272" s="236"/>
      <c r="BA272" s="236"/>
      <c r="BB272" s="236"/>
      <c r="BC272" s="236"/>
      <c r="BD272" s="236"/>
      <c r="BE272" s="236"/>
      <c r="BF272" s="236"/>
      <c r="BG272" s="236"/>
      <c r="BH272" s="38"/>
    </row>
    <row r="273" spans="1:60" x14ac:dyDescent="0.2">
      <c r="A273" s="648"/>
      <c r="B273" s="492" t="s">
        <v>324</v>
      </c>
      <c r="C273" s="656" t="s">
        <v>113</v>
      </c>
      <c r="D273" s="750" t="s">
        <v>50</v>
      </c>
      <c r="E273" s="220" t="s">
        <v>332</v>
      </c>
      <c r="F273" s="220"/>
      <c r="G273" s="220"/>
      <c r="H273" s="242" t="s">
        <v>317</v>
      </c>
      <c r="I273" s="129"/>
      <c r="J273" s="243">
        <f>M273+Y273+AK273+AW273</f>
        <v>0</v>
      </c>
      <c r="K273" s="236"/>
      <c r="L273" s="236"/>
      <c r="M273" s="243">
        <f>SUMPRODUCT(N273:X273,N$32:X$32)/1000</f>
        <v>0</v>
      </c>
      <c r="N273" s="129"/>
      <c r="O273" s="207" t="str">
        <f t="shared" ref="O273:W273" si="274">IF(OR(O$19="",O$24=0,O$31=0),"",SUM(O264:O269)+O271)</f>
        <v/>
      </c>
      <c r="P273" s="207" t="str">
        <f t="shared" si="274"/>
        <v/>
      </c>
      <c r="Q273" s="207" t="str">
        <f t="shared" si="274"/>
        <v/>
      </c>
      <c r="R273" s="207" t="str">
        <f t="shared" si="274"/>
        <v/>
      </c>
      <c r="S273" s="207" t="str">
        <f t="shared" si="274"/>
        <v/>
      </c>
      <c r="T273" s="207" t="str">
        <f t="shared" si="274"/>
        <v/>
      </c>
      <c r="U273" s="207" t="str">
        <f t="shared" si="274"/>
        <v/>
      </c>
      <c r="V273" s="207" t="str">
        <f t="shared" si="274"/>
        <v/>
      </c>
      <c r="W273" s="207" t="str">
        <f t="shared" si="274"/>
        <v/>
      </c>
      <c r="X273" s="128"/>
      <c r="Y273" s="243">
        <f>SUMPRODUCT(Z273:AJ273,Z$32:AJ$32)/1000</f>
        <v>0</v>
      </c>
      <c r="Z273" s="129"/>
      <c r="AA273" s="207" t="str">
        <f t="shared" ref="AA273:AI273" si="275">IF(OR(AA$19="",AA$24=0,AA$31=0),"",SUM(AA264:AA269)+AA271)</f>
        <v/>
      </c>
      <c r="AB273" s="207" t="str">
        <f t="shared" si="275"/>
        <v/>
      </c>
      <c r="AC273" s="207" t="str">
        <f t="shared" si="275"/>
        <v/>
      </c>
      <c r="AD273" s="207" t="str">
        <f t="shared" si="275"/>
        <v/>
      </c>
      <c r="AE273" s="207" t="str">
        <f t="shared" si="275"/>
        <v/>
      </c>
      <c r="AF273" s="207" t="str">
        <f t="shared" si="275"/>
        <v/>
      </c>
      <c r="AG273" s="207" t="str">
        <f t="shared" si="275"/>
        <v/>
      </c>
      <c r="AH273" s="207" t="str">
        <f t="shared" si="275"/>
        <v/>
      </c>
      <c r="AI273" s="207" t="str">
        <f t="shared" si="275"/>
        <v/>
      </c>
      <c r="AJ273" s="128"/>
      <c r="AK273" s="243">
        <f>SUMPRODUCT(AL273:AV273,AL$32:AV$32)/1000</f>
        <v>0</v>
      </c>
      <c r="AL273" s="129"/>
      <c r="AM273" s="207" t="str">
        <f>IF(OR(AM$19="",AM$24=0,AM$31=0),"",SUM(AM264:AM269)+AM271)</f>
        <v/>
      </c>
      <c r="AN273" s="207" t="str">
        <f t="shared" ref="AN273:AU273" si="276">IF(OR(AN$19="",AN$24=0,AN$31=0),"",SUM(AN264:AN269)+AN271)</f>
        <v/>
      </c>
      <c r="AO273" s="207" t="str">
        <f t="shared" si="276"/>
        <v/>
      </c>
      <c r="AP273" s="207" t="str">
        <f t="shared" si="276"/>
        <v/>
      </c>
      <c r="AQ273" s="207" t="str">
        <f t="shared" si="276"/>
        <v/>
      </c>
      <c r="AR273" s="207" t="str">
        <f t="shared" si="276"/>
        <v/>
      </c>
      <c r="AS273" s="207" t="str">
        <f t="shared" si="276"/>
        <v/>
      </c>
      <c r="AT273" s="207" t="str">
        <f t="shared" si="276"/>
        <v/>
      </c>
      <c r="AU273" s="207" t="str">
        <f t="shared" si="276"/>
        <v/>
      </c>
      <c r="AV273" s="128"/>
      <c r="AW273" s="243">
        <f>SUMPRODUCT(AX273:BH273,AX$32:BH$32)/1000</f>
        <v>0</v>
      </c>
      <c r="AX273" s="129"/>
      <c r="AY273" s="207" t="str">
        <f>IF(OR(AY$19="",AY$24=0,AY$31=0),"",SUM(AY264:AY269)+AY271)</f>
        <v/>
      </c>
      <c r="AZ273" s="207" t="str">
        <f t="shared" ref="AZ273:BG273" si="277">IF(OR(AZ$19="",AZ$24=0,AZ$31=0),"",SUM(AZ264:AZ269)+AZ271)</f>
        <v/>
      </c>
      <c r="BA273" s="207" t="str">
        <f t="shared" si="277"/>
        <v/>
      </c>
      <c r="BB273" s="207" t="str">
        <f t="shared" si="277"/>
        <v/>
      </c>
      <c r="BC273" s="207" t="str">
        <f t="shared" si="277"/>
        <v/>
      </c>
      <c r="BD273" s="207" t="str">
        <f t="shared" si="277"/>
        <v/>
      </c>
      <c r="BE273" s="207" t="str">
        <f t="shared" si="277"/>
        <v/>
      </c>
      <c r="BF273" s="207" t="str">
        <f t="shared" si="277"/>
        <v/>
      </c>
      <c r="BG273" s="207" t="str">
        <f t="shared" si="277"/>
        <v/>
      </c>
      <c r="BH273" s="255"/>
    </row>
    <row r="274" spans="1:60" ht="18.75" x14ac:dyDescent="0.2">
      <c r="A274" s="648"/>
      <c r="B274" s="492" t="s">
        <v>324</v>
      </c>
      <c r="C274" s="739" t="s">
        <v>104</v>
      </c>
      <c r="D274" s="747"/>
      <c r="E274" s="236" t="s">
        <v>333</v>
      </c>
      <c r="F274" s="236"/>
      <c r="G274" s="236"/>
      <c r="H274" s="89"/>
      <c r="I274" s="236"/>
      <c r="J274" s="236"/>
      <c r="K274" s="236"/>
      <c r="L274" s="236"/>
      <c r="M274" s="236"/>
      <c r="N274" s="236"/>
      <c r="O274" s="236"/>
      <c r="P274" s="236"/>
      <c r="Q274" s="236"/>
      <c r="R274" s="236"/>
      <c r="S274" s="236"/>
      <c r="T274" s="236"/>
      <c r="U274" s="236"/>
      <c r="V274" s="236"/>
      <c r="W274" s="236"/>
      <c r="X274" s="236"/>
      <c r="Y274" s="236"/>
      <c r="Z274" s="236"/>
      <c r="AA274" s="236"/>
      <c r="AB274" s="236"/>
      <c r="AC274" s="236"/>
      <c r="AD274" s="236"/>
      <c r="AE274" s="236"/>
      <c r="AF274" s="236"/>
      <c r="AG274" s="236"/>
      <c r="AH274" s="236"/>
      <c r="AI274" s="236"/>
      <c r="AJ274" s="236"/>
      <c r="AK274" s="236"/>
      <c r="AL274" s="236"/>
      <c r="AM274" s="236"/>
      <c r="AN274" s="236"/>
      <c r="AO274" s="236"/>
      <c r="AP274" s="236"/>
      <c r="AQ274" s="236"/>
      <c r="AR274" s="236"/>
      <c r="AS274" s="236"/>
      <c r="AT274" s="236"/>
      <c r="AU274" s="236"/>
      <c r="AV274" s="236"/>
      <c r="AW274" s="236"/>
      <c r="AX274" s="236"/>
      <c r="AY274" s="236"/>
      <c r="AZ274" s="236"/>
      <c r="BA274" s="236"/>
      <c r="BB274" s="236"/>
      <c r="BC274" s="236"/>
      <c r="BD274" s="236"/>
      <c r="BE274" s="236"/>
      <c r="BF274" s="236"/>
      <c r="BG274" s="236"/>
      <c r="BH274" s="38"/>
    </row>
    <row r="275" spans="1:60" x14ac:dyDescent="0.2">
      <c r="A275" s="648"/>
      <c r="B275" s="492" t="s">
        <v>324</v>
      </c>
      <c r="C275" s="656" t="s">
        <v>113</v>
      </c>
      <c r="D275" s="750" t="s">
        <v>50</v>
      </c>
      <c r="E275" s="220" t="s">
        <v>334</v>
      </c>
      <c r="F275" s="220"/>
      <c r="G275" s="220"/>
      <c r="H275" s="242" t="s">
        <v>150</v>
      </c>
      <c r="I275" s="129"/>
      <c r="J275" s="244" t="str">
        <f>IF(J$24=0,"",
IF(J262+J273=0,0,J273/(J262+J273)))</f>
        <v/>
      </c>
      <c r="K275" s="236"/>
      <c r="L275" s="236"/>
      <c r="M275" s="244" t="str">
        <f>IF(M$24=0,"",
IF(M262+M273=0,0,M273/(M262+M273)))</f>
        <v/>
      </c>
      <c r="N275" s="129"/>
      <c r="O275" s="245" t="str">
        <f t="shared" ref="O275:W275" si="278">IF(OR(O$19="",O$24=0,O$31=0),"",
IF(O262+O273=0,0,O273/(O262+O273)))</f>
        <v/>
      </c>
      <c r="P275" s="245" t="str">
        <f t="shared" si="278"/>
        <v/>
      </c>
      <c r="Q275" s="245" t="str">
        <f t="shared" si="278"/>
        <v/>
      </c>
      <c r="R275" s="245" t="str">
        <f t="shared" si="278"/>
        <v/>
      </c>
      <c r="S275" s="245" t="str">
        <f t="shared" si="278"/>
        <v/>
      </c>
      <c r="T275" s="245" t="str">
        <f t="shared" si="278"/>
        <v/>
      </c>
      <c r="U275" s="245" t="str">
        <f t="shared" si="278"/>
        <v/>
      </c>
      <c r="V275" s="245" t="str">
        <f t="shared" si="278"/>
        <v/>
      </c>
      <c r="W275" s="245" t="str">
        <f t="shared" si="278"/>
        <v/>
      </c>
      <c r="X275" s="140"/>
      <c r="Y275" s="244" t="str">
        <f>IF(Y$24=0,"",
IF(Y262+Y273=0,0,Y273/(Y262+Y273)))</f>
        <v/>
      </c>
      <c r="Z275" s="129"/>
      <c r="AA275" s="245" t="str">
        <f t="shared" ref="AA275:AI275" si="279">IF(OR(AA$19="",AA$24=0,AA$31=0),"",
IF(AA262+AA273=0,0,AA273/(AA262+AA273)))</f>
        <v/>
      </c>
      <c r="AB275" s="245" t="str">
        <f t="shared" si="279"/>
        <v/>
      </c>
      <c r="AC275" s="245" t="str">
        <f t="shared" si="279"/>
        <v/>
      </c>
      <c r="AD275" s="245" t="str">
        <f t="shared" si="279"/>
        <v/>
      </c>
      <c r="AE275" s="245" t="str">
        <f t="shared" si="279"/>
        <v/>
      </c>
      <c r="AF275" s="245" t="str">
        <f t="shared" si="279"/>
        <v/>
      </c>
      <c r="AG275" s="245" t="str">
        <f t="shared" si="279"/>
        <v/>
      </c>
      <c r="AH275" s="245" t="str">
        <f t="shared" si="279"/>
        <v/>
      </c>
      <c r="AI275" s="245" t="str">
        <f t="shared" si="279"/>
        <v/>
      </c>
      <c r="AJ275" s="140"/>
      <c r="AK275" s="244" t="str">
        <f>IF(AK$24=0,"",
IF(AK262+AK273=0,0,AK273/(AK262+AK273)))</f>
        <v/>
      </c>
      <c r="AL275" s="129"/>
      <c r="AM275" s="245" t="str">
        <f>IF(OR(AM$19="",AM$24=0,AM$31=0),"",
IF(AM262+AM273=0,0,AM273/(AM262+AM273)))</f>
        <v/>
      </c>
      <c r="AN275" s="245" t="str">
        <f t="shared" ref="AN275:AU275" si="280">IF(OR(AN$19="",AN$24=0,AN$31=0),"",
IF(AN262+AN273=0,0,AN273/(AN262+AN273)))</f>
        <v/>
      </c>
      <c r="AO275" s="245" t="str">
        <f>IF(OR(AO$19="",AO$24=0,AO$31=0),"",
IF(AO262+AO273=0,0,AO273/(AO262+AO273)))</f>
        <v/>
      </c>
      <c r="AP275" s="245" t="str">
        <f t="shared" si="280"/>
        <v/>
      </c>
      <c r="AQ275" s="245" t="str">
        <f t="shared" si="280"/>
        <v/>
      </c>
      <c r="AR275" s="245" t="str">
        <f t="shared" si="280"/>
        <v/>
      </c>
      <c r="AS275" s="245" t="str">
        <f t="shared" si="280"/>
        <v/>
      </c>
      <c r="AT275" s="245" t="str">
        <f t="shared" si="280"/>
        <v/>
      </c>
      <c r="AU275" s="245" t="str">
        <f t="shared" si="280"/>
        <v/>
      </c>
      <c r="AV275" s="140"/>
      <c r="AW275" s="244" t="str">
        <f>IF(AW$24=0,"",
IF(AW262+AW273=0,0,AW273/(AW262+AW273)))</f>
        <v/>
      </c>
      <c r="AX275" s="129"/>
      <c r="AY275" s="245" t="str">
        <f>IF(OR(AY$19="",AY$24=0,AY$31=0),"",
IF(AY262+AY273=0,0,AY273/(AY262+AY273)))</f>
        <v/>
      </c>
      <c r="AZ275" s="245" t="str">
        <f t="shared" ref="AZ275:BG275" si="281">IF(OR(AZ$19="",AZ$24=0,AZ$31=0),"",
IF(AZ262+AZ273=0,0,AZ273/(AZ262+AZ273)))</f>
        <v/>
      </c>
      <c r="BA275" s="245" t="str">
        <f t="shared" si="281"/>
        <v/>
      </c>
      <c r="BB275" s="245" t="str">
        <f t="shared" si="281"/>
        <v/>
      </c>
      <c r="BC275" s="245" t="str">
        <f t="shared" si="281"/>
        <v/>
      </c>
      <c r="BD275" s="245" t="str">
        <f t="shared" si="281"/>
        <v/>
      </c>
      <c r="BE275" s="245" t="str">
        <f t="shared" si="281"/>
        <v/>
      </c>
      <c r="BF275" s="245" t="str">
        <f t="shared" si="281"/>
        <v/>
      </c>
      <c r="BG275" s="245" t="str">
        <f t="shared" si="281"/>
        <v/>
      </c>
      <c r="BH275" s="257"/>
    </row>
    <row r="276" spans="1:60" x14ac:dyDescent="0.2">
      <c r="A276" s="648"/>
      <c r="B276" s="492" t="s">
        <v>324</v>
      </c>
      <c r="C276" s="739" t="s">
        <v>104</v>
      </c>
      <c r="D276" s="747"/>
      <c r="E276" s="90"/>
      <c r="F276" s="90"/>
      <c r="G276" s="90"/>
      <c r="H276" s="96"/>
      <c r="I276" s="90"/>
      <c r="J276" s="93"/>
      <c r="K276" s="236"/>
      <c r="L276" s="236"/>
      <c r="M276" s="93"/>
      <c r="N276" s="90"/>
      <c r="O276" s="122"/>
      <c r="P276" s="122"/>
      <c r="Q276" s="122"/>
      <c r="R276" s="122"/>
      <c r="S276" s="122"/>
      <c r="T276" s="122"/>
      <c r="U276" s="122"/>
      <c r="V276" s="122"/>
      <c r="W276" s="122"/>
      <c r="X276" s="93"/>
      <c r="Y276" s="93"/>
      <c r="Z276" s="90"/>
      <c r="AA276" s="122"/>
      <c r="AB276" s="122"/>
      <c r="AC276" s="122"/>
      <c r="AD276" s="122"/>
      <c r="AE276" s="122"/>
      <c r="AF276" s="122"/>
      <c r="AG276" s="122"/>
      <c r="AH276" s="122"/>
      <c r="AI276" s="122"/>
      <c r="AJ276" s="93"/>
      <c r="AK276" s="93"/>
      <c r="AL276" s="90"/>
      <c r="AM276" s="122"/>
      <c r="AN276" s="122"/>
      <c r="AO276" s="122"/>
      <c r="AP276" s="122"/>
      <c r="AQ276" s="122"/>
      <c r="AR276" s="122"/>
      <c r="AS276" s="122"/>
      <c r="AT276" s="122"/>
      <c r="AU276" s="122"/>
      <c r="AV276" s="93"/>
      <c r="AW276" s="93"/>
      <c r="AX276" s="90"/>
      <c r="AY276" s="122"/>
      <c r="AZ276" s="122"/>
      <c r="BA276" s="122"/>
      <c r="BB276" s="122"/>
      <c r="BC276" s="122"/>
      <c r="BD276" s="122"/>
      <c r="BE276" s="122"/>
      <c r="BF276" s="122"/>
      <c r="BG276" s="122"/>
      <c r="BH276" s="1"/>
    </row>
    <row r="277" spans="1:60" x14ac:dyDescent="0.2">
      <c r="A277" s="648"/>
      <c r="B277" s="492" t="s">
        <v>335</v>
      </c>
      <c r="C277" s="656" t="s">
        <v>104</v>
      </c>
      <c r="D277" s="747"/>
      <c r="E277" s="90"/>
      <c r="F277" s="90"/>
      <c r="G277" s="90"/>
      <c r="H277" s="96"/>
      <c r="I277" s="90"/>
      <c r="J277" s="93"/>
      <c r="K277" s="90"/>
      <c r="L277" s="90"/>
      <c r="M277" s="93"/>
      <c r="N277" s="90"/>
      <c r="O277" s="93"/>
      <c r="P277" s="93"/>
      <c r="Q277" s="93"/>
      <c r="R277" s="93"/>
      <c r="S277" s="93"/>
      <c r="T277" s="93"/>
      <c r="U277" s="93"/>
      <c r="V277" s="93"/>
      <c r="W277" s="93"/>
      <c r="X277" s="93"/>
      <c r="Y277" s="93"/>
      <c r="Z277" s="90"/>
      <c r="AA277" s="93"/>
      <c r="AB277" s="93"/>
      <c r="AC277" s="93"/>
      <c r="AD277" s="93"/>
      <c r="AE277" s="93"/>
      <c r="AF277" s="93"/>
      <c r="AG277" s="93"/>
      <c r="AH277" s="93"/>
      <c r="AI277" s="93"/>
      <c r="AJ277" s="93"/>
      <c r="AK277" s="93"/>
      <c r="AL277" s="90"/>
      <c r="AM277" s="93"/>
      <c r="AN277" s="93"/>
      <c r="AO277" s="93"/>
      <c r="AP277" s="93"/>
      <c r="AQ277" s="93"/>
      <c r="AR277" s="93"/>
      <c r="AS277" s="93"/>
      <c r="AT277" s="93"/>
      <c r="AU277" s="93"/>
      <c r="AV277" s="93"/>
      <c r="AW277" s="93"/>
      <c r="AX277" s="90"/>
      <c r="AY277" s="93"/>
      <c r="AZ277" s="93"/>
      <c r="BA277" s="93"/>
      <c r="BB277" s="93"/>
      <c r="BC277" s="93"/>
      <c r="BD277" s="93"/>
      <c r="BE277" s="93"/>
      <c r="BF277" s="93"/>
      <c r="BG277" s="93"/>
      <c r="BH277" s="1"/>
    </row>
    <row r="278" spans="1:60" s="2" customFormat="1" ht="21" x14ac:dyDescent="0.2">
      <c r="A278" s="649"/>
      <c r="B278" s="492" t="s">
        <v>335</v>
      </c>
      <c r="C278" s="739" t="s">
        <v>104</v>
      </c>
      <c r="D278" s="749" t="s">
        <v>50</v>
      </c>
      <c r="E278" s="253" t="str">
        <f>"energieprestatie indicatoren"&amp;IF($G$6=TRUE," niet correct: warmtebehoefte RV gecorrigeerd","")</f>
        <v>energieprestatie indicatoren</v>
      </c>
      <c r="F278" s="253"/>
      <c r="G278" s="253"/>
      <c r="H278" s="253"/>
      <c r="I278" s="146"/>
      <c r="J278" s="318"/>
      <c r="K278" s="142"/>
      <c r="L278" s="142"/>
      <c r="M278" s="318"/>
      <c r="N278" s="222"/>
      <c r="O278" s="320" t="str">
        <f t="shared" ref="O278:W278" si="282">O$17</f>
        <v/>
      </c>
      <c r="P278" s="320" t="str">
        <f t="shared" si="282"/>
        <v/>
      </c>
      <c r="Q278" s="320" t="str">
        <f t="shared" si="282"/>
        <v/>
      </c>
      <c r="R278" s="320" t="str">
        <f t="shared" si="282"/>
        <v/>
      </c>
      <c r="S278" s="320" t="str">
        <f t="shared" si="282"/>
        <v/>
      </c>
      <c r="T278" s="320" t="str">
        <f t="shared" si="282"/>
        <v/>
      </c>
      <c r="U278" s="320" t="str">
        <f t="shared" si="282"/>
        <v/>
      </c>
      <c r="V278" s="320" t="str">
        <f t="shared" si="282"/>
        <v/>
      </c>
      <c r="W278" s="320" t="str">
        <f t="shared" si="282"/>
        <v/>
      </c>
      <c r="X278" s="214"/>
      <c r="Y278" s="318"/>
      <c r="Z278" s="222"/>
      <c r="AA278" s="320" t="str">
        <f t="shared" ref="AA278:AI278" si="283">AA$17</f>
        <v/>
      </c>
      <c r="AB278" s="320" t="str">
        <f t="shared" si="283"/>
        <v/>
      </c>
      <c r="AC278" s="320" t="str">
        <f t="shared" si="283"/>
        <v/>
      </c>
      <c r="AD278" s="320" t="str">
        <f t="shared" si="283"/>
        <v/>
      </c>
      <c r="AE278" s="320" t="str">
        <f t="shared" si="283"/>
        <v/>
      </c>
      <c r="AF278" s="320" t="str">
        <f t="shared" si="283"/>
        <v/>
      </c>
      <c r="AG278" s="320" t="str">
        <f t="shared" si="283"/>
        <v/>
      </c>
      <c r="AH278" s="320" t="str">
        <f t="shared" si="283"/>
        <v/>
      </c>
      <c r="AI278" s="320" t="str">
        <f t="shared" si="283"/>
        <v/>
      </c>
      <c r="AJ278" s="214"/>
      <c r="AK278" s="318"/>
      <c r="AL278" s="222"/>
      <c r="AM278" s="320" t="str">
        <f>AM$17</f>
        <v/>
      </c>
      <c r="AN278" s="320" t="str">
        <f t="shared" ref="AN278:AU278" si="284">AN$17</f>
        <v/>
      </c>
      <c r="AO278" s="320" t="str">
        <f t="shared" si="284"/>
        <v/>
      </c>
      <c r="AP278" s="320" t="str">
        <f t="shared" si="284"/>
        <v/>
      </c>
      <c r="AQ278" s="320" t="str">
        <f t="shared" si="284"/>
        <v/>
      </c>
      <c r="AR278" s="320" t="str">
        <f t="shared" si="284"/>
        <v/>
      </c>
      <c r="AS278" s="320" t="str">
        <f t="shared" si="284"/>
        <v/>
      </c>
      <c r="AT278" s="320" t="str">
        <f t="shared" si="284"/>
        <v/>
      </c>
      <c r="AU278" s="320" t="str">
        <f t="shared" si="284"/>
        <v/>
      </c>
      <c r="AV278" s="214"/>
      <c r="AW278" s="318"/>
      <c r="AX278" s="222"/>
      <c r="AY278" s="320" t="str">
        <f>AY$17</f>
        <v/>
      </c>
      <c r="AZ278" s="320" t="str">
        <f t="shared" ref="AZ278:BG278" si="285">AZ$17</f>
        <v/>
      </c>
      <c r="BA278" s="320" t="str">
        <f t="shared" si="285"/>
        <v/>
      </c>
      <c r="BB278" s="320" t="str">
        <f t="shared" si="285"/>
        <v/>
      </c>
      <c r="BC278" s="320" t="str">
        <f t="shared" si="285"/>
        <v/>
      </c>
      <c r="BD278" s="320" t="str">
        <f t="shared" si="285"/>
        <v/>
      </c>
      <c r="BE278" s="320" t="str">
        <f t="shared" si="285"/>
        <v/>
      </c>
      <c r="BF278" s="320" t="str">
        <f t="shared" si="285"/>
        <v/>
      </c>
      <c r="BG278" s="320" t="str">
        <f t="shared" si="285"/>
        <v/>
      </c>
      <c r="BH278" s="1"/>
    </row>
    <row r="279" spans="1:60" ht="18.75" hidden="1" x14ac:dyDescent="0.2">
      <c r="A279" s="648"/>
      <c r="B279" s="492" t="s">
        <v>335</v>
      </c>
      <c r="C279" s="739" t="s">
        <v>309</v>
      </c>
      <c r="D279" s="750"/>
      <c r="E279" s="236" t="s">
        <v>336</v>
      </c>
      <c r="F279" s="236"/>
      <c r="G279" s="236"/>
      <c r="H279" s="89"/>
      <c r="I279" s="236"/>
      <c r="J279" s="236"/>
      <c r="K279" s="236"/>
      <c r="L279" s="236"/>
      <c r="M279" s="236"/>
      <c r="N279" s="236"/>
      <c r="O279" s="236"/>
      <c r="P279" s="236"/>
      <c r="Q279" s="236"/>
      <c r="R279" s="236"/>
      <c r="S279" s="236"/>
      <c r="T279" s="236"/>
      <c r="U279" s="236"/>
      <c r="V279" s="236"/>
      <c r="W279" s="236"/>
      <c r="X279" s="236"/>
      <c r="Y279" s="236"/>
      <c r="Z279" s="236"/>
      <c r="AA279" s="236"/>
      <c r="AB279" s="236"/>
      <c r="AC279" s="236"/>
      <c r="AD279" s="236"/>
      <c r="AE279" s="236"/>
      <c r="AF279" s="236"/>
      <c r="AG279" s="236"/>
      <c r="AH279" s="236"/>
      <c r="AI279" s="236"/>
      <c r="AJ279" s="236"/>
      <c r="AK279" s="236"/>
      <c r="AL279" s="236"/>
      <c r="AM279" s="236"/>
      <c r="AN279" s="236"/>
      <c r="AO279" s="236"/>
      <c r="AP279" s="236"/>
      <c r="AQ279" s="236"/>
      <c r="AR279" s="236"/>
      <c r="AS279" s="236"/>
      <c r="AT279" s="236"/>
      <c r="AU279" s="236"/>
      <c r="AV279" s="236"/>
      <c r="AW279" s="236"/>
      <c r="AX279" s="236"/>
      <c r="AY279" s="236"/>
      <c r="AZ279" s="236"/>
      <c r="BA279" s="236"/>
      <c r="BB279" s="236"/>
      <c r="BC279" s="236"/>
      <c r="BD279" s="236"/>
      <c r="BE279" s="236"/>
      <c r="BF279" s="236"/>
      <c r="BG279" s="236"/>
      <c r="BH279" s="38"/>
    </row>
    <row r="280" spans="1:60" hidden="1" x14ac:dyDescent="0.2">
      <c r="A280" s="648"/>
      <c r="B280" s="492" t="s">
        <v>335</v>
      </c>
      <c r="C280" s="739" t="s">
        <v>309</v>
      </c>
      <c r="D280" s="750"/>
      <c r="E280" s="246" t="s">
        <v>337</v>
      </c>
      <c r="F280" s="246"/>
      <c r="G280" s="246"/>
      <c r="H280" s="247" t="s">
        <v>70</v>
      </c>
      <c r="I280" s="248"/>
      <c r="J280" s="249"/>
      <c r="K280" s="90"/>
      <c r="L280" s="90"/>
      <c r="M280" s="249"/>
      <c r="N280" s="248"/>
      <c r="O280" s="250" t="str">
        <f t="shared" ref="O280:W280" si="286">IF(OR(O$19="",O$24=0,O$31=0),"",MATCH(O$21,BENG_gebruiksfuncties,0))</f>
        <v/>
      </c>
      <c r="P280" s="250" t="str">
        <f t="shared" si="286"/>
        <v/>
      </c>
      <c r="Q280" s="250" t="str">
        <f t="shared" si="286"/>
        <v/>
      </c>
      <c r="R280" s="250" t="str">
        <f t="shared" si="286"/>
        <v/>
      </c>
      <c r="S280" s="250" t="str">
        <f t="shared" si="286"/>
        <v/>
      </c>
      <c r="T280" s="250" t="str">
        <f t="shared" si="286"/>
        <v/>
      </c>
      <c r="U280" s="250" t="str">
        <f t="shared" si="286"/>
        <v/>
      </c>
      <c r="V280" s="250" t="str">
        <f t="shared" si="286"/>
        <v/>
      </c>
      <c r="W280" s="250" t="str">
        <f t="shared" si="286"/>
        <v/>
      </c>
      <c r="X280" s="122"/>
      <c r="Y280" s="249"/>
      <c r="Z280" s="248"/>
      <c r="AA280" s="250" t="str">
        <f t="shared" ref="AA280:AI280" si="287">IF(OR(AA$19="",AA$24=0,AA$31=0),"",MATCH(AA$21,BENG_gebruiksfuncties,0))</f>
        <v/>
      </c>
      <c r="AB280" s="250" t="str">
        <f t="shared" si="287"/>
        <v/>
      </c>
      <c r="AC280" s="250" t="str">
        <f t="shared" si="287"/>
        <v/>
      </c>
      <c r="AD280" s="250" t="str">
        <f t="shared" si="287"/>
        <v/>
      </c>
      <c r="AE280" s="250" t="str">
        <f t="shared" si="287"/>
        <v/>
      </c>
      <c r="AF280" s="250" t="str">
        <f t="shared" si="287"/>
        <v/>
      </c>
      <c r="AG280" s="250" t="str">
        <f t="shared" si="287"/>
        <v/>
      </c>
      <c r="AH280" s="250" t="str">
        <f t="shared" si="287"/>
        <v/>
      </c>
      <c r="AI280" s="250" t="str">
        <f t="shared" si="287"/>
        <v/>
      </c>
      <c r="AJ280" s="122"/>
      <c r="AK280" s="249"/>
      <c r="AL280" s="248"/>
      <c r="AM280" s="250" t="str">
        <f>IF(OR(AM$19="",AM$24=0,AM$31=0),"",MATCH(AM$21,BENG_gebruiksfuncties,0))</f>
        <v/>
      </c>
      <c r="AN280" s="250" t="str">
        <f t="shared" ref="AN280:AU280" si="288">IF(OR(AN$19="",AN$24=0,AN$31=0),"",MATCH(AN$21,BENG_gebruiksfuncties,0))</f>
        <v/>
      </c>
      <c r="AO280" s="250" t="str">
        <f t="shared" si="288"/>
        <v/>
      </c>
      <c r="AP280" s="250" t="str">
        <f t="shared" si="288"/>
        <v/>
      </c>
      <c r="AQ280" s="250" t="str">
        <f t="shared" si="288"/>
        <v/>
      </c>
      <c r="AR280" s="250" t="str">
        <f t="shared" si="288"/>
        <v/>
      </c>
      <c r="AS280" s="250" t="str">
        <f t="shared" si="288"/>
        <v/>
      </c>
      <c r="AT280" s="250" t="str">
        <f t="shared" si="288"/>
        <v/>
      </c>
      <c r="AU280" s="250" t="str">
        <f t="shared" si="288"/>
        <v/>
      </c>
      <c r="AV280" s="122"/>
      <c r="AW280" s="249"/>
      <c r="AX280" s="248"/>
      <c r="AY280" s="250" t="str">
        <f t="shared" ref="AY280:BG280" si="289">IF(OR(AY$19="",AY$24=0,AY$31=0),"",MATCH(AY$21,BENG_gebruiksfuncties,0))</f>
        <v/>
      </c>
      <c r="AZ280" s="250" t="str">
        <f t="shared" si="289"/>
        <v/>
      </c>
      <c r="BA280" s="250" t="str">
        <f t="shared" si="289"/>
        <v/>
      </c>
      <c r="BB280" s="250" t="str">
        <f t="shared" si="289"/>
        <v/>
      </c>
      <c r="BC280" s="250" t="str">
        <f t="shared" si="289"/>
        <v/>
      </c>
      <c r="BD280" s="250" t="str">
        <f t="shared" si="289"/>
        <v/>
      </c>
      <c r="BE280" s="250" t="str">
        <f t="shared" si="289"/>
        <v/>
      </c>
      <c r="BF280" s="250" t="str">
        <f t="shared" si="289"/>
        <v/>
      </c>
      <c r="BG280" s="250" t="str">
        <f t="shared" si="289"/>
        <v/>
      </c>
      <c r="BH280" s="255"/>
    </row>
    <row r="281" spans="1:60" ht="18.75" x14ac:dyDescent="0.2">
      <c r="A281" s="648"/>
      <c r="B281" s="492" t="s">
        <v>335</v>
      </c>
      <c r="C281" s="739" t="s">
        <v>104</v>
      </c>
      <c r="D281" s="749" t="s">
        <v>50</v>
      </c>
      <c r="E281" s="236" t="s">
        <v>338</v>
      </c>
      <c r="F281" s="236"/>
      <c r="G281" s="236"/>
      <c r="H281" s="89"/>
      <c r="I281" s="236"/>
      <c r="J281" s="236"/>
      <c r="K281" s="236"/>
      <c r="L281" s="236"/>
      <c r="M281" s="236"/>
      <c r="N281" s="236"/>
      <c r="O281" s="236"/>
      <c r="P281" s="236"/>
      <c r="Q281" s="236"/>
      <c r="R281" s="236"/>
      <c r="S281" s="236"/>
      <c r="T281" s="236"/>
      <c r="U281" s="236"/>
      <c r="V281" s="236"/>
      <c r="W281" s="236"/>
      <c r="X281" s="236"/>
      <c r="Y281" s="236"/>
      <c r="Z281" s="236"/>
      <c r="AA281" s="236"/>
      <c r="AB281" s="236"/>
      <c r="AC281" s="236"/>
      <c r="AD281" s="236"/>
      <c r="AE281" s="236"/>
      <c r="AF281" s="236"/>
      <c r="AG281" s="236"/>
      <c r="AH281" s="236"/>
      <c r="AI281" s="236"/>
      <c r="AJ281" s="236"/>
      <c r="AK281" s="236"/>
      <c r="AL281" s="236"/>
      <c r="AM281" s="236"/>
      <c r="AN281" s="236"/>
      <c r="AO281" s="236"/>
      <c r="AP281" s="236"/>
      <c r="AQ281" s="236"/>
      <c r="AR281" s="236"/>
      <c r="AS281" s="236"/>
      <c r="AT281" s="236"/>
      <c r="AU281" s="236"/>
      <c r="AV281" s="236"/>
      <c r="AW281" s="236"/>
      <c r="AX281" s="236"/>
      <c r="AY281" s="236"/>
      <c r="AZ281" s="236"/>
      <c r="BA281" s="236"/>
      <c r="BB281" s="236"/>
      <c r="BC281" s="236"/>
      <c r="BD281" s="236"/>
      <c r="BE281" s="236"/>
      <c r="BF281" s="236"/>
      <c r="BG281" s="236"/>
      <c r="BH281" s="38"/>
    </row>
    <row r="282" spans="1:60" x14ac:dyDescent="0.2">
      <c r="A282" s="648"/>
      <c r="B282" s="492" t="s">
        <v>335</v>
      </c>
      <c r="C282" s="656" t="s">
        <v>113</v>
      </c>
      <c r="D282" s="750"/>
      <c r="E282" s="246" t="s">
        <v>339</v>
      </c>
      <c r="F282" s="246"/>
      <c r="G282" s="246"/>
      <c r="H282" s="247" t="s">
        <v>169</v>
      </c>
      <c r="I282" s="248"/>
      <c r="J282" s="249"/>
      <c r="K282" s="90"/>
      <c r="L282" s="90"/>
      <c r="M282" s="249"/>
      <c r="N282" s="248"/>
      <c r="O282" s="251" t="str" cm="1">
        <f t="array" ref="O282">IF(OR(O$19="",O$40="",O$42="",O$280=""),"",
IF(O$34&lt;=INDEX(BENG1_eis_grenswaarde_1,O$280),
      INDEX(BENG1_eis_Als_deeldoor_Ag_kleiner_dan_grenswaarde_1,O$280),
IF(O$34&lt;=INDEX(BENG1_eis_grenswaarde_2,O$280),
      INDEX(BENG1_eis_C1,O$280) + INDEX(BENG1_eis_C2,O$280) * (O$34 - INDEX(BENG1_eis_C3,O$280) ),
      INDEX(BENG1_eis_C4,O$280)  + INDEX(BENG1_eis_C5,O$280) * (O$34 - INDEX(BENG1_eis_C6,O$280) ))))</f>
        <v/>
      </c>
      <c r="P282" s="251" t="str" cm="1">
        <f t="array" ref="P282">IF(OR(P$19="",P$40="",P$42="",P$280=""),"",
IF(P$34&lt;=INDEX(BENG1_eis_grenswaarde_1,P$280),
      INDEX(BENG1_eis_Als_deeldoor_Ag_kleiner_dan_grenswaarde_1,P$280),
IF(P$34&lt;=INDEX(BENG1_eis_grenswaarde_2,P$280),
      INDEX(BENG1_eis_C1,P$280) + INDEX(BENG1_eis_C2,P$280) * (P$34 - INDEX(BENG1_eis_C3,P$280) ),
      INDEX(BENG1_eis_C4,P$280)  + INDEX(BENG1_eis_C5,P$280) * (P$34 - INDEX(BENG1_eis_C6,P$280) ))))</f>
        <v/>
      </c>
      <c r="Q282" s="251" t="str" cm="1">
        <f t="array" ref="Q282">IF(OR(Q$19="",Q$40="",Q$42="",Q$280=""),"",
IF(Q$34&lt;=INDEX(BENG1_eis_grenswaarde_1,Q$280),
      INDEX(BENG1_eis_Als_deeldoor_Ag_kleiner_dan_grenswaarde_1,Q$280),
IF(Q$34&lt;=INDEX(BENG1_eis_grenswaarde_2,Q$280),
      INDEX(BENG1_eis_C1,Q$280) + INDEX(BENG1_eis_C2,Q$280) * (Q$34 - INDEX(BENG1_eis_C3,Q$280) ),
      INDEX(BENG1_eis_C4,Q$280)  + INDEX(BENG1_eis_C5,Q$280) * (Q$34 - INDEX(BENG1_eis_C6,Q$280) ))))</f>
        <v/>
      </c>
      <c r="R282" s="251" t="str" cm="1">
        <f t="array" ref="R282">IF(OR(R$19="",R$40="",R$42="",R$280=""),"",
IF(R$34&lt;=INDEX(BENG1_eis_grenswaarde_1,R$280),
      INDEX(BENG1_eis_Als_deeldoor_Ag_kleiner_dan_grenswaarde_1,R$280),
IF(R$34&lt;=INDEX(BENG1_eis_grenswaarde_2,R$280),
      INDEX(BENG1_eis_C1,R$280) + INDEX(BENG1_eis_C2,R$280) * (R$34 - INDEX(BENG1_eis_C3,R$280) ),
      INDEX(BENG1_eis_C4,R$280)  + INDEX(BENG1_eis_C5,R$280) * (R$34 - INDEX(BENG1_eis_C6,R$280) ))))</f>
        <v/>
      </c>
      <c r="S282" s="251" t="str" cm="1">
        <f t="array" ref="S282">IF(OR(S$19="",S$40="",S$42="",S$280=""),"",
IF(S$34&lt;=INDEX(BENG1_eis_grenswaarde_1,S$280),
      INDEX(BENG1_eis_Als_deeldoor_Ag_kleiner_dan_grenswaarde_1,S$280),
IF(S$34&lt;=INDEX(BENG1_eis_grenswaarde_2,S$280),
      INDEX(BENG1_eis_C1,S$280) + INDEX(BENG1_eis_C2,S$280) * (S$34 - INDEX(BENG1_eis_C3,S$280) ),
      INDEX(BENG1_eis_C4,S$280)  + INDEX(BENG1_eis_C5,S$280) * (S$34 - INDEX(BENG1_eis_C6,S$280) ))))</f>
        <v/>
      </c>
      <c r="T282" s="251" t="str" cm="1">
        <f t="array" ref="T282">IF(OR(T$19="",T$40="",T$42="",T$280=""),"",
IF(T$34&lt;=INDEX(BENG1_eis_grenswaarde_1,T$280),
      INDEX(BENG1_eis_Als_deeldoor_Ag_kleiner_dan_grenswaarde_1,T$280),
IF(T$34&lt;=INDEX(BENG1_eis_grenswaarde_2,T$280),
      INDEX(BENG1_eis_C1,T$280) + INDEX(BENG1_eis_C2,T$280) * (T$34 - INDEX(BENG1_eis_C3,T$280) ),
      INDEX(BENG1_eis_C4,T$280)  + INDEX(BENG1_eis_C5,T$280) * (T$34 - INDEX(BENG1_eis_C6,T$280) ))))</f>
        <v/>
      </c>
      <c r="U282" s="251" t="str" cm="1">
        <f t="array" ref="U282">IF(OR(U$19="",U$40="",U$42="",U$280=""),"",
IF(U$34&lt;=INDEX(BENG1_eis_grenswaarde_1,U$280),
      INDEX(BENG1_eis_Als_deeldoor_Ag_kleiner_dan_grenswaarde_1,U$280),
IF(U$34&lt;=INDEX(BENG1_eis_grenswaarde_2,U$280),
      INDEX(BENG1_eis_C1,U$280) + INDEX(BENG1_eis_C2,U$280) * (U$34 - INDEX(BENG1_eis_C3,U$280) ),
      INDEX(BENG1_eis_C4,U$280)  + INDEX(BENG1_eis_C5,U$280) * (U$34 - INDEX(BENG1_eis_C6,U$280) ))))</f>
        <v/>
      </c>
      <c r="V282" s="251" t="str" cm="1">
        <f t="array" ref="V282">IF(OR(V$19="",V$40="",V$42="",V$280=""),"",
IF(V$34&lt;=INDEX(BENG1_eis_grenswaarde_1,V$280),
      INDEX(BENG1_eis_Als_deeldoor_Ag_kleiner_dan_grenswaarde_1,V$280),
IF(V$34&lt;=INDEX(BENG1_eis_grenswaarde_2,V$280),
      INDEX(BENG1_eis_C1,V$280) + INDEX(BENG1_eis_C2,V$280) * (V$34 - INDEX(BENG1_eis_C3,V$280) ),
      INDEX(BENG1_eis_C4,V$280)  + INDEX(BENG1_eis_C5,V$280) * (V$34 - INDEX(BENG1_eis_C6,V$280) ))))</f>
        <v/>
      </c>
      <c r="W282" s="251" t="str" cm="1">
        <f t="array" ref="W282">IF(OR(W$19="",W$40="",W$42="",W$280=""),"",
IF(W$34&lt;=INDEX(BENG1_eis_grenswaarde_1,W$280),
      INDEX(BENG1_eis_Als_deeldoor_Ag_kleiner_dan_grenswaarde_1,W$280),
IF(W$34&lt;=INDEX(BENG1_eis_grenswaarde_2,W$280),
      INDEX(BENG1_eis_C1,W$280) + INDEX(BENG1_eis_C2,W$280) * (W$34 - INDEX(BENG1_eis_C3,W$280) ),
      INDEX(BENG1_eis_C4,W$280)  + INDEX(BENG1_eis_C5,W$280) * (W$34 - INDEX(BENG1_eis_C6,W$280) ))))</f>
        <v/>
      </c>
      <c r="X282" s="122"/>
      <c r="Y282" s="249"/>
      <c r="Z282" s="248"/>
      <c r="AA282" s="251" t="str" cm="1">
        <f t="array" ref="AA282">IF(OR(AA$19="",AA$40="",AA$42="",AA$280=""),"",
IF(AA$34&lt;=INDEX(BENG1_eis_grenswaarde_1,AA$280),
      INDEX(BENG1_eis_Als_deeldoor_Ag_kleiner_dan_grenswaarde_1,AA$280),
IF(AA$34&lt;=INDEX(BENG1_eis_grenswaarde_2,AA$280),
      INDEX(BENG1_eis_C1,AA$280) + INDEX(BENG1_eis_C2,AA$280) * (AA$34 - INDEX(BENG1_eis_C3,AA$280) ),
      INDEX(BENG1_eis_C4,AA$280)  + INDEX(BENG1_eis_C5,AA$280) * (AA$34 - INDEX(BENG1_eis_C6,AA$280) ))))</f>
        <v/>
      </c>
      <c r="AB282" s="251" t="str" cm="1">
        <f t="array" ref="AB282">IF(OR(AB$19="",AB$40="",AB$42="",AB$280=""),"",
IF(AB$34&lt;=INDEX(BENG1_eis_grenswaarde_1,AB$280),
      INDEX(BENG1_eis_Als_deeldoor_Ag_kleiner_dan_grenswaarde_1,AB$280),
IF(AB$34&lt;=INDEX(BENG1_eis_grenswaarde_2,AB$280),
      INDEX(BENG1_eis_C1,AB$280) + INDEX(BENG1_eis_C2,AB$280) * (AB$34 - INDEX(BENG1_eis_C3,AB$280) ),
      INDEX(BENG1_eis_C4,AB$280)  + INDEX(BENG1_eis_C5,AB$280) * (AB$34 - INDEX(BENG1_eis_C6,AB$280) ))))</f>
        <v/>
      </c>
      <c r="AC282" s="251" t="str" cm="1">
        <f t="array" ref="AC282">IF(OR(AC$19="",AC$40="",AC$42="",AC$280=""),"",
IF(AC$34&lt;=INDEX(BENG1_eis_grenswaarde_1,AC$280),
      INDEX(BENG1_eis_Als_deeldoor_Ag_kleiner_dan_grenswaarde_1,AC$280),
IF(AC$34&lt;=INDEX(BENG1_eis_grenswaarde_2,AC$280),
      INDEX(BENG1_eis_C1,AC$280) + INDEX(BENG1_eis_C2,AC$280) * (AC$34 - INDEX(BENG1_eis_C3,AC$280) ),
      INDEX(BENG1_eis_C4,AC$280)  + INDEX(BENG1_eis_C5,AC$280) * (AC$34 - INDEX(BENG1_eis_C6,AC$280) ))))</f>
        <v/>
      </c>
      <c r="AD282" s="251" t="str" cm="1">
        <f t="array" ref="AD282">IF(OR(AD$19="",AD$40="",AD$42="",AD$280=""),"",
IF(AD$34&lt;=INDEX(BENG1_eis_grenswaarde_1,AD$280),
      INDEX(BENG1_eis_Als_deeldoor_Ag_kleiner_dan_grenswaarde_1,AD$280),
IF(AD$34&lt;=INDEX(BENG1_eis_grenswaarde_2,AD$280),
      INDEX(BENG1_eis_C1,AD$280) + INDEX(BENG1_eis_C2,AD$280) * (AD$34 - INDEX(BENG1_eis_C3,AD$280) ),
      INDEX(BENG1_eis_C4,AD$280)  + INDEX(BENG1_eis_C5,AD$280) * (AD$34 - INDEX(BENG1_eis_C6,AD$280) ))))</f>
        <v/>
      </c>
      <c r="AE282" s="251" t="str" cm="1">
        <f t="array" ref="AE282">IF(OR(AE$19="",AE$40="",AE$42="",AE$280=""),"",
IF(AE$34&lt;=INDEX(BENG1_eis_grenswaarde_1,AE$280),
      INDEX(BENG1_eis_Als_deeldoor_Ag_kleiner_dan_grenswaarde_1,AE$280),
IF(AE$34&lt;=INDEX(BENG1_eis_grenswaarde_2,AE$280),
      INDEX(BENG1_eis_C1,AE$280) + INDEX(BENG1_eis_C2,AE$280) * (AE$34 - INDEX(BENG1_eis_C3,AE$280) ),
      INDEX(BENG1_eis_C4,AE$280)  + INDEX(BENG1_eis_C5,AE$280) * (AE$34 - INDEX(BENG1_eis_C6,AE$280) ))))</f>
        <v/>
      </c>
      <c r="AF282" s="251" t="str" cm="1">
        <f t="array" ref="AF282">IF(OR(AF$19="",AF$40="",AF$42="",AF$280=""),"",
IF(AF$34&lt;=INDEX(BENG1_eis_grenswaarde_1,AF$280),
      INDEX(BENG1_eis_Als_deeldoor_Ag_kleiner_dan_grenswaarde_1,AF$280),
IF(AF$34&lt;=INDEX(BENG1_eis_grenswaarde_2,AF$280),
      INDEX(BENG1_eis_C1,AF$280) + INDEX(BENG1_eis_C2,AF$280) * (AF$34 - INDEX(BENG1_eis_C3,AF$280) ),
      INDEX(BENG1_eis_C4,AF$280)  + INDEX(BENG1_eis_C5,AF$280) * (AF$34 - INDEX(BENG1_eis_C6,AF$280) ))))</f>
        <v/>
      </c>
      <c r="AG282" s="251" t="str" cm="1">
        <f t="array" ref="AG282">IF(OR(AG$19="",AG$40="",AG$42="",AG$280=""),"",
IF(AG$34&lt;=INDEX(BENG1_eis_grenswaarde_1,AG$280),
      INDEX(BENG1_eis_Als_deeldoor_Ag_kleiner_dan_grenswaarde_1,AG$280),
IF(AG$34&lt;=INDEX(BENG1_eis_grenswaarde_2,AG$280),
      INDEX(BENG1_eis_C1,AG$280) + INDEX(BENG1_eis_C2,AG$280) * (AG$34 - INDEX(BENG1_eis_C3,AG$280) ),
      INDEX(BENG1_eis_C4,AG$280)  + INDEX(BENG1_eis_C5,AG$280) * (AG$34 - INDEX(BENG1_eis_C6,AG$280) ))))</f>
        <v/>
      </c>
      <c r="AH282" s="251" t="str" cm="1">
        <f t="array" ref="AH282">IF(OR(AH$19="",AH$40="",AH$42="",AH$280=""),"",
IF(AH$34&lt;=INDEX(BENG1_eis_grenswaarde_1,AH$280),
      INDEX(BENG1_eis_Als_deeldoor_Ag_kleiner_dan_grenswaarde_1,AH$280),
IF(AH$34&lt;=INDEX(BENG1_eis_grenswaarde_2,AH$280),
      INDEX(BENG1_eis_C1,AH$280) + INDEX(BENG1_eis_C2,AH$280) * (AH$34 - INDEX(BENG1_eis_C3,AH$280) ),
      INDEX(BENG1_eis_C4,AH$280)  + INDEX(BENG1_eis_C5,AH$280) * (AH$34 - INDEX(BENG1_eis_C6,AH$280) ))))</f>
        <v/>
      </c>
      <c r="AI282" s="251" t="str" cm="1">
        <f t="array" ref="AI282">IF(OR(AI$19="",AI$40="",AI$42="",AI$280=""),"",
IF(AI$34&lt;=INDEX(BENG1_eis_grenswaarde_1,AI$280),
      INDEX(BENG1_eis_Als_deeldoor_Ag_kleiner_dan_grenswaarde_1,AI$280),
IF(AI$34&lt;=INDEX(BENG1_eis_grenswaarde_2,AI$280),
      INDEX(BENG1_eis_C1,AI$280) + INDEX(BENG1_eis_C2,AI$280) * (AI$34 - INDEX(BENG1_eis_C3,AI$280) ),
      INDEX(BENG1_eis_C4,AI$280)  + INDEX(BENG1_eis_C5,AI$280) * (AI$34 - INDEX(BENG1_eis_C6,AI$280) ))))</f>
        <v/>
      </c>
      <c r="AJ282" s="122"/>
      <c r="AK282" s="249"/>
      <c r="AL282" s="248"/>
      <c r="AM282" s="251" t="str" cm="1">
        <f t="array" ref="AM282">IF(OR(AM$19="",AM$40="",AM$42="",AM$280=""),"",
IF(AM$34&lt;=INDEX(BENG1_eis_grenswaarde_1,AM$280),
      INDEX(BENG1_eis_Als_deeldoor_Ag_kleiner_dan_grenswaarde_1,AM$280),
IF(AM$34&lt;=INDEX(BENG1_eis_grenswaarde_2,AM$280),
      INDEX(BENG1_eis_C1,AM$280) + INDEX(BENG1_eis_C2,AM$280) * (AM$34 - INDEX(BENG1_eis_C3,AM$280) ),
      INDEX(BENG1_eis_C4,AM$280)  + INDEX(BENG1_eis_C5,AM$280) * (AM$34 - INDEX(BENG1_eis_C6,AM$280) ))))</f>
        <v/>
      </c>
      <c r="AN282" s="251" t="str" cm="1">
        <f t="array" ref="AN282">IF(OR(AN$19="",AN$40="",AN$42="",AN$280=""),"",
IF(AN$34&lt;=INDEX(BENG1_eis_grenswaarde_1,AN$280),
      INDEX(BENG1_eis_Als_deeldoor_Ag_kleiner_dan_grenswaarde_1,AN$280),
IF(AN$34&lt;=INDEX(BENG1_eis_grenswaarde_2,AN$280),
      INDEX(BENG1_eis_C1,AN$280) + INDEX(BENG1_eis_C2,AN$280) * (AN$34 - INDEX(BENG1_eis_C3,AN$280) ),
      INDEX(BENG1_eis_C4,AN$280)  + INDEX(BENG1_eis_C5,AN$280) * (AN$34 - INDEX(BENG1_eis_C6,AN$280) ))))</f>
        <v/>
      </c>
      <c r="AO282" s="251" t="str" cm="1">
        <f t="array" ref="AO282">IF(OR(AO$19="",AO$40="",AO$42="",AO$280=""),"",
IF(AO$34&lt;=INDEX(BENG1_eis_grenswaarde_1,AO$280),
      INDEX(BENG1_eis_Als_deeldoor_Ag_kleiner_dan_grenswaarde_1,AO$280),
IF(AO$34&lt;=INDEX(BENG1_eis_grenswaarde_2,AO$280),
      INDEX(BENG1_eis_C1,AO$280) + INDEX(BENG1_eis_C2,AO$280) * (AO$34 - INDEX(BENG1_eis_C3,AO$280) ),
      INDEX(BENG1_eis_C4,AO$280)  + INDEX(BENG1_eis_C5,AO$280) * (AO$34 - INDEX(BENG1_eis_C6,AO$280) ))))</f>
        <v/>
      </c>
      <c r="AP282" s="251" t="str" cm="1">
        <f t="array" ref="AP282">IF(OR(AP$19="",AP$40="",AP$42="",AP$280=""),"",
IF(AP$34&lt;=INDEX(BENG1_eis_grenswaarde_1,AP$280),
      INDEX(BENG1_eis_Als_deeldoor_Ag_kleiner_dan_grenswaarde_1,AP$280),
IF(AP$34&lt;=INDEX(BENG1_eis_grenswaarde_2,AP$280),
      INDEX(BENG1_eis_C1,AP$280) + INDEX(BENG1_eis_C2,AP$280) * (AP$34 - INDEX(BENG1_eis_C3,AP$280) ),
      INDEX(BENG1_eis_C4,AP$280)  + INDEX(BENG1_eis_C5,AP$280) * (AP$34 - INDEX(BENG1_eis_C6,AP$280) ))))</f>
        <v/>
      </c>
      <c r="AQ282" s="251" t="str" cm="1">
        <f t="array" ref="AQ282">IF(OR(AQ$19="",AQ$40="",AQ$42="",AQ$280=""),"",
IF(AQ$34&lt;=INDEX(BENG1_eis_grenswaarde_1,AQ$280),
      INDEX(BENG1_eis_Als_deeldoor_Ag_kleiner_dan_grenswaarde_1,AQ$280),
IF(AQ$34&lt;=INDEX(BENG1_eis_grenswaarde_2,AQ$280),
      INDEX(BENG1_eis_C1,AQ$280) + INDEX(BENG1_eis_C2,AQ$280) * (AQ$34 - INDEX(BENG1_eis_C3,AQ$280) ),
      INDEX(BENG1_eis_C4,AQ$280)  + INDEX(BENG1_eis_C5,AQ$280) * (AQ$34 - INDEX(BENG1_eis_C6,AQ$280) ))))</f>
        <v/>
      </c>
      <c r="AR282" s="251" t="str" cm="1">
        <f t="array" ref="AR282">IF(OR(AR$19="",AR$40="",AR$42="",AR$280=""),"",
IF(AR$34&lt;=INDEX(BENG1_eis_grenswaarde_1,AR$280),
      INDEX(BENG1_eis_Als_deeldoor_Ag_kleiner_dan_grenswaarde_1,AR$280),
IF(AR$34&lt;=INDEX(BENG1_eis_grenswaarde_2,AR$280),
      INDEX(BENG1_eis_C1,AR$280) + INDEX(BENG1_eis_C2,AR$280) * (AR$34 - INDEX(BENG1_eis_C3,AR$280) ),
      INDEX(BENG1_eis_C4,AR$280)  + INDEX(BENG1_eis_C5,AR$280) * (AR$34 - INDEX(BENG1_eis_C6,AR$280) ))))</f>
        <v/>
      </c>
      <c r="AS282" s="251" t="str" cm="1">
        <f t="array" ref="AS282">IF(OR(AS$19="",AS$40="",AS$42="",AS$280=""),"",
IF(AS$34&lt;=INDEX(BENG1_eis_grenswaarde_1,AS$280),
      INDEX(BENG1_eis_Als_deeldoor_Ag_kleiner_dan_grenswaarde_1,AS$280),
IF(AS$34&lt;=INDEX(BENG1_eis_grenswaarde_2,AS$280),
      INDEX(BENG1_eis_C1,AS$280) + INDEX(BENG1_eis_C2,AS$280) * (AS$34 - INDEX(BENG1_eis_C3,AS$280) ),
      INDEX(BENG1_eis_C4,AS$280)  + INDEX(BENG1_eis_C5,AS$280) * (AS$34 - INDEX(BENG1_eis_C6,AS$280) ))))</f>
        <v/>
      </c>
      <c r="AT282" s="251" t="str" cm="1">
        <f t="array" ref="AT282">IF(OR(AT$19="",AT$40="",AT$42="",AT$280=""),"",
IF(AT$34&lt;=INDEX(BENG1_eis_grenswaarde_1,AT$280),
      INDEX(BENG1_eis_Als_deeldoor_Ag_kleiner_dan_grenswaarde_1,AT$280),
IF(AT$34&lt;=INDEX(BENG1_eis_grenswaarde_2,AT$280),
      INDEX(BENG1_eis_C1,AT$280) + INDEX(BENG1_eis_C2,AT$280) * (AT$34 - INDEX(BENG1_eis_C3,AT$280) ),
      INDEX(BENG1_eis_C4,AT$280)  + INDEX(BENG1_eis_C5,AT$280) * (AT$34 - INDEX(BENG1_eis_C6,AT$280) ))))</f>
        <v/>
      </c>
      <c r="AU282" s="251" t="str" cm="1">
        <f t="array" ref="AU282">IF(OR(AU$19="",AU$40="",AU$42="",AU$280=""),"",
IF(AU$34&lt;=INDEX(BENG1_eis_grenswaarde_1,AU$280),
      INDEX(BENG1_eis_Als_deeldoor_Ag_kleiner_dan_grenswaarde_1,AU$280),
IF(AU$34&lt;=INDEX(BENG1_eis_grenswaarde_2,AU$280),
      INDEX(BENG1_eis_C1,AU$280) + INDEX(BENG1_eis_C2,AU$280) * (AU$34 - INDEX(BENG1_eis_C3,AU$280) ),
      INDEX(BENG1_eis_C4,AU$280)  + INDEX(BENG1_eis_C5,AU$280) * (AU$34 - INDEX(BENG1_eis_C6,AU$280) ))))</f>
        <v/>
      </c>
      <c r="AV282" s="122"/>
      <c r="AW282" s="249"/>
      <c r="AX282" s="248"/>
      <c r="AY282" s="251" t="str" cm="1">
        <f t="array" ref="AY282">IF(OR(AY$19="",AY$40="",AY$42="",AY$280=""),"",
IF(AY$34&lt;=INDEX(BENG1_eis_grenswaarde_1,AY$280),
      INDEX(BENG1_eis_Als_deeldoor_Ag_kleiner_dan_grenswaarde_1,AY$280),
IF(AY$34&lt;=INDEX(BENG1_eis_grenswaarde_2,AY$280),
      INDEX(BENG1_eis_C1,AY$280) + INDEX(BENG1_eis_C2,AY$280) * (AY$34 - INDEX(BENG1_eis_C3,AY$280) ),
      INDEX(BENG1_eis_C4,AY$280)  + INDEX(BENG1_eis_C5,AY$280) * (AY$34 - INDEX(BENG1_eis_C6,AY$280) ))))</f>
        <v/>
      </c>
      <c r="AZ282" s="251" t="str" cm="1">
        <f t="array" ref="AZ282">IF(OR(AZ$19="",AZ$40="",AZ$42="",AZ$280=""),"",
IF(AZ$34&lt;=INDEX(BENG1_eis_grenswaarde_1,AZ$280),
      INDEX(BENG1_eis_Als_deeldoor_Ag_kleiner_dan_grenswaarde_1,AZ$280),
IF(AZ$34&lt;=INDEX(BENG1_eis_grenswaarde_2,AZ$280),
      INDEX(BENG1_eis_C1,AZ$280) + INDEX(BENG1_eis_C2,AZ$280) * (AZ$34 - INDEX(BENG1_eis_C3,AZ$280) ),
      INDEX(BENG1_eis_C4,AZ$280)  + INDEX(BENG1_eis_C5,AZ$280) * (AZ$34 - INDEX(BENG1_eis_C6,AZ$280) ))))</f>
        <v/>
      </c>
      <c r="BA282" s="251" t="str" cm="1">
        <f t="array" ref="BA282">IF(OR(BA$19="",BA$40="",BA$42="",BA$280=""),"",
IF(BA$34&lt;=INDEX(BENG1_eis_grenswaarde_1,BA$280),
      INDEX(BENG1_eis_Als_deeldoor_Ag_kleiner_dan_grenswaarde_1,BA$280),
IF(BA$34&lt;=INDEX(BENG1_eis_grenswaarde_2,BA$280),
      INDEX(BENG1_eis_C1,BA$280) + INDEX(BENG1_eis_C2,BA$280) * (BA$34 - INDEX(BENG1_eis_C3,BA$280) ),
      INDEX(BENG1_eis_C4,BA$280)  + INDEX(BENG1_eis_C5,BA$280) * (BA$34 - INDEX(BENG1_eis_C6,BA$280) ))))</f>
        <v/>
      </c>
      <c r="BB282" s="251" t="str" cm="1">
        <f t="array" ref="BB282">IF(OR(BB$19="",BB$40="",BB$42="",BB$280=""),"",
IF(BB$34&lt;=INDEX(BENG1_eis_grenswaarde_1,BB$280),
      INDEX(BENG1_eis_Als_deeldoor_Ag_kleiner_dan_grenswaarde_1,BB$280),
IF(BB$34&lt;=INDEX(BENG1_eis_grenswaarde_2,BB$280),
      INDEX(BENG1_eis_C1,BB$280) + INDEX(BENG1_eis_C2,BB$280) * (BB$34 - INDEX(BENG1_eis_C3,BB$280) ),
      INDEX(BENG1_eis_C4,BB$280)  + INDEX(BENG1_eis_C5,BB$280) * (BB$34 - INDEX(BENG1_eis_C6,BB$280) ))))</f>
        <v/>
      </c>
      <c r="BC282" s="251" t="str" cm="1">
        <f t="array" ref="BC282">IF(OR(BC$19="",BC$40="",BC$42="",BC$280=""),"",
IF(BC$34&lt;=INDEX(BENG1_eis_grenswaarde_1,BC$280),
      INDEX(BENG1_eis_Als_deeldoor_Ag_kleiner_dan_grenswaarde_1,BC$280),
IF(BC$34&lt;=INDEX(BENG1_eis_grenswaarde_2,BC$280),
      INDEX(BENG1_eis_C1,BC$280) + INDEX(BENG1_eis_C2,BC$280) * (BC$34 - INDEX(BENG1_eis_C3,BC$280) ),
      INDEX(BENG1_eis_C4,BC$280)  + INDEX(BENG1_eis_C5,BC$280) * (BC$34 - INDEX(BENG1_eis_C6,BC$280) ))))</f>
        <v/>
      </c>
      <c r="BD282" s="251" t="str" cm="1">
        <f t="array" ref="BD282">IF(OR(BD$19="",BD$40="",BD$42="",BD$280=""),"",
IF(BD$34&lt;=INDEX(BENG1_eis_grenswaarde_1,BD$280),
      INDEX(BENG1_eis_Als_deeldoor_Ag_kleiner_dan_grenswaarde_1,BD$280),
IF(BD$34&lt;=INDEX(BENG1_eis_grenswaarde_2,BD$280),
      INDEX(BENG1_eis_C1,BD$280) + INDEX(BENG1_eis_C2,BD$280) * (BD$34 - INDEX(BENG1_eis_C3,BD$280) ),
      INDEX(BENG1_eis_C4,BD$280)  + INDEX(BENG1_eis_C5,BD$280) * (BD$34 - INDEX(BENG1_eis_C6,BD$280) ))))</f>
        <v/>
      </c>
      <c r="BE282" s="251" t="str" cm="1">
        <f t="array" ref="BE282">IF(OR(BE$19="",BE$40="",BE$42="",BE$280=""),"",
IF(BE$34&lt;=INDEX(BENG1_eis_grenswaarde_1,BE$280),
      INDEX(BENG1_eis_Als_deeldoor_Ag_kleiner_dan_grenswaarde_1,BE$280),
IF(BE$34&lt;=INDEX(BENG1_eis_grenswaarde_2,BE$280),
      INDEX(BENG1_eis_C1,BE$280) + INDEX(BENG1_eis_C2,BE$280) * (BE$34 - INDEX(BENG1_eis_C3,BE$280) ),
      INDEX(BENG1_eis_C4,BE$280)  + INDEX(BENG1_eis_C5,BE$280) * (BE$34 - INDEX(BENG1_eis_C6,BE$280) ))))</f>
        <v/>
      </c>
      <c r="BF282" s="251" t="str" cm="1">
        <f t="array" ref="BF282">IF(OR(BF$19="",BF$40="",BF$42="",BF$280=""),"",
IF(BF$34&lt;=INDEX(BENG1_eis_grenswaarde_1,BF$280),
      INDEX(BENG1_eis_Als_deeldoor_Ag_kleiner_dan_grenswaarde_1,BF$280),
IF(BF$34&lt;=INDEX(BENG1_eis_grenswaarde_2,BF$280),
      INDEX(BENG1_eis_C1,BF$280) + INDEX(BENG1_eis_C2,BF$280) * (BF$34 - INDEX(BENG1_eis_C3,BF$280) ),
      INDEX(BENG1_eis_C4,BF$280)  + INDEX(BENG1_eis_C5,BF$280) * (BF$34 - INDEX(BENG1_eis_C6,BF$280) ))))</f>
        <v/>
      </c>
      <c r="BG282" s="251" t="str" cm="1">
        <f t="array" ref="BG282">IF(OR(BG$19="",BG$40="",BG$42="",BG$280=""),"",
IF(BG$34&lt;=INDEX(BENG1_eis_grenswaarde_1,BG$280),
      INDEX(BENG1_eis_Als_deeldoor_Ag_kleiner_dan_grenswaarde_1,BG$280),
IF(BG$34&lt;=INDEX(BENG1_eis_grenswaarde_2,BG$280),
      INDEX(BENG1_eis_C1,BG$280) + INDEX(BENG1_eis_C2,BG$280) * (BG$34 - INDEX(BENG1_eis_C3,BG$280) ),
      INDEX(BENG1_eis_C4,BG$280)  + INDEX(BENG1_eis_C5,BG$280) * (BG$34 - INDEX(BENG1_eis_C6,BG$280) ))))</f>
        <v/>
      </c>
      <c r="BH282" s="255"/>
    </row>
    <row r="283" spans="1:60" x14ac:dyDescent="0.2">
      <c r="A283" s="648"/>
      <c r="B283" s="492" t="s">
        <v>335</v>
      </c>
      <c r="C283" s="656" t="s">
        <v>113</v>
      </c>
      <c r="D283" s="750"/>
      <c r="E283" s="246" t="s">
        <v>340</v>
      </c>
      <c r="F283" s="246"/>
      <c r="G283" s="246"/>
      <c r="H283" s="247" t="s">
        <v>317</v>
      </c>
      <c r="I283" s="248"/>
      <c r="J283" s="249"/>
      <c r="K283" s="90"/>
      <c r="L283" s="90"/>
      <c r="M283" s="249"/>
      <c r="N283" s="248"/>
      <c r="O283" s="251" t="str" cm="1">
        <f t="array" ref="O283">IF(O$280="","",INDEX(BENG2_eis,O$280))</f>
        <v/>
      </c>
      <c r="P283" s="251" t="str" cm="1">
        <f t="array" ref="P283">IF(P$280="","",INDEX(BENG2_eis,P$280))</f>
        <v/>
      </c>
      <c r="Q283" s="251" t="str" cm="1">
        <f t="array" ref="Q283">IF(Q$280="","",INDEX(BENG2_eis,Q$280))</f>
        <v/>
      </c>
      <c r="R283" s="251" t="str" cm="1">
        <f t="array" ref="R283">IF(R$280="","",INDEX(BENG2_eis,R$280))</f>
        <v/>
      </c>
      <c r="S283" s="251" t="str" cm="1">
        <f t="array" ref="S283">IF(S$280="","",INDEX(BENG2_eis,S$280))</f>
        <v/>
      </c>
      <c r="T283" s="251" t="str" cm="1">
        <f t="array" ref="T283">IF(T$280="","",INDEX(BENG2_eis,T$280))</f>
        <v/>
      </c>
      <c r="U283" s="251" t="str" cm="1">
        <f t="array" ref="U283">IF(U$280="","",INDEX(BENG2_eis,U$280))</f>
        <v/>
      </c>
      <c r="V283" s="251" t="str" cm="1">
        <f t="array" ref="V283">IF(V$280="","",INDEX(BENG2_eis,V$280))</f>
        <v/>
      </c>
      <c r="W283" s="251" t="str" cm="1">
        <f t="array" ref="W283">IF(W$280="","",INDEX(BENG2_eis,W$280))</f>
        <v/>
      </c>
      <c r="X283" s="122"/>
      <c r="Y283" s="249"/>
      <c r="Z283" s="248"/>
      <c r="AA283" s="251" t="str" cm="1">
        <f t="array" ref="AA283">IF(AA$280="","",INDEX(BENG2_eis,AA$280))</f>
        <v/>
      </c>
      <c r="AB283" s="251" t="str" cm="1">
        <f t="array" ref="AB283">IF(AB$280="","",INDEX(BENG2_eis,AB$280))</f>
        <v/>
      </c>
      <c r="AC283" s="251" t="str" cm="1">
        <f t="array" ref="AC283">IF(AC$280="","",INDEX(BENG2_eis,AC$280))</f>
        <v/>
      </c>
      <c r="AD283" s="251" t="str" cm="1">
        <f t="array" ref="AD283">IF(AD$280="","",INDEX(BENG2_eis,AD$280))</f>
        <v/>
      </c>
      <c r="AE283" s="251" t="str" cm="1">
        <f t="array" ref="AE283">IF(AE$280="","",INDEX(BENG2_eis,AE$280))</f>
        <v/>
      </c>
      <c r="AF283" s="251" t="str" cm="1">
        <f t="array" ref="AF283">IF(AF$280="","",INDEX(BENG2_eis,AF$280))</f>
        <v/>
      </c>
      <c r="AG283" s="251" t="str" cm="1">
        <f t="array" ref="AG283">IF(AG$280="","",INDEX(BENG2_eis,AG$280))</f>
        <v/>
      </c>
      <c r="AH283" s="251" t="str" cm="1">
        <f t="array" ref="AH283">IF(AH$280="","",INDEX(BENG2_eis,AH$280))</f>
        <v/>
      </c>
      <c r="AI283" s="251" t="str" cm="1">
        <f t="array" ref="AI283">IF(AI$280="","",INDEX(BENG2_eis,AI$280))</f>
        <v/>
      </c>
      <c r="AJ283" s="122"/>
      <c r="AK283" s="249"/>
      <c r="AL283" s="248"/>
      <c r="AM283" s="251" t="str" cm="1">
        <f t="array" ref="AM283">IF(AM$280="","",INDEX(BENG2_eis,AM$280))</f>
        <v/>
      </c>
      <c r="AN283" s="251" t="str" cm="1">
        <f t="array" ref="AN283">IF(AN$280="","",INDEX(BENG2_eis,AN$280))</f>
        <v/>
      </c>
      <c r="AO283" s="251" t="str" cm="1">
        <f t="array" ref="AO283">IF(AO$280="","",INDEX(BENG2_eis,AO$280))</f>
        <v/>
      </c>
      <c r="AP283" s="251" t="str" cm="1">
        <f t="array" ref="AP283">IF(AP$280="","",INDEX(BENG2_eis,AP$280))</f>
        <v/>
      </c>
      <c r="AQ283" s="251" t="str" cm="1">
        <f t="array" ref="AQ283">IF(AQ$280="","",INDEX(BENG2_eis,AQ$280))</f>
        <v/>
      </c>
      <c r="AR283" s="251" t="str" cm="1">
        <f t="array" ref="AR283">IF(AR$280="","",INDEX(BENG2_eis,AR$280))</f>
        <v/>
      </c>
      <c r="AS283" s="251" t="str" cm="1">
        <f t="array" ref="AS283">IF(AS$280="","",INDEX(BENG2_eis,AS$280))</f>
        <v/>
      </c>
      <c r="AT283" s="251" t="str" cm="1">
        <f t="array" ref="AT283">IF(AT$280="","",INDEX(BENG2_eis,AT$280))</f>
        <v/>
      </c>
      <c r="AU283" s="251" t="str" cm="1">
        <f t="array" ref="AU283">IF(AU$280="","",INDEX(BENG2_eis,AU$280))</f>
        <v/>
      </c>
      <c r="AV283" s="122"/>
      <c r="AW283" s="249"/>
      <c r="AX283" s="248"/>
      <c r="AY283" s="251" t="str" cm="1">
        <f t="array" ref="AY283">IF(AY$280="","",INDEX(BENG2_eis,AY$280))</f>
        <v/>
      </c>
      <c r="AZ283" s="251" t="str" cm="1">
        <f t="array" ref="AZ283">IF(AZ$280="","",INDEX(BENG2_eis,AZ$280))</f>
        <v/>
      </c>
      <c r="BA283" s="251" t="str" cm="1">
        <f t="array" ref="BA283">IF(BA$280="","",INDEX(BENG2_eis,BA$280))</f>
        <v/>
      </c>
      <c r="BB283" s="251" t="str" cm="1">
        <f t="array" ref="BB283">IF(BB$280="","",INDEX(BENG2_eis,BB$280))</f>
        <v/>
      </c>
      <c r="BC283" s="251" t="str" cm="1">
        <f t="array" ref="BC283">IF(BC$280="","",INDEX(BENG2_eis,BC$280))</f>
        <v/>
      </c>
      <c r="BD283" s="251" t="str" cm="1">
        <f t="array" ref="BD283">IF(BD$280="","",INDEX(BENG2_eis,BD$280))</f>
        <v/>
      </c>
      <c r="BE283" s="251" t="str" cm="1">
        <f t="array" ref="BE283">IF(BE$280="","",INDEX(BENG2_eis,BE$280))</f>
        <v/>
      </c>
      <c r="BF283" s="251" t="str" cm="1">
        <f t="array" ref="BF283">IF(BF$280="","",INDEX(BENG2_eis,BF$280))</f>
        <v/>
      </c>
      <c r="BG283" s="251" t="str" cm="1">
        <f t="array" ref="BG283">IF(BG$280="","",INDEX(BENG2_eis,BG$280))</f>
        <v/>
      </c>
      <c r="BH283" s="255"/>
    </row>
    <row r="284" spans="1:60" x14ac:dyDescent="0.2">
      <c r="A284" s="648"/>
      <c r="B284" s="492" t="s">
        <v>335</v>
      </c>
      <c r="C284" s="656" t="s">
        <v>113</v>
      </c>
      <c r="D284" s="750"/>
      <c r="E284" s="246" t="s">
        <v>341</v>
      </c>
      <c r="F284" s="246"/>
      <c r="G284" s="246"/>
      <c r="H284" s="247" t="s">
        <v>150</v>
      </c>
      <c r="I284" s="248"/>
      <c r="J284" s="249"/>
      <c r="K284" s="90"/>
      <c r="L284" s="90"/>
      <c r="M284" s="249"/>
      <c r="N284" s="248"/>
      <c r="O284" s="252" t="str" cm="1">
        <f t="array" ref="O284">IF(O$280="","",INDEX(BENG3_eis,O$280))</f>
        <v/>
      </c>
      <c r="P284" s="252" t="str" cm="1">
        <f t="array" ref="P284">IF(P$280="","",INDEX(BENG3_eis,P$280))</f>
        <v/>
      </c>
      <c r="Q284" s="252" t="str" cm="1">
        <f t="array" ref="Q284">IF(Q$280="","",INDEX(BENG3_eis,Q$280))</f>
        <v/>
      </c>
      <c r="R284" s="252" t="str" cm="1">
        <f t="array" ref="R284">IF(R$280="","",INDEX(BENG3_eis,R$280))</f>
        <v/>
      </c>
      <c r="S284" s="252" t="str" cm="1">
        <f t="array" ref="S284">IF(S$280="","",INDEX(BENG3_eis,S$280))</f>
        <v/>
      </c>
      <c r="T284" s="252" t="str" cm="1">
        <f t="array" ref="T284">IF(T$280="","",INDEX(BENG3_eis,T$280))</f>
        <v/>
      </c>
      <c r="U284" s="252" t="str" cm="1">
        <f t="array" ref="U284">IF(U$280="","",INDEX(BENG3_eis,U$280))</f>
        <v/>
      </c>
      <c r="V284" s="252" t="str" cm="1">
        <f t="array" ref="V284">IF(V$280="","",INDEX(BENG3_eis,V$280))</f>
        <v/>
      </c>
      <c r="W284" s="252" t="str" cm="1">
        <f t="array" ref="W284">IF(W$280="","",INDEX(BENG3_eis,W$280))</f>
        <v/>
      </c>
      <c r="X284" s="122"/>
      <c r="Y284" s="249"/>
      <c r="Z284" s="248"/>
      <c r="AA284" s="252" t="str" cm="1">
        <f t="array" ref="AA284">IF(AA$280="","",INDEX(BENG3_eis,AA$280))</f>
        <v/>
      </c>
      <c r="AB284" s="252" t="str" cm="1">
        <f t="array" ref="AB284">IF(AB$280="","",INDEX(BENG3_eis,AB$280))</f>
        <v/>
      </c>
      <c r="AC284" s="252" t="str" cm="1">
        <f t="array" ref="AC284">IF(AC$280="","",INDEX(BENG3_eis,AC$280))</f>
        <v/>
      </c>
      <c r="AD284" s="252" t="str" cm="1">
        <f t="array" ref="AD284">IF(AD$280="","",INDEX(BENG3_eis,AD$280))</f>
        <v/>
      </c>
      <c r="AE284" s="252" t="str" cm="1">
        <f t="array" ref="AE284">IF(AE$280="","",INDEX(BENG3_eis,AE$280))</f>
        <v/>
      </c>
      <c r="AF284" s="252" t="str" cm="1">
        <f t="array" ref="AF284">IF(AF$280="","",INDEX(BENG3_eis,AF$280))</f>
        <v/>
      </c>
      <c r="AG284" s="252" t="str" cm="1">
        <f t="array" ref="AG284">IF(AG$280="","",INDEX(BENG3_eis,AG$280))</f>
        <v/>
      </c>
      <c r="AH284" s="252" t="str" cm="1">
        <f t="array" ref="AH284">IF(AH$280="","",INDEX(BENG3_eis,AH$280))</f>
        <v/>
      </c>
      <c r="AI284" s="252" t="str" cm="1">
        <f t="array" ref="AI284">IF(AI$280="","",INDEX(BENG3_eis,AI$280))</f>
        <v/>
      </c>
      <c r="AJ284" s="122"/>
      <c r="AK284" s="249"/>
      <c r="AL284" s="248"/>
      <c r="AM284" s="252" t="str" cm="1">
        <f t="array" ref="AM284">IF(AM$280="","",INDEX(BENG3_eis,AM$280))</f>
        <v/>
      </c>
      <c r="AN284" s="252" t="str" cm="1">
        <f t="array" ref="AN284">IF(AN$280="","",INDEX(BENG3_eis,AN$280))</f>
        <v/>
      </c>
      <c r="AO284" s="252" t="str" cm="1">
        <f t="array" ref="AO284">IF(AO$280="","",INDEX(BENG3_eis,AO$280))</f>
        <v/>
      </c>
      <c r="AP284" s="252" t="str" cm="1">
        <f t="array" ref="AP284">IF(AP$280="","",INDEX(BENG3_eis,AP$280))</f>
        <v/>
      </c>
      <c r="AQ284" s="252" t="str" cm="1">
        <f t="array" ref="AQ284">IF(AQ$280="","",INDEX(BENG3_eis,AQ$280))</f>
        <v/>
      </c>
      <c r="AR284" s="252" t="str" cm="1">
        <f t="array" ref="AR284">IF(AR$280="","",INDEX(BENG3_eis,AR$280))</f>
        <v/>
      </c>
      <c r="AS284" s="252" t="str" cm="1">
        <f t="array" ref="AS284">IF(AS$280="","",INDEX(BENG3_eis,AS$280))</f>
        <v/>
      </c>
      <c r="AT284" s="252" t="str" cm="1">
        <f t="array" ref="AT284">IF(AT$280="","",INDEX(BENG3_eis,AT$280))</f>
        <v/>
      </c>
      <c r="AU284" s="252" t="str" cm="1">
        <f t="array" ref="AU284">IF(AU$280="","",INDEX(BENG3_eis,AU$280))</f>
        <v/>
      </c>
      <c r="AV284" s="122"/>
      <c r="AW284" s="249"/>
      <c r="AX284" s="248"/>
      <c r="AY284" s="252" t="str" cm="1">
        <f t="array" ref="AY284">IF(AY$280="","",INDEX(BENG3_eis,AY$280))</f>
        <v/>
      </c>
      <c r="AZ284" s="252" t="str" cm="1">
        <f t="array" ref="AZ284">IF(AZ$280="","",INDEX(BENG3_eis,AZ$280))</f>
        <v/>
      </c>
      <c r="BA284" s="252" t="str" cm="1">
        <f t="array" ref="BA284">IF(BA$280="","",INDEX(BENG3_eis,BA$280))</f>
        <v/>
      </c>
      <c r="BB284" s="252" t="str" cm="1">
        <f t="array" ref="BB284">IF(BB$280="","",INDEX(BENG3_eis,BB$280))</f>
        <v/>
      </c>
      <c r="BC284" s="252" t="str" cm="1">
        <f t="array" ref="BC284">IF(BC$280="","",INDEX(BENG3_eis,BC$280))</f>
        <v/>
      </c>
      <c r="BD284" s="252" t="str" cm="1">
        <f t="array" ref="BD284">IF(BD$280="","",INDEX(BENG3_eis,BD$280))</f>
        <v/>
      </c>
      <c r="BE284" s="252" t="str" cm="1">
        <f t="array" ref="BE284">IF(BE$280="","",INDEX(BENG3_eis,BE$280))</f>
        <v/>
      </c>
      <c r="BF284" s="252" t="str" cm="1">
        <f t="array" ref="BF284">IF(BF$280="","",INDEX(BENG3_eis,BF$280))</f>
        <v/>
      </c>
      <c r="BG284" s="252" t="str" cm="1">
        <f t="array" ref="BG284">IF(BG$280="","",INDEX(BENG3_eis,BG$280))</f>
        <v/>
      </c>
      <c r="BH284" s="255"/>
    </row>
    <row r="285" spans="1:60" ht="18.75" x14ac:dyDescent="0.2">
      <c r="A285" s="648"/>
      <c r="B285" s="492" t="s">
        <v>335</v>
      </c>
      <c r="C285" s="739" t="s">
        <v>104</v>
      </c>
      <c r="D285" s="749" t="s">
        <v>50</v>
      </c>
      <c r="E285" s="236" t="s">
        <v>342</v>
      </c>
      <c r="F285" s="236"/>
      <c r="G285" s="236"/>
      <c r="H285" s="89"/>
      <c r="I285" s="236"/>
      <c r="J285" s="236"/>
      <c r="K285" s="236"/>
      <c r="L285" s="236"/>
      <c r="M285" s="236"/>
      <c r="N285" s="236"/>
      <c r="O285" s="236"/>
      <c r="P285" s="236"/>
      <c r="Q285" s="236"/>
      <c r="R285" s="236"/>
      <c r="S285" s="236"/>
      <c r="T285" s="236"/>
      <c r="U285" s="236"/>
      <c r="V285" s="236"/>
      <c r="W285" s="236"/>
      <c r="X285" s="236"/>
      <c r="Y285" s="236"/>
      <c r="Z285" s="236"/>
      <c r="AA285" s="236"/>
      <c r="AB285" s="236"/>
      <c r="AC285" s="236"/>
      <c r="AD285" s="236"/>
      <c r="AE285" s="236"/>
      <c r="AF285" s="236"/>
      <c r="AG285" s="236"/>
      <c r="AH285" s="236"/>
      <c r="AI285" s="236"/>
      <c r="AJ285" s="236"/>
      <c r="AK285" s="236"/>
      <c r="AL285" s="236"/>
      <c r="AM285" s="236"/>
      <c r="AN285" s="236"/>
      <c r="AO285" s="236"/>
      <c r="AP285" s="236"/>
      <c r="AQ285" s="236"/>
      <c r="AR285" s="236"/>
      <c r="AS285" s="236"/>
      <c r="AT285" s="236"/>
      <c r="AU285" s="236"/>
      <c r="AV285" s="236"/>
      <c r="AW285" s="236"/>
      <c r="AX285" s="236"/>
      <c r="AY285" s="236"/>
      <c r="AZ285" s="236"/>
      <c r="BA285" s="236"/>
      <c r="BB285" s="236"/>
      <c r="BC285" s="236"/>
      <c r="BD285" s="236"/>
      <c r="BE285" s="236"/>
      <c r="BF285" s="236"/>
      <c r="BG285" s="236"/>
      <c r="BH285" s="38"/>
    </row>
    <row r="286" spans="1:60" x14ac:dyDescent="0.2">
      <c r="A286" s="648"/>
      <c r="B286" s="492" t="s">
        <v>335</v>
      </c>
      <c r="C286" s="656" t="s">
        <v>113</v>
      </c>
      <c r="D286" s="749" t="s">
        <v>50</v>
      </c>
      <c r="E286" s="246" t="s">
        <v>343</v>
      </c>
      <c r="F286" s="246"/>
      <c r="G286" s="246"/>
      <c r="H286" s="247" t="s">
        <v>169</v>
      </c>
      <c r="I286" s="248"/>
      <c r="J286" s="249"/>
      <c r="K286" s="90"/>
      <c r="L286" s="90"/>
      <c r="M286" s="249"/>
      <c r="N286" s="248"/>
      <c r="O286" s="302" t="str" cm="1">
        <f t="array" ref="O286">IF(OR(O$19="",O$24=0,O$31=0),"",
      INDEX(warmtebehoefte_plus_koudebehoefte_ventsysC1_EP1_snijpunt,O$280)
   + INDEX(warmtebehoefte_plus_koudebehoefte_ventsysC1_EP1_C,O$280)*O$52*O$34^INDEX(warmtebehoefte_plus_koudebehoefte_ventsysC1_EP1_n,O$280))</f>
        <v/>
      </c>
      <c r="P286" s="302" t="str" cm="1">
        <f t="array" ref="P286">IF(OR(P$19="",P$24=0,P$31=0),"",
      INDEX(warmtebehoefte_plus_koudebehoefte_ventsysC1_EP1_snijpunt,P$280)
   + INDEX(warmtebehoefte_plus_koudebehoefte_ventsysC1_EP1_C,P$280)*P$52*P$34^INDEX(warmtebehoefte_plus_koudebehoefte_ventsysC1_EP1_n,P$280))</f>
        <v/>
      </c>
      <c r="Q286" s="302" t="str" cm="1">
        <f t="array" ref="Q286">IF(OR(Q$19="",Q$24=0,Q$31=0),"",
      INDEX(warmtebehoefte_plus_koudebehoefte_ventsysC1_EP1_snijpunt,Q$280)
   + INDEX(warmtebehoefte_plus_koudebehoefte_ventsysC1_EP1_C,Q$280)*Q$52*Q$34^INDEX(warmtebehoefte_plus_koudebehoefte_ventsysC1_EP1_n,Q$280))</f>
        <v/>
      </c>
      <c r="R286" s="302" t="str" cm="1">
        <f t="array" ref="R286">IF(OR(R$19="",R$24=0,R$31=0),"",
      INDEX(warmtebehoefte_plus_koudebehoefte_ventsysC1_EP1_snijpunt,R$280)
   + INDEX(warmtebehoefte_plus_koudebehoefte_ventsysC1_EP1_C,R$280)*R$52*R$34^INDEX(warmtebehoefte_plus_koudebehoefte_ventsysC1_EP1_n,R$280))</f>
        <v/>
      </c>
      <c r="S286" s="302" t="str" cm="1">
        <f t="array" ref="S286">IF(OR(S$19="",S$24=0,S$31=0),"",
      INDEX(warmtebehoefte_plus_koudebehoefte_ventsysC1_EP1_snijpunt,S$280)
   + INDEX(warmtebehoefte_plus_koudebehoefte_ventsysC1_EP1_C,S$280)*S$52*S$34^INDEX(warmtebehoefte_plus_koudebehoefte_ventsysC1_EP1_n,S$280))</f>
        <v/>
      </c>
      <c r="T286" s="302" t="str" cm="1">
        <f t="array" ref="T286">IF(OR(T$19="",T$24=0,T$31=0),"",
      INDEX(warmtebehoefte_plus_koudebehoefte_ventsysC1_EP1_snijpunt,T$280)
   + INDEX(warmtebehoefte_plus_koudebehoefte_ventsysC1_EP1_C,T$280)*T$52*T$34^INDEX(warmtebehoefte_plus_koudebehoefte_ventsysC1_EP1_n,T$280))</f>
        <v/>
      </c>
      <c r="U286" s="302" t="str" cm="1">
        <f t="array" ref="U286">IF(OR(U$19="",U$24=0,U$31=0),"",
      INDEX(warmtebehoefte_plus_koudebehoefte_ventsysC1_EP1_snijpunt,U$280)
   + INDEX(warmtebehoefte_plus_koudebehoefte_ventsysC1_EP1_C,U$280)*U$52*U$34^INDEX(warmtebehoefte_plus_koudebehoefte_ventsysC1_EP1_n,U$280))</f>
        <v/>
      </c>
      <c r="V286" s="302" t="str" cm="1">
        <f t="array" ref="V286">IF(OR(V$19="",V$24=0,V$31=0),"",
      INDEX(warmtebehoefte_plus_koudebehoefte_ventsysC1_EP1_snijpunt,V$280)
   + INDEX(warmtebehoefte_plus_koudebehoefte_ventsysC1_EP1_C,V$280)*V$52*V$34^INDEX(warmtebehoefte_plus_koudebehoefte_ventsysC1_EP1_n,V$280))</f>
        <v/>
      </c>
      <c r="W286" s="302" t="str" cm="1">
        <f t="array" ref="W286">IF(OR(W$19="",W$24=0,W$31=0),"",
      INDEX(warmtebehoefte_plus_koudebehoefte_ventsysC1_EP1_snijpunt,W$280)
   + INDEX(warmtebehoefte_plus_koudebehoefte_ventsysC1_EP1_C,W$280)*W$52*W$34^INDEX(warmtebehoefte_plus_koudebehoefte_ventsysC1_EP1_n,W$280))</f>
        <v/>
      </c>
      <c r="X286" s="122"/>
      <c r="Y286" s="249"/>
      <c r="Z286" s="248"/>
      <c r="AA286" s="302" t="str" cm="1">
        <f t="array" ref="AA286">IF(OR(AA$19="",AA$24=0,AA$31=0),"",
      INDEX(warmtebehoefte_plus_koudebehoefte_ventsysC1_EP1_snijpunt,AA$280)
   + INDEX(warmtebehoefte_plus_koudebehoefte_ventsysC1_EP1_C,AA$280)*AA$52*AA$34^INDEX(warmtebehoefte_plus_koudebehoefte_ventsysC1_EP1_n,AA$280))</f>
        <v/>
      </c>
      <c r="AB286" s="302" t="str" cm="1">
        <f t="array" ref="AB286">IF(OR(AB$19="",AB$24=0,AB$31=0),"",
      INDEX(warmtebehoefte_plus_koudebehoefte_ventsysC1_EP1_snijpunt,AB$280)
   + INDEX(warmtebehoefte_plus_koudebehoefte_ventsysC1_EP1_C,AB$280)*AB$52*AB$34^INDEX(warmtebehoefte_plus_koudebehoefte_ventsysC1_EP1_n,AB$280))</f>
        <v/>
      </c>
      <c r="AC286" s="302" t="str" cm="1">
        <f t="array" ref="AC286">IF(OR(AC$19="",AC$24=0,AC$31=0),"",
      INDEX(warmtebehoefte_plus_koudebehoefte_ventsysC1_EP1_snijpunt,AC$280)
   + INDEX(warmtebehoefte_plus_koudebehoefte_ventsysC1_EP1_C,AC$280)*AC$52*AC$34^INDEX(warmtebehoefte_plus_koudebehoefte_ventsysC1_EP1_n,AC$280))</f>
        <v/>
      </c>
      <c r="AD286" s="302" t="str" cm="1">
        <f t="array" ref="AD286">IF(OR(AD$19="",AD$24=0,AD$31=0),"",
      INDEX(warmtebehoefte_plus_koudebehoefte_ventsysC1_EP1_snijpunt,AD$280)
   + INDEX(warmtebehoefte_plus_koudebehoefte_ventsysC1_EP1_C,AD$280)*AD$52*AD$34^INDEX(warmtebehoefte_plus_koudebehoefte_ventsysC1_EP1_n,AD$280))</f>
        <v/>
      </c>
      <c r="AE286" s="302" t="str" cm="1">
        <f t="array" ref="AE286">IF(OR(AE$19="",AE$24=0,AE$31=0),"",
      INDEX(warmtebehoefte_plus_koudebehoefte_ventsysC1_EP1_snijpunt,AE$280)
   + INDEX(warmtebehoefte_plus_koudebehoefte_ventsysC1_EP1_C,AE$280)*AE$52*AE$34^INDEX(warmtebehoefte_plus_koudebehoefte_ventsysC1_EP1_n,AE$280))</f>
        <v/>
      </c>
      <c r="AF286" s="302" t="str" cm="1">
        <f t="array" ref="AF286">IF(OR(AF$19="",AF$24=0,AF$31=0),"",
      INDEX(warmtebehoefte_plus_koudebehoefte_ventsysC1_EP1_snijpunt,AF$280)
   + INDEX(warmtebehoefte_plus_koudebehoefte_ventsysC1_EP1_C,AF$280)*AF$52*AF$34^INDEX(warmtebehoefte_plus_koudebehoefte_ventsysC1_EP1_n,AF$280))</f>
        <v/>
      </c>
      <c r="AG286" s="302" t="str" cm="1">
        <f t="array" ref="AG286">IF(OR(AG$19="",AG$24=0,AG$31=0),"",
      INDEX(warmtebehoefte_plus_koudebehoefte_ventsysC1_EP1_snijpunt,AG$280)
   + INDEX(warmtebehoefte_plus_koudebehoefte_ventsysC1_EP1_C,AG$280)*AG$52*AG$34^INDEX(warmtebehoefte_plus_koudebehoefte_ventsysC1_EP1_n,AG$280))</f>
        <v/>
      </c>
      <c r="AH286" s="302" t="str" cm="1">
        <f t="array" ref="AH286">IF(OR(AH$19="",AH$24=0,AH$31=0),"",
      INDEX(warmtebehoefte_plus_koudebehoefte_ventsysC1_EP1_snijpunt,AH$280)
   + INDEX(warmtebehoefte_plus_koudebehoefte_ventsysC1_EP1_C,AH$280)*AH$52*AH$34^INDEX(warmtebehoefte_plus_koudebehoefte_ventsysC1_EP1_n,AH$280))</f>
        <v/>
      </c>
      <c r="AI286" s="302" t="str" cm="1">
        <f t="array" ref="AI286">IF(OR(AI$19="",AI$24=0,AI$31=0),"",
      INDEX(warmtebehoefte_plus_koudebehoefte_ventsysC1_EP1_snijpunt,AI$280)
   + INDEX(warmtebehoefte_plus_koudebehoefte_ventsysC1_EP1_C,AI$280)*AI$52*AI$34^INDEX(warmtebehoefte_plus_koudebehoefte_ventsysC1_EP1_n,AI$280))</f>
        <v/>
      </c>
      <c r="AJ286" s="122"/>
      <c r="AK286" s="249"/>
      <c r="AL286" s="248"/>
      <c r="AM286" s="302" t="str" cm="1">
        <f t="array" ref="AM286">IF(OR(AM$19="",AM$24=0,AM$31=0),"",
      INDEX(warmtebehoefte_plus_koudebehoefte_ventsysC1_EP1_snijpunt,AM$280)
   + INDEX(warmtebehoefte_plus_koudebehoefte_ventsysC1_EP1_C,AM$280)*AM$52*AM$34^INDEX(warmtebehoefte_plus_koudebehoefte_ventsysC1_EP1_n,AM$280))</f>
        <v/>
      </c>
      <c r="AN286" s="302" t="str" cm="1">
        <f t="array" ref="AN286">IF(OR(AN$19="",AN$24=0,AN$31=0),"",
      INDEX(warmtebehoefte_plus_koudebehoefte_ventsysC1_EP1_snijpunt,AN$280)
   + INDEX(warmtebehoefte_plus_koudebehoefte_ventsysC1_EP1_C,AN$280)*AN$52*AN$34^INDEX(warmtebehoefte_plus_koudebehoefte_ventsysC1_EP1_n,AN$280))</f>
        <v/>
      </c>
      <c r="AO286" s="302" t="str" cm="1">
        <f t="array" ref="AO286">IF(OR(AO$19="",AO$24=0,AO$31=0),"",
      INDEX(warmtebehoefte_plus_koudebehoefte_ventsysC1_EP1_snijpunt,AO$280)
   + INDEX(warmtebehoefte_plus_koudebehoefte_ventsysC1_EP1_C,AO$280)*AO$52*AO$34^INDEX(warmtebehoefte_plus_koudebehoefte_ventsysC1_EP1_n,AO$280))</f>
        <v/>
      </c>
      <c r="AP286" s="302" t="str" cm="1">
        <f t="array" ref="AP286">IF(OR(AP$19="",AP$24=0,AP$31=0),"",
      INDEX(warmtebehoefte_plus_koudebehoefte_ventsysC1_EP1_snijpunt,AP$280)
   + INDEX(warmtebehoefte_plus_koudebehoefte_ventsysC1_EP1_C,AP$280)*AP$52*AP$34^INDEX(warmtebehoefte_plus_koudebehoefte_ventsysC1_EP1_n,AP$280))</f>
        <v/>
      </c>
      <c r="AQ286" s="302" t="str" cm="1">
        <f t="array" ref="AQ286">IF(OR(AQ$19="",AQ$24=0,AQ$31=0),"",
      INDEX(warmtebehoefte_plus_koudebehoefte_ventsysC1_EP1_snijpunt,AQ$280)
   + INDEX(warmtebehoefte_plus_koudebehoefte_ventsysC1_EP1_C,AQ$280)*AQ$52*AQ$34^INDEX(warmtebehoefte_plus_koudebehoefte_ventsysC1_EP1_n,AQ$280))</f>
        <v/>
      </c>
      <c r="AR286" s="302" t="str" cm="1">
        <f t="array" ref="AR286">IF(OR(AR$19="",AR$24=0,AR$31=0),"",
      INDEX(warmtebehoefte_plus_koudebehoefte_ventsysC1_EP1_snijpunt,AR$280)
   + INDEX(warmtebehoefte_plus_koudebehoefte_ventsysC1_EP1_C,AR$280)*AR$52*AR$34^INDEX(warmtebehoefte_plus_koudebehoefte_ventsysC1_EP1_n,AR$280))</f>
        <v/>
      </c>
      <c r="AS286" s="302" t="str" cm="1">
        <f t="array" ref="AS286">IF(OR(AS$19="",AS$24=0,AS$31=0),"",
      INDEX(warmtebehoefte_plus_koudebehoefte_ventsysC1_EP1_snijpunt,AS$280)
   + INDEX(warmtebehoefte_plus_koudebehoefte_ventsysC1_EP1_C,AS$280)*AS$52*AS$34^INDEX(warmtebehoefte_plus_koudebehoefte_ventsysC1_EP1_n,AS$280))</f>
        <v/>
      </c>
      <c r="AT286" s="302" t="str" cm="1">
        <f t="array" ref="AT286">IF(OR(AT$19="",AT$24=0,AT$31=0),"",
      INDEX(warmtebehoefte_plus_koudebehoefte_ventsysC1_EP1_snijpunt,AT$280)
   + INDEX(warmtebehoefte_plus_koudebehoefte_ventsysC1_EP1_C,AT$280)*AT$52*AT$34^INDEX(warmtebehoefte_plus_koudebehoefte_ventsysC1_EP1_n,AT$280))</f>
        <v/>
      </c>
      <c r="AU286" s="302" t="str" cm="1">
        <f t="array" ref="AU286">IF(OR(AU$19="",AU$24=0,AU$31=0),"",
      INDEX(warmtebehoefte_plus_koudebehoefte_ventsysC1_EP1_snijpunt,AU$280)
   + INDEX(warmtebehoefte_plus_koudebehoefte_ventsysC1_EP1_C,AU$280)*AU$52*AU$34^INDEX(warmtebehoefte_plus_koudebehoefte_ventsysC1_EP1_n,AU$280))</f>
        <v/>
      </c>
      <c r="AV286" s="122"/>
      <c r="AW286" s="249"/>
      <c r="AX286" s="248"/>
      <c r="AY286" s="302" t="str" cm="1">
        <f t="array" ref="AY286">IF(OR(AY$19="",AY$24=0,AY$31=0),"",
      INDEX(warmtebehoefte_plus_koudebehoefte_ventsysC1_EP1_snijpunt,AY$280)
   + INDEX(warmtebehoefte_plus_koudebehoefte_ventsysC1_EP1_C,AY$280)*AY$52*AY$34^INDEX(warmtebehoefte_plus_koudebehoefte_ventsysC1_EP1_n,AY$280))</f>
        <v/>
      </c>
      <c r="AZ286" s="302" t="str" cm="1">
        <f t="array" ref="AZ286">IF(OR(AZ$19="",AZ$24=0,AZ$31=0),"",
      INDEX(warmtebehoefte_plus_koudebehoefte_ventsysC1_EP1_snijpunt,AZ$280)
   + INDEX(warmtebehoefte_plus_koudebehoefte_ventsysC1_EP1_C,AZ$280)*AZ$52*AZ$34^INDEX(warmtebehoefte_plus_koudebehoefte_ventsysC1_EP1_n,AZ$280))</f>
        <v/>
      </c>
      <c r="BA286" s="302" t="str" cm="1">
        <f t="array" ref="BA286">IF(OR(BA$19="",BA$24=0,BA$31=0),"",
      INDEX(warmtebehoefte_plus_koudebehoefte_ventsysC1_EP1_snijpunt,BA$280)
   + INDEX(warmtebehoefte_plus_koudebehoefte_ventsysC1_EP1_C,BA$280)*BA$52*BA$34^INDEX(warmtebehoefte_plus_koudebehoefte_ventsysC1_EP1_n,BA$280))</f>
        <v/>
      </c>
      <c r="BB286" s="302" t="str" cm="1">
        <f t="array" ref="BB286">IF(OR(BB$19="",BB$24=0,BB$31=0),"",
      INDEX(warmtebehoefte_plus_koudebehoefte_ventsysC1_EP1_snijpunt,BB$280)
   + INDEX(warmtebehoefte_plus_koudebehoefte_ventsysC1_EP1_C,BB$280)*BB$52*BB$34^INDEX(warmtebehoefte_plus_koudebehoefte_ventsysC1_EP1_n,BB$280))</f>
        <v/>
      </c>
      <c r="BC286" s="302" t="str" cm="1">
        <f t="array" ref="BC286">IF(OR(BC$19="",BC$24=0,BC$31=0),"",
      INDEX(warmtebehoefte_plus_koudebehoefte_ventsysC1_EP1_snijpunt,BC$280)
   + INDEX(warmtebehoefte_plus_koudebehoefte_ventsysC1_EP1_C,BC$280)*BC$52*BC$34^INDEX(warmtebehoefte_plus_koudebehoefte_ventsysC1_EP1_n,BC$280))</f>
        <v/>
      </c>
      <c r="BD286" s="302" t="str" cm="1">
        <f t="array" ref="BD286">IF(OR(BD$19="",BD$24=0,BD$31=0),"",
      INDEX(warmtebehoefte_plus_koudebehoefte_ventsysC1_EP1_snijpunt,BD$280)
   + INDEX(warmtebehoefte_plus_koudebehoefte_ventsysC1_EP1_C,BD$280)*BD$52*BD$34^INDEX(warmtebehoefte_plus_koudebehoefte_ventsysC1_EP1_n,BD$280))</f>
        <v/>
      </c>
      <c r="BE286" s="302" t="str" cm="1">
        <f t="array" ref="BE286">IF(OR(BE$19="",BE$24=0,BE$31=0),"",
      INDEX(warmtebehoefte_plus_koudebehoefte_ventsysC1_EP1_snijpunt,BE$280)
   + INDEX(warmtebehoefte_plus_koudebehoefte_ventsysC1_EP1_C,BE$280)*BE$52*BE$34^INDEX(warmtebehoefte_plus_koudebehoefte_ventsysC1_EP1_n,BE$280))</f>
        <v/>
      </c>
      <c r="BF286" s="302" t="str" cm="1">
        <f t="array" ref="BF286">IF(OR(BF$19="",BF$24=0,BF$31=0),"",
      INDEX(warmtebehoefte_plus_koudebehoefte_ventsysC1_EP1_snijpunt,BF$280)
   + INDEX(warmtebehoefte_plus_koudebehoefte_ventsysC1_EP1_C,BF$280)*BF$52*BF$34^INDEX(warmtebehoefte_plus_koudebehoefte_ventsysC1_EP1_n,BF$280))</f>
        <v/>
      </c>
      <c r="BG286" s="302" t="str" cm="1">
        <f t="array" ref="BG286">IF(OR(BG$19="",BG$24=0,BG$31=0),"",
      INDEX(warmtebehoefte_plus_koudebehoefte_ventsysC1_EP1_snijpunt,BG$280)
   + INDEX(warmtebehoefte_plus_koudebehoefte_ventsysC1_EP1_C,BG$280)*BG$52*BG$34^INDEX(warmtebehoefte_plus_koudebehoefte_ventsysC1_EP1_n,BG$280))</f>
        <v/>
      </c>
      <c r="BH286" s="255"/>
    </row>
    <row r="287" spans="1:60" x14ac:dyDescent="0.2">
      <c r="A287" s="648"/>
      <c r="B287" s="492" t="s">
        <v>335</v>
      </c>
      <c r="C287" s="656" t="s">
        <v>113</v>
      </c>
      <c r="D287" s="749" t="s">
        <v>50</v>
      </c>
      <c r="E287" s="246" t="s">
        <v>344</v>
      </c>
      <c r="F287" s="246"/>
      <c r="G287" s="246"/>
      <c r="H287" s="247" t="s">
        <v>317</v>
      </c>
      <c r="I287" s="248"/>
      <c r="J287" s="249"/>
      <c r="K287" s="90"/>
      <c r="L287" s="90"/>
      <c r="M287" s="249"/>
      <c r="N287" s="248"/>
      <c r="O287" s="302" t="str">
        <f t="shared" ref="O287:W287" si="290">IF(OR(O$19="",O$24=0,O$31=0),"",ROUNDUP(O$255-O$246-O$247-O$248-IF(OR(O$21=woning,O$21=woongebouw),O244,0),2))</f>
        <v/>
      </c>
      <c r="P287" s="302" t="str">
        <f t="shared" si="290"/>
        <v/>
      </c>
      <c r="Q287" s="302" t="str">
        <f t="shared" si="290"/>
        <v/>
      </c>
      <c r="R287" s="302" t="str">
        <f t="shared" si="290"/>
        <v/>
      </c>
      <c r="S287" s="302" t="str">
        <f t="shared" si="290"/>
        <v/>
      </c>
      <c r="T287" s="302" t="str">
        <f t="shared" si="290"/>
        <v/>
      </c>
      <c r="U287" s="302" t="str">
        <f t="shared" si="290"/>
        <v/>
      </c>
      <c r="V287" s="302" t="str">
        <f t="shared" si="290"/>
        <v/>
      </c>
      <c r="W287" s="302" t="str">
        <f t="shared" si="290"/>
        <v/>
      </c>
      <c r="X287" s="122"/>
      <c r="Y287" s="249"/>
      <c r="Z287" s="248"/>
      <c r="AA287" s="302" t="str">
        <f t="shared" ref="AA287:AI287" si="291">IF(OR(AA$19="",AA$24=0,AA$31=0),"",ROUNDUP(AA$255-AA$246-AA$247-AA$248-IF(OR(AA$21=woning,AA$21=woongebouw),AA244,0),2))</f>
        <v/>
      </c>
      <c r="AB287" s="302" t="str">
        <f t="shared" si="291"/>
        <v/>
      </c>
      <c r="AC287" s="302" t="str">
        <f t="shared" si="291"/>
        <v/>
      </c>
      <c r="AD287" s="302" t="str">
        <f t="shared" si="291"/>
        <v/>
      </c>
      <c r="AE287" s="302" t="str">
        <f t="shared" si="291"/>
        <v/>
      </c>
      <c r="AF287" s="302" t="str">
        <f t="shared" si="291"/>
        <v/>
      </c>
      <c r="AG287" s="302" t="str">
        <f t="shared" si="291"/>
        <v/>
      </c>
      <c r="AH287" s="302" t="str">
        <f t="shared" si="291"/>
        <v/>
      </c>
      <c r="AI287" s="302" t="str">
        <f t="shared" si="291"/>
        <v/>
      </c>
      <c r="AJ287" s="122"/>
      <c r="AK287" s="249"/>
      <c r="AL287" s="248"/>
      <c r="AM287" s="302" t="str">
        <f t="shared" ref="AM287:AU287" si="292">IF(OR(AM$19="",AM$24=0,AM$31=0),"",ROUNDUP(AM$255-AM$246-AM$247-AM$248-IF(OR(AM$21=woning,AM$21=woongebouw),AM244,0),2))</f>
        <v/>
      </c>
      <c r="AN287" s="302" t="str">
        <f t="shared" si="292"/>
        <v/>
      </c>
      <c r="AO287" s="302" t="str">
        <f t="shared" si="292"/>
        <v/>
      </c>
      <c r="AP287" s="302" t="str">
        <f t="shared" si="292"/>
        <v/>
      </c>
      <c r="AQ287" s="302" t="str">
        <f t="shared" si="292"/>
        <v/>
      </c>
      <c r="AR287" s="302" t="str">
        <f t="shared" si="292"/>
        <v/>
      </c>
      <c r="AS287" s="302" t="str">
        <f t="shared" si="292"/>
        <v/>
      </c>
      <c r="AT287" s="302" t="str">
        <f t="shared" si="292"/>
        <v/>
      </c>
      <c r="AU287" s="302" t="str">
        <f t="shared" si="292"/>
        <v/>
      </c>
      <c r="AV287" s="122"/>
      <c r="AW287" s="249"/>
      <c r="AX287" s="248"/>
      <c r="AY287" s="302" t="str">
        <f t="shared" ref="AY287:BG287" si="293">IF(OR(AY$19="",AY$24=0,AY$31=0),"",ROUNDUP(AY$255-AY$246-AY$247-AY$248-IF(OR(AY$21=woning,AY$21=woongebouw),AY244,0),2))</f>
        <v/>
      </c>
      <c r="AZ287" s="302" t="str">
        <f t="shared" si="293"/>
        <v/>
      </c>
      <c r="BA287" s="302" t="str">
        <f t="shared" si="293"/>
        <v/>
      </c>
      <c r="BB287" s="302" t="str">
        <f t="shared" si="293"/>
        <v/>
      </c>
      <c r="BC287" s="302" t="str">
        <f t="shared" si="293"/>
        <v/>
      </c>
      <c r="BD287" s="302" t="str">
        <f t="shared" si="293"/>
        <v/>
      </c>
      <c r="BE287" s="302" t="str">
        <f t="shared" si="293"/>
        <v/>
      </c>
      <c r="BF287" s="302" t="str">
        <f t="shared" si="293"/>
        <v/>
      </c>
      <c r="BG287" s="302" t="str">
        <f t="shared" si="293"/>
        <v/>
      </c>
      <c r="BH287" s="255"/>
    </row>
    <row r="288" spans="1:60" x14ac:dyDescent="0.2">
      <c r="A288" s="648"/>
      <c r="B288" s="492" t="s">
        <v>335</v>
      </c>
      <c r="C288" s="656" t="s">
        <v>113</v>
      </c>
      <c r="D288" s="750" t="s">
        <v>50</v>
      </c>
      <c r="E288" s="246" t="s">
        <v>345</v>
      </c>
      <c r="F288" s="246"/>
      <c r="G288" s="246"/>
      <c r="H288" s="247" t="s">
        <v>150</v>
      </c>
      <c r="I288" s="248"/>
      <c r="J288" s="249"/>
      <c r="K288" s="90"/>
      <c r="L288" s="90"/>
      <c r="M288" s="249"/>
      <c r="N288" s="248"/>
      <c r="O288" s="689" t="str">
        <f t="shared" ref="O288:W288" si="294">IF(O$280="","",O275)</f>
        <v/>
      </c>
      <c r="P288" s="689" t="str">
        <f t="shared" si="294"/>
        <v/>
      </c>
      <c r="Q288" s="689" t="str">
        <f t="shared" si="294"/>
        <v/>
      </c>
      <c r="R288" s="689" t="str">
        <f t="shared" si="294"/>
        <v/>
      </c>
      <c r="S288" s="689" t="str">
        <f t="shared" si="294"/>
        <v/>
      </c>
      <c r="T288" s="689" t="str">
        <f t="shared" si="294"/>
        <v/>
      </c>
      <c r="U288" s="689" t="str">
        <f t="shared" si="294"/>
        <v/>
      </c>
      <c r="V288" s="689" t="str">
        <f t="shared" si="294"/>
        <v/>
      </c>
      <c r="W288" s="689" t="str">
        <f t="shared" si="294"/>
        <v/>
      </c>
      <c r="X288" s="690"/>
      <c r="Y288" s="691"/>
      <c r="Z288" s="692"/>
      <c r="AA288" s="689" t="str">
        <f t="shared" ref="AA288:AI288" si="295">IF(AA$280="","",AA275)</f>
        <v/>
      </c>
      <c r="AB288" s="689" t="str">
        <f t="shared" si="295"/>
        <v/>
      </c>
      <c r="AC288" s="689" t="str">
        <f t="shared" si="295"/>
        <v/>
      </c>
      <c r="AD288" s="689" t="str">
        <f t="shared" si="295"/>
        <v/>
      </c>
      <c r="AE288" s="689" t="str">
        <f t="shared" si="295"/>
        <v/>
      </c>
      <c r="AF288" s="689" t="str">
        <f t="shared" si="295"/>
        <v/>
      </c>
      <c r="AG288" s="689" t="str">
        <f t="shared" si="295"/>
        <v/>
      </c>
      <c r="AH288" s="689" t="str">
        <f t="shared" si="295"/>
        <v/>
      </c>
      <c r="AI288" s="689" t="str">
        <f t="shared" si="295"/>
        <v/>
      </c>
      <c r="AJ288" s="690"/>
      <c r="AK288" s="691"/>
      <c r="AL288" s="692"/>
      <c r="AM288" s="689" t="str">
        <f>IF(AM$280="","",AM275)</f>
        <v/>
      </c>
      <c r="AN288" s="689" t="str">
        <f t="shared" ref="AN288:AU288" si="296">IF(AN$280="","",AN275)</f>
        <v/>
      </c>
      <c r="AO288" s="689" t="str">
        <f t="shared" si="296"/>
        <v/>
      </c>
      <c r="AP288" s="689" t="str">
        <f t="shared" si="296"/>
        <v/>
      </c>
      <c r="AQ288" s="689" t="str">
        <f t="shared" si="296"/>
        <v/>
      </c>
      <c r="AR288" s="689" t="str">
        <f t="shared" si="296"/>
        <v/>
      </c>
      <c r="AS288" s="689" t="str">
        <f t="shared" si="296"/>
        <v/>
      </c>
      <c r="AT288" s="689" t="str">
        <f t="shared" si="296"/>
        <v/>
      </c>
      <c r="AU288" s="689" t="str">
        <f t="shared" si="296"/>
        <v/>
      </c>
      <c r="AV288" s="690"/>
      <c r="AW288" s="691"/>
      <c r="AX288" s="692"/>
      <c r="AY288" s="689" t="str">
        <f>IF(AY$280="","",AY275)</f>
        <v/>
      </c>
      <c r="AZ288" s="689" t="str">
        <f t="shared" ref="AZ288:BG288" si="297">IF(AZ$280="","",AZ275)</f>
        <v/>
      </c>
      <c r="BA288" s="689" t="str">
        <f t="shared" si="297"/>
        <v/>
      </c>
      <c r="BB288" s="689" t="str">
        <f t="shared" si="297"/>
        <v/>
      </c>
      <c r="BC288" s="689" t="str">
        <f t="shared" si="297"/>
        <v/>
      </c>
      <c r="BD288" s="689" t="str">
        <f t="shared" si="297"/>
        <v/>
      </c>
      <c r="BE288" s="689" t="str">
        <f t="shared" si="297"/>
        <v/>
      </c>
      <c r="BF288" s="689" t="str">
        <f t="shared" si="297"/>
        <v/>
      </c>
      <c r="BG288" s="689" t="str">
        <f t="shared" si="297"/>
        <v/>
      </c>
      <c r="BH288" s="255"/>
    </row>
    <row r="289" spans="1:60" ht="18.75" x14ac:dyDescent="0.2">
      <c r="A289" s="648"/>
      <c r="B289" s="492" t="s">
        <v>335</v>
      </c>
      <c r="C289" s="739" t="s">
        <v>104</v>
      </c>
      <c r="D289" s="747"/>
      <c r="E289" s="236" t="s">
        <v>346</v>
      </c>
      <c r="F289" s="236"/>
      <c r="G289" s="236"/>
      <c r="H289" s="89"/>
      <c r="I289" s="236"/>
      <c r="J289" s="236"/>
      <c r="K289" s="236"/>
      <c r="L289" s="236"/>
      <c r="M289" s="236"/>
      <c r="N289" s="236"/>
      <c r="O289" s="236"/>
      <c r="P289" s="236"/>
      <c r="Q289" s="236"/>
      <c r="R289" s="236"/>
      <c r="S289" s="236"/>
      <c r="T289" s="236"/>
      <c r="U289" s="236"/>
      <c r="V289" s="236"/>
      <c r="W289" s="236"/>
      <c r="X289" s="236"/>
      <c r="Y289" s="236"/>
      <c r="Z289" s="236"/>
      <c r="AA289" s="236"/>
      <c r="AB289" s="236"/>
      <c r="AC289" s="236"/>
      <c r="AD289" s="236"/>
      <c r="AE289" s="236"/>
      <c r="AF289" s="236"/>
      <c r="AG289" s="236"/>
      <c r="AH289" s="236"/>
      <c r="AI289" s="236"/>
      <c r="AJ289" s="236"/>
      <c r="AK289" s="236"/>
      <c r="AL289" s="236"/>
      <c r="AM289" s="236"/>
      <c r="AN289" s="236"/>
      <c r="AO289" s="236"/>
      <c r="AP289" s="236"/>
      <c r="AQ289" s="236"/>
      <c r="AR289" s="236"/>
      <c r="AS289" s="236"/>
      <c r="AT289" s="236"/>
      <c r="AU289" s="236"/>
      <c r="AV289" s="236"/>
      <c r="AW289" s="236"/>
      <c r="AX289" s="236"/>
      <c r="AY289" s="236"/>
      <c r="AZ289" s="236"/>
      <c r="BA289" s="236"/>
      <c r="BB289" s="236"/>
      <c r="BC289" s="236"/>
      <c r="BD289" s="236"/>
      <c r="BE289" s="236"/>
      <c r="BF289" s="236"/>
      <c r="BG289" s="236"/>
      <c r="BH289" s="38"/>
    </row>
    <row r="290" spans="1:60" x14ac:dyDescent="0.2">
      <c r="A290" s="648"/>
      <c r="B290" s="492" t="s">
        <v>335</v>
      </c>
      <c r="C290" s="656" t="s">
        <v>113</v>
      </c>
      <c r="D290" s="749" t="s">
        <v>50</v>
      </c>
      <c r="E290" s="246" t="s">
        <v>346</v>
      </c>
      <c r="F290" s="246"/>
      <c r="G290" s="246"/>
      <c r="H290" s="247" t="s">
        <v>70</v>
      </c>
      <c r="I290" s="129"/>
      <c r="J290" s="243"/>
      <c r="K290" s="236"/>
      <c r="L290" s="236"/>
      <c r="M290" s="243"/>
      <c r="N290" s="129"/>
      <c r="O290" s="207" t="str">
        <f ca="1">IF(OR(O$24=0,$O$75=0),"",
INDEX(energielabels_labelnamen,MATCH(O287,OFFSET(bibliotheek!$H$510,0,MATCH(O$21,gebruiksfuncties_namen,0),ROWS(energielabels_labelnamen),1),-1)))</f>
        <v/>
      </c>
      <c r="P290" s="207" t="str">
        <f ca="1">IF(OR(P$24=0,$O$75=0),"",
INDEX(energielabels_labelnamen,MATCH(P287,OFFSET(bibliotheek!$H$510,0,MATCH(P$21,gebruiksfuncties_namen,0),ROWS(energielabels_labelnamen),1),-1)))</f>
        <v/>
      </c>
      <c r="Q290" s="207" t="str">
        <f ca="1">IF(OR(Q$24=0,$O$75=0),"",
INDEX(energielabels_labelnamen,MATCH(Q287,OFFSET(bibliotheek!$H$510,0,MATCH(Q$21,gebruiksfuncties_namen,0),ROWS(energielabels_labelnamen),1),-1)))</f>
        <v/>
      </c>
      <c r="R290" s="207" t="str">
        <f ca="1">IF(OR(R$24=0,$O$75=0),"",
INDEX(energielabels_labelnamen,MATCH(R287,OFFSET(bibliotheek!$H$510,0,MATCH(R$21,gebruiksfuncties_namen,0),ROWS(energielabels_labelnamen),1),-1)))</f>
        <v/>
      </c>
      <c r="S290" s="207" t="str">
        <f ca="1">IF(OR(S$24=0,$O$75=0),"",
INDEX(energielabels_labelnamen,MATCH(S287,OFFSET(bibliotheek!$H$510,0,MATCH(S$21,gebruiksfuncties_namen,0),ROWS(energielabels_labelnamen),1),-1)))</f>
        <v/>
      </c>
      <c r="T290" s="207" t="str">
        <f ca="1">IF(OR(T$24=0,$O$75=0),"",
INDEX(energielabels_labelnamen,MATCH(T287,OFFSET(bibliotheek!$H$510,0,MATCH(T$21,gebruiksfuncties_namen,0),ROWS(energielabels_labelnamen),1),-1)))</f>
        <v/>
      </c>
      <c r="U290" s="207" t="str">
        <f ca="1">IF(OR(U$24=0,$O$75=0),"",
INDEX(energielabels_labelnamen,MATCH(U287,OFFSET(bibliotheek!$H$510,0,MATCH(U$21,gebruiksfuncties_namen,0),ROWS(energielabels_labelnamen),1),-1)))</f>
        <v/>
      </c>
      <c r="V290" s="207" t="str">
        <f ca="1">IF(OR(V$24=0,$O$75=0),"",
INDEX(energielabels_labelnamen,MATCH(V287,OFFSET(bibliotheek!$H$510,0,MATCH(V$21,gebruiksfuncties_namen,0),ROWS(energielabels_labelnamen),1),-1)))</f>
        <v/>
      </c>
      <c r="W290" s="207" t="str">
        <f ca="1">IF(OR(W$24=0,$O$75=0),"",
INDEX(energielabels_labelnamen,MATCH(W287,OFFSET(bibliotheek!$H$510,0,MATCH(W$21,gebruiksfuncties_namen,0),ROWS(energielabels_labelnamen),1),-1)))</f>
        <v/>
      </c>
      <c r="X290" s="128"/>
      <c r="Y290" s="243"/>
      <c r="Z290" s="129"/>
      <c r="AA290" s="207" t="str">
        <f ca="1">IF(OR(AA$24=0,$O$75=0),"",
INDEX(energielabels_labelnamen,MATCH(AA287,OFFSET(bibliotheek!$H$510,0,MATCH(AA$21,gebruiksfuncties_namen,0),ROWS(energielabels_labelnamen),1),-1)))</f>
        <v/>
      </c>
      <c r="AB290" s="207" t="str">
        <f ca="1">IF(OR(AB$24=0,$O$75=0),"",
INDEX(energielabels_labelnamen,MATCH(AB287,OFFSET(bibliotheek!$H$510,0,MATCH(AB$21,gebruiksfuncties_namen,0),ROWS(energielabels_labelnamen),1),-1)))</f>
        <v/>
      </c>
      <c r="AC290" s="207" t="str">
        <f ca="1">IF(OR(AC$24=0,$O$75=0),"",
INDEX(energielabels_labelnamen,MATCH(AC287,OFFSET(bibliotheek!$H$510,0,MATCH(AC$21,gebruiksfuncties_namen,0),ROWS(energielabels_labelnamen),1),-1)))</f>
        <v/>
      </c>
      <c r="AD290" s="207" t="str">
        <f ca="1">IF(OR(AD$24=0,$O$75=0),"",
INDEX(energielabels_labelnamen,MATCH(AD287,OFFSET(bibliotheek!$H$510,0,MATCH(AD$21,gebruiksfuncties_namen,0),ROWS(energielabels_labelnamen),1),-1)))</f>
        <v/>
      </c>
      <c r="AE290" s="207" t="str">
        <f ca="1">IF(OR(AE$24=0,$O$75=0),"",
INDEX(energielabels_labelnamen,MATCH(AE287,OFFSET(bibliotheek!$H$510,0,MATCH(AE$21,gebruiksfuncties_namen,0),ROWS(energielabels_labelnamen),1),-1)))</f>
        <v/>
      </c>
      <c r="AF290" s="207" t="str">
        <f ca="1">IF(OR(AF$24=0,$O$75=0),"",
INDEX(energielabels_labelnamen,MATCH(AF287,OFFSET(bibliotheek!$H$510,0,MATCH(AF$21,gebruiksfuncties_namen,0),ROWS(energielabels_labelnamen),1),-1)))</f>
        <v/>
      </c>
      <c r="AG290" s="207" t="str">
        <f ca="1">IF(OR(AG$24=0,$O$75=0),"",
INDEX(energielabels_labelnamen,MATCH(AG287,OFFSET(bibliotheek!$H$510,0,MATCH(AG$21,gebruiksfuncties_namen,0),ROWS(energielabels_labelnamen),1),-1)))</f>
        <v/>
      </c>
      <c r="AH290" s="207" t="str">
        <f ca="1">IF(OR(AH$24=0,$O$75=0),"",
INDEX(energielabels_labelnamen,MATCH(AH287,OFFSET(bibliotheek!$H$510,0,MATCH(AH$21,gebruiksfuncties_namen,0),ROWS(energielabels_labelnamen),1),-1)))</f>
        <v/>
      </c>
      <c r="AI290" s="207" t="str">
        <f ca="1">IF(OR(AI$24=0,$O$75=0),"",
INDEX(energielabels_labelnamen,MATCH(AI287,OFFSET(bibliotheek!$H$510,0,MATCH(AI$21,gebruiksfuncties_namen,0),ROWS(energielabels_labelnamen),1),-1)))</f>
        <v/>
      </c>
      <c r="AJ290" s="128"/>
      <c r="AK290" s="243"/>
      <c r="AL290" s="129"/>
      <c r="AM290" s="207" t="str">
        <f ca="1">IF(OR(AM$24=0,$O$75=0),"",
INDEX(energielabels_labelnamen,MATCH(AM287,OFFSET(bibliotheek!$H$510,0,MATCH(AM$21,gebruiksfuncties_namen,0),ROWS(energielabels_labelnamen),1),-1)))</f>
        <v/>
      </c>
      <c r="AN290" s="207" t="str">
        <f ca="1">IF(OR(AN$24=0,$O$75=0),"",
INDEX(energielabels_labelnamen,MATCH(AN287,OFFSET(bibliotheek!$H$510,0,MATCH(AN$21,gebruiksfuncties_namen,0),ROWS(energielabels_labelnamen),1),-1)))</f>
        <v/>
      </c>
      <c r="AO290" s="207" t="str">
        <f ca="1">IF(OR(AO$24=0,$O$75=0),"",
INDEX(energielabels_labelnamen,MATCH(AO287,OFFSET(bibliotheek!$H$510,0,MATCH(AO$21,gebruiksfuncties_namen,0),ROWS(energielabels_labelnamen),1),-1)))</f>
        <v/>
      </c>
      <c r="AP290" s="207" t="str">
        <f ca="1">IF(OR(AP$24=0,$O$75=0),"",
INDEX(energielabels_labelnamen,MATCH(AP287,OFFSET(bibliotheek!$H$510,0,MATCH(AP$21,gebruiksfuncties_namen,0),ROWS(energielabels_labelnamen),1),-1)))</f>
        <v/>
      </c>
      <c r="AQ290" s="207" t="str">
        <f ca="1">IF(OR(AQ$24=0,$O$75=0),"",
INDEX(energielabels_labelnamen,MATCH(AQ287,OFFSET(bibliotheek!$H$510,0,MATCH(AQ$21,gebruiksfuncties_namen,0),ROWS(energielabels_labelnamen),1),-1)))</f>
        <v/>
      </c>
      <c r="AR290" s="207" t="str">
        <f ca="1">IF(OR(AR$24=0,$O$75=0),"",
INDEX(energielabels_labelnamen,MATCH(AR287,OFFSET(bibliotheek!$H$510,0,MATCH(AR$21,gebruiksfuncties_namen,0),ROWS(energielabels_labelnamen),1),-1)))</f>
        <v/>
      </c>
      <c r="AS290" s="207" t="str">
        <f ca="1">IF(OR(AS$24=0,$O$75=0),"",
INDEX(energielabels_labelnamen,MATCH(AS287,OFFSET(bibliotheek!$H$510,0,MATCH(AS$21,gebruiksfuncties_namen,0),ROWS(energielabels_labelnamen),1),-1)))</f>
        <v/>
      </c>
      <c r="AT290" s="207" t="str">
        <f ca="1">IF(OR(AT$24=0,$O$75=0),"",
INDEX(energielabels_labelnamen,MATCH(AT287,OFFSET(bibliotheek!$H$510,0,MATCH(AT$21,gebruiksfuncties_namen,0),ROWS(energielabels_labelnamen),1),-1)))</f>
        <v/>
      </c>
      <c r="AU290" s="207" t="str">
        <f ca="1">IF(OR(AU$24=0,$O$75=0),"",
INDEX(energielabels_labelnamen,MATCH(AU287,OFFSET(bibliotheek!$H$510,0,MATCH(AU$21,gebruiksfuncties_namen,0),ROWS(energielabels_labelnamen),1),-1)))</f>
        <v/>
      </c>
      <c r="AV290" s="128"/>
      <c r="AW290" s="243"/>
      <c r="AX290" s="129"/>
      <c r="AY290" s="207" t="str">
        <f ca="1">IF(OR(AY$24=0,$O$75=0),"",
INDEX(energielabels_labelnamen,MATCH(AY287,OFFSET(bibliotheek!$H$510,0,MATCH(AY$21,gebruiksfuncties_namen,0),ROWS(energielabels_labelnamen),1),-1)))</f>
        <v/>
      </c>
      <c r="AZ290" s="207" t="str">
        <f ca="1">IF(OR(AZ$24=0,$O$75=0),"",
INDEX(energielabels_labelnamen,MATCH(AZ287,OFFSET(bibliotheek!$H$510,0,MATCH(AZ$21,gebruiksfuncties_namen,0),ROWS(energielabels_labelnamen),1),-1)))</f>
        <v/>
      </c>
      <c r="BA290" s="207" t="str">
        <f ca="1">IF(OR(BA$24=0,$O$75=0),"",
INDEX(energielabels_labelnamen,MATCH(BA287,OFFSET(bibliotheek!$H$510,0,MATCH(BA$21,gebruiksfuncties_namen,0),ROWS(energielabels_labelnamen),1),-1)))</f>
        <v/>
      </c>
      <c r="BB290" s="207" t="str">
        <f ca="1">IF(OR(BB$24=0,$O$75=0),"",
INDEX(energielabels_labelnamen,MATCH(BB287,OFFSET(bibliotheek!$H$510,0,MATCH(BB$21,gebruiksfuncties_namen,0),ROWS(energielabels_labelnamen),1),-1)))</f>
        <v/>
      </c>
      <c r="BC290" s="207" t="str">
        <f ca="1">IF(OR(BC$24=0,$O$75=0),"",
INDEX(energielabels_labelnamen,MATCH(BC287,OFFSET(bibliotheek!$H$510,0,MATCH(BC$21,gebruiksfuncties_namen,0),ROWS(energielabels_labelnamen),1),-1)))</f>
        <v/>
      </c>
      <c r="BD290" s="207" t="str">
        <f ca="1">IF(OR(BD$24=0,$O$75=0),"",
INDEX(energielabels_labelnamen,MATCH(BD287,OFFSET(bibliotheek!$H$510,0,MATCH(BD$21,gebruiksfuncties_namen,0),ROWS(energielabels_labelnamen),1),-1)))</f>
        <v/>
      </c>
      <c r="BE290" s="207" t="str">
        <f ca="1">IF(OR(BE$24=0,$O$75=0),"",
INDEX(energielabels_labelnamen,MATCH(BE287,OFFSET(bibliotheek!$H$510,0,MATCH(BE$21,gebruiksfuncties_namen,0),ROWS(energielabels_labelnamen),1),-1)))</f>
        <v/>
      </c>
      <c r="BF290" s="207" t="str">
        <f ca="1">IF(OR(BF$24=0,$O$75=0),"",
INDEX(energielabels_labelnamen,MATCH(BF287,OFFSET(bibliotheek!$H$510,0,MATCH(BF$21,gebruiksfuncties_namen,0),ROWS(energielabels_labelnamen),1),-1)))</f>
        <v/>
      </c>
      <c r="BG290" s="207" t="str">
        <f ca="1">IF(OR(BG$24=0,$O$75=0),"",
INDEX(energielabels_labelnamen,MATCH(BG287,OFFSET(bibliotheek!$H$510,0,MATCH(BG$21,gebruiksfuncties_namen,0),ROWS(energielabels_labelnamen),1),-1)))</f>
        <v/>
      </c>
      <c r="BH290" s="255"/>
    </row>
    <row r="291" spans="1:60" x14ac:dyDescent="0.2">
      <c r="A291" s="648"/>
      <c r="B291" s="492" t="s">
        <v>335</v>
      </c>
      <c r="C291" s="656" t="s">
        <v>113</v>
      </c>
      <c r="D291" s="749" t="s">
        <v>50</v>
      </c>
      <c r="E291" s="246" t="s">
        <v>1198</v>
      </c>
      <c r="F291" s="1041"/>
      <c r="G291" s="1041"/>
      <c r="H291" s="247" t="s">
        <v>70</v>
      </c>
      <c r="I291" s="129"/>
      <c r="J291" s="243"/>
      <c r="K291" s="236"/>
      <c r="L291" s="236"/>
      <c r="M291" s="243"/>
      <c r="N291" s="129"/>
      <c r="O291" s="207" t="str">
        <f t="shared" ref="O291:W291" si="298">IF(O$28=0,"",INDEX(eindnorm_utiliteit_energielabel,MATCH(O$21,gebruiksfuncties_namen,0)))</f>
        <v/>
      </c>
      <c r="P291" s="207" t="str">
        <f>IF(P$28=0,"",INDEX(eindnorm_utiliteit_energielabel,1,MATCH(P$21,gebruiksfuncties_namen,0)))</f>
        <v/>
      </c>
      <c r="Q291" s="207" t="str">
        <f t="shared" si="298"/>
        <v/>
      </c>
      <c r="R291" s="207" t="str">
        <f t="shared" si="298"/>
        <v/>
      </c>
      <c r="S291" s="207" t="str">
        <f t="shared" si="298"/>
        <v/>
      </c>
      <c r="T291" s="207" t="str">
        <f t="shared" si="298"/>
        <v/>
      </c>
      <c r="U291" s="207" t="str">
        <f t="shared" si="298"/>
        <v/>
      </c>
      <c r="V291" s="207" t="str">
        <f t="shared" si="298"/>
        <v/>
      </c>
      <c r="W291" s="207" t="str">
        <f t="shared" si="298"/>
        <v/>
      </c>
      <c r="X291" s="128"/>
      <c r="Y291" s="243"/>
      <c r="Z291" s="129"/>
      <c r="AA291" s="207" t="str">
        <f t="shared" ref="AA291:AI291" si="299">IF(AA$28=0,"",INDEX(eindnorm_utiliteit_energielabel,MATCH(AA$21,gebruiksfuncties_namen,0)))</f>
        <v/>
      </c>
      <c r="AB291" s="207" t="str">
        <f t="shared" si="299"/>
        <v/>
      </c>
      <c r="AC291" s="207" t="str">
        <f t="shared" si="299"/>
        <v/>
      </c>
      <c r="AD291" s="207" t="str">
        <f t="shared" si="299"/>
        <v/>
      </c>
      <c r="AE291" s="207" t="str">
        <f t="shared" si="299"/>
        <v/>
      </c>
      <c r="AF291" s="207" t="str">
        <f t="shared" si="299"/>
        <v/>
      </c>
      <c r="AG291" s="207" t="str">
        <f t="shared" si="299"/>
        <v/>
      </c>
      <c r="AH291" s="207" t="str">
        <f t="shared" si="299"/>
        <v/>
      </c>
      <c r="AI291" s="207" t="str">
        <f t="shared" si="299"/>
        <v/>
      </c>
      <c r="AJ291" s="128"/>
      <c r="AK291" s="243"/>
      <c r="AL291" s="129"/>
      <c r="AM291" s="207" t="str">
        <f t="shared" ref="AM291:AU291" si="300">IF(AM$28=0,"",INDEX(eindnorm_utiliteit_energielabel,MATCH(AM$21,gebruiksfuncties_namen,0)))</f>
        <v/>
      </c>
      <c r="AN291" s="207" t="str">
        <f t="shared" si="300"/>
        <v/>
      </c>
      <c r="AO291" s="207" t="str">
        <f t="shared" si="300"/>
        <v/>
      </c>
      <c r="AP291" s="207" t="str">
        <f t="shared" si="300"/>
        <v/>
      </c>
      <c r="AQ291" s="207" t="str">
        <f t="shared" si="300"/>
        <v/>
      </c>
      <c r="AR291" s="207" t="str">
        <f t="shared" si="300"/>
        <v/>
      </c>
      <c r="AS291" s="207" t="str">
        <f t="shared" si="300"/>
        <v/>
      </c>
      <c r="AT291" s="207" t="str">
        <f t="shared" si="300"/>
        <v/>
      </c>
      <c r="AU291" s="207" t="str">
        <f t="shared" si="300"/>
        <v/>
      </c>
      <c r="AV291" s="128"/>
      <c r="AW291" s="243"/>
      <c r="AX291" s="129"/>
      <c r="AY291" s="207" t="str">
        <f t="shared" ref="AY291:BG291" si="301">IF(AY$28=0,"",INDEX(eindnorm_utiliteit_energielabel,MATCH(AY$21,gebruiksfuncties_namen,0)))</f>
        <v/>
      </c>
      <c r="AZ291" s="207" t="str">
        <f t="shared" si="301"/>
        <v/>
      </c>
      <c r="BA291" s="207" t="str">
        <f t="shared" si="301"/>
        <v/>
      </c>
      <c r="BB291" s="207" t="str">
        <f t="shared" si="301"/>
        <v/>
      </c>
      <c r="BC291" s="207" t="str">
        <f t="shared" si="301"/>
        <v/>
      </c>
      <c r="BD291" s="207" t="str">
        <f t="shared" si="301"/>
        <v/>
      </c>
      <c r="BE291" s="207" t="str">
        <f t="shared" si="301"/>
        <v/>
      </c>
      <c r="BF291" s="207" t="str">
        <f t="shared" si="301"/>
        <v/>
      </c>
      <c r="BG291" s="207" t="str">
        <f t="shared" si="301"/>
        <v/>
      </c>
      <c r="BH291" s="255"/>
    </row>
    <row r="292" spans="1:60" ht="18.75" x14ac:dyDescent="0.2">
      <c r="A292" s="648"/>
      <c r="B292" s="492" t="s">
        <v>335</v>
      </c>
      <c r="C292" s="739" t="s">
        <v>104</v>
      </c>
      <c r="D292" s="749" t="s">
        <v>50</v>
      </c>
      <c r="E292" s="236" t="s">
        <v>347</v>
      </c>
      <c r="F292" s="236"/>
      <c r="G292" s="236"/>
      <c r="H292" s="89"/>
      <c r="I292" s="236"/>
      <c r="J292" s="236"/>
      <c r="K292" s="236"/>
      <c r="L292" s="236"/>
      <c r="M292" s="236"/>
      <c r="N292" s="236"/>
      <c r="O292" s="236"/>
      <c r="P292" s="236"/>
      <c r="Q292" s="236"/>
      <c r="R292" s="236"/>
      <c r="S292" s="236"/>
      <c r="T292" s="236"/>
      <c r="U292" s="236"/>
      <c r="V292" s="236"/>
      <c r="W292" s="236"/>
      <c r="X292" s="236"/>
      <c r="Y292" s="236"/>
      <c r="Z292" s="236"/>
      <c r="AA292" s="236"/>
      <c r="AB292" s="236"/>
      <c r="AC292" s="236"/>
      <c r="AD292" s="236"/>
      <c r="AE292" s="236"/>
      <c r="AF292" s="236"/>
      <c r="AG292" s="236"/>
      <c r="AH292" s="236"/>
      <c r="AI292" s="236"/>
      <c r="AJ292" s="236"/>
      <c r="AK292" s="236"/>
      <c r="AL292" s="236"/>
      <c r="AM292" s="236"/>
      <c r="AN292" s="236"/>
      <c r="AO292" s="236"/>
      <c r="AP292" s="236"/>
      <c r="AQ292" s="236"/>
      <c r="AR292" s="236"/>
      <c r="AS292" s="236"/>
      <c r="AT292" s="236"/>
      <c r="AU292" s="236"/>
      <c r="AV292" s="236"/>
      <c r="AW292" s="236"/>
      <c r="AX292" s="236"/>
      <c r="AY292" s="236"/>
      <c r="AZ292" s="236"/>
      <c r="BA292" s="236"/>
      <c r="BB292" s="236"/>
      <c r="BC292" s="236"/>
      <c r="BD292" s="236"/>
      <c r="BE292" s="236"/>
      <c r="BF292" s="236"/>
      <c r="BG292" s="236"/>
      <c r="BH292" s="38"/>
    </row>
    <row r="293" spans="1:60" x14ac:dyDescent="0.2">
      <c r="A293" s="648"/>
      <c r="B293" s="492" t="s">
        <v>335</v>
      </c>
      <c r="C293" s="656" t="s">
        <v>113</v>
      </c>
      <c r="D293" s="750"/>
      <c r="E293" s="246" t="s">
        <v>348</v>
      </c>
      <c r="F293" s="246"/>
      <c r="G293" s="246"/>
      <c r="H293" s="247" t="s">
        <v>169</v>
      </c>
      <c r="I293" s="248"/>
      <c r="J293" s="249"/>
      <c r="K293" s="90"/>
      <c r="L293" s="90"/>
      <c r="M293" s="249"/>
      <c r="N293" s="248"/>
      <c r="O293" s="251" t="str">
        <f t="shared" ref="O293:W293" si="302">IF(O$294="","",IF(O$294="nvt","nvt",
INDEX(standaardwaarde_basis,MATCH(O$21,standaardwaarden_gebruiksfuncties,0))+
MAX(0,O$34-1)*INDEX(standaardwaarde_extra_vraag_boven_grenswaarde_vormfactor,MATCH(O$21,standaardwaarden_gebruiksfuncties,0))))</f>
        <v/>
      </c>
      <c r="P293" s="251" t="str">
        <f t="shared" si="302"/>
        <v/>
      </c>
      <c r="Q293" s="251" t="str">
        <f t="shared" si="302"/>
        <v/>
      </c>
      <c r="R293" s="251" t="str">
        <f t="shared" si="302"/>
        <v/>
      </c>
      <c r="S293" s="251" t="str">
        <f t="shared" si="302"/>
        <v/>
      </c>
      <c r="T293" s="251" t="str">
        <f t="shared" si="302"/>
        <v/>
      </c>
      <c r="U293" s="251" t="str">
        <f t="shared" si="302"/>
        <v/>
      </c>
      <c r="V293" s="251" t="str">
        <f t="shared" si="302"/>
        <v/>
      </c>
      <c r="W293" s="251" t="str">
        <f t="shared" si="302"/>
        <v/>
      </c>
      <c r="X293" s="128"/>
      <c r="Y293" s="249"/>
      <c r="Z293" s="248"/>
      <c r="AA293" s="251" t="str">
        <f t="shared" ref="AA293:AI293" si="303">IF(AA$294="","",IF(AA$294="nvt","nvt",
INDEX(standaardwaarde_basis,MATCH(AA$21,standaardwaarden_gebruiksfuncties,0))+
MAX(0,AA$34-1)*INDEX(standaardwaarde_extra_vraag_boven_grenswaarde_vormfactor,MATCH(AA$21,standaardwaarden_gebruiksfuncties,0))))</f>
        <v/>
      </c>
      <c r="AB293" s="251" t="str">
        <f t="shared" si="303"/>
        <v/>
      </c>
      <c r="AC293" s="251" t="str">
        <f t="shared" si="303"/>
        <v/>
      </c>
      <c r="AD293" s="251" t="str">
        <f t="shared" si="303"/>
        <v/>
      </c>
      <c r="AE293" s="251" t="str">
        <f t="shared" si="303"/>
        <v/>
      </c>
      <c r="AF293" s="251" t="str">
        <f t="shared" si="303"/>
        <v/>
      </c>
      <c r="AG293" s="251" t="str">
        <f t="shared" si="303"/>
        <v/>
      </c>
      <c r="AH293" s="251" t="str">
        <f t="shared" si="303"/>
        <v/>
      </c>
      <c r="AI293" s="251" t="str">
        <f t="shared" si="303"/>
        <v/>
      </c>
      <c r="AJ293" s="128"/>
      <c r="AK293" s="249"/>
      <c r="AL293" s="248"/>
      <c r="AM293" s="251" t="str">
        <f t="shared" ref="AM293:AU293" si="304">IF(AM$294="","",IF(AM$294="nvt","nvt",
INDEX(standaardwaarde_basis,MATCH(AM$21,standaardwaarden_gebruiksfuncties,0))+
MAX(0,AM$34-1)*INDEX(standaardwaarde_extra_vraag_boven_grenswaarde_vormfactor,MATCH(AM$21,standaardwaarden_gebruiksfuncties,0))))</f>
        <v/>
      </c>
      <c r="AN293" s="251" t="str">
        <f t="shared" si="304"/>
        <v/>
      </c>
      <c r="AO293" s="251" t="str">
        <f t="shared" si="304"/>
        <v/>
      </c>
      <c r="AP293" s="251" t="str">
        <f t="shared" si="304"/>
        <v/>
      </c>
      <c r="AQ293" s="251" t="str">
        <f t="shared" si="304"/>
        <v/>
      </c>
      <c r="AR293" s="251" t="str">
        <f t="shared" si="304"/>
        <v/>
      </c>
      <c r="AS293" s="251" t="str">
        <f t="shared" si="304"/>
        <v/>
      </c>
      <c r="AT293" s="251" t="str">
        <f t="shared" si="304"/>
        <v/>
      </c>
      <c r="AU293" s="251" t="str">
        <f t="shared" si="304"/>
        <v/>
      </c>
      <c r="AV293" s="128"/>
      <c r="AW293" s="249"/>
      <c r="AX293" s="248"/>
      <c r="AY293" s="251" t="str">
        <f t="shared" ref="AY293:BG293" si="305">IF(AY$294="","",IF(AY$294="nvt","nvt",
INDEX(standaardwaarde_basis,MATCH(AY$21,standaardwaarden_gebruiksfuncties,0))+
MAX(0,AY$34-1)*INDEX(standaardwaarde_extra_vraag_boven_grenswaarde_vormfactor,MATCH(AY$21,standaardwaarden_gebruiksfuncties,0))))</f>
        <v/>
      </c>
      <c r="AZ293" s="251" t="str">
        <f t="shared" si="305"/>
        <v/>
      </c>
      <c r="BA293" s="251" t="str">
        <f t="shared" si="305"/>
        <v/>
      </c>
      <c r="BB293" s="251" t="str">
        <f t="shared" si="305"/>
        <v/>
      </c>
      <c r="BC293" s="251" t="str">
        <f t="shared" si="305"/>
        <v/>
      </c>
      <c r="BD293" s="251" t="str">
        <f t="shared" si="305"/>
        <v/>
      </c>
      <c r="BE293" s="251" t="str">
        <f t="shared" si="305"/>
        <v/>
      </c>
      <c r="BF293" s="251" t="str">
        <f t="shared" si="305"/>
        <v/>
      </c>
      <c r="BG293" s="251" t="str">
        <f t="shared" si="305"/>
        <v/>
      </c>
      <c r="BH293" s="255"/>
    </row>
    <row r="294" spans="1:60" x14ac:dyDescent="0.2">
      <c r="A294" s="648"/>
      <c r="B294" s="492" t="s">
        <v>335</v>
      </c>
      <c r="C294" s="656" t="s">
        <v>113</v>
      </c>
      <c r="D294" s="750"/>
      <c r="E294" s="246" t="s">
        <v>349</v>
      </c>
      <c r="F294" s="246"/>
      <c r="G294" s="246"/>
      <c r="H294" s="247" t="s">
        <v>169</v>
      </c>
      <c r="I294" s="248"/>
      <c r="J294" s="249"/>
      <c r="K294" s="90"/>
      <c r="L294" s="90"/>
      <c r="M294" s="249"/>
      <c r="N294" s="248"/>
      <c r="O294" s="251" t="str">
        <f t="shared" ref="O294:W294" si="306">IF(OR(O$19="",O$40="",O$42="",O$280=""),"",IF(OR(O$21=woning,O$21=woongebouw),O$227,"nvt"))</f>
        <v/>
      </c>
      <c r="P294" s="251" t="str">
        <f t="shared" si="306"/>
        <v/>
      </c>
      <c r="Q294" s="251" t="str">
        <f t="shared" si="306"/>
        <v/>
      </c>
      <c r="R294" s="251" t="str">
        <f t="shared" si="306"/>
        <v/>
      </c>
      <c r="S294" s="251" t="str">
        <f t="shared" si="306"/>
        <v/>
      </c>
      <c r="T294" s="251" t="str">
        <f t="shared" si="306"/>
        <v/>
      </c>
      <c r="U294" s="251" t="str">
        <f t="shared" si="306"/>
        <v/>
      </c>
      <c r="V294" s="251" t="str">
        <f t="shared" si="306"/>
        <v/>
      </c>
      <c r="W294" s="251" t="str">
        <f t="shared" si="306"/>
        <v/>
      </c>
      <c r="X294" s="128"/>
      <c r="Y294" s="249"/>
      <c r="Z294" s="248"/>
      <c r="AA294" s="251" t="str">
        <f t="shared" ref="AA294:AI294" si="307">IF(OR(AA$19="",AA$40="",AA$42="",AA$280=""),"",IF(OR(AA$21=woning,AA$21=woongebouw),AA$227,"nvt"))</f>
        <v/>
      </c>
      <c r="AB294" s="251" t="str">
        <f t="shared" si="307"/>
        <v/>
      </c>
      <c r="AC294" s="251" t="str">
        <f t="shared" si="307"/>
        <v/>
      </c>
      <c r="AD294" s="251" t="str">
        <f t="shared" si="307"/>
        <v/>
      </c>
      <c r="AE294" s="251" t="str">
        <f t="shared" si="307"/>
        <v/>
      </c>
      <c r="AF294" s="251" t="str">
        <f t="shared" si="307"/>
        <v/>
      </c>
      <c r="AG294" s="251" t="str">
        <f t="shared" si="307"/>
        <v/>
      </c>
      <c r="AH294" s="251" t="str">
        <f t="shared" si="307"/>
        <v/>
      </c>
      <c r="AI294" s="251" t="str">
        <f t="shared" si="307"/>
        <v/>
      </c>
      <c r="AJ294" s="128"/>
      <c r="AK294" s="249"/>
      <c r="AL294" s="248"/>
      <c r="AM294" s="251" t="str">
        <f t="shared" ref="AM294:AU294" si="308">IF(OR(AM$19="",AM$40="",AM$42="",AM$280=""),"",IF(OR(AM$21=woning,AM$21=woongebouw),AM$227,"nvt"))</f>
        <v/>
      </c>
      <c r="AN294" s="251" t="str">
        <f t="shared" si="308"/>
        <v/>
      </c>
      <c r="AO294" s="251" t="str">
        <f t="shared" si="308"/>
        <v/>
      </c>
      <c r="AP294" s="251" t="str">
        <f t="shared" si="308"/>
        <v/>
      </c>
      <c r="AQ294" s="251" t="str">
        <f t="shared" si="308"/>
        <v/>
      </c>
      <c r="AR294" s="251" t="str">
        <f t="shared" si="308"/>
        <v/>
      </c>
      <c r="AS294" s="251" t="str">
        <f t="shared" si="308"/>
        <v/>
      </c>
      <c r="AT294" s="251" t="str">
        <f t="shared" si="308"/>
        <v/>
      </c>
      <c r="AU294" s="251" t="str">
        <f t="shared" si="308"/>
        <v/>
      </c>
      <c r="AV294" s="128"/>
      <c r="AW294" s="249"/>
      <c r="AX294" s="248"/>
      <c r="AY294" s="251" t="str">
        <f t="shared" ref="AY294:BG294" si="309">IF(OR(AY$19="",AY$40="",AY$42="",AY$280=""),"",IF(OR(AY$21=woning,AY$21=woongebouw),AY$227,"nvt"))</f>
        <v/>
      </c>
      <c r="AZ294" s="251" t="str">
        <f t="shared" si="309"/>
        <v/>
      </c>
      <c r="BA294" s="251" t="str">
        <f t="shared" si="309"/>
        <v/>
      </c>
      <c r="BB294" s="251" t="str">
        <f t="shared" si="309"/>
        <v/>
      </c>
      <c r="BC294" s="251" t="str">
        <f t="shared" si="309"/>
        <v/>
      </c>
      <c r="BD294" s="251" t="str">
        <f t="shared" si="309"/>
        <v/>
      </c>
      <c r="BE294" s="251" t="str">
        <f t="shared" si="309"/>
        <v/>
      </c>
      <c r="BF294" s="251" t="str">
        <f t="shared" si="309"/>
        <v/>
      </c>
      <c r="BG294" s="251" t="str">
        <f t="shared" si="309"/>
        <v/>
      </c>
      <c r="BH294" s="255"/>
    </row>
    <row r="295" spans="1:60" ht="18.75" x14ac:dyDescent="0.2">
      <c r="A295" s="648"/>
      <c r="B295" s="492" t="s">
        <v>335</v>
      </c>
      <c r="C295" s="739" t="s">
        <v>104</v>
      </c>
      <c r="D295" s="747"/>
      <c r="E295" s="236" t="s">
        <v>350</v>
      </c>
      <c r="F295" s="236"/>
      <c r="G295" s="236"/>
      <c r="H295" s="89"/>
      <c r="I295" s="236"/>
      <c r="J295" s="236"/>
      <c r="K295" s="236"/>
      <c r="L295" s="236"/>
      <c r="M295" s="236"/>
      <c r="N295" s="236"/>
      <c r="O295" s="236"/>
      <c r="P295" s="236"/>
      <c r="Q295" s="236"/>
      <c r="R295" s="236"/>
      <c r="S295" s="236"/>
      <c r="T295" s="236"/>
      <c r="U295" s="236"/>
      <c r="V295" s="236"/>
      <c r="W295" s="236"/>
      <c r="X295" s="236"/>
      <c r="Y295" s="236"/>
      <c r="Z295" s="236"/>
      <c r="AA295" s="236"/>
      <c r="AB295" s="236"/>
      <c r="AC295" s="236"/>
      <c r="AD295" s="236"/>
      <c r="AE295" s="236"/>
      <c r="AF295" s="236"/>
      <c r="AG295" s="236"/>
      <c r="AH295" s="236"/>
      <c r="AI295" s="236"/>
      <c r="AJ295" s="236"/>
      <c r="AK295" s="236"/>
      <c r="AL295" s="236"/>
      <c r="AM295" s="236"/>
      <c r="AN295" s="236"/>
      <c r="AO295" s="236"/>
      <c r="AP295" s="236"/>
      <c r="AQ295" s="236"/>
      <c r="AR295" s="236"/>
      <c r="AS295" s="236"/>
      <c r="AT295" s="236"/>
      <c r="AU295" s="236"/>
      <c r="AV295" s="236"/>
      <c r="AW295" s="236"/>
      <c r="AX295" s="236"/>
      <c r="AY295" s="236"/>
      <c r="AZ295" s="236"/>
      <c r="BA295" s="236"/>
      <c r="BB295" s="236"/>
      <c r="BC295" s="236"/>
      <c r="BD295" s="236"/>
      <c r="BE295" s="236"/>
      <c r="BF295" s="236"/>
      <c r="BG295" s="236"/>
      <c r="BH295" s="38"/>
    </row>
    <row r="296" spans="1:60" x14ac:dyDescent="0.2">
      <c r="A296" s="648"/>
      <c r="B296" s="492" t="s">
        <v>335</v>
      </c>
      <c r="C296" s="656" t="s">
        <v>113</v>
      </c>
      <c r="D296" s="750"/>
      <c r="E296" s="246" t="s">
        <v>351</v>
      </c>
      <c r="F296" s="246"/>
      <c r="G296" s="246"/>
      <c r="H296" s="247" t="s">
        <v>169</v>
      </c>
      <c r="I296" s="248"/>
      <c r="J296" s="249"/>
      <c r="K296" s="90"/>
      <c r="L296" s="90"/>
      <c r="M296" s="249"/>
      <c r="N296" s="248"/>
      <c r="O296" s="251" t="str" cm="1">
        <f t="array" ref="O296">IF(O$294="","",IF(O$294="nvt","nvt",
INDEX(standaardwaarde_basis,MATCH(O$21,standaardwaarden_gebruiksfuncties,0)+1)+
MAX(0,O$34-1)*INDEX(standaardwaarde_extra_vraag_boven_grenswaarde_vormfactor,MATCH(O$21,standaardwaarden_gebruiksfuncties,0)+1)))</f>
        <v/>
      </c>
      <c r="P296" s="251" t="str" cm="1">
        <f t="array" ref="P296">IF(P$294="","",IF(P$294="nvt","nvt",
INDEX(standaardwaarde_basis,MATCH(P$21,standaardwaarden_gebruiksfuncties,0)+1)+
MAX(0,P$34-1)*INDEX(standaardwaarde_extra_vraag_boven_grenswaarde_vormfactor,MATCH(P$21,standaardwaarden_gebruiksfuncties,0)+1)))</f>
        <v/>
      </c>
      <c r="Q296" s="251" t="str" cm="1">
        <f t="array" ref="Q296">IF(Q$294="","",IF(Q$294="nvt","nvt",
INDEX(standaardwaarde_basis,MATCH(Q$21,standaardwaarden_gebruiksfuncties,0)+1)+
MAX(0,Q$34-1)*INDEX(standaardwaarde_extra_vraag_boven_grenswaarde_vormfactor,MATCH(Q$21,standaardwaarden_gebruiksfuncties,0)+1)))</f>
        <v/>
      </c>
      <c r="R296" s="251" t="str" cm="1">
        <f t="array" ref="R296">IF(R$294="","",IF(R$294="nvt","nvt",
INDEX(standaardwaarde_basis,MATCH(R$21,standaardwaarden_gebruiksfuncties,0)+1)+
MAX(0,R$34-1)*INDEX(standaardwaarde_extra_vraag_boven_grenswaarde_vormfactor,MATCH(R$21,standaardwaarden_gebruiksfuncties,0)+1)))</f>
        <v/>
      </c>
      <c r="S296" s="251" t="str" cm="1">
        <f t="array" ref="S296">IF(S$294="","",IF(S$294="nvt","nvt",
INDEX(standaardwaarde_basis,MATCH(S$21,standaardwaarden_gebruiksfuncties,0)+1)+
MAX(0,S$34-1)*INDEX(standaardwaarde_extra_vraag_boven_grenswaarde_vormfactor,MATCH(S$21,standaardwaarden_gebruiksfuncties,0)+1)))</f>
        <v/>
      </c>
      <c r="T296" s="251" t="str" cm="1">
        <f t="array" ref="T296">IF(T$294="","",IF(T$294="nvt","nvt",
INDEX(standaardwaarde_basis,MATCH(T$21,standaardwaarden_gebruiksfuncties,0)+1)+
MAX(0,T$34-1)*INDEX(standaardwaarde_extra_vraag_boven_grenswaarde_vormfactor,MATCH(T$21,standaardwaarden_gebruiksfuncties,0)+1)))</f>
        <v/>
      </c>
      <c r="U296" s="251" t="str" cm="1">
        <f t="array" ref="U296">IF(U$294="","",IF(U$294="nvt","nvt",
INDEX(standaardwaarde_basis,MATCH(U$21,standaardwaarden_gebruiksfuncties,0)+1)+
MAX(0,U$34-1)*INDEX(standaardwaarde_extra_vraag_boven_grenswaarde_vormfactor,MATCH(U$21,standaardwaarden_gebruiksfuncties,0)+1)))</f>
        <v/>
      </c>
      <c r="V296" s="251" t="str" cm="1">
        <f t="array" ref="V296">IF(V$294="","",IF(V$294="nvt","nvt",
INDEX(standaardwaarde_basis,MATCH(V$21,standaardwaarden_gebruiksfuncties,0)+1)+
MAX(0,V$34-1)*INDEX(standaardwaarde_extra_vraag_boven_grenswaarde_vormfactor,MATCH(V$21,standaardwaarden_gebruiksfuncties,0)+1)))</f>
        <v/>
      </c>
      <c r="W296" s="251" t="str" cm="1">
        <f t="array" ref="W296">IF(W$294="","",IF(W$294="nvt","nvt",
INDEX(standaardwaarde_basis,MATCH(W$21,standaardwaarden_gebruiksfuncties,0)+1)+
MAX(0,W$34-1)*INDEX(standaardwaarde_extra_vraag_boven_grenswaarde_vormfactor,MATCH(W$21,standaardwaarden_gebruiksfuncties,0)+1)))</f>
        <v/>
      </c>
      <c r="X296" s="128"/>
      <c r="Y296" s="249"/>
      <c r="Z296" s="248"/>
      <c r="AA296" s="251" t="str" cm="1">
        <f t="array" ref="AA296">IF(AA$294="","",IF(AA$294="nvt","nvt",
INDEX(standaardwaarde_basis,MATCH(AA$21,standaardwaarden_gebruiksfuncties,0)+1)+
MAX(0,AA$34-1)*INDEX(standaardwaarde_extra_vraag_boven_grenswaarde_vormfactor,MATCH(AA$21,standaardwaarden_gebruiksfuncties,0)+1)))</f>
        <v/>
      </c>
      <c r="AB296" s="251" t="str" cm="1">
        <f t="array" ref="AB296">IF(AB$294="","",IF(AB$294="nvt","nvt",
INDEX(standaardwaarde_basis,MATCH(AB$21,standaardwaarden_gebruiksfuncties,0)+1)+
MAX(0,AB$34-1)*INDEX(standaardwaarde_extra_vraag_boven_grenswaarde_vormfactor,MATCH(AB$21,standaardwaarden_gebruiksfuncties,0)+1)))</f>
        <v/>
      </c>
      <c r="AC296" s="251" t="str" cm="1">
        <f t="array" ref="AC296">IF(AC$294="","",IF(AC$294="nvt","nvt",
INDEX(standaardwaarde_basis,MATCH(AC$21,standaardwaarden_gebruiksfuncties,0)+1)+
MAX(0,AC$34-1)*INDEX(standaardwaarde_extra_vraag_boven_grenswaarde_vormfactor,MATCH(AC$21,standaardwaarden_gebruiksfuncties,0)+1)))</f>
        <v/>
      </c>
      <c r="AD296" s="251" t="str" cm="1">
        <f t="array" ref="AD296">IF(AD$294="","",IF(AD$294="nvt","nvt",
INDEX(standaardwaarde_basis,MATCH(AD$21,standaardwaarden_gebruiksfuncties,0)+1)+
MAX(0,AD$34-1)*INDEX(standaardwaarde_extra_vraag_boven_grenswaarde_vormfactor,MATCH(AD$21,standaardwaarden_gebruiksfuncties,0)+1)))</f>
        <v/>
      </c>
      <c r="AE296" s="251" t="str" cm="1">
        <f t="array" ref="AE296">IF(AE$294="","",IF(AE$294="nvt","nvt",
INDEX(standaardwaarde_basis,MATCH(AE$21,standaardwaarden_gebruiksfuncties,0)+1)+
MAX(0,AE$34-1)*INDEX(standaardwaarde_extra_vraag_boven_grenswaarde_vormfactor,MATCH(AE$21,standaardwaarden_gebruiksfuncties,0)+1)))</f>
        <v/>
      </c>
      <c r="AF296" s="251" t="str" cm="1">
        <f t="array" ref="AF296">IF(AF$294="","",IF(AF$294="nvt","nvt",
INDEX(standaardwaarde_basis,MATCH(AF$21,standaardwaarden_gebruiksfuncties,0)+1)+
MAX(0,AF$34-1)*INDEX(standaardwaarde_extra_vraag_boven_grenswaarde_vormfactor,MATCH(AF$21,standaardwaarden_gebruiksfuncties,0)+1)))</f>
        <v/>
      </c>
      <c r="AG296" s="251" t="str" cm="1">
        <f t="array" ref="AG296">IF(AG$294="","",IF(AG$294="nvt","nvt",
INDEX(standaardwaarde_basis,MATCH(AG$21,standaardwaarden_gebruiksfuncties,0)+1)+
MAX(0,AG$34-1)*INDEX(standaardwaarde_extra_vraag_boven_grenswaarde_vormfactor,MATCH(AG$21,standaardwaarden_gebruiksfuncties,0)+1)))</f>
        <v/>
      </c>
      <c r="AH296" s="251" t="str" cm="1">
        <f t="array" ref="AH296">IF(AH$294="","",IF(AH$294="nvt","nvt",
INDEX(standaardwaarde_basis,MATCH(AH$21,standaardwaarden_gebruiksfuncties,0)+1)+
MAX(0,AH$34-1)*INDEX(standaardwaarde_extra_vraag_boven_grenswaarde_vormfactor,MATCH(AH$21,standaardwaarden_gebruiksfuncties,0)+1)))</f>
        <v/>
      </c>
      <c r="AI296" s="251" t="str" cm="1">
        <f t="array" ref="AI296">IF(AI$294="","",IF(AI$294="nvt","nvt",
INDEX(standaardwaarde_basis,MATCH(AI$21,standaardwaarden_gebruiksfuncties,0)+1)+
MAX(0,AI$34-1)*INDEX(standaardwaarde_extra_vraag_boven_grenswaarde_vormfactor,MATCH(AI$21,standaardwaarden_gebruiksfuncties,0)+1)))</f>
        <v/>
      </c>
      <c r="AJ296" s="128"/>
      <c r="AK296" s="249"/>
      <c r="AL296" s="248"/>
      <c r="AM296" s="251" t="str" cm="1">
        <f t="array" ref="AM296">IF(AM$294="","",IF(AM$294="nvt","nvt",
INDEX(standaardwaarde_basis,MATCH(AM$21,standaardwaarden_gebruiksfuncties,0)+1)+
MAX(0,AM$34-1)*INDEX(standaardwaarde_extra_vraag_boven_grenswaarde_vormfactor,MATCH(AM$21,standaardwaarden_gebruiksfuncties,0)+1)))</f>
        <v/>
      </c>
      <c r="AN296" s="251" t="str" cm="1">
        <f t="array" ref="AN296">IF(AN$294="","",IF(AN$294="nvt","nvt",
INDEX(standaardwaarde_basis,MATCH(AN$21,standaardwaarden_gebruiksfuncties,0)+1)+
MAX(0,AN$34-1)*INDEX(standaardwaarde_extra_vraag_boven_grenswaarde_vormfactor,MATCH(AN$21,standaardwaarden_gebruiksfuncties,0)+1)))</f>
        <v/>
      </c>
      <c r="AO296" s="251" t="str" cm="1">
        <f t="array" ref="AO296">IF(AO$294="","",IF(AO$294="nvt","nvt",
INDEX(standaardwaarde_basis,MATCH(AO$21,standaardwaarden_gebruiksfuncties,0)+1)+
MAX(0,AO$34-1)*INDEX(standaardwaarde_extra_vraag_boven_grenswaarde_vormfactor,MATCH(AO$21,standaardwaarden_gebruiksfuncties,0)+1)))</f>
        <v/>
      </c>
      <c r="AP296" s="251" t="str" cm="1">
        <f t="array" ref="AP296">IF(AP$294="","",IF(AP$294="nvt","nvt",
INDEX(standaardwaarde_basis,MATCH(AP$21,standaardwaarden_gebruiksfuncties,0)+1)+
MAX(0,AP$34-1)*INDEX(standaardwaarde_extra_vraag_boven_grenswaarde_vormfactor,MATCH(AP$21,standaardwaarden_gebruiksfuncties,0)+1)))</f>
        <v/>
      </c>
      <c r="AQ296" s="251" t="str" cm="1">
        <f t="array" ref="AQ296">IF(AQ$294="","",IF(AQ$294="nvt","nvt",
INDEX(standaardwaarde_basis,MATCH(AQ$21,standaardwaarden_gebruiksfuncties,0)+1)+
MAX(0,AQ$34-1)*INDEX(standaardwaarde_extra_vraag_boven_grenswaarde_vormfactor,MATCH(AQ$21,standaardwaarden_gebruiksfuncties,0)+1)))</f>
        <v/>
      </c>
      <c r="AR296" s="251" t="str" cm="1">
        <f t="array" ref="AR296">IF(AR$294="","",IF(AR$294="nvt","nvt",
INDEX(standaardwaarde_basis,MATCH(AR$21,standaardwaarden_gebruiksfuncties,0)+1)+
MAX(0,AR$34-1)*INDEX(standaardwaarde_extra_vraag_boven_grenswaarde_vormfactor,MATCH(AR$21,standaardwaarden_gebruiksfuncties,0)+1)))</f>
        <v/>
      </c>
      <c r="AS296" s="251" t="str" cm="1">
        <f t="array" ref="AS296">IF(AS$294="","",IF(AS$294="nvt","nvt",
INDEX(standaardwaarde_basis,MATCH(AS$21,standaardwaarden_gebruiksfuncties,0)+1)+
MAX(0,AS$34-1)*INDEX(standaardwaarde_extra_vraag_boven_grenswaarde_vormfactor,MATCH(AS$21,standaardwaarden_gebruiksfuncties,0)+1)))</f>
        <v/>
      </c>
      <c r="AT296" s="251" t="str" cm="1">
        <f t="array" ref="AT296">IF(AT$294="","",IF(AT$294="nvt","nvt",
INDEX(standaardwaarde_basis,MATCH(AT$21,standaardwaarden_gebruiksfuncties,0)+1)+
MAX(0,AT$34-1)*INDEX(standaardwaarde_extra_vraag_boven_grenswaarde_vormfactor,MATCH(AT$21,standaardwaarden_gebruiksfuncties,0)+1)))</f>
        <v/>
      </c>
      <c r="AU296" s="251" t="str" cm="1">
        <f t="array" ref="AU296">IF(AU$294="","",IF(AU$294="nvt","nvt",
INDEX(standaardwaarde_basis,MATCH(AU$21,standaardwaarden_gebruiksfuncties,0)+1)+
MAX(0,AU$34-1)*INDEX(standaardwaarde_extra_vraag_boven_grenswaarde_vormfactor,MATCH(AU$21,standaardwaarden_gebruiksfuncties,0)+1)))</f>
        <v/>
      </c>
      <c r="AV296" s="128"/>
      <c r="AW296" s="249"/>
      <c r="AX296" s="248"/>
      <c r="AY296" s="251" t="str" cm="1">
        <f t="array" ref="AY296">IF(AY$294="","",IF(AY$294="nvt","nvt",
INDEX(standaardwaarde_basis,MATCH(AY$21,standaardwaarden_gebruiksfuncties,0)+1)+
MAX(0,AY$34-1)*INDEX(standaardwaarde_extra_vraag_boven_grenswaarde_vormfactor,MATCH(AY$21,standaardwaarden_gebruiksfuncties,0)+1)))</f>
        <v/>
      </c>
      <c r="AZ296" s="251" t="str" cm="1">
        <f t="array" ref="AZ296">IF(AZ$294="","",IF(AZ$294="nvt","nvt",
INDEX(standaardwaarde_basis,MATCH(AZ$21,standaardwaarden_gebruiksfuncties,0)+1)+
MAX(0,AZ$34-1)*INDEX(standaardwaarde_extra_vraag_boven_grenswaarde_vormfactor,MATCH(AZ$21,standaardwaarden_gebruiksfuncties,0)+1)))</f>
        <v/>
      </c>
      <c r="BA296" s="251" t="str" cm="1">
        <f t="array" ref="BA296">IF(BA$294="","",IF(BA$294="nvt","nvt",
INDEX(standaardwaarde_basis,MATCH(BA$21,standaardwaarden_gebruiksfuncties,0)+1)+
MAX(0,BA$34-1)*INDEX(standaardwaarde_extra_vraag_boven_grenswaarde_vormfactor,MATCH(BA$21,standaardwaarden_gebruiksfuncties,0)+1)))</f>
        <v/>
      </c>
      <c r="BB296" s="251" t="str" cm="1">
        <f t="array" ref="BB296">IF(BB$294="","",IF(BB$294="nvt","nvt",
INDEX(standaardwaarde_basis,MATCH(BB$21,standaardwaarden_gebruiksfuncties,0)+1)+
MAX(0,BB$34-1)*INDEX(standaardwaarde_extra_vraag_boven_grenswaarde_vormfactor,MATCH(BB$21,standaardwaarden_gebruiksfuncties,0)+1)))</f>
        <v/>
      </c>
      <c r="BC296" s="251" t="str" cm="1">
        <f t="array" ref="BC296">IF(BC$294="","",IF(BC$294="nvt","nvt",
INDEX(standaardwaarde_basis,MATCH(BC$21,standaardwaarden_gebruiksfuncties,0)+1)+
MAX(0,BC$34-1)*INDEX(standaardwaarde_extra_vraag_boven_grenswaarde_vormfactor,MATCH(BC$21,standaardwaarden_gebruiksfuncties,0)+1)))</f>
        <v/>
      </c>
      <c r="BD296" s="251" t="str" cm="1">
        <f t="array" ref="BD296">IF(BD$294="","",IF(BD$294="nvt","nvt",
INDEX(standaardwaarde_basis,MATCH(BD$21,standaardwaarden_gebruiksfuncties,0)+1)+
MAX(0,BD$34-1)*INDEX(standaardwaarde_extra_vraag_boven_grenswaarde_vormfactor,MATCH(BD$21,standaardwaarden_gebruiksfuncties,0)+1)))</f>
        <v/>
      </c>
      <c r="BE296" s="251" t="str" cm="1">
        <f t="array" ref="BE296">IF(BE$294="","",IF(BE$294="nvt","nvt",
INDEX(standaardwaarde_basis,MATCH(BE$21,standaardwaarden_gebruiksfuncties,0)+1)+
MAX(0,BE$34-1)*INDEX(standaardwaarde_extra_vraag_boven_grenswaarde_vormfactor,MATCH(BE$21,standaardwaarden_gebruiksfuncties,0)+1)))</f>
        <v/>
      </c>
      <c r="BF296" s="251" t="str" cm="1">
        <f t="array" ref="BF296">IF(BF$294="","",IF(BF$294="nvt","nvt",
INDEX(standaardwaarde_basis,MATCH(BF$21,standaardwaarden_gebruiksfuncties,0)+1)+
MAX(0,BF$34-1)*INDEX(standaardwaarde_extra_vraag_boven_grenswaarde_vormfactor,MATCH(BF$21,standaardwaarden_gebruiksfuncties,0)+1)))</f>
        <v/>
      </c>
      <c r="BG296" s="251" t="str" cm="1">
        <f t="array" ref="BG296">IF(BG$294="","",IF(BG$294="nvt","nvt",
INDEX(standaardwaarde_basis,MATCH(BG$21,standaardwaarden_gebruiksfuncties,0)+1)+
MAX(0,BG$34-1)*INDEX(standaardwaarde_extra_vraag_boven_grenswaarde_vormfactor,MATCH(BG$21,standaardwaarden_gebruiksfuncties,0)+1)))</f>
        <v/>
      </c>
      <c r="BH296" s="255"/>
    </row>
    <row r="297" spans="1:60" x14ac:dyDescent="0.2">
      <c r="A297" s="648"/>
      <c r="B297" s="492" t="s">
        <v>335</v>
      </c>
      <c r="C297" s="656" t="s">
        <v>113</v>
      </c>
      <c r="D297" s="750"/>
      <c r="E297" s="246" t="s">
        <v>349</v>
      </c>
      <c r="F297" s="246"/>
      <c r="G297" s="246"/>
      <c r="H297" s="247" t="s">
        <v>169</v>
      </c>
      <c r="I297" s="248"/>
      <c r="J297" s="249"/>
      <c r="K297" s="90"/>
      <c r="L297" s="90"/>
      <c r="M297" s="249"/>
      <c r="N297" s="248"/>
      <c r="O297" s="251" t="str">
        <f t="shared" ref="O297:W297" si="310">IF(OR(O$19="",O$40="",O$42="",O$280=""),"",IF(OR(O$21=woning,O$21=woongebouw),O$227,"nvt"))</f>
        <v/>
      </c>
      <c r="P297" s="251" t="str">
        <f t="shared" si="310"/>
        <v/>
      </c>
      <c r="Q297" s="251" t="str">
        <f t="shared" si="310"/>
        <v/>
      </c>
      <c r="R297" s="251" t="str">
        <f t="shared" si="310"/>
        <v/>
      </c>
      <c r="S297" s="251" t="str">
        <f t="shared" si="310"/>
        <v/>
      </c>
      <c r="T297" s="251" t="str">
        <f t="shared" si="310"/>
        <v/>
      </c>
      <c r="U297" s="251" t="str">
        <f t="shared" si="310"/>
        <v/>
      </c>
      <c r="V297" s="251" t="str">
        <f t="shared" si="310"/>
        <v/>
      </c>
      <c r="W297" s="251" t="str">
        <f t="shared" si="310"/>
        <v/>
      </c>
      <c r="X297" s="128"/>
      <c r="Y297" s="249"/>
      <c r="Z297" s="248"/>
      <c r="AA297" s="251" t="str">
        <f t="shared" ref="AA297:AI297" si="311">IF(OR(AA$19="",AA$40="",AA$42="",AA$280=""),"",IF(OR(AA$21=woning,AA$21=woongebouw),AA$227,"nvt"))</f>
        <v/>
      </c>
      <c r="AB297" s="251" t="str">
        <f t="shared" si="311"/>
        <v/>
      </c>
      <c r="AC297" s="251" t="str">
        <f t="shared" si="311"/>
        <v/>
      </c>
      <c r="AD297" s="251" t="str">
        <f t="shared" si="311"/>
        <v/>
      </c>
      <c r="AE297" s="251" t="str">
        <f t="shared" si="311"/>
        <v/>
      </c>
      <c r="AF297" s="251" t="str">
        <f t="shared" si="311"/>
        <v/>
      </c>
      <c r="AG297" s="251" t="str">
        <f t="shared" si="311"/>
        <v/>
      </c>
      <c r="AH297" s="251" t="str">
        <f t="shared" si="311"/>
        <v/>
      </c>
      <c r="AI297" s="251" t="str">
        <f t="shared" si="311"/>
        <v/>
      </c>
      <c r="AJ297" s="128"/>
      <c r="AK297" s="249"/>
      <c r="AL297" s="248"/>
      <c r="AM297" s="251" t="str">
        <f t="shared" ref="AM297:AU297" si="312">IF(OR(AM$19="",AM$40="",AM$42="",AM$280=""),"",IF(OR(AM$21=woning,AM$21=woongebouw),AM$227,"nvt"))</f>
        <v/>
      </c>
      <c r="AN297" s="251" t="str">
        <f t="shared" si="312"/>
        <v/>
      </c>
      <c r="AO297" s="251" t="str">
        <f t="shared" si="312"/>
        <v/>
      </c>
      <c r="AP297" s="251" t="str">
        <f t="shared" si="312"/>
        <v/>
      </c>
      <c r="AQ297" s="251" t="str">
        <f t="shared" si="312"/>
        <v/>
      </c>
      <c r="AR297" s="251" t="str">
        <f t="shared" si="312"/>
        <v/>
      </c>
      <c r="AS297" s="251" t="str">
        <f t="shared" si="312"/>
        <v/>
      </c>
      <c r="AT297" s="251" t="str">
        <f t="shared" si="312"/>
        <v/>
      </c>
      <c r="AU297" s="251" t="str">
        <f t="shared" si="312"/>
        <v/>
      </c>
      <c r="AV297" s="128"/>
      <c r="AW297" s="249"/>
      <c r="AX297" s="248"/>
      <c r="AY297" s="251" t="str">
        <f t="shared" ref="AY297:BG297" si="313">IF(OR(AY$19="",AY$40="",AY$42="",AY$280=""),"",IF(OR(AY$21=woning,AY$21=woongebouw),AY$227,"nvt"))</f>
        <v/>
      </c>
      <c r="AZ297" s="251" t="str">
        <f t="shared" si="313"/>
        <v/>
      </c>
      <c r="BA297" s="251" t="str">
        <f t="shared" si="313"/>
        <v/>
      </c>
      <c r="BB297" s="251" t="str">
        <f t="shared" si="313"/>
        <v/>
      </c>
      <c r="BC297" s="251" t="str">
        <f t="shared" si="313"/>
        <v/>
      </c>
      <c r="BD297" s="251" t="str">
        <f t="shared" si="313"/>
        <v/>
      </c>
      <c r="BE297" s="251" t="str">
        <f t="shared" si="313"/>
        <v/>
      </c>
      <c r="BF297" s="251" t="str">
        <f t="shared" si="313"/>
        <v/>
      </c>
      <c r="BG297" s="251" t="str">
        <f t="shared" si="313"/>
        <v/>
      </c>
      <c r="BH297" s="255"/>
    </row>
    <row r="298" spans="1:60" x14ac:dyDescent="0.2">
      <c r="A298" s="648"/>
      <c r="B298" s="492" t="s">
        <v>335</v>
      </c>
      <c r="C298" s="739" t="s">
        <v>104</v>
      </c>
      <c r="D298" s="747"/>
      <c r="E298" s="90"/>
      <c r="F298" s="90"/>
      <c r="G298" s="90"/>
      <c r="H298" s="96"/>
      <c r="I298" s="90"/>
      <c r="J298" s="93"/>
      <c r="K298" s="90"/>
      <c r="L298" s="90"/>
      <c r="M298" s="93"/>
      <c r="N298" s="90"/>
      <c r="O298" s="122"/>
      <c r="P298" s="122"/>
      <c r="Q298" s="122"/>
      <c r="R298" s="122"/>
      <c r="S298" s="122"/>
      <c r="T298" s="122"/>
      <c r="U298" s="122"/>
      <c r="V298" s="122"/>
      <c r="W298" s="122"/>
      <c r="X298" s="93"/>
      <c r="Y298" s="93"/>
      <c r="Z298" s="90"/>
      <c r="AA298" s="122"/>
      <c r="AB298" s="122"/>
      <c r="AC298" s="122"/>
      <c r="AD298" s="122"/>
      <c r="AE298" s="122"/>
      <c r="AF298" s="122"/>
      <c r="AG298" s="122"/>
      <c r="AH298" s="122"/>
      <c r="AI298" s="122"/>
      <c r="AJ298" s="93"/>
      <c r="AK298" s="93"/>
      <c r="AL298" s="90"/>
      <c r="AM298" s="122"/>
      <c r="AN298" s="122"/>
      <c r="AO298" s="122"/>
      <c r="AP298" s="122"/>
      <c r="AQ298" s="122"/>
      <c r="AR298" s="122"/>
      <c r="AS298" s="122"/>
      <c r="AT298" s="122"/>
      <c r="AU298" s="122"/>
      <c r="AV298" s="93"/>
      <c r="AW298" s="93"/>
      <c r="AX298" s="90"/>
      <c r="AY298" s="122"/>
      <c r="AZ298" s="122"/>
      <c r="BA298" s="122"/>
      <c r="BB298" s="122"/>
      <c r="BC298" s="122"/>
      <c r="BD298" s="122"/>
      <c r="BE298" s="122"/>
      <c r="BF298" s="122"/>
      <c r="BG298" s="122"/>
      <c r="BH298" s="1"/>
    </row>
    <row r="299" spans="1:60" x14ac:dyDescent="0.2">
      <c r="A299" s="648"/>
      <c r="B299" s="492" t="s">
        <v>352</v>
      </c>
      <c r="C299" s="656" t="s">
        <v>104</v>
      </c>
      <c r="D299" s="747"/>
      <c r="E299" s="90"/>
      <c r="F299" s="90"/>
      <c r="G299" s="90"/>
      <c r="H299" s="96"/>
      <c r="I299" s="90"/>
      <c r="J299" s="93"/>
      <c r="K299" s="90"/>
      <c r="L299" s="90"/>
      <c r="M299" s="93"/>
      <c r="N299" s="90"/>
      <c r="O299" s="93"/>
      <c r="P299" s="93"/>
      <c r="Q299" s="93"/>
      <c r="R299" s="93"/>
      <c r="S299" s="93"/>
      <c r="T299" s="93"/>
      <c r="U299" s="93"/>
      <c r="V299" s="93"/>
      <c r="W299" s="93"/>
      <c r="X299" s="93"/>
      <c r="Y299" s="93"/>
      <c r="Z299" s="90"/>
      <c r="AA299" s="93"/>
      <c r="AB299" s="93"/>
      <c r="AC299" s="93"/>
      <c r="AD299" s="93"/>
      <c r="AE299" s="93"/>
      <c r="AF299" s="93"/>
      <c r="AG299" s="93"/>
      <c r="AH299" s="93"/>
      <c r="AI299" s="93"/>
      <c r="AJ299" s="93"/>
      <c r="AK299" s="93"/>
      <c r="AL299" s="90"/>
      <c r="AM299" s="93"/>
      <c r="AN299" s="93"/>
      <c r="AO299" s="93"/>
      <c r="AP299" s="93"/>
      <c r="AQ299" s="93"/>
      <c r="AR299" s="93"/>
      <c r="AS299" s="93"/>
      <c r="AT299" s="93"/>
      <c r="AU299" s="93"/>
      <c r="AV299" s="93"/>
      <c r="AW299" s="93"/>
      <c r="AX299" s="90"/>
      <c r="AY299" s="93"/>
      <c r="AZ299" s="93"/>
      <c r="BA299" s="93"/>
      <c r="BB299" s="93"/>
      <c r="BC299" s="93"/>
      <c r="BD299" s="93"/>
      <c r="BE299" s="93"/>
      <c r="BF299" s="93"/>
      <c r="BG299" s="93"/>
      <c r="BH299" s="1"/>
    </row>
    <row r="300" spans="1:60" s="2" customFormat="1" ht="21" x14ac:dyDescent="0.2">
      <c r="A300" s="649"/>
      <c r="B300" s="492" t="s">
        <v>352</v>
      </c>
      <c r="C300" s="739" t="s">
        <v>104</v>
      </c>
      <c r="D300" s="749" t="s">
        <v>50</v>
      </c>
      <c r="E300" s="253" t="s">
        <v>353</v>
      </c>
      <c r="F300" s="253"/>
      <c r="G300" s="253"/>
      <c r="H300" s="253"/>
      <c r="I300" s="146"/>
      <c r="J300" s="318" t="str">
        <f>J$10&amp;" ton CO2"</f>
        <v>totaal ton CO2</v>
      </c>
      <c r="K300" s="142"/>
      <c r="L300" s="142"/>
      <c r="M300" s="318" t="str">
        <f>M$10&amp;" ton CO2"</f>
        <v>totaal ton CO2</v>
      </c>
      <c r="N300" s="222"/>
      <c r="O300" s="320" t="str">
        <f t="shared" ref="O300:W300" si="314">O$17</f>
        <v/>
      </c>
      <c r="P300" s="320" t="str">
        <f t="shared" si="314"/>
        <v/>
      </c>
      <c r="Q300" s="320" t="str">
        <f t="shared" si="314"/>
        <v/>
      </c>
      <c r="R300" s="320" t="str">
        <f t="shared" si="314"/>
        <v/>
      </c>
      <c r="S300" s="320" t="str">
        <f t="shared" si="314"/>
        <v/>
      </c>
      <c r="T300" s="320" t="str">
        <f t="shared" si="314"/>
        <v/>
      </c>
      <c r="U300" s="320" t="str">
        <f t="shared" si="314"/>
        <v/>
      </c>
      <c r="V300" s="320" t="str">
        <f t="shared" si="314"/>
        <v/>
      </c>
      <c r="W300" s="320" t="str">
        <f t="shared" si="314"/>
        <v/>
      </c>
      <c r="X300" s="214"/>
      <c r="Y300" s="318" t="str">
        <f>Y$10&amp;" ton CO2"</f>
        <v>totaal ton CO2</v>
      </c>
      <c r="Z300" s="222"/>
      <c r="AA300" s="320" t="str">
        <f t="shared" ref="AA300:AI300" si="315">AA$17</f>
        <v/>
      </c>
      <c r="AB300" s="320" t="str">
        <f t="shared" si="315"/>
        <v/>
      </c>
      <c r="AC300" s="320" t="str">
        <f t="shared" si="315"/>
        <v/>
      </c>
      <c r="AD300" s="320" t="str">
        <f t="shared" si="315"/>
        <v/>
      </c>
      <c r="AE300" s="320" t="str">
        <f t="shared" si="315"/>
        <v/>
      </c>
      <c r="AF300" s="320" t="str">
        <f t="shared" si="315"/>
        <v/>
      </c>
      <c r="AG300" s="320" t="str">
        <f t="shared" si="315"/>
        <v/>
      </c>
      <c r="AH300" s="320" t="str">
        <f t="shared" si="315"/>
        <v/>
      </c>
      <c r="AI300" s="320" t="str">
        <f t="shared" si="315"/>
        <v/>
      </c>
      <c r="AJ300" s="214"/>
      <c r="AK300" s="318" t="str">
        <f>AK$10&amp;" ton CO2"</f>
        <v>totaal ton CO2</v>
      </c>
      <c r="AL300" s="222"/>
      <c r="AM300" s="320" t="str">
        <f>AM$17</f>
        <v/>
      </c>
      <c r="AN300" s="320" t="str">
        <f t="shared" ref="AN300:AU300" si="316">AN$17</f>
        <v/>
      </c>
      <c r="AO300" s="320" t="str">
        <f t="shared" si="316"/>
        <v/>
      </c>
      <c r="AP300" s="320" t="str">
        <f t="shared" si="316"/>
        <v/>
      </c>
      <c r="AQ300" s="320" t="str">
        <f t="shared" si="316"/>
        <v/>
      </c>
      <c r="AR300" s="320" t="str">
        <f t="shared" si="316"/>
        <v/>
      </c>
      <c r="AS300" s="320" t="str">
        <f t="shared" si="316"/>
        <v/>
      </c>
      <c r="AT300" s="320" t="str">
        <f t="shared" si="316"/>
        <v/>
      </c>
      <c r="AU300" s="320" t="str">
        <f t="shared" si="316"/>
        <v/>
      </c>
      <c r="AV300" s="214"/>
      <c r="AW300" s="318" t="str">
        <f>AW$10&amp;" ton CO2"</f>
        <v>totaal ton CO2</v>
      </c>
      <c r="AX300" s="222"/>
      <c r="AY300" s="320" t="str">
        <f>AY$17</f>
        <v/>
      </c>
      <c r="AZ300" s="320" t="str">
        <f t="shared" ref="AZ300:BG300" si="317">AZ$17</f>
        <v/>
      </c>
      <c r="BA300" s="320" t="str">
        <f t="shared" si="317"/>
        <v/>
      </c>
      <c r="BB300" s="320" t="str">
        <f t="shared" si="317"/>
        <v/>
      </c>
      <c r="BC300" s="320" t="str">
        <f t="shared" si="317"/>
        <v/>
      </c>
      <c r="BD300" s="320" t="str">
        <f t="shared" si="317"/>
        <v/>
      </c>
      <c r="BE300" s="320" t="str">
        <f t="shared" si="317"/>
        <v/>
      </c>
      <c r="BF300" s="320" t="str">
        <f t="shared" si="317"/>
        <v/>
      </c>
      <c r="BG300" s="320" t="str">
        <f t="shared" si="317"/>
        <v/>
      </c>
      <c r="BH300" s="1"/>
    </row>
    <row r="301" spans="1:60" ht="18.75" x14ac:dyDescent="0.2">
      <c r="A301" s="648"/>
      <c r="B301" s="492" t="s">
        <v>352</v>
      </c>
      <c r="C301" s="739" t="s">
        <v>104</v>
      </c>
      <c r="D301" s="747"/>
      <c r="E301" s="236" t="s">
        <v>354</v>
      </c>
      <c r="F301" s="236"/>
      <c r="G301" s="236"/>
      <c r="H301" s="89"/>
      <c r="I301" s="236"/>
      <c r="J301" s="236"/>
      <c r="K301" s="236"/>
      <c r="L301" s="236"/>
      <c r="M301" s="236"/>
      <c r="N301" s="236"/>
      <c r="O301" s="236"/>
      <c r="P301" s="236"/>
      <c r="Q301" s="236"/>
      <c r="R301" s="236"/>
      <c r="S301" s="236"/>
      <c r="T301" s="236"/>
      <c r="U301" s="236"/>
      <c r="V301" s="236"/>
      <c r="W301" s="236"/>
      <c r="X301" s="236"/>
      <c r="Y301" s="236"/>
      <c r="Z301" s="236"/>
      <c r="AA301" s="236"/>
      <c r="AB301" s="236"/>
      <c r="AC301" s="236"/>
      <c r="AD301" s="236"/>
      <c r="AE301" s="236"/>
      <c r="AF301" s="236"/>
      <c r="AG301" s="236"/>
      <c r="AH301" s="236"/>
      <c r="AI301" s="236"/>
      <c r="AJ301" s="236"/>
      <c r="AK301" s="236"/>
      <c r="AL301" s="236"/>
      <c r="AM301" s="236"/>
      <c r="AN301" s="236"/>
      <c r="AO301" s="236"/>
      <c r="AP301" s="236"/>
      <c r="AQ301" s="236"/>
      <c r="AR301" s="236"/>
      <c r="AS301" s="236"/>
      <c r="AT301" s="236"/>
      <c r="AU301" s="236"/>
      <c r="AV301" s="236"/>
      <c r="AW301" s="236"/>
      <c r="AX301" s="236"/>
      <c r="AY301" s="236"/>
      <c r="AZ301" s="236"/>
      <c r="BA301" s="236"/>
      <c r="BB301" s="236"/>
      <c r="BC301" s="236"/>
      <c r="BD301" s="236"/>
      <c r="BE301" s="236"/>
      <c r="BF301" s="236"/>
      <c r="BG301" s="236"/>
      <c r="BH301" s="38"/>
    </row>
    <row r="302" spans="1:60" x14ac:dyDescent="0.2">
      <c r="A302" s="648"/>
      <c r="B302" s="492" t="s">
        <v>352</v>
      </c>
      <c r="C302" s="656" t="s">
        <v>113</v>
      </c>
      <c r="D302" s="750"/>
      <c r="E302" s="367" t="str">
        <f>$O$73</f>
        <v>verwarming</v>
      </c>
      <c r="F302" s="246"/>
      <c r="G302" s="246"/>
      <c r="H302" s="247" t="s">
        <v>355</v>
      </c>
      <c r="I302" s="248"/>
      <c r="J302" s="375">
        <f t="shared" ref="J302:J310" si="318">M302+Y302+AK302+AW302</f>
        <v>0</v>
      </c>
      <c r="K302" s="376"/>
      <c r="L302" s="376"/>
      <c r="M302" s="375">
        <f t="shared" ref="M302:M309" si="319">SUMPRODUCT(N302:X302,N$24:X$24,N$31:X$31)/1000</f>
        <v>0</v>
      </c>
      <c r="N302" s="376"/>
      <c r="O302" s="254">
        <f t="shared" ref="O302:W302" si="320">IF($O$75=0,0,
($O$121+$O$146+$O$162)/$O$75*O60)</f>
        <v>0</v>
      </c>
      <c r="P302" s="254">
        <f t="shared" si="320"/>
        <v>0</v>
      </c>
      <c r="Q302" s="254">
        <f t="shared" si="320"/>
        <v>0</v>
      </c>
      <c r="R302" s="254">
        <f t="shared" si="320"/>
        <v>0</v>
      </c>
      <c r="S302" s="254">
        <f t="shared" si="320"/>
        <v>0</v>
      </c>
      <c r="T302" s="254">
        <f t="shared" si="320"/>
        <v>0</v>
      </c>
      <c r="U302" s="254">
        <f t="shared" si="320"/>
        <v>0</v>
      </c>
      <c r="V302" s="254">
        <f t="shared" si="320"/>
        <v>0</v>
      </c>
      <c r="W302" s="254">
        <f t="shared" si="320"/>
        <v>0</v>
      </c>
      <c r="X302" s="255"/>
      <c r="Y302" s="375">
        <f t="shared" ref="Y302:Y309" si="321">SUMPRODUCT(Z302:AJ302,Z$24:AJ$24,Z$31:AJ$31)/1000</f>
        <v>0</v>
      </c>
      <c r="Z302" s="376"/>
      <c r="AA302" s="254">
        <f t="shared" ref="AA302:AI302" si="322">IF($AA$75=0,0,
($AA$121+$AA$146+$AA$162)/$AA$75*AA60)</f>
        <v>0</v>
      </c>
      <c r="AB302" s="254">
        <f t="shared" si="322"/>
        <v>0</v>
      </c>
      <c r="AC302" s="254">
        <f t="shared" si="322"/>
        <v>0</v>
      </c>
      <c r="AD302" s="254">
        <f t="shared" si="322"/>
        <v>0</v>
      </c>
      <c r="AE302" s="254">
        <f t="shared" si="322"/>
        <v>0</v>
      </c>
      <c r="AF302" s="254">
        <f t="shared" si="322"/>
        <v>0</v>
      </c>
      <c r="AG302" s="254">
        <f t="shared" si="322"/>
        <v>0</v>
      </c>
      <c r="AH302" s="254">
        <f t="shared" si="322"/>
        <v>0</v>
      </c>
      <c r="AI302" s="254">
        <f t="shared" si="322"/>
        <v>0</v>
      </c>
      <c r="AJ302" s="255"/>
      <c r="AK302" s="375">
        <f t="shared" ref="AK302:AK309" si="323">SUMPRODUCT(AL302:AV302,AL$24:AV$24,AL$31:AV$31)/1000</f>
        <v>0</v>
      </c>
      <c r="AL302" s="213"/>
      <c r="AM302" s="254">
        <f t="shared" ref="AM302:AU302" si="324">IF($AM$75=0,0,
($AM$121+$AM$146+$AM$162)/$AM$75*AM60)</f>
        <v>0</v>
      </c>
      <c r="AN302" s="254">
        <f t="shared" si="324"/>
        <v>0</v>
      </c>
      <c r="AO302" s="254">
        <f t="shared" si="324"/>
        <v>0</v>
      </c>
      <c r="AP302" s="254">
        <f t="shared" si="324"/>
        <v>0</v>
      </c>
      <c r="AQ302" s="254">
        <f t="shared" si="324"/>
        <v>0</v>
      </c>
      <c r="AR302" s="254">
        <f t="shared" si="324"/>
        <v>0</v>
      </c>
      <c r="AS302" s="254">
        <f t="shared" si="324"/>
        <v>0</v>
      </c>
      <c r="AT302" s="254">
        <f t="shared" si="324"/>
        <v>0</v>
      </c>
      <c r="AU302" s="254">
        <f t="shared" si="324"/>
        <v>0</v>
      </c>
      <c r="AV302" s="255"/>
      <c r="AW302" s="375">
        <f t="shared" ref="AW302:AW309" si="325">SUMPRODUCT(AX302:BH302,AX$24:BH$24,AX$31:BH$31)/1000</f>
        <v>0</v>
      </c>
      <c r="AX302" s="213"/>
      <c r="AY302" s="254">
        <f t="shared" ref="AY302:BG302" si="326">IF($AY$75=0,0,
($AY$121+$AY$146+$AY$162)/$AY$75*AY60)</f>
        <v>0</v>
      </c>
      <c r="AZ302" s="254">
        <f t="shared" si="326"/>
        <v>0</v>
      </c>
      <c r="BA302" s="254">
        <f t="shared" si="326"/>
        <v>0</v>
      </c>
      <c r="BB302" s="254">
        <f t="shared" si="326"/>
        <v>0</v>
      </c>
      <c r="BC302" s="254">
        <f t="shared" si="326"/>
        <v>0</v>
      </c>
      <c r="BD302" s="254">
        <f t="shared" si="326"/>
        <v>0</v>
      </c>
      <c r="BE302" s="254">
        <f t="shared" si="326"/>
        <v>0</v>
      </c>
      <c r="BF302" s="254">
        <f t="shared" si="326"/>
        <v>0</v>
      </c>
      <c r="BG302" s="254">
        <f t="shared" si="326"/>
        <v>0</v>
      </c>
      <c r="BH302" s="255"/>
    </row>
    <row r="303" spans="1:60" x14ac:dyDescent="0.2">
      <c r="A303" s="648"/>
      <c r="B303" s="492" t="s">
        <v>352</v>
      </c>
      <c r="C303" s="656" t="s">
        <v>113</v>
      </c>
      <c r="D303" s="750"/>
      <c r="E303" s="367" t="str">
        <f>$P$73</f>
        <v>koeling</v>
      </c>
      <c r="F303" s="246"/>
      <c r="G303" s="246"/>
      <c r="H303" s="247" t="s">
        <v>355</v>
      </c>
      <c r="I303" s="248"/>
      <c r="J303" s="375">
        <f t="shared" si="318"/>
        <v>0</v>
      </c>
      <c r="K303" s="376"/>
      <c r="L303" s="376"/>
      <c r="M303" s="375">
        <f t="shared" si="319"/>
        <v>0</v>
      </c>
      <c r="N303" s="376"/>
      <c r="O303" s="254">
        <f t="shared" ref="O303:W303" si="327">IF($P$75=0,0,
($P$121+$P$146+$P$162)/$P$75*O61)</f>
        <v>0</v>
      </c>
      <c r="P303" s="254">
        <f t="shared" si="327"/>
        <v>0</v>
      </c>
      <c r="Q303" s="254">
        <f t="shared" si="327"/>
        <v>0</v>
      </c>
      <c r="R303" s="254">
        <f t="shared" si="327"/>
        <v>0</v>
      </c>
      <c r="S303" s="254">
        <f t="shared" si="327"/>
        <v>0</v>
      </c>
      <c r="T303" s="254">
        <f t="shared" si="327"/>
        <v>0</v>
      </c>
      <c r="U303" s="254">
        <f t="shared" si="327"/>
        <v>0</v>
      </c>
      <c r="V303" s="254">
        <f t="shared" si="327"/>
        <v>0</v>
      </c>
      <c r="W303" s="254">
        <f t="shared" si="327"/>
        <v>0</v>
      </c>
      <c r="X303" s="255"/>
      <c r="Y303" s="375">
        <f t="shared" si="321"/>
        <v>0</v>
      </c>
      <c r="Z303" s="376"/>
      <c r="AA303" s="254">
        <f t="shared" ref="AA303:AI303" si="328">IF($AB$75=0,0,
($AB$121+$AB$146+$AB$162)/$AB$75*AA61)</f>
        <v>0</v>
      </c>
      <c r="AB303" s="254">
        <f t="shared" si="328"/>
        <v>0</v>
      </c>
      <c r="AC303" s="254">
        <f t="shared" si="328"/>
        <v>0</v>
      </c>
      <c r="AD303" s="254">
        <f t="shared" si="328"/>
        <v>0</v>
      </c>
      <c r="AE303" s="254">
        <f t="shared" si="328"/>
        <v>0</v>
      </c>
      <c r="AF303" s="254">
        <f t="shared" si="328"/>
        <v>0</v>
      </c>
      <c r="AG303" s="254">
        <f t="shared" si="328"/>
        <v>0</v>
      </c>
      <c r="AH303" s="254">
        <f t="shared" si="328"/>
        <v>0</v>
      </c>
      <c r="AI303" s="254">
        <f t="shared" si="328"/>
        <v>0</v>
      </c>
      <c r="AJ303" s="255"/>
      <c r="AK303" s="375">
        <f t="shared" si="323"/>
        <v>0</v>
      </c>
      <c r="AL303" s="213"/>
      <c r="AM303" s="254">
        <f t="shared" ref="AM303:AU303" si="329">IF($AN$75=0,0,
($AN$121+$AN$146+$AN$162)/$AN$75*AM61)</f>
        <v>0</v>
      </c>
      <c r="AN303" s="254">
        <f t="shared" si="329"/>
        <v>0</v>
      </c>
      <c r="AO303" s="254">
        <f t="shared" si="329"/>
        <v>0</v>
      </c>
      <c r="AP303" s="254">
        <f t="shared" si="329"/>
        <v>0</v>
      </c>
      <c r="AQ303" s="254">
        <f t="shared" si="329"/>
        <v>0</v>
      </c>
      <c r="AR303" s="254">
        <f t="shared" si="329"/>
        <v>0</v>
      </c>
      <c r="AS303" s="254">
        <f t="shared" si="329"/>
        <v>0</v>
      </c>
      <c r="AT303" s="254">
        <f t="shared" si="329"/>
        <v>0</v>
      </c>
      <c r="AU303" s="254">
        <f t="shared" si="329"/>
        <v>0</v>
      </c>
      <c r="AV303" s="255"/>
      <c r="AW303" s="375">
        <f t="shared" si="325"/>
        <v>0</v>
      </c>
      <c r="AX303" s="213"/>
      <c r="AY303" s="254">
        <f t="shared" ref="AY303:BG303" si="330">IF($AZ$75=0,0,
($AZ$121+$AZ$146+$AZ$162)/$AZ$75*AY61)</f>
        <v>0</v>
      </c>
      <c r="AZ303" s="254">
        <f t="shared" si="330"/>
        <v>0</v>
      </c>
      <c r="BA303" s="254">
        <f t="shared" si="330"/>
        <v>0</v>
      </c>
      <c r="BB303" s="254">
        <f t="shared" si="330"/>
        <v>0</v>
      </c>
      <c r="BC303" s="254">
        <f t="shared" si="330"/>
        <v>0</v>
      </c>
      <c r="BD303" s="254">
        <f t="shared" si="330"/>
        <v>0</v>
      </c>
      <c r="BE303" s="254">
        <f t="shared" si="330"/>
        <v>0</v>
      </c>
      <c r="BF303" s="254">
        <f t="shared" si="330"/>
        <v>0</v>
      </c>
      <c r="BG303" s="254">
        <f t="shared" si="330"/>
        <v>0</v>
      </c>
      <c r="BH303" s="255"/>
    </row>
    <row r="304" spans="1:60" x14ac:dyDescent="0.2">
      <c r="A304" s="648"/>
      <c r="B304" s="492" t="s">
        <v>352</v>
      </c>
      <c r="C304" s="656" t="s">
        <v>113</v>
      </c>
      <c r="D304" s="750"/>
      <c r="E304" s="367" t="str">
        <f>$Q$73</f>
        <v>tapwater</v>
      </c>
      <c r="F304" s="246"/>
      <c r="G304" s="246"/>
      <c r="H304" s="247" t="s">
        <v>355</v>
      </c>
      <c r="I304" s="248"/>
      <c r="J304" s="375">
        <f t="shared" si="318"/>
        <v>0</v>
      </c>
      <c r="K304" s="376"/>
      <c r="L304" s="376"/>
      <c r="M304" s="375">
        <f t="shared" si="319"/>
        <v>0</v>
      </c>
      <c r="N304" s="376"/>
      <c r="O304" s="254">
        <f t="shared" ref="O304:W304" si="331">IF($Q$75=0,0,
($Q$121+$Q$146+$Q$162)/$Q$75*O62)</f>
        <v>0</v>
      </c>
      <c r="P304" s="254">
        <f t="shared" si="331"/>
        <v>0</v>
      </c>
      <c r="Q304" s="254">
        <f t="shared" si="331"/>
        <v>0</v>
      </c>
      <c r="R304" s="254">
        <f t="shared" si="331"/>
        <v>0</v>
      </c>
      <c r="S304" s="254">
        <f t="shared" si="331"/>
        <v>0</v>
      </c>
      <c r="T304" s="254">
        <f t="shared" si="331"/>
        <v>0</v>
      </c>
      <c r="U304" s="254">
        <f t="shared" si="331"/>
        <v>0</v>
      </c>
      <c r="V304" s="254">
        <f t="shared" si="331"/>
        <v>0</v>
      </c>
      <c r="W304" s="254">
        <f t="shared" si="331"/>
        <v>0</v>
      </c>
      <c r="X304" s="255"/>
      <c r="Y304" s="375">
        <f t="shared" si="321"/>
        <v>0</v>
      </c>
      <c r="Z304" s="376"/>
      <c r="AA304" s="254">
        <f t="shared" ref="AA304:AI304" si="332">IF($AC$75=0,0,
($AC$121+$AC$146+$AC$162)/$AC$75*AA62)</f>
        <v>0</v>
      </c>
      <c r="AB304" s="254">
        <f t="shared" si="332"/>
        <v>0</v>
      </c>
      <c r="AC304" s="254">
        <f t="shared" si="332"/>
        <v>0</v>
      </c>
      <c r="AD304" s="254">
        <f t="shared" si="332"/>
        <v>0</v>
      </c>
      <c r="AE304" s="254">
        <f t="shared" si="332"/>
        <v>0</v>
      </c>
      <c r="AF304" s="254">
        <f t="shared" si="332"/>
        <v>0</v>
      </c>
      <c r="AG304" s="254">
        <f t="shared" si="332"/>
        <v>0</v>
      </c>
      <c r="AH304" s="254">
        <f t="shared" si="332"/>
        <v>0</v>
      </c>
      <c r="AI304" s="254">
        <f t="shared" si="332"/>
        <v>0</v>
      </c>
      <c r="AJ304" s="255"/>
      <c r="AK304" s="375">
        <f t="shared" si="323"/>
        <v>0</v>
      </c>
      <c r="AL304" s="213"/>
      <c r="AM304" s="254">
        <f t="shared" ref="AM304:AU304" si="333">IF($AO$75=0,0,
($AO$121+$AO$146+$AO$162)/$AO$75*AM62)</f>
        <v>0</v>
      </c>
      <c r="AN304" s="254">
        <f t="shared" si="333"/>
        <v>0</v>
      </c>
      <c r="AO304" s="254">
        <f t="shared" si="333"/>
        <v>0</v>
      </c>
      <c r="AP304" s="254">
        <f t="shared" si="333"/>
        <v>0</v>
      </c>
      <c r="AQ304" s="254">
        <f t="shared" si="333"/>
        <v>0</v>
      </c>
      <c r="AR304" s="254">
        <f t="shared" si="333"/>
        <v>0</v>
      </c>
      <c r="AS304" s="254">
        <f t="shared" si="333"/>
        <v>0</v>
      </c>
      <c r="AT304" s="254">
        <f t="shared" si="333"/>
        <v>0</v>
      </c>
      <c r="AU304" s="254">
        <f t="shared" si="333"/>
        <v>0</v>
      </c>
      <c r="AV304" s="255"/>
      <c r="AW304" s="375">
        <f t="shared" si="325"/>
        <v>0</v>
      </c>
      <c r="AX304" s="213"/>
      <c r="AY304" s="254">
        <f t="shared" ref="AY304:BG304" si="334">IF($BA$75=0,0,
($BA$121+$BA$146+$BA$162)/$BA$75*AY62)</f>
        <v>0</v>
      </c>
      <c r="AZ304" s="254">
        <f t="shared" si="334"/>
        <v>0</v>
      </c>
      <c r="BA304" s="254">
        <f t="shared" si="334"/>
        <v>0</v>
      </c>
      <c r="BB304" s="254">
        <f t="shared" si="334"/>
        <v>0</v>
      </c>
      <c r="BC304" s="254">
        <f t="shared" si="334"/>
        <v>0</v>
      </c>
      <c r="BD304" s="254">
        <f t="shared" si="334"/>
        <v>0</v>
      </c>
      <c r="BE304" s="254">
        <f t="shared" si="334"/>
        <v>0</v>
      </c>
      <c r="BF304" s="254">
        <f t="shared" si="334"/>
        <v>0</v>
      </c>
      <c r="BG304" s="254">
        <f t="shared" si="334"/>
        <v>0</v>
      </c>
      <c r="BH304" s="255"/>
    </row>
    <row r="305" spans="1:60" x14ac:dyDescent="0.2">
      <c r="A305" s="648"/>
      <c r="B305" s="492" t="s">
        <v>352</v>
      </c>
      <c r="C305" s="656" t="s">
        <v>113</v>
      </c>
      <c r="D305" s="750"/>
      <c r="E305" s="367" t="str">
        <f>$R$73</f>
        <v>verlichting</v>
      </c>
      <c r="F305" s="246"/>
      <c r="G305" s="246"/>
      <c r="H305" s="247" t="s">
        <v>355</v>
      </c>
      <c r="I305" s="248"/>
      <c r="J305" s="375">
        <f t="shared" si="318"/>
        <v>0</v>
      </c>
      <c r="K305" s="376"/>
      <c r="L305" s="376"/>
      <c r="M305" s="375">
        <f t="shared" si="319"/>
        <v>0</v>
      </c>
      <c r="N305" s="376"/>
      <c r="O305" s="254">
        <f t="shared" ref="O305:W305" si="335">IF($R$75=0,0,$R$162/$R$75*O63)</f>
        <v>0</v>
      </c>
      <c r="P305" s="254">
        <f t="shared" si="335"/>
        <v>0</v>
      </c>
      <c r="Q305" s="254">
        <f t="shared" si="335"/>
        <v>0</v>
      </c>
      <c r="R305" s="254">
        <f t="shared" si="335"/>
        <v>0</v>
      </c>
      <c r="S305" s="254">
        <f t="shared" si="335"/>
        <v>0</v>
      </c>
      <c r="T305" s="254">
        <f t="shared" si="335"/>
        <v>0</v>
      </c>
      <c r="U305" s="254">
        <f t="shared" si="335"/>
        <v>0</v>
      </c>
      <c r="V305" s="254">
        <f t="shared" si="335"/>
        <v>0</v>
      </c>
      <c r="W305" s="254">
        <f t="shared" si="335"/>
        <v>0</v>
      </c>
      <c r="X305" s="255"/>
      <c r="Y305" s="375">
        <f t="shared" si="321"/>
        <v>0</v>
      </c>
      <c r="Z305" s="376"/>
      <c r="AA305" s="254">
        <f t="shared" ref="AA305:AI305" si="336">IF($AD$75=0,0,$AD$162/$AD$75*AA63)</f>
        <v>0</v>
      </c>
      <c r="AB305" s="254">
        <f t="shared" si="336"/>
        <v>0</v>
      </c>
      <c r="AC305" s="254">
        <f t="shared" si="336"/>
        <v>0</v>
      </c>
      <c r="AD305" s="254">
        <f t="shared" si="336"/>
        <v>0</v>
      </c>
      <c r="AE305" s="254">
        <f t="shared" si="336"/>
        <v>0</v>
      </c>
      <c r="AF305" s="254">
        <f t="shared" si="336"/>
        <v>0</v>
      </c>
      <c r="AG305" s="254">
        <f t="shared" si="336"/>
        <v>0</v>
      </c>
      <c r="AH305" s="254">
        <f t="shared" si="336"/>
        <v>0</v>
      </c>
      <c r="AI305" s="254">
        <f t="shared" si="336"/>
        <v>0</v>
      </c>
      <c r="AJ305" s="255"/>
      <c r="AK305" s="375">
        <f t="shared" si="323"/>
        <v>0</v>
      </c>
      <c r="AL305" s="213"/>
      <c r="AM305" s="254">
        <f t="shared" ref="AM305:AU305" si="337">IF($AP$75=0,0,$AP$162/$AP$75*AM63)</f>
        <v>0</v>
      </c>
      <c r="AN305" s="254">
        <f t="shared" si="337"/>
        <v>0</v>
      </c>
      <c r="AO305" s="254">
        <f t="shared" si="337"/>
        <v>0</v>
      </c>
      <c r="AP305" s="254">
        <f t="shared" si="337"/>
        <v>0</v>
      </c>
      <c r="AQ305" s="254">
        <f t="shared" si="337"/>
        <v>0</v>
      </c>
      <c r="AR305" s="254">
        <f t="shared" si="337"/>
        <v>0</v>
      </c>
      <c r="AS305" s="254">
        <f t="shared" si="337"/>
        <v>0</v>
      </c>
      <c r="AT305" s="254">
        <f t="shared" si="337"/>
        <v>0</v>
      </c>
      <c r="AU305" s="254">
        <f t="shared" si="337"/>
        <v>0</v>
      </c>
      <c r="AV305" s="255"/>
      <c r="AW305" s="375">
        <f t="shared" si="325"/>
        <v>0</v>
      </c>
      <c r="AX305" s="213"/>
      <c r="AY305" s="254">
        <f t="shared" ref="AY305:BG305" si="338">IF($BB$75=0,0,$BB$162/$BB$75*AY63)</f>
        <v>0</v>
      </c>
      <c r="AZ305" s="254">
        <f t="shared" si="338"/>
        <v>0</v>
      </c>
      <c r="BA305" s="254">
        <f t="shared" si="338"/>
        <v>0</v>
      </c>
      <c r="BB305" s="254">
        <f t="shared" si="338"/>
        <v>0</v>
      </c>
      <c r="BC305" s="254">
        <f t="shared" si="338"/>
        <v>0</v>
      </c>
      <c r="BD305" s="254">
        <f t="shared" si="338"/>
        <v>0</v>
      </c>
      <c r="BE305" s="254">
        <f t="shared" si="338"/>
        <v>0</v>
      </c>
      <c r="BF305" s="254">
        <f t="shared" si="338"/>
        <v>0</v>
      </c>
      <c r="BG305" s="254">
        <f t="shared" si="338"/>
        <v>0</v>
      </c>
      <c r="BH305" s="255"/>
    </row>
    <row r="306" spans="1:60" x14ac:dyDescent="0.2">
      <c r="A306" s="648"/>
      <c r="B306" s="492" t="s">
        <v>352</v>
      </c>
      <c r="C306" s="656" t="s">
        <v>113</v>
      </c>
      <c r="D306" s="750"/>
      <c r="E306" s="367" t="str">
        <f>$S$73</f>
        <v>ventilatoren</v>
      </c>
      <c r="F306" s="246"/>
      <c r="G306" s="246"/>
      <c r="H306" s="247" t="s">
        <v>355</v>
      </c>
      <c r="I306" s="248"/>
      <c r="J306" s="375">
        <f t="shared" si="318"/>
        <v>0</v>
      </c>
      <c r="K306" s="376"/>
      <c r="L306" s="376"/>
      <c r="M306" s="375">
        <f t="shared" si="319"/>
        <v>0</v>
      </c>
      <c r="N306" s="376"/>
      <c r="O306" s="254">
        <f t="shared" ref="O306:W306" si="339">IF($S$75=0,0,$S$162/$S$75*O64)</f>
        <v>0</v>
      </c>
      <c r="P306" s="254">
        <f t="shared" si="339"/>
        <v>0</v>
      </c>
      <c r="Q306" s="254">
        <f t="shared" si="339"/>
        <v>0</v>
      </c>
      <c r="R306" s="254">
        <f t="shared" si="339"/>
        <v>0</v>
      </c>
      <c r="S306" s="254">
        <f t="shared" si="339"/>
        <v>0</v>
      </c>
      <c r="T306" s="254">
        <f t="shared" si="339"/>
        <v>0</v>
      </c>
      <c r="U306" s="254">
        <f t="shared" si="339"/>
        <v>0</v>
      </c>
      <c r="V306" s="254">
        <f t="shared" si="339"/>
        <v>0</v>
      </c>
      <c r="W306" s="254">
        <f t="shared" si="339"/>
        <v>0</v>
      </c>
      <c r="X306" s="255"/>
      <c r="Y306" s="375">
        <f t="shared" si="321"/>
        <v>0</v>
      </c>
      <c r="Z306" s="376"/>
      <c r="AA306" s="254">
        <f t="shared" ref="AA306:AI306" si="340">IF($AE$75=0,0,$AE$162/$AE$75*AA64)</f>
        <v>0</v>
      </c>
      <c r="AB306" s="254">
        <f t="shared" si="340"/>
        <v>0</v>
      </c>
      <c r="AC306" s="254">
        <f t="shared" si="340"/>
        <v>0</v>
      </c>
      <c r="AD306" s="254">
        <f t="shared" si="340"/>
        <v>0</v>
      </c>
      <c r="AE306" s="254">
        <f t="shared" si="340"/>
        <v>0</v>
      </c>
      <c r="AF306" s="254">
        <f t="shared" si="340"/>
        <v>0</v>
      </c>
      <c r="AG306" s="254">
        <f t="shared" si="340"/>
        <v>0</v>
      </c>
      <c r="AH306" s="254">
        <f t="shared" si="340"/>
        <v>0</v>
      </c>
      <c r="AI306" s="254">
        <f t="shared" si="340"/>
        <v>0</v>
      </c>
      <c r="AJ306" s="255"/>
      <c r="AK306" s="375">
        <f t="shared" si="323"/>
        <v>0</v>
      </c>
      <c r="AL306" s="213"/>
      <c r="AM306" s="254">
        <f t="shared" ref="AM306:AU306" si="341">IF($AQ$75=0,0,$AQ$162/$AQ$75*AM64)</f>
        <v>0</v>
      </c>
      <c r="AN306" s="254">
        <f t="shared" si="341"/>
        <v>0</v>
      </c>
      <c r="AO306" s="254">
        <f t="shared" si="341"/>
        <v>0</v>
      </c>
      <c r="AP306" s="254">
        <f t="shared" si="341"/>
        <v>0</v>
      </c>
      <c r="AQ306" s="254">
        <f t="shared" si="341"/>
        <v>0</v>
      </c>
      <c r="AR306" s="254">
        <f t="shared" si="341"/>
        <v>0</v>
      </c>
      <c r="AS306" s="254">
        <f t="shared" si="341"/>
        <v>0</v>
      </c>
      <c r="AT306" s="254">
        <f t="shared" si="341"/>
        <v>0</v>
      </c>
      <c r="AU306" s="254">
        <f t="shared" si="341"/>
        <v>0</v>
      </c>
      <c r="AV306" s="255"/>
      <c r="AW306" s="375">
        <f t="shared" si="325"/>
        <v>0</v>
      </c>
      <c r="AX306" s="213"/>
      <c r="AY306" s="254">
        <f t="shared" ref="AY306:BG306" si="342">IF($BC$75=0,0,$BC$162/$BC$75*AY64)</f>
        <v>0</v>
      </c>
      <c r="AZ306" s="254">
        <f t="shared" si="342"/>
        <v>0</v>
      </c>
      <c r="BA306" s="254">
        <f t="shared" si="342"/>
        <v>0</v>
      </c>
      <c r="BB306" s="254">
        <f t="shared" si="342"/>
        <v>0</v>
      </c>
      <c r="BC306" s="254">
        <f t="shared" si="342"/>
        <v>0</v>
      </c>
      <c r="BD306" s="254">
        <f t="shared" si="342"/>
        <v>0</v>
      </c>
      <c r="BE306" s="254">
        <f t="shared" si="342"/>
        <v>0</v>
      </c>
      <c r="BF306" s="254">
        <f t="shared" si="342"/>
        <v>0</v>
      </c>
      <c r="BG306" s="254">
        <f t="shared" si="342"/>
        <v>0</v>
      </c>
      <c r="BH306" s="255"/>
    </row>
    <row r="307" spans="1:60" x14ac:dyDescent="0.2">
      <c r="A307" s="648"/>
      <c r="B307" s="492" t="s">
        <v>352</v>
      </c>
      <c r="C307" s="656" t="s">
        <v>113</v>
      </c>
      <c r="D307" s="750"/>
      <c r="E307" s="367" t="str">
        <f>$T$73</f>
        <v>kookgas</v>
      </c>
      <c r="F307" s="246"/>
      <c r="G307" s="246"/>
      <c r="H307" s="247" t="s">
        <v>355</v>
      </c>
      <c r="I307" s="248"/>
      <c r="J307" s="375">
        <f t="shared" si="318"/>
        <v>0</v>
      </c>
      <c r="K307" s="376"/>
      <c r="L307" s="376"/>
      <c r="M307" s="375">
        <f t="shared" si="319"/>
        <v>0</v>
      </c>
      <c r="N307" s="376"/>
      <c r="O307" s="254">
        <f t="shared" ref="O307:W307" si="343">IF($T$75=0,0,$T$162/$T$75*O65)</f>
        <v>0</v>
      </c>
      <c r="P307" s="254">
        <f t="shared" si="343"/>
        <v>0</v>
      </c>
      <c r="Q307" s="254">
        <f t="shared" si="343"/>
        <v>0</v>
      </c>
      <c r="R307" s="254">
        <f t="shared" si="343"/>
        <v>0</v>
      </c>
      <c r="S307" s="254">
        <f t="shared" si="343"/>
        <v>0</v>
      </c>
      <c r="T307" s="254">
        <f t="shared" si="343"/>
        <v>0</v>
      </c>
      <c r="U307" s="254">
        <f t="shared" si="343"/>
        <v>0</v>
      </c>
      <c r="V307" s="254">
        <f t="shared" si="343"/>
        <v>0</v>
      </c>
      <c r="W307" s="254">
        <f t="shared" si="343"/>
        <v>0</v>
      </c>
      <c r="X307" s="255"/>
      <c r="Y307" s="375">
        <f t="shared" si="321"/>
        <v>0</v>
      </c>
      <c r="Z307" s="376"/>
      <c r="AA307" s="254">
        <f t="shared" ref="AA307:AI307" si="344">IF($AF$75=0,0,$AF$162/$AF$75*AA65)</f>
        <v>0</v>
      </c>
      <c r="AB307" s="254">
        <f t="shared" si="344"/>
        <v>0</v>
      </c>
      <c r="AC307" s="254">
        <f t="shared" si="344"/>
        <v>0</v>
      </c>
      <c r="AD307" s="254">
        <f t="shared" si="344"/>
        <v>0</v>
      </c>
      <c r="AE307" s="254">
        <f t="shared" si="344"/>
        <v>0</v>
      </c>
      <c r="AF307" s="254">
        <f t="shared" si="344"/>
        <v>0</v>
      </c>
      <c r="AG307" s="254">
        <f t="shared" si="344"/>
        <v>0</v>
      </c>
      <c r="AH307" s="254">
        <f t="shared" si="344"/>
        <v>0</v>
      </c>
      <c r="AI307" s="254">
        <f t="shared" si="344"/>
        <v>0</v>
      </c>
      <c r="AJ307" s="255"/>
      <c r="AK307" s="375">
        <f t="shared" si="323"/>
        <v>0</v>
      </c>
      <c r="AL307" s="213"/>
      <c r="AM307" s="254">
        <f t="shared" ref="AM307:AU307" si="345">IF($AR$75=0,0,$AR$162/$AR$75*AM65)</f>
        <v>0</v>
      </c>
      <c r="AN307" s="254">
        <f t="shared" si="345"/>
        <v>0</v>
      </c>
      <c r="AO307" s="254">
        <f t="shared" si="345"/>
        <v>0</v>
      </c>
      <c r="AP307" s="254">
        <f t="shared" si="345"/>
        <v>0</v>
      </c>
      <c r="AQ307" s="254">
        <f t="shared" si="345"/>
        <v>0</v>
      </c>
      <c r="AR307" s="254">
        <f t="shared" si="345"/>
        <v>0</v>
      </c>
      <c r="AS307" s="254">
        <f t="shared" si="345"/>
        <v>0</v>
      </c>
      <c r="AT307" s="254">
        <f t="shared" si="345"/>
        <v>0</v>
      </c>
      <c r="AU307" s="254">
        <f t="shared" si="345"/>
        <v>0</v>
      </c>
      <c r="AV307" s="255"/>
      <c r="AW307" s="375">
        <f t="shared" si="325"/>
        <v>0</v>
      </c>
      <c r="AX307" s="213"/>
      <c r="AY307" s="254">
        <f t="shared" ref="AY307:BG307" si="346">IF($BD$75=0,0,$BD$162/$BD$75*AY65)</f>
        <v>0</v>
      </c>
      <c r="AZ307" s="254">
        <f t="shared" si="346"/>
        <v>0</v>
      </c>
      <c r="BA307" s="254">
        <f t="shared" si="346"/>
        <v>0</v>
      </c>
      <c r="BB307" s="254">
        <f t="shared" si="346"/>
        <v>0</v>
      </c>
      <c r="BC307" s="254">
        <f t="shared" si="346"/>
        <v>0</v>
      </c>
      <c r="BD307" s="254">
        <f t="shared" si="346"/>
        <v>0</v>
      </c>
      <c r="BE307" s="254">
        <f t="shared" si="346"/>
        <v>0</v>
      </c>
      <c r="BF307" s="254">
        <f t="shared" si="346"/>
        <v>0</v>
      </c>
      <c r="BG307" s="254">
        <f t="shared" si="346"/>
        <v>0</v>
      </c>
      <c r="BH307" s="255"/>
    </row>
    <row r="308" spans="1:60" x14ac:dyDescent="0.2">
      <c r="A308" s="648"/>
      <c r="B308" s="492" t="s">
        <v>352</v>
      </c>
      <c r="C308" s="656" t="s">
        <v>113</v>
      </c>
      <c r="D308" s="750"/>
      <c r="E308" s="367" t="str">
        <f>$U$73</f>
        <v>overig elektra</v>
      </c>
      <c r="F308" s="246"/>
      <c r="G308" s="246"/>
      <c r="H308" s="247" t="s">
        <v>355</v>
      </c>
      <c r="I308" s="248"/>
      <c r="J308" s="375">
        <f t="shared" si="318"/>
        <v>0</v>
      </c>
      <c r="K308" s="376"/>
      <c r="L308" s="376"/>
      <c r="M308" s="375">
        <f t="shared" si="319"/>
        <v>0</v>
      </c>
      <c r="N308" s="376"/>
      <c r="O308" s="254">
        <f t="shared" ref="O308:W308" si="347">IF($U$75=0,0,$U$162/$U$75*O66)</f>
        <v>0</v>
      </c>
      <c r="P308" s="254">
        <f t="shared" si="347"/>
        <v>0</v>
      </c>
      <c r="Q308" s="254">
        <f t="shared" si="347"/>
        <v>0</v>
      </c>
      <c r="R308" s="254">
        <f t="shared" si="347"/>
        <v>0</v>
      </c>
      <c r="S308" s="254">
        <f t="shared" si="347"/>
        <v>0</v>
      </c>
      <c r="T308" s="254">
        <f t="shared" si="347"/>
        <v>0</v>
      </c>
      <c r="U308" s="254">
        <f t="shared" si="347"/>
        <v>0</v>
      </c>
      <c r="V308" s="254">
        <f t="shared" si="347"/>
        <v>0</v>
      </c>
      <c r="W308" s="254">
        <f t="shared" si="347"/>
        <v>0</v>
      </c>
      <c r="X308" s="255"/>
      <c r="Y308" s="375">
        <f t="shared" si="321"/>
        <v>0</v>
      </c>
      <c r="Z308" s="376"/>
      <c r="AA308" s="254">
        <f t="shared" ref="AA308:AI308" si="348">IF($AG$75=0,0,$AG$162/$AG$75*AA66)</f>
        <v>0</v>
      </c>
      <c r="AB308" s="254">
        <f t="shared" si="348"/>
        <v>0</v>
      </c>
      <c r="AC308" s="254">
        <f t="shared" si="348"/>
        <v>0</v>
      </c>
      <c r="AD308" s="254">
        <f t="shared" si="348"/>
        <v>0</v>
      </c>
      <c r="AE308" s="254">
        <f t="shared" si="348"/>
        <v>0</v>
      </c>
      <c r="AF308" s="254">
        <f t="shared" si="348"/>
        <v>0</v>
      </c>
      <c r="AG308" s="254">
        <f t="shared" si="348"/>
        <v>0</v>
      </c>
      <c r="AH308" s="254">
        <f t="shared" si="348"/>
        <v>0</v>
      </c>
      <c r="AI308" s="254">
        <f t="shared" si="348"/>
        <v>0</v>
      </c>
      <c r="AJ308" s="255"/>
      <c r="AK308" s="375">
        <f t="shared" si="323"/>
        <v>0</v>
      </c>
      <c r="AL308" s="213"/>
      <c r="AM308" s="254">
        <f t="shared" ref="AM308:AU308" si="349">IF($AS$75=0,0,$AS$162/$AS$75*AM66)</f>
        <v>0</v>
      </c>
      <c r="AN308" s="254">
        <f t="shared" si="349"/>
        <v>0</v>
      </c>
      <c r="AO308" s="254">
        <f t="shared" si="349"/>
        <v>0</v>
      </c>
      <c r="AP308" s="254">
        <f t="shared" si="349"/>
        <v>0</v>
      </c>
      <c r="AQ308" s="254">
        <f t="shared" si="349"/>
        <v>0</v>
      </c>
      <c r="AR308" s="254">
        <f t="shared" si="349"/>
        <v>0</v>
      </c>
      <c r="AS308" s="254">
        <f t="shared" si="349"/>
        <v>0</v>
      </c>
      <c r="AT308" s="254">
        <f t="shared" si="349"/>
        <v>0</v>
      </c>
      <c r="AU308" s="254">
        <f t="shared" si="349"/>
        <v>0</v>
      </c>
      <c r="AV308" s="255"/>
      <c r="AW308" s="375">
        <f t="shared" si="325"/>
        <v>0</v>
      </c>
      <c r="AX308" s="213"/>
      <c r="AY308" s="254">
        <f t="shared" ref="AY308:BG308" si="350">IF($BE$75=0,0,$BE$162/$BE$75*AY66)</f>
        <v>0</v>
      </c>
      <c r="AZ308" s="254">
        <f t="shared" si="350"/>
        <v>0</v>
      </c>
      <c r="BA308" s="254">
        <f t="shared" si="350"/>
        <v>0</v>
      </c>
      <c r="BB308" s="254">
        <f t="shared" si="350"/>
        <v>0</v>
      </c>
      <c r="BC308" s="254">
        <f t="shared" si="350"/>
        <v>0</v>
      </c>
      <c r="BD308" s="254">
        <f t="shared" si="350"/>
        <v>0</v>
      </c>
      <c r="BE308" s="254">
        <f t="shared" si="350"/>
        <v>0</v>
      </c>
      <c r="BF308" s="254">
        <f t="shared" si="350"/>
        <v>0</v>
      </c>
      <c r="BG308" s="254">
        <f t="shared" si="350"/>
        <v>0</v>
      </c>
      <c r="BH308" s="255"/>
    </row>
    <row r="309" spans="1:60" x14ac:dyDescent="0.2">
      <c r="A309" s="648"/>
      <c r="B309" s="492" t="s">
        <v>352</v>
      </c>
      <c r="C309" s="656" t="s">
        <v>113</v>
      </c>
      <c r="D309" s="750"/>
      <c r="E309" s="367" t="str">
        <f>$V$73</f>
        <v>mobiliteit</v>
      </c>
      <c r="F309" s="246"/>
      <c r="G309" s="246"/>
      <c r="H309" s="247" t="s">
        <v>355</v>
      </c>
      <c r="I309" s="248"/>
      <c r="J309" s="375">
        <f t="shared" si="318"/>
        <v>0</v>
      </c>
      <c r="K309" s="376"/>
      <c r="L309" s="376"/>
      <c r="M309" s="375">
        <f t="shared" si="319"/>
        <v>0</v>
      </c>
      <c r="N309" s="376"/>
      <c r="O309" s="254">
        <f t="shared" ref="O309:W309" si="351">IF(OR($V$154=0,O$31=0),0,$V$162/$V$154*O$68/O$31)</f>
        <v>0</v>
      </c>
      <c r="P309" s="254">
        <f t="shared" si="351"/>
        <v>0</v>
      </c>
      <c r="Q309" s="254">
        <f t="shared" si="351"/>
        <v>0</v>
      </c>
      <c r="R309" s="254">
        <f t="shared" si="351"/>
        <v>0</v>
      </c>
      <c r="S309" s="254">
        <f t="shared" si="351"/>
        <v>0</v>
      </c>
      <c r="T309" s="254">
        <f t="shared" si="351"/>
        <v>0</v>
      </c>
      <c r="U309" s="254">
        <f t="shared" si="351"/>
        <v>0</v>
      </c>
      <c r="V309" s="254">
        <f t="shared" si="351"/>
        <v>0</v>
      </c>
      <c r="W309" s="254">
        <f t="shared" si="351"/>
        <v>0</v>
      </c>
      <c r="X309" s="255"/>
      <c r="Y309" s="375">
        <f t="shared" si="321"/>
        <v>0</v>
      </c>
      <c r="Z309" s="376"/>
      <c r="AA309" s="254">
        <f t="shared" ref="AA309:AI309" si="352">IF(OR($AH$154=0,AA$31=0),0,$AH$162/$AH$154*AA$68/AA$31)</f>
        <v>0</v>
      </c>
      <c r="AB309" s="254">
        <f t="shared" si="352"/>
        <v>0</v>
      </c>
      <c r="AC309" s="254">
        <f t="shared" si="352"/>
        <v>0</v>
      </c>
      <c r="AD309" s="254">
        <f t="shared" si="352"/>
        <v>0</v>
      </c>
      <c r="AE309" s="254">
        <f t="shared" si="352"/>
        <v>0</v>
      </c>
      <c r="AF309" s="254">
        <f t="shared" si="352"/>
        <v>0</v>
      </c>
      <c r="AG309" s="254">
        <f t="shared" si="352"/>
        <v>0</v>
      </c>
      <c r="AH309" s="254">
        <f t="shared" si="352"/>
        <v>0</v>
      </c>
      <c r="AI309" s="254">
        <f t="shared" si="352"/>
        <v>0</v>
      </c>
      <c r="AJ309" s="255"/>
      <c r="AK309" s="375">
        <f t="shared" si="323"/>
        <v>0</v>
      </c>
      <c r="AL309" s="213"/>
      <c r="AM309" s="254">
        <f t="shared" ref="AM309:AU309" si="353">IF(OR($AT$154=0,AM$31=0),0,$AT$162/$AT$154*AM$68/AM$31)</f>
        <v>0</v>
      </c>
      <c r="AN309" s="254">
        <f t="shared" si="353"/>
        <v>0</v>
      </c>
      <c r="AO309" s="254">
        <f t="shared" si="353"/>
        <v>0</v>
      </c>
      <c r="AP309" s="254">
        <f t="shared" si="353"/>
        <v>0</v>
      </c>
      <c r="AQ309" s="254">
        <f t="shared" si="353"/>
        <v>0</v>
      </c>
      <c r="AR309" s="254">
        <f t="shared" si="353"/>
        <v>0</v>
      </c>
      <c r="AS309" s="254">
        <f t="shared" si="353"/>
        <v>0</v>
      </c>
      <c r="AT309" s="254">
        <f t="shared" si="353"/>
        <v>0</v>
      </c>
      <c r="AU309" s="254">
        <f t="shared" si="353"/>
        <v>0</v>
      </c>
      <c r="AV309" s="255"/>
      <c r="AW309" s="375">
        <f t="shared" si="325"/>
        <v>0</v>
      </c>
      <c r="AX309" s="213"/>
      <c r="AY309" s="254">
        <f t="shared" ref="AY309:BG309" si="354">IF(OR($BF$154=0,AY$31=0),0,$BF$162/$BF$154*AY$68/AY$31)</f>
        <v>0</v>
      </c>
      <c r="AZ309" s="254">
        <f t="shared" si="354"/>
        <v>0</v>
      </c>
      <c r="BA309" s="254">
        <f t="shared" si="354"/>
        <v>0</v>
      </c>
      <c r="BB309" s="254">
        <f t="shared" si="354"/>
        <v>0</v>
      </c>
      <c r="BC309" s="254">
        <f t="shared" si="354"/>
        <v>0</v>
      </c>
      <c r="BD309" s="254">
        <f t="shared" si="354"/>
        <v>0</v>
      </c>
      <c r="BE309" s="254">
        <f t="shared" si="354"/>
        <v>0</v>
      </c>
      <c r="BF309" s="254">
        <f t="shared" si="354"/>
        <v>0</v>
      </c>
      <c r="BG309" s="254">
        <f t="shared" si="354"/>
        <v>0</v>
      </c>
      <c r="BH309" s="255"/>
    </row>
    <row r="310" spans="1:60" x14ac:dyDescent="0.2">
      <c r="A310" s="648"/>
      <c r="B310" s="492" t="s">
        <v>352</v>
      </c>
      <c r="C310" s="656" t="s">
        <v>113</v>
      </c>
      <c r="D310" s="750"/>
      <c r="E310" s="246" t="s">
        <v>356</v>
      </c>
      <c r="F310" s="246"/>
      <c r="G310" s="246"/>
      <c r="H310" s="247" t="s">
        <v>355</v>
      </c>
      <c r="I310" s="248"/>
      <c r="J310" s="375">
        <f t="shared" si="318"/>
        <v>0</v>
      </c>
      <c r="K310" s="376"/>
      <c r="L310" s="376"/>
      <c r="M310" s="375">
        <f>SUM(M302:M309)</f>
        <v>0</v>
      </c>
      <c r="N310" s="376"/>
      <c r="O310" s="254">
        <f t="shared" ref="O310:W310" si="355">SUM(O302:O309)</f>
        <v>0</v>
      </c>
      <c r="P310" s="254">
        <f t="shared" si="355"/>
        <v>0</v>
      </c>
      <c r="Q310" s="254">
        <f t="shared" si="355"/>
        <v>0</v>
      </c>
      <c r="R310" s="254">
        <f t="shared" si="355"/>
        <v>0</v>
      </c>
      <c r="S310" s="254">
        <f t="shared" si="355"/>
        <v>0</v>
      </c>
      <c r="T310" s="254">
        <f>SUM(T302:T309)</f>
        <v>0</v>
      </c>
      <c r="U310" s="254">
        <f t="shared" si="355"/>
        <v>0</v>
      </c>
      <c r="V310" s="254">
        <f t="shared" si="355"/>
        <v>0</v>
      </c>
      <c r="W310" s="254">
        <f t="shared" si="355"/>
        <v>0</v>
      </c>
      <c r="X310" s="255"/>
      <c r="Y310" s="375">
        <f>SUM(Y302:Y309)</f>
        <v>0</v>
      </c>
      <c r="Z310" s="376"/>
      <c r="AA310" s="254">
        <f t="shared" ref="AA310:AI310" si="356">SUM(AA302:AA309)</f>
        <v>0</v>
      </c>
      <c r="AB310" s="254">
        <f t="shared" si="356"/>
        <v>0</v>
      </c>
      <c r="AC310" s="254">
        <f t="shared" si="356"/>
        <v>0</v>
      </c>
      <c r="AD310" s="254">
        <f t="shared" si="356"/>
        <v>0</v>
      </c>
      <c r="AE310" s="254">
        <f t="shared" si="356"/>
        <v>0</v>
      </c>
      <c r="AF310" s="254">
        <f>SUM(AF302:AF309)</f>
        <v>0</v>
      </c>
      <c r="AG310" s="254">
        <f t="shared" si="356"/>
        <v>0</v>
      </c>
      <c r="AH310" s="254">
        <f t="shared" si="356"/>
        <v>0</v>
      </c>
      <c r="AI310" s="254">
        <f t="shared" si="356"/>
        <v>0</v>
      </c>
      <c r="AJ310" s="255"/>
      <c r="AK310" s="375">
        <f>SUM(AK302:AK309)</f>
        <v>0</v>
      </c>
      <c r="AL310" s="213"/>
      <c r="AM310" s="254">
        <f t="shared" ref="AM310:AU310" si="357">SUM(AM302:AM309)</f>
        <v>0</v>
      </c>
      <c r="AN310" s="254">
        <f t="shared" si="357"/>
        <v>0</v>
      </c>
      <c r="AO310" s="254">
        <f t="shared" si="357"/>
        <v>0</v>
      </c>
      <c r="AP310" s="254">
        <f t="shared" si="357"/>
        <v>0</v>
      </c>
      <c r="AQ310" s="254">
        <f t="shared" si="357"/>
        <v>0</v>
      </c>
      <c r="AR310" s="254">
        <f>SUM(AR302:AR309)</f>
        <v>0</v>
      </c>
      <c r="AS310" s="254">
        <f t="shared" si="357"/>
        <v>0</v>
      </c>
      <c r="AT310" s="254">
        <f t="shared" si="357"/>
        <v>0</v>
      </c>
      <c r="AU310" s="254">
        <f t="shared" si="357"/>
        <v>0</v>
      </c>
      <c r="AV310" s="255"/>
      <c r="AW310" s="375">
        <f>SUM(AW302:AW309)</f>
        <v>0</v>
      </c>
      <c r="AX310" s="213"/>
      <c r="AY310" s="254">
        <f t="shared" ref="AY310:BG310" si="358">SUM(AY302:AY309)</f>
        <v>0</v>
      </c>
      <c r="AZ310" s="254">
        <f t="shared" si="358"/>
        <v>0</v>
      </c>
      <c r="BA310" s="254">
        <f t="shared" si="358"/>
        <v>0</v>
      </c>
      <c r="BB310" s="254">
        <f t="shared" si="358"/>
        <v>0</v>
      </c>
      <c r="BC310" s="254">
        <f t="shared" si="358"/>
        <v>0</v>
      </c>
      <c r="BD310" s="254">
        <f>SUM(BD302:BD309)</f>
        <v>0</v>
      </c>
      <c r="BE310" s="254">
        <f t="shared" si="358"/>
        <v>0</v>
      </c>
      <c r="BF310" s="254">
        <f t="shared" si="358"/>
        <v>0</v>
      </c>
      <c r="BG310" s="254">
        <f t="shared" si="358"/>
        <v>0</v>
      </c>
      <c r="BH310" s="255"/>
    </row>
    <row r="311" spans="1:60" ht="18.75" x14ac:dyDescent="0.2">
      <c r="A311" s="648"/>
      <c r="B311" s="492" t="s">
        <v>352</v>
      </c>
      <c r="C311" s="739" t="s">
        <v>104</v>
      </c>
      <c r="D311" s="747"/>
      <c r="E311" s="236" t="s">
        <v>357</v>
      </c>
      <c r="F311" s="236"/>
      <c r="G311" s="236"/>
      <c r="H311" s="89"/>
      <c r="I311" s="236"/>
      <c r="J311" s="279"/>
      <c r="K311" s="279"/>
      <c r="L311" s="279"/>
      <c r="M311" s="279"/>
      <c r="N311" s="279"/>
      <c r="O311" s="279"/>
      <c r="P311" s="279"/>
      <c r="Q311" s="279"/>
      <c r="R311" s="279"/>
      <c r="S311" s="279"/>
      <c r="T311" s="279"/>
      <c r="U311" s="279"/>
      <c r="V311" s="279"/>
      <c r="W311" s="279"/>
      <c r="X311" s="279"/>
      <c r="Y311" s="279"/>
      <c r="Z311" s="279"/>
      <c r="AA311" s="279"/>
      <c r="AB311" s="279"/>
      <c r="AC311" s="279"/>
      <c r="AD311" s="279"/>
      <c r="AE311" s="279"/>
      <c r="AF311" s="279"/>
      <c r="AG311" s="279"/>
      <c r="AH311" s="279"/>
      <c r="AI311" s="279"/>
      <c r="AJ311" s="279"/>
      <c r="AK311" s="279"/>
      <c r="AL311" s="279"/>
      <c r="AM311" s="279"/>
      <c r="AN311" s="279"/>
      <c r="AO311" s="279"/>
      <c r="AP311" s="279"/>
      <c r="AQ311" s="279"/>
      <c r="AR311" s="279"/>
      <c r="AS311" s="279"/>
      <c r="AT311" s="279"/>
      <c r="AU311" s="279"/>
      <c r="AV311" s="279"/>
      <c r="AW311" s="279"/>
      <c r="AX311" s="279"/>
      <c r="AY311" s="279"/>
      <c r="AZ311" s="279"/>
      <c r="BA311" s="279"/>
      <c r="BB311" s="279"/>
      <c r="BC311" s="279"/>
      <c r="BD311" s="279"/>
      <c r="BE311" s="279"/>
      <c r="BF311" s="279"/>
      <c r="BG311" s="279"/>
      <c r="BH311" s="38"/>
    </row>
    <row r="312" spans="1:60" x14ac:dyDescent="0.2">
      <c r="A312" s="648"/>
      <c r="B312" s="492" t="s">
        <v>352</v>
      </c>
      <c r="C312" s="656" t="s">
        <v>113</v>
      </c>
      <c r="D312" s="750"/>
      <c r="E312" s="220" t="s">
        <v>358</v>
      </c>
      <c r="F312" s="246"/>
      <c r="G312" s="246"/>
      <c r="H312" s="247" t="s">
        <v>355</v>
      </c>
      <c r="I312" s="248"/>
      <c r="J312" s="375">
        <f>M312+Y312+AK312+AW312</f>
        <v>0</v>
      </c>
      <c r="K312" s="376"/>
      <c r="L312" s="376"/>
      <c r="M312" s="375">
        <f>SUMPRODUCT(N312:X312,N$24:X$24,N$31:X$31)/1000</f>
        <v>0</v>
      </c>
      <c r="N312" s="376"/>
      <c r="O312" s="254">
        <f t="shared" ref="O312:W312" si="359">IF(OR(O$24=0,O$31=0,($M$167+$M$168)=0),0,
-(O234*$M$167/($M$167+$M$168)*$M$181*1000)/(O24*O31))</f>
        <v>0</v>
      </c>
      <c r="P312" s="254">
        <f t="shared" si="359"/>
        <v>0</v>
      </c>
      <c r="Q312" s="254">
        <f t="shared" si="359"/>
        <v>0</v>
      </c>
      <c r="R312" s="254">
        <f t="shared" si="359"/>
        <v>0</v>
      </c>
      <c r="S312" s="254">
        <f t="shared" si="359"/>
        <v>0</v>
      </c>
      <c r="T312" s="254">
        <f t="shared" si="359"/>
        <v>0</v>
      </c>
      <c r="U312" s="254">
        <f t="shared" si="359"/>
        <v>0</v>
      </c>
      <c r="V312" s="254">
        <f t="shared" si="359"/>
        <v>0</v>
      </c>
      <c r="W312" s="254">
        <f t="shared" si="359"/>
        <v>0</v>
      </c>
      <c r="X312" s="255"/>
      <c r="Y312" s="375">
        <f>SUMPRODUCT(Z312:AJ312,Z$24:AJ$24,Z$31:AJ$31)/1000</f>
        <v>0</v>
      </c>
      <c r="Z312" s="376"/>
      <c r="AA312" s="254">
        <f t="shared" ref="AA312:AI312" si="360">IF(OR(AA$24=0,AA$31=0,($Y$167+$Y$168)=0),0,
-(AA234*$Y$167/($Y$167+$Y$168)*$Y$181*1000)/(AA24*AA31))</f>
        <v>0</v>
      </c>
      <c r="AB312" s="254">
        <f t="shared" si="360"/>
        <v>0</v>
      </c>
      <c r="AC312" s="254">
        <f t="shared" si="360"/>
        <v>0</v>
      </c>
      <c r="AD312" s="254">
        <f t="shared" si="360"/>
        <v>0</v>
      </c>
      <c r="AE312" s="254">
        <f t="shared" si="360"/>
        <v>0</v>
      </c>
      <c r="AF312" s="254">
        <f t="shared" si="360"/>
        <v>0</v>
      </c>
      <c r="AG312" s="254">
        <f t="shared" si="360"/>
        <v>0</v>
      </c>
      <c r="AH312" s="254">
        <f t="shared" si="360"/>
        <v>0</v>
      </c>
      <c r="AI312" s="254">
        <f t="shared" si="360"/>
        <v>0</v>
      </c>
      <c r="AJ312" s="255"/>
      <c r="AK312" s="375">
        <f>SUMPRODUCT(AL312:AV312,AL$24:AV$24,AL$31:AV$31)/1000</f>
        <v>0</v>
      </c>
      <c r="AL312" s="213"/>
      <c r="AM312" s="254">
        <f t="shared" ref="AM312:AU312" si="361">IF(OR(AM$24=0,AM$31=0,($AK$167+$AK$168)=0),0,
-(AM234*$AK$167/($AK$167+$AK$168)*$AK$181*1000)/(AM24*AM31))</f>
        <v>0</v>
      </c>
      <c r="AN312" s="254">
        <f t="shared" si="361"/>
        <v>0</v>
      </c>
      <c r="AO312" s="254">
        <f t="shared" si="361"/>
        <v>0</v>
      </c>
      <c r="AP312" s="254">
        <f t="shared" si="361"/>
        <v>0</v>
      </c>
      <c r="AQ312" s="254">
        <f t="shared" si="361"/>
        <v>0</v>
      </c>
      <c r="AR312" s="254">
        <f t="shared" si="361"/>
        <v>0</v>
      </c>
      <c r="AS312" s="254">
        <f t="shared" si="361"/>
        <v>0</v>
      </c>
      <c r="AT312" s="254">
        <f t="shared" si="361"/>
        <v>0</v>
      </c>
      <c r="AU312" s="254">
        <f t="shared" si="361"/>
        <v>0</v>
      </c>
      <c r="AV312" s="255"/>
      <c r="AW312" s="375">
        <f>SUMPRODUCT(AX312:BH312,AX$24:BH$24,AX$31:BH$31)/1000</f>
        <v>0</v>
      </c>
      <c r="AX312" s="213"/>
      <c r="AY312" s="254">
        <f t="shared" ref="AY312:BG312" si="362">IF(OR(AY$24=0,AY$31=0,($AW$167+$AW$168)=0),0,
-(AY234*$AW$167/($AW$167+$AW$168)*$AW$181*1000)/(AY24*AY31))</f>
        <v>0</v>
      </c>
      <c r="AZ312" s="254">
        <f t="shared" si="362"/>
        <v>0</v>
      </c>
      <c r="BA312" s="254">
        <f t="shared" si="362"/>
        <v>0</v>
      </c>
      <c r="BB312" s="254">
        <f t="shared" si="362"/>
        <v>0</v>
      </c>
      <c r="BC312" s="254">
        <f t="shared" si="362"/>
        <v>0</v>
      </c>
      <c r="BD312" s="254">
        <f t="shared" si="362"/>
        <v>0</v>
      </c>
      <c r="BE312" s="254">
        <f t="shared" si="362"/>
        <v>0</v>
      </c>
      <c r="BF312" s="254">
        <f t="shared" si="362"/>
        <v>0</v>
      </c>
      <c r="BG312" s="254">
        <f t="shared" si="362"/>
        <v>0</v>
      </c>
      <c r="BH312" s="255"/>
    </row>
    <row r="313" spans="1:60" x14ac:dyDescent="0.2">
      <c r="A313" s="648"/>
      <c r="B313" s="492" t="s">
        <v>352</v>
      </c>
      <c r="C313" s="656" t="s">
        <v>113</v>
      </c>
      <c r="D313" s="750"/>
      <c r="E313" s="220" t="s">
        <v>359</v>
      </c>
      <c r="F313" s="246"/>
      <c r="G313" s="246"/>
      <c r="H313" s="247" t="s">
        <v>355</v>
      </c>
      <c r="I313" s="248"/>
      <c r="J313" s="375">
        <f>M313+Y313+AK313+AW313</f>
        <v>0</v>
      </c>
      <c r="K313" s="376"/>
      <c r="L313" s="376"/>
      <c r="M313" s="375">
        <f>SUMPRODUCT(N313:X313,N$24:X$24,N$31:X$31)/1000</f>
        <v>0</v>
      </c>
      <c r="N313" s="376"/>
      <c r="O313" s="254">
        <f t="shared" ref="O313:W313" si="363">IF(OR(O$24=0,O$31=0,($M$167+$M$168)=0),0,
-O70*$M$181/($M$167+$M$168)/O31)</f>
        <v>0</v>
      </c>
      <c r="P313" s="254">
        <f t="shared" si="363"/>
        <v>0</v>
      </c>
      <c r="Q313" s="254">
        <f t="shared" si="363"/>
        <v>0</v>
      </c>
      <c r="R313" s="254">
        <f t="shared" si="363"/>
        <v>0</v>
      </c>
      <c r="S313" s="254">
        <f t="shared" si="363"/>
        <v>0</v>
      </c>
      <c r="T313" s="254">
        <f t="shared" si="363"/>
        <v>0</v>
      </c>
      <c r="U313" s="254">
        <f t="shared" si="363"/>
        <v>0</v>
      </c>
      <c r="V313" s="254">
        <f t="shared" si="363"/>
        <v>0</v>
      </c>
      <c r="W313" s="254">
        <f t="shared" si="363"/>
        <v>0</v>
      </c>
      <c r="X313" s="255"/>
      <c r="Y313" s="375">
        <f>SUMPRODUCT(Z313:AJ313,Z$24:AJ$24,Z$31:AJ$31)/1000</f>
        <v>0</v>
      </c>
      <c r="Z313" s="376"/>
      <c r="AA313" s="254">
        <f t="shared" ref="AA313:AI313" si="364">IF(OR(AA$24=0,AA$31=0,($Y$167+$Y$168)=0),0,
-AA70*$Y$181/($Y$167+$Y$168)/AA31)</f>
        <v>0</v>
      </c>
      <c r="AB313" s="254">
        <f t="shared" si="364"/>
        <v>0</v>
      </c>
      <c r="AC313" s="254">
        <f t="shared" si="364"/>
        <v>0</v>
      </c>
      <c r="AD313" s="254">
        <f t="shared" si="364"/>
        <v>0</v>
      </c>
      <c r="AE313" s="254">
        <f t="shared" si="364"/>
        <v>0</v>
      </c>
      <c r="AF313" s="254">
        <f t="shared" si="364"/>
        <v>0</v>
      </c>
      <c r="AG313" s="254">
        <f t="shared" si="364"/>
        <v>0</v>
      </c>
      <c r="AH313" s="254">
        <f t="shared" si="364"/>
        <v>0</v>
      </c>
      <c r="AI313" s="254">
        <f t="shared" si="364"/>
        <v>0</v>
      </c>
      <c r="AJ313" s="255"/>
      <c r="AK313" s="375">
        <f>SUMPRODUCT(AL313:AV313,AL$24:AV$24,AL$31:AV$31)/1000</f>
        <v>0</v>
      </c>
      <c r="AL313" s="213"/>
      <c r="AM313" s="254">
        <f t="shared" ref="AM313:AU313" si="365">IF(OR(AM$24=0,AM$31=0,($AK$167+$AK$168)=0),0,
-AM70*$AK$181/($AK$167+$AK$168)/AM31)</f>
        <v>0</v>
      </c>
      <c r="AN313" s="254">
        <f t="shared" si="365"/>
        <v>0</v>
      </c>
      <c r="AO313" s="254">
        <f t="shared" si="365"/>
        <v>0</v>
      </c>
      <c r="AP313" s="254">
        <f t="shared" si="365"/>
        <v>0</v>
      </c>
      <c r="AQ313" s="254">
        <f t="shared" si="365"/>
        <v>0</v>
      </c>
      <c r="AR313" s="254">
        <f t="shared" si="365"/>
        <v>0</v>
      </c>
      <c r="AS313" s="254">
        <f t="shared" si="365"/>
        <v>0</v>
      </c>
      <c r="AT313" s="254">
        <f t="shared" si="365"/>
        <v>0</v>
      </c>
      <c r="AU313" s="254">
        <f t="shared" si="365"/>
        <v>0</v>
      </c>
      <c r="AV313" s="255"/>
      <c r="AW313" s="375">
        <f>SUMPRODUCT(AX313:BH313,AX$24:BH$24,AX$31:BH$31)/1000</f>
        <v>0</v>
      </c>
      <c r="AX313" s="213"/>
      <c r="AY313" s="254">
        <f t="shared" ref="AY313:BG313" si="366">IF(OR(AY$24=0,AY$31=0,($AW$167+$AW$168)=0),0,
-AY70*$AW$181/($AW$167+$AW$168)/AY31)</f>
        <v>0</v>
      </c>
      <c r="AZ313" s="254">
        <f t="shared" si="366"/>
        <v>0</v>
      </c>
      <c r="BA313" s="254">
        <f t="shared" si="366"/>
        <v>0</v>
      </c>
      <c r="BB313" s="254">
        <f t="shared" si="366"/>
        <v>0</v>
      </c>
      <c r="BC313" s="254">
        <f t="shared" si="366"/>
        <v>0</v>
      </c>
      <c r="BD313" s="254">
        <f t="shared" si="366"/>
        <v>0</v>
      </c>
      <c r="BE313" s="254">
        <f t="shared" si="366"/>
        <v>0</v>
      </c>
      <c r="BF313" s="254">
        <f t="shared" si="366"/>
        <v>0</v>
      </c>
      <c r="BG313" s="254">
        <f t="shared" si="366"/>
        <v>0</v>
      </c>
      <c r="BH313" s="255"/>
    </row>
    <row r="314" spans="1:60" x14ac:dyDescent="0.2">
      <c r="A314" s="648"/>
      <c r="B314" s="492" t="s">
        <v>352</v>
      </c>
      <c r="C314" s="656" t="s">
        <v>113</v>
      </c>
      <c r="D314" s="750"/>
      <c r="E314" s="246" t="s">
        <v>360</v>
      </c>
      <c r="F314" s="246"/>
      <c r="G314" s="246"/>
      <c r="H314" s="247" t="s">
        <v>355</v>
      </c>
      <c r="I314" s="248"/>
      <c r="J314" s="375">
        <f>M314+Y314+AK314+AW314</f>
        <v>0</v>
      </c>
      <c r="K314" s="376"/>
      <c r="L314" s="376"/>
      <c r="M314" s="375">
        <f>M312+M313</f>
        <v>0</v>
      </c>
      <c r="N314" s="376"/>
      <c r="O314" s="254">
        <f t="shared" ref="O314:W314" si="367">O312+O313</f>
        <v>0</v>
      </c>
      <c r="P314" s="254">
        <f t="shared" si="367"/>
        <v>0</v>
      </c>
      <c r="Q314" s="254">
        <f t="shared" si="367"/>
        <v>0</v>
      </c>
      <c r="R314" s="254">
        <f t="shared" si="367"/>
        <v>0</v>
      </c>
      <c r="S314" s="254">
        <f t="shared" si="367"/>
        <v>0</v>
      </c>
      <c r="T314" s="254">
        <f>T312+T313</f>
        <v>0</v>
      </c>
      <c r="U314" s="254">
        <f t="shared" si="367"/>
        <v>0</v>
      </c>
      <c r="V314" s="254">
        <f t="shared" si="367"/>
        <v>0</v>
      </c>
      <c r="W314" s="254">
        <f t="shared" si="367"/>
        <v>0</v>
      </c>
      <c r="X314" s="255"/>
      <c r="Y314" s="375">
        <f>Y312+Y313</f>
        <v>0</v>
      </c>
      <c r="Z314" s="376"/>
      <c r="AA314" s="254">
        <f t="shared" ref="AA314:AI314" si="368">AA312+AA313</f>
        <v>0</v>
      </c>
      <c r="AB314" s="254">
        <f t="shared" si="368"/>
        <v>0</v>
      </c>
      <c r="AC314" s="254">
        <f t="shared" si="368"/>
        <v>0</v>
      </c>
      <c r="AD314" s="254">
        <f t="shared" si="368"/>
        <v>0</v>
      </c>
      <c r="AE314" s="254">
        <f t="shared" si="368"/>
        <v>0</v>
      </c>
      <c r="AF314" s="254">
        <f>AF312+AF313</f>
        <v>0</v>
      </c>
      <c r="AG314" s="254">
        <f t="shared" si="368"/>
        <v>0</v>
      </c>
      <c r="AH314" s="254">
        <f t="shared" si="368"/>
        <v>0</v>
      </c>
      <c r="AI314" s="254">
        <f t="shared" si="368"/>
        <v>0</v>
      </c>
      <c r="AJ314" s="255"/>
      <c r="AK314" s="375">
        <f>AK312+AK313</f>
        <v>0</v>
      </c>
      <c r="AL314" s="213"/>
      <c r="AM314" s="254">
        <f t="shared" ref="AM314:AU314" si="369">AM312+AM313</f>
        <v>0</v>
      </c>
      <c r="AN314" s="254">
        <f t="shared" si="369"/>
        <v>0</v>
      </c>
      <c r="AO314" s="254">
        <f t="shared" si="369"/>
        <v>0</v>
      </c>
      <c r="AP314" s="254">
        <f t="shared" si="369"/>
        <v>0</v>
      </c>
      <c r="AQ314" s="254">
        <f t="shared" si="369"/>
        <v>0</v>
      </c>
      <c r="AR314" s="254">
        <f>AR312+AR313</f>
        <v>0</v>
      </c>
      <c r="AS314" s="254">
        <f t="shared" si="369"/>
        <v>0</v>
      </c>
      <c r="AT314" s="254">
        <f t="shared" si="369"/>
        <v>0</v>
      </c>
      <c r="AU314" s="254">
        <f t="shared" si="369"/>
        <v>0</v>
      </c>
      <c r="AV314" s="255"/>
      <c r="AW314" s="375">
        <f>AW312+AW313</f>
        <v>0</v>
      </c>
      <c r="AX314" s="213"/>
      <c r="AY314" s="254">
        <f t="shared" ref="AY314:BG314" si="370">AY312+AY313</f>
        <v>0</v>
      </c>
      <c r="AZ314" s="254">
        <f t="shared" si="370"/>
        <v>0</v>
      </c>
      <c r="BA314" s="254">
        <f t="shared" si="370"/>
        <v>0</v>
      </c>
      <c r="BB314" s="254">
        <f t="shared" si="370"/>
        <v>0</v>
      </c>
      <c r="BC314" s="254">
        <f t="shared" si="370"/>
        <v>0</v>
      </c>
      <c r="BD314" s="254">
        <f>BD312+BD313</f>
        <v>0</v>
      </c>
      <c r="BE314" s="254">
        <f t="shared" si="370"/>
        <v>0</v>
      </c>
      <c r="BF314" s="254">
        <f t="shared" si="370"/>
        <v>0</v>
      </c>
      <c r="BG314" s="254">
        <f t="shared" si="370"/>
        <v>0</v>
      </c>
      <c r="BH314" s="255"/>
    </row>
    <row r="315" spans="1:60" ht="18.75" x14ac:dyDescent="0.2">
      <c r="A315" s="648"/>
      <c r="B315" s="492" t="s">
        <v>352</v>
      </c>
      <c r="C315" s="739" t="s">
        <v>104</v>
      </c>
      <c r="D315" s="747"/>
      <c r="E315" s="236" t="s">
        <v>361</v>
      </c>
      <c r="F315" s="236"/>
      <c r="G315" s="236"/>
      <c r="H315" s="89"/>
      <c r="I315" s="236"/>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279"/>
      <c r="AF315" s="279"/>
      <c r="AG315" s="279"/>
      <c r="AH315" s="279"/>
      <c r="AI315" s="279"/>
      <c r="AJ315" s="279"/>
      <c r="AK315" s="279"/>
      <c r="AL315" s="279"/>
      <c r="AM315" s="279"/>
      <c r="AN315" s="279"/>
      <c r="AO315" s="279"/>
      <c r="AP315" s="279"/>
      <c r="AQ315" s="279"/>
      <c r="AR315" s="279"/>
      <c r="AS315" s="279"/>
      <c r="AT315" s="279"/>
      <c r="AU315" s="279"/>
      <c r="AV315" s="279"/>
      <c r="AW315" s="279"/>
      <c r="AX315" s="279"/>
      <c r="AY315" s="279"/>
      <c r="AZ315" s="279"/>
      <c r="BA315" s="279"/>
      <c r="BB315" s="279"/>
      <c r="BC315" s="279"/>
      <c r="BD315" s="279"/>
      <c r="BE315" s="279"/>
      <c r="BF315" s="279"/>
      <c r="BG315" s="279"/>
      <c r="BH315" s="38"/>
    </row>
    <row r="316" spans="1:60" x14ac:dyDescent="0.2">
      <c r="A316" s="648"/>
      <c r="B316" s="492" t="s">
        <v>352</v>
      </c>
      <c r="C316" s="656" t="s">
        <v>113</v>
      </c>
      <c r="D316" s="750"/>
      <c r="E316" s="246" t="s">
        <v>362</v>
      </c>
      <c r="F316" s="246"/>
      <c r="G316" s="246"/>
      <c r="H316" s="247" t="s">
        <v>355</v>
      </c>
      <c r="I316" s="248"/>
      <c r="J316" s="375">
        <f>M316+Y316+AK316+AW316</f>
        <v>0</v>
      </c>
      <c r="K316" s="376"/>
      <c r="L316" s="376"/>
      <c r="M316" s="375">
        <f>M310+M314</f>
        <v>0</v>
      </c>
      <c r="N316" s="376"/>
      <c r="O316" s="254">
        <f t="shared" ref="O316:W316" si="371">O310+O314</f>
        <v>0</v>
      </c>
      <c r="P316" s="254">
        <f t="shared" si="371"/>
        <v>0</v>
      </c>
      <c r="Q316" s="254">
        <f t="shared" si="371"/>
        <v>0</v>
      </c>
      <c r="R316" s="254">
        <f t="shared" si="371"/>
        <v>0</v>
      </c>
      <c r="S316" s="254">
        <f t="shared" si="371"/>
        <v>0</v>
      </c>
      <c r="T316" s="254">
        <f>T310+T314</f>
        <v>0</v>
      </c>
      <c r="U316" s="254">
        <f t="shared" si="371"/>
        <v>0</v>
      </c>
      <c r="V316" s="254">
        <f t="shared" si="371"/>
        <v>0</v>
      </c>
      <c r="W316" s="254">
        <f t="shared" si="371"/>
        <v>0</v>
      </c>
      <c r="X316" s="255"/>
      <c r="Y316" s="375">
        <f>Y310+Y314</f>
        <v>0</v>
      </c>
      <c r="Z316" s="376"/>
      <c r="AA316" s="254">
        <f t="shared" ref="AA316:AI316" si="372">AA310+AA314</f>
        <v>0</v>
      </c>
      <c r="AB316" s="254">
        <f t="shared" si="372"/>
        <v>0</v>
      </c>
      <c r="AC316" s="254">
        <f t="shared" si="372"/>
        <v>0</v>
      </c>
      <c r="AD316" s="254">
        <f t="shared" si="372"/>
        <v>0</v>
      </c>
      <c r="AE316" s="254">
        <f t="shared" si="372"/>
        <v>0</v>
      </c>
      <c r="AF316" s="254">
        <f>AF310+AF314</f>
        <v>0</v>
      </c>
      <c r="AG316" s="254">
        <f t="shared" si="372"/>
        <v>0</v>
      </c>
      <c r="AH316" s="254">
        <f t="shared" si="372"/>
        <v>0</v>
      </c>
      <c r="AI316" s="254">
        <f t="shared" si="372"/>
        <v>0</v>
      </c>
      <c r="AJ316" s="255"/>
      <c r="AK316" s="375">
        <f>AK310+AK314</f>
        <v>0</v>
      </c>
      <c r="AL316" s="213"/>
      <c r="AM316" s="254">
        <f t="shared" ref="AM316:AU316" si="373">AM310+AM314</f>
        <v>0</v>
      </c>
      <c r="AN316" s="254">
        <f t="shared" si="373"/>
        <v>0</v>
      </c>
      <c r="AO316" s="254">
        <f t="shared" si="373"/>
        <v>0</v>
      </c>
      <c r="AP316" s="254">
        <f t="shared" si="373"/>
        <v>0</v>
      </c>
      <c r="AQ316" s="254">
        <f t="shared" si="373"/>
        <v>0</v>
      </c>
      <c r="AR316" s="254">
        <f>AR310+AR314</f>
        <v>0</v>
      </c>
      <c r="AS316" s="254">
        <f t="shared" si="373"/>
        <v>0</v>
      </c>
      <c r="AT316" s="254">
        <f t="shared" si="373"/>
        <v>0</v>
      </c>
      <c r="AU316" s="254">
        <f t="shared" si="373"/>
        <v>0</v>
      </c>
      <c r="AV316" s="255"/>
      <c r="AW316" s="375">
        <f>AW310+AW314</f>
        <v>0</v>
      </c>
      <c r="AX316" s="213"/>
      <c r="AY316" s="254">
        <f t="shared" ref="AY316:BG316" si="374">AY310+AY314</f>
        <v>0</v>
      </c>
      <c r="AZ316" s="254">
        <f t="shared" si="374"/>
        <v>0</v>
      </c>
      <c r="BA316" s="254">
        <f t="shared" si="374"/>
        <v>0</v>
      </c>
      <c r="BB316" s="254">
        <f t="shared" si="374"/>
        <v>0</v>
      </c>
      <c r="BC316" s="254">
        <f t="shared" si="374"/>
        <v>0</v>
      </c>
      <c r="BD316" s="254">
        <f>BD310+BD314</f>
        <v>0</v>
      </c>
      <c r="BE316" s="254">
        <f t="shared" si="374"/>
        <v>0</v>
      </c>
      <c r="BF316" s="254">
        <f t="shared" si="374"/>
        <v>0</v>
      </c>
      <c r="BG316" s="254">
        <f t="shared" si="374"/>
        <v>0</v>
      </c>
      <c r="BH316" s="255"/>
    </row>
    <row r="317" spans="1:60" ht="18.75" x14ac:dyDescent="0.2">
      <c r="A317" s="648"/>
      <c r="B317" s="492" t="s">
        <v>352</v>
      </c>
      <c r="C317" s="739" t="s">
        <v>104</v>
      </c>
      <c r="D317" s="747"/>
      <c r="E317" s="236" t="s">
        <v>363</v>
      </c>
      <c r="F317" s="236"/>
      <c r="G317" s="236"/>
      <c r="H317" s="89"/>
      <c r="I317" s="236"/>
      <c r="J317" s="279"/>
      <c r="K317" s="236"/>
      <c r="L317" s="236"/>
      <c r="M317" s="279"/>
      <c r="N317" s="236"/>
      <c r="O317" s="236"/>
      <c r="P317" s="236"/>
      <c r="Q317" s="236"/>
      <c r="R317" s="236"/>
      <c r="S317" s="236"/>
      <c r="T317" s="236"/>
      <c r="U317" s="236"/>
      <c r="V317" s="236"/>
      <c r="W317" s="236"/>
      <c r="X317" s="236"/>
      <c r="Y317" s="279"/>
      <c r="Z317" s="236"/>
      <c r="AA317" s="236"/>
      <c r="AB317" s="236"/>
      <c r="AC317" s="236"/>
      <c r="AD317" s="236"/>
      <c r="AE317" s="236"/>
      <c r="AF317" s="236"/>
      <c r="AG317" s="236"/>
      <c r="AH317" s="236"/>
      <c r="AI317" s="236"/>
      <c r="AJ317" s="236"/>
      <c r="AK317" s="279"/>
      <c r="AL317" s="236"/>
      <c r="AM317" s="236"/>
      <c r="AN317" s="236"/>
      <c r="AO317" s="236"/>
      <c r="AP317" s="236"/>
      <c r="AQ317" s="236"/>
      <c r="AR317" s="236"/>
      <c r="AS317" s="236"/>
      <c r="AT317" s="236"/>
      <c r="AU317" s="236"/>
      <c r="AV317" s="236"/>
      <c r="AW317" s="279"/>
      <c r="AX317" s="236"/>
      <c r="AY317" s="236"/>
      <c r="AZ317" s="236"/>
      <c r="BA317" s="236"/>
      <c r="BB317" s="236"/>
      <c r="BC317" s="236"/>
      <c r="BD317" s="236"/>
      <c r="BE317" s="236"/>
      <c r="BF317" s="236"/>
      <c r="BG317" s="236"/>
      <c r="BH317" s="38"/>
    </row>
    <row r="318" spans="1:60" x14ac:dyDescent="0.2">
      <c r="A318" s="648"/>
      <c r="B318" s="492" t="s">
        <v>352</v>
      </c>
      <c r="C318" s="656" t="s">
        <v>113</v>
      </c>
      <c r="D318" s="750"/>
      <c r="E318" s="246" t="s">
        <v>362</v>
      </c>
      <c r="F318" s="220"/>
      <c r="G318" s="687"/>
      <c r="H318" s="247" t="s">
        <v>355</v>
      </c>
      <c r="I318" s="129"/>
      <c r="J318" s="243">
        <f>M318+Y318+AK318+AW318</f>
        <v>0</v>
      </c>
      <c r="K318" s="236"/>
      <c r="L318" s="236"/>
      <c r="M318" s="375">
        <f>SUMPRODUCT(N318:X318,N$24:X$24,N$31:X$31)/1000</f>
        <v>0</v>
      </c>
      <c r="N318" s="129"/>
      <c r="O318" s="207">
        <f t="shared" ref="O318:W318" si="375">O316+(O302+O312)*($M$53-1)</f>
        <v>0</v>
      </c>
      <c r="P318" s="207">
        <f t="shared" si="375"/>
        <v>0</v>
      </c>
      <c r="Q318" s="207">
        <f t="shared" si="375"/>
        <v>0</v>
      </c>
      <c r="R318" s="207">
        <f t="shared" si="375"/>
        <v>0</v>
      </c>
      <c r="S318" s="207">
        <f t="shared" si="375"/>
        <v>0</v>
      </c>
      <c r="T318" s="207">
        <f t="shared" si="375"/>
        <v>0</v>
      </c>
      <c r="U318" s="207">
        <f t="shared" si="375"/>
        <v>0</v>
      </c>
      <c r="V318" s="207">
        <f t="shared" si="375"/>
        <v>0</v>
      </c>
      <c r="W318" s="207">
        <f t="shared" si="375"/>
        <v>0</v>
      </c>
      <c r="X318" s="128"/>
      <c r="Y318" s="375">
        <f>SUMPRODUCT(Z318:AJ318,Z$24:AJ$24,Z$31:AJ$31)/1000</f>
        <v>0</v>
      </c>
      <c r="Z318" s="129"/>
      <c r="AA318" s="207">
        <f t="shared" ref="AA318:AI318" si="376">AA316+(AA302+AA312)*($Y$53-1)</f>
        <v>0</v>
      </c>
      <c r="AB318" s="207">
        <f t="shared" si="376"/>
        <v>0</v>
      </c>
      <c r="AC318" s="207">
        <f t="shared" si="376"/>
        <v>0</v>
      </c>
      <c r="AD318" s="207">
        <f t="shared" si="376"/>
        <v>0</v>
      </c>
      <c r="AE318" s="207">
        <f t="shared" si="376"/>
        <v>0</v>
      </c>
      <c r="AF318" s="207">
        <f t="shared" si="376"/>
        <v>0</v>
      </c>
      <c r="AG318" s="207">
        <f t="shared" si="376"/>
        <v>0</v>
      </c>
      <c r="AH318" s="207">
        <f t="shared" si="376"/>
        <v>0</v>
      </c>
      <c r="AI318" s="207">
        <f t="shared" si="376"/>
        <v>0</v>
      </c>
      <c r="AJ318" s="128"/>
      <c r="AK318" s="375">
        <f>SUMPRODUCT(AL318:AV318,AL$24:AV$24,AL$31:AV$31)/1000</f>
        <v>0</v>
      </c>
      <c r="AL318" s="129"/>
      <c r="AM318" s="207">
        <f t="shared" ref="AM318:AU318" si="377">AM316+(AM302+AM312)*($AK$53-1)</f>
        <v>0</v>
      </c>
      <c r="AN318" s="207">
        <f t="shared" si="377"/>
        <v>0</v>
      </c>
      <c r="AO318" s="207">
        <f t="shared" si="377"/>
        <v>0</v>
      </c>
      <c r="AP318" s="207">
        <f t="shared" si="377"/>
        <v>0</v>
      </c>
      <c r="AQ318" s="207">
        <f t="shared" si="377"/>
        <v>0</v>
      </c>
      <c r="AR318" s="207">
        <f t="shared" si="377"/>
        <v>0</v>
      </c>
      <c r="AS318" s="207">
        <f t="shared" si="377"/>
        <v>0</v>
      </c>
      <c r="AT318" s="207">
        <f t="shared" si="377"/>
        <v>0</v>
      </c>
      <c r="AU318" s="207">
        <f t="shared" si="377"/>
        <v>0</v>
      </c>
      <c r="AV318" s="128"/>
      <c r="AW318" s="375">
        <f>SUMPRODUCT(AX318:BH318,AX$24:BH$24,AX$31:BH$31)/1000</f>
        <v>0</v>
      </c>
      <c r="AX318" s="129"/>
      <c r="AY318" s="207">
        <f t="shared" ref="AY318:BG318" si="378">AY316+(AY302+AY312)*($AW$53-1)</f>
        <v>0</v>
      </c>
      <c r="AZ318" s="207">
        <f t="shared" si="378"/>
        <v>0</v>
      </c>
      <c r="BA318" s="207">
        <f t="shared" si="378"/>
        <v>0</v>
      </c>
      <c r="BB318" s="207">
        <f t="shared" si="378"/>
        <v>0</v>
      </c>
      <c r="BC318" s="207">
        <f t="shared" si="378"/>
        <v>0</v>
      </c>
      <c r="BD318" s="207">
        <f t="shared" si="378"/>
        <v>0</v>
      </c>
      <c r="BE318" s="207">
        <f t="shared" si="378"/>
        <v>0</v>
      </c>
      <c r="BF318" s="207">
        <f t="shared" si="378"/>
        <v>0</v>
      </c>
      <c r="BG318" s="207">
        <f t="shared" si="378"/>
        <v>0</v>
      </c>
      <c r="BH318" s="255"/>
    </row>
    <row r="319" spans="1:60" x14ac:dyDescent="0.2">
      <c r="A319" s="648"/>
      <c r="B319" s="492" t="s">
        <v>352</v>
      </c>
      <c r="C319" s="739" t="s">
        <v>104</v>
      </c>
      <c r="D319" s="747"/>
      <c r="E319" s="90"/>
      <c r="F319" s="90"/>
      <c r="G319" s="90"/>
      <c r="H319" s="96"/>
      <c r="I319" s="90"/>
      <c r="J319" s="93"/>
      <c r="K319" s="90"/>
      <c r="L319" s="90"/>
      <c r="M319" s="93"/>
      <c r="N319" s="90"/>
      <c r="O319" s="122"/>
      <c r="P319" s="122"/>
      <c r="Q319" s="122"/>
      <c r="R319" s="122"/>
      <c r="S319" s="122"/>
      <c r="T319" s="122"/>
      <c r="U319" s="122"/>
      <c r="V319" s="122"/>
      <c r="W319" s="122"/>
      <c r="X319" s="93"/>
      <c r="Y319" s="93"/>
      <c r="Z319" s="90"/>
      <c r="AA319" s="93"/>
      <c r="AB319" s="93"/>
      <c r="AC319" s="93"/>
      <c r="AD319" s="93"/>
      <c r="AE319" s="93"/>
      <c r="AF319" s="93"/>
      <c r="AG319" s="93"/>
      <c r="AH319" s="93"/>
      <c r="AI319" s="93"/>
      <c r="AJ319" s="93"/>
      <c r="AK319" s="93"/>
      <c r="AL319" s="90"/>
      <c r="AM319" s="93"/>
      <c r="AN319" s="93"/>
      <c r="AO319" s="93"/>
      <c r="AP319" s="93"/>
      <c r="AQ319" s="93"/>
      <c r="AR319" s="93"/>
      <c r="AS319" s="93"/>
      <c r="AT319" s="93"/>
      <c r="AU319" s="93"/>
      <c r="AV319" s="93"/>
      <c r="AW319" s="93"/>
      <c r="AX319" s="90"/>
      <c r="AY319" s="93"/>
      <c r="AZ319" s="93"/>
      <c r="BA319" s="93"/>
      <c r="BB319" s="93"/>
      <c r="BC319" s="93"/>
      <c r="BD319" s="93"/>
      <c r="BE319" s="93"/>
      <c r="BF319" s="93"/>
      <c r="BG319" s="93"/>
      <c r="BH319" s="1"/>
    </row>
    <row r="320" spans="1:60" ht="21" x14ac:dyDescent="0.2">
      <c r="A320" s="648"/>
      <c r="B320" s="492" t="s">
        <v>364</v>
      </c>
      <c r="C320" s="656" t="s">
        <v>104</v>
      </c>
      <c r="D320" s="752" t="s">
        <v>89</v>
      </c>
      <c r="E320" s="553" t="s">
        <v>87</v>
      </c>
      <c r="F320" s="553"/>
      <c r="G320" s="553"/>
      <c r="H320" s="554"/>
      <c r="I320" s="554"/>
      <c r="J320" s="555"/>
      <c r="K320" s="824"/>
      <c r="L320" s="824"/>
      <c r="M320" s="555"/>
      <c r="N320" s="555"/>
      <c r="O320" s="555"/>
      <c r="P320" s="555"/>
      <c r="Q320" s="555"/>
      <c r="R320" s="555"/>
      <c r="S320" s="555"/>
      <c r="T320" s="555"/>
      <c r="U320" s="555"/>
      <c r="V320" s="555"/>
      <c r="W320" s="555"/>
      <c r="X320" s="555"/>
      <c r="Y320" s="555"/>
      <c r="Z320" s="555"/>
      <c r="AA320" s="555"/>
      <c r="AB320" s="555"/>
      <c r="AC320" s="555"/>
      <c r="AD320" s="555"/>
      <c r="AE320" s="555"/>
      <c r="AF320" s="555"/>
      <c r="AG320" s="555"/>
      <c r="AH320" s="555"/>
      <c r="AI320" s="555"/>
      <c r="AJ320" s="555"/>
      <c r="AK320" s="555"/>
      <c r="AL320" s="555"/>
      <c r="AM320" s="555"/>
      <c r="AN320" s="555"/>
      <c r="AO320" s="555"/>
      <c r="AP320" s="555"/>
      <c r="AQ320" s="555"/>
      <c r="AR320" s="555"/>
      <c r="AS320" s="555"/>
      <c r="AT320" s="555"/>
      <c r="AU320" s="555"/>
      <c r="AV320" s="555"/>
      <c r="AW320" s="555"/>
      <c r="AX320" s="555"/>
      <c r="AY320" s="556"/>
      <c r="AZ320" s="556"/>
      <c r="BA320" s="556"/>
      <c r="BB320" s="556"/>
      <c r="BC320" s="556"/>
      <c r="BD320" s="556"/>
      <c r="BE320" s="556"/>
      <c r="BF320" s="556"/>
      <c r="BG320" s="556"/>
      <c r="BH320" s="270"/>
    </row>
  </sheetData>
  <sheetProtection algorithmName="SHA-512" hashValue="XOCoQzRzpJW3p5xhGW7mwT7j6IYKr/tvr8a5e4hFO62UGBtkYEvlTXEtkh9Ij7SPTC5xQEbuUhNMt2U+FNC5yA==" saltValue="fV2deGHD0pXVC7osAz660Q==" spinCount="100000" sheet="1" objects="1" scenarios="1" formatColumns="0" autoFilter="0"/>
  <autoFilter ref="B8:C320" xr:uid="{41D3E58C-B86B-4AE1-8380-FDD6F14E9537}">
    <filterColumn colId="1">
      <filters>
        <filter val="00. kop"/>
        <filter val="01. invoer"/>
        <filter val="04. resultaat"/>
      </filters>
    </filterColumn>
  </autoFilter>
  <dataConsolidate/>
  <mergeCells count="4">
    <mergeCell ref="E3:F3"/>
    <mergeCell ref="F4:H4"/>
    <mergeCell ref="B5:B7"/>
    <mergeCell ref="C5:C7"/>
  </mergeCells>
  <conditionalFormatting sqref="B16:B26 B27:C320">
    <cfRule type="expression" dxfId="619" priority="53">
      <formula>B16=""</formula>
    </cfRule>
  </conditionalFormatting>
  <conditionalFormatting sqref="C10">
    <cfRule type="expression" dxfId="618" priority="95">
      <formula>C10=""</formula>
    </cfRule>
  </conditionalFormatting>
  <conditionalFormatting sqref="C12:C26">
    <cfRule type="expression" dxfId="617" priority="54">
      <formula>C12=""</formula>
    </cfRule>
  </conditionalFormatting>
  <conditionalFormatting sqref="E54">
    <cfRule type="expression" dxfId="616" priority="3">
      <formula>$G$6=FALSE</formula>
    </cfRule>
  </conditionalFormatting>
  <conditionalFormatting sqref="E278:J278">
    <cfRule type="expression" dxfId="615" priority="145">
      <formula>$G$6=TRUE</formula>
    </cfRule>
  </conditionalFormatting>
  <conditionalFormatting sqref="F4:F5 H3">
    <cfRule type="expression" dxfId="614" priority="120">
      <formula>F3=""</formula>
    </cfRule>
  </conditionalFormatting>
  <conditionalFormatting sqref="F5">
    <cfRule type="expression" dxfId="613" priority="118">
      <formula>OR($F$5="",ISERROR(MATCH(F5,opwekking_elektriciteit,0))=TRUE)</formula>
    </cfRule>
  </conditionalFormatting>
  <conditionalFormatting sqref="F2:H2">
    <cfRule type="expression" dxfId="612" priority="126">
      <formula>$F$2&lt;&gt;""</formula>
    </cfRule>
  </conditionalFormatting>
  <conditionalFormatting sqref="J32:J33">
    <cfRule type="cellIs" dxfId="611" priority="101" operator="greaterThan">
      <formula>0</formula>
    </cfRule>
  </conditionalFormatting>
  <conditionalFormatting sqref="J40:J42">
    <cfRule type="expression" dxfId="610" priority="52">
      <formula>J40="OK"</formula>
    </cfRule>
  </conditionalFormatting>
  <conditionalFormatting sqref="J46:J47">
    <cfRule type="expression" dxfId="609" priority="51">
      <formula>J46="OK"</formula>
    </cfRule>
  </conditionalFormatting>
  <conditionalFormatting sqref="J50">
    <cfRule type="cellIs" dxfId="608" priority="49" operator="notEqual">
      <formula>"OK"</formula>
    </cfRule>
  </conditionalFormatting>
  <conditionalFormatting sqref="J80">
    <cfRule type="cellIs" dxfId="607" priority="102" operator="notEqual">
      <formula>"OK"</formula>
    </cfRule>
  </conditionalFormatting>
  <conditionalFormatting sqref="J135">
    <cfRule type="cellIs" dxfId="606" priority="40" operator="equal">
      <formula>0</formula>
    </cfRule>
  </conditionalFormatting>
  <conditionalFormatting sqref="J138 J142 J146 M135 M138 M142 M146 Y135 Y138 Y142 Y146 AK135 AK138 AK142 AK146 AW135 AW138 AW142 AW146">
    <cfRule type="cellIs" dxfId="605" priority="44" operator="equal">
      <formula>0</formula>
    </cfRule>
  </conditionalFormatting>
  <conditionalFormatting sqref="M32:M33">
    <cfRule type="cellIs" dxfId="604" priority="100" operator="greaterThan">
      <formula>0</formula>
    </cfRule>
  </conditionalFormatting>
  <conditionalFormatting sqref="M131:M146 Y131:Y146 AK131:AK146 AW131:AW146">
    <cfRule type="expression" dxfId="603" priority="123">
      <formula>SUM(M$131:M$146)=0</formula>
    </cfRule>
  </conditionalFormatting>
  <conditionalFormatting sqref="M275 O275:X275 AJ275 AV275 BH275">
    <cfRule type="expression" dxfId="602" priority="128">
      <formula>#REF!&gt;M275</formula>
    </cfRule>
  </conditionalFormatting>
  <conditionalFormatting sqref="O80 AA80 AM80 AY80">
    <cfRule type="expression" dxfId="601" priority="48">
      <formula>OR(AND(O80="",O$24&gt;0),ISERROR(MATCH(O80,toestellen_RV_invoer,0)))</formula>
    </cfRule>
  </conditionalFormatting>
  <conditionalFormatting sqref="O84 O91 O106:Q106 O109:Q109 O116:Q116 O120:Q120 O126:Q126 Q84 Q91 AA84 AA91 AA106:AC106 AA109:AC109 AA116:AC116 AA120:AC120 AA126:AC126 AC84 AC91 AM84 AM91 AM106:AO106 AM109:AO109 AM116:AO116 AM120:AO120 AM126:AO126 AO84 AO91 AY84 AY91 AY109:BA109 AY116:BA116 AY120:BA120 AY126:BA126 BA84 BA91">
    <cfRule type="expression" dxfId="600" priority="105">
      <formula>AND(O$75&gt;0,O84="")</formula>
    </cfRule>
  </conditionalFormatting>
  <conditionalFormatting sqref="O87 Q87 AA87 AC87 AM87 AO87 AY87 BA87">
    <cfRule type="expression" dxfId="599" priority="119">
      <formula>OR(AND(O$75&gt;0,O87=""),AND(O87&lt;&gt;"ja",O87&lt;&gt;"nee",O87&lt;&gt;""))</formula>
    </cfRule>
  </conditionalFormatting>
  <conditionalFormatting sqref="O126 Q126 AA126 AC126 AM126 AO126 AY126 BA126">
    <cfRule type="expression" dxfId="598" priority="133">
      <formula>O$125=0</formula>
    </cfRule>
  </conditionalFormatting>
  <conditionalFormatting sqref="O80:Q81 O83:Q85 O87:Q88 O90:Q92 O94:Q96 AA80:AC81 AA83:AC85 AA87:AC88 AA90:AC92 AA94:AC96 AM80:AO81 AM83:AO85 AM87:AO88 AM90:AO92 AM94:AO96 AY80:BA81 AY83:BA85 AY87:BA88 AY90:BA92 AY94:BA96">
    <cfRule type="expression" dxfId="596" priority="146">
      <formula>O$29=0</formula>
    </cfRule>
    <cfRule type="expression" dxfId="597" priority="147">
      <formula>O$75=0</formula>
    </cfRule>
  </conditionalFormatting>
  <conditionalFormatting sqref="O101:Q101 AA101:AC101 AA131:AC131 AM101:AO101 AM131:AO131 AY101:BA101 AY131:BA131">
    <cfRule type="expression" dxfId="595" priority="115">
      <formula>O$75=0</formula>
    </cfRule>
  </conditionalFormatting>
  <conditionalFormatting sqref="O102:Q103 O105:Q113 O115:Q116 O119:Q121 O123:Q126 P117:Q117 AA101:AC103 AA105:AC113 AA115:AC117 AA119:AC121 AA123:AC126 AM101:AO103 AM105:AO113 AM115:AO117 AM119:AO121 AM123:AO126 AY101:BA103 AY105:BA113 AY115:BA117 AY119:BA121 AY123:BA126">
    <cfRule type="expression" dxfId="594" priority="41">
      <formula>OR(O$75=0,O$101="geen")</formula>
    </cfRule>
  </conditionalFormatting>
  <conditionalFormatting sqref="O131:Q131">
    <cfRule type="expression" dxfId="593" priority="112">
      <formula>O$75=0</formula>
    </cfRule>
  </conditionalFormatting>
  <conditionalFormatting sqref="O132:Q138 O140:Q142 O144:Q146 AA132:AC138 AA140:AC142 AA144:AC146 AM132:AO138 AM140:AO142 AM144:AO146 AY132:BA138 AY140:BA142 AY144:BA146">
    <cfRule type="expression" dxfId="592" priority="39">
      <formula>OR(O$75=0,O$131="geen")</formula>
    </cfRule>
  </conditionalFormatting>
  <conditionalFormatting sqref="O137:Q137 O141:Q141 O145:Q145 AA137:AC137 AA141:AC141 AA145:AC145 AM137:AO137 AM141:AO141 AM145:AO145 AY137:BA137 AY141:BA141 AY145:BA145">
    <cfRule type="expression" dxfId="591" priority="144">
      <formula>AND(O$75&gt;0,O$131&lt;&gt;"geen",O137="")</formula>
    </cfRule>
  </conditionalFormatting>
  <conditionalFormatting sqref="O151:Q153 AA151:AC153 AM151:AO153 AY151:BA153">
    <cfRule type="expression" dxfId="590" priority="149">
      <formula>OR(O$29=0,O$123=0)</formula>
    </cfRule>
  </conditionalFormatting>
  <conditionalFormatting sqref="O152:Q152 AA152:AC152 AM152:AO152 AY152:BA152">
    <cfRule type="expression" dxfId="589" priority="114">
      <formula>AND(O$123&gt;0,O152="")</formula>
    </cfRule>
  </conditionalFormatting>
  <conditionalFormatting sqref="O167:S169">
    <cfRule type="expression" dxfId="588" priority="110">
      <formula>O$29=0</formula>
    </cfRule>
  </conditionalFormatting>
  <conditionalFormatting sqref="O197:S202">
    <cfRule type="expression" dxfId="587" priority="108">
      <formula>O$29=0</formula>
    </cfRule>
  </conditionalFormatting>
  <conditionalFormatting sqref="O209:S215">
    <cfRule type="expression" dxfId="586" priority="106">
      <formula>O$29=0</formula>
    </cfRule>
  </conditionalFormatting>
  <conditionalFormatting sqref="O216:S216">
    <cfRule type="expression" dxfId="585" priority="88">
      <formula>O$29=0</formula>
    </cfRule>
  </conditionalFormatting>
  <conditionalFormatting sqref="O17:W17">
    <cfRule type="expression" dxfId="584" priority="87">
      <formula>AND(O17&lt;&gt;"",ISERROR(MATCH(O17,woningen_gebouwen_namen,0))=TRUE)</formula>
    </cfRule>
  </conditionalFormatting>
  <conditionalFormatting sqref="O19:W19 AA19:AI19 AM19:AU19 AY19:BG19">
    <cfRule type="expression" dxfId="583" priority="99">
      <formula>O19=""</formula>
    </cfRule>
  </conditionalFormatting>
  <conditionalFormatting sqref="O20:W21 AM20:AU21 AY20:BG21">
    <cfRule type="expression" dxfId="582" priority="98">
      <formula>O$19=""</formula>
    </cfRule>
  </conditionalFormatting>
  <conditionalFormatting sqref="O22:W22">
    <cfRule type="expression" dxfId="581" priority="96">
      <formula>OR(O$19="",AND(O$21&lt;&gt;woning,O$21&lt;&gt;woongebouw))</formula>
    </cfRule>
  </conditionalFormatting>
  <conditionalFormatting sqref="O24:W25 AA24:BG25">
    <cfRule type="expression" dxfId="580" priority="74">
      <formula>O$19=""</formula>
    </cfRule>
  </conditionalFormatting>
  <conditionalFormatting sqref="O25:W25 AM25:AU25 AY25:BG25">
    <cfRule type="expression" dxfId="579" priority="129">
      <formula>AND(O$19="",O25&gt;0)</formula>
    </cfRule>
    <cfRule type="expression" dxfId="578" priority="130">
      <formula>AND(O$19&lt;&gt;"",O25="")</formula>
    </cfRule>
  </conditionalFormatting>
  <conditionalFormatting sqref="O26:W29 O31:W35">
    <cfRule type="expression" dxfId="577" priority="4">
      <formula>OR(O$19="",O$24=0)</formula>
    </cfRule>
  </conditionalFormatting>
  <conditionalFormatting sqref="O40:W48 O50:W50 O52:W55 O58:W58 O60:W66 O68:W68 O70:W70">
    <cfRule type="expression" dxfId="576" priority="42">
      <formula>OR(O$19="",O$24=0)</formula>
    </cfRule>
  </conditionalFormatting>
  <conditionalFormatting sqref="O41:W41 AA41:AI41 AM41:AU41 AY41:BG41">
    <cfRule type="expression" dxfId="575" priority="5">
      <formula>AND(O$19&lt;&gt;"",O$24&gt;0,O41&lt;&gt;"",ISERROR(MATCH(O41,isolatiepakketten_gebouwschil_namen,0))=TRUE)</formula>
    </cfRule>
  </conditionalFormatting>
  <conditionalFormatting sqref="O42:W42 AA42:AI42 AM42:AU42 AY42:BG42">
    <cfRule type="expression" dxfId="574" priority="131">
      <formula>OR(AND(O$19&lt;&gt;"",O$24&gt;0,O42=""),ISERROR(MATCH(O42,ventilatiesystemen_namen,0))=TRUE)</formula>
    </cfRule>
  </conditionalFormatting>
  <conditionalFormatting sqref="O43:W43 AA43:AI43 AM43:AU43 AY43:BG43">
    <cfRule type="expression" dxfId="572" priority="132">
      <formula>OR(AND(O$19&lt;&gt;"",O$24&gt;0,O43=""),ISERROR(MATCH(O43,ventilatoren_typen,0))=TRUE)</formula>
    </cfRule>
  </conditionalFormatting>
  <conditionalFormatting sqref="O44:W44 AA44:AI44 AM44:AU44 AY44:BG44">
    <cfRule type="expression" dxfId="571" priority="134">
      <formula>OR(O44&lt;0.5,O44&gt;2,AND(O$19&lt;&gt;"",O44=""))</formula>
    </cfRule>
  </conditionalFormatting>
  <conditionalFormatting sqref="O45:W46 AA45:AI46 AM45:AU46 AY45:BG46">
    <cfRule type="expression" dxfId="569" priority="50">
      <formula>OR(O$19="",O$28=0)</formula>
    </cfRule>
    <cfRule type="expression" dxfId="570" priority="136">
      <formula>AND(O$19&lt;&gt;"",O$28&gt;0,O45="")</formula>
    </cfRule>
  </conditionalFormatting>
  <conditionalFormatting sqref="O46:W46 AA46:AI46 AM46:AU46 AY46:BG46">
    <cfRule type="expression" dxfId="568" priority="138">
      <formula>AND(O46&lt;&gt;"",ISERROR(MATCH(O46,verlichtingsregeling_namen,0))=TRUE)</formula>
    </cfRule>
  </conditionalFormatting>
  <conditionalFormatting sqref="O47:W47 AA47:AI47 AM47:AU47 AY47:BG47">
    <cfRule type="expression" dxfId="566" priority="62">
      <formula>OR(O$19="",O$26+O$27=0,AND(O$21&lt;&gt;woning,O$21&lt;&gt;woongebouw))</formula>
    </cfRule>
    <cfRule type="expression" dxfId="567" priority="139">
      <formula>OR(AND(O$19&lt;&gt;"",O$24&gt;0,O47=""),AND(O47&lt;&gt;elektriciteit,O47&lt;&gt;aardgas))</formula>
    </cfRule>
  </conditionalFormatting>
  <conditionalFormatting sqref="O48:W48 AA48:AI48 AM48:AU48 AY48:BG48">
    <cfRule type="expression" dxfId="565" priority="140">
      <formula>OR(O48&lt;0,O48&gt;1,AND(O$19&lt;&gt;"",O48=""))</formula>
    </cfRule>
  </conditionalFormatting>
  <conditionalFormatting sqref="O50:W50 AA50:AI50 AM50:AU50 AY50:BG50">
    <cfRule type="expression" dxfId="563" priority="61">
      <formula>$O19=""</formula>
    </cfRule>
    <cfRule type="cellIs" dxfId="564" priority="143" operator="equal">
      <formula>"nee"</formula>
    </cfRule>
  </conditionalFormatting>
  <conditionalFormatting sqref="O53:W53 AA53:AI53 AM53:AU53 AY53:BG53">
    <cfRule type="cellIs" dxfId="562" priority="9" operator="equal">
      <formula>0</formula>
    </cfRule>
  </conditionalFormatting>
  <conditionalFormatting sqref="O54:W54 AA54:AI54 AM54:AU54 AY54:BG54">
    <cfRule type="expression" dxfId="561" priority="150">
      <formula>O$24=0</formula>
    </cfRule>
    <cfRule type="expression" dxfId="560" priority="151">
      <formula>AND(O$24&gt;0,O54="",$G$6=TRUE)</formula>
    </cfRule>
    <cfRule type="expression" dxfId="559" priority="152">
      <formula>AND(O$24&gt;0,O$54&gt;0,O$54&lt;&gt;O$55,$G$6=TRUE)</formula>
    </cfRule>
  </conditionalFormatting>
  <conditionalFormatting sqref="O68:W68 AA68:AI68 AM68:AU68 AY68:BG68">
    <cfRule type="expression" dxfId="558" priority="117">
      <formula>AND(O$19&lt;&gt;"",O68="")</formula>
    </cfRule>
  </conditionalFormatting>
  <conditionalFormatting sqref="O70:W70">
    <cfRule type="expression" dxfId="557" priority="43">
      <formula>AND(O$19&lt;&gt;"",O70="")</formula>
    </cfRule>
  </conditionalFormatting>
  <conditionalFormatting sqref="O75:W75 AA75:AI75 AM75:AU75 AY75:BG75">
    <cfRule type="expression" dxfId="556" priority="113">
      <formula>O$29=0</formula>
    </cfRule>
  </conditionalFormatting>
  <conditionalFormatting sqref="O227:W227 AM227:AU227 AM234:AU236 AM251:AU253 AM255:AU255 AY227:BG227 AY234:BG236">
    <cfRule type="expression" dxfId="555" priority="107">
      <formula>O$24=0</formula>
    </cfRule>
  </conditionalFormatting>
  <conditionalFormatting sqref="O229:W229 O241:W249 O251:W253 O255:W255 O257:W257 O262:W262 O264:W269 O271:W271 O273:W273 O275:W275 O282:W284 O286:W288 O290:W291 O293:W294 O296:W297 O302:W310 O312:W314 O316:W316 O318:W318">
    <cfRule type="expression" dxfId="554" priority="64">
      <formula>O$24=0</formula>
    </cfRule>
  </conditionalFormatting>
  <conditionalFormatting sqref="O286:W287">
    <cfRule type="expression" dxfId="553" priority="124">
      <formula>O286&gt;O282</formula>
    </cfRule>
  </conditionalFormatting>
  <conditionalFormatting sqref="O291:W291 AA291:AI291 AM291:AU291 AY291:BG291">
    <cfRule type="expression" dxfId="551" priority="154">
      <formula>#REF!&lt;O$287</formula>
    </cfRule>
    <cfRule type="expression" dxfId="552" priority="155">
      <formula>O$24=0</formula>
    </cfRule>
  </conditionalFormatting>
  <conditionalFormatting sqref="O294:W294">
    <cfRule type="expression" dxfId="549" priority="25">
      <formula>AND(O294&lt;&gt;"nvt",O294&gt;O293)</formula>
    </cfRule>
    <cfRule type="expression" dxfId="550" priority="26">
      <formula>AND(O294&lt;&gt;"nvt",O294&lt;=O293)</formula>
    </cfRule>
  </conditionalFormatting>
  <conditionalFormatting sqref="O297:W297">
    <cfRule type="expression" dxfId="547" priority="23">
      <formula>AND(O297&lt;&gt;"nvt",O297&gt;O296)</formula>
    </cfRule>
    <cfRule type="expression" dxfId="548" priority="24">
      <formula>AND(O297&lt;&gt;"nvt",O297&lt;=O296)</formula>
    </cfRule>
  </conditionalFormatting>
  <conditionalFormatting sqref="O40:BG41">
    <cfRule type="expression" dxfId="546" priority="2">
      <formula>OR(O$19="",O$24=0)</formula>
    </cfRule>
  </conditionalFormatting>
  <conditionalFormatting sqref="P80 AB80 AN80 AZ80">
    <cfRule type="expression" dxfId="545" priority="103">
      <formula>OR(AND(P80="",P$24&gt;0),ISERROR(MATCH(P80,toestellen_KOEL_invoer,0)))</formula>
    </cfRule>
  </conditionalFormatting>
  <conditionalFormatting sqref="P81 P83:P85 P87:P88 P90:P92 P94:P96 AB81 AB83:AB85 AB87:AB88 AB90:AB92 AB94:AB96 AN81 AN83:AN85 AN87:AN88 AN90:AN92 AN94:AN96 AZ81 AZ83:AZ85 AZ87:AZ88 AZ90:AZ92 AZ94:AZ96">
    <cfRule type="expression" dxfId="544" priority="32">
      <formula>P$80="geen"</formula>
    </cfRule>
  </conditionalFormatting>
  <conditionalFormatting sqref="Q80 AC80 AO80 BA80">
    <cfRule type="expression" dxfId="543" priority="104">
      <formula>OR(AND(Q80="",Q$24&gt;0),ISERROR(MATCH(Q80,toestellen_TAP_invoer,0)))</formula>
    </cfRule>
  </conditionalFormatting>
  <conditionalFormatting sqref="Q87 AC87 AO87 BA87">
    <cfRule type="expression" dxfId="542" priority="148">
      <formula>OR(AND(Q$24&gt;0,Q$75&gt;0,Q87=""),AND(Q87&lt;&gt;"ja",Q87&lt;&gt;"nee",Q87&lt;&gt;""))</formula>
    </cfRule>
  </conditionalFormatting>
  <conditionalFormatting sqref="T155:T156">
    <cfRule type="expression" dxfId="541" priority="57">
      <formula>T$29=0</formula>
    </cfRule>
  </conditionalFormatting>
  <conditionalFormatting sqref="T158:T159">
    <cfRule type="expression" dxfId="540" priority="56">
      <formula>T$29=0</formula>
    </cfRule>
  </conditionalFormatting>
  <conditionalFormatting sqref="T161">
    <cfRule type="expression" dxfId="539" priority="55">
      <formula>T$29=0</formula>
    </cfRule>
  </conditionalFormatting>
  <conditionalFormatting sqref="T167:T169">
    <cfRule type="expression" dxfId="538" priority="85">
      <formula>T$29=0</formula>
    </cfRule>
  </conditionalFormatting>
  <conditionalFormatting sqref="T186:T188">
    <cfRule type="expression" dxfId="537" priority="59">
      <formula>T$29=0</formula>
    </cfRule>
  </conditionalFormatting>
  <conditionalFormatting sqref="T190">
    <cfRule type="expression" dxfId="536" priority="58">
      <formula>T$29=0</formula>
    </cfRule>
  </conditionalFormatting>
  <conditionalFormatting sqref="T197:T202">
    <cfRule type="expression" dxfId="535" priority="84">
      <formula>T$29=0</formula>
    </cfRule>
  </conditionalFormatting>
  <conditionalFormatting sqref="T204">
    <cfRule type="expression" dxfId="534" priority="86">
      <formula>T$29=0</formula>
    </cfRule>
  </conditionalFormatting>
  <conditionalFormatting sqref="T209:T216">
    <cfRule type="expression" dxfId="533" priority="82">
      <formula>T$29=0</formula>
    </cfRule>
  </conditionalFormatting>
  <conditionalFormatting sqref="T221:T222">
    <cfRule type="expression" dxfId="532" priority="83">
      <formula>T$29=0</formula>
    </cfRule>
  </conditionalFormatting>
  <conditionalFormatting sqref="U154:W156">
    <cfRule type="expression" dxfId="531" priority="111">
      <formula>U$29=0</formula>
    </cfRule>
  </conditionalFormatting>
  <conditionalFormatting sqref="U186:W188">
    <cfRule type="expression" dxfId="530" priority="109">
      <formula>U$29=0</formula>
    </cfRule>
  </conditionalFormatting>
  <conditionalFormatting sqref="AA187">
    <cfRule type="expression" dxfId="529" priority="92">
      <formula>AA$29=0</formula>
    </cfRule>
  </conditionalFormatting>
  <conditionalFormatting sqref="AA209:AC209">
    <cfRule type="expression" dxfId="528" priority="31">
      <formula>AA$29=0</formula>
    </cfRule>
  </conditionalFormatting>
  <conditionalFormatting sqref="AA186:AE186">
    <cfRule type="expression" dxfId="527" priority="94">
      <formula>AA$29=0</formula>
    </cfRule>
  </conditionalFormatting>
  <conditionalFormatting sqref="AA216:AE216">
    <cfRule type="expression" dxfId="526" priority="89">
      <formula>AA$29=0</formula>
    </cfRule>
  </conditionalFormatting>
  <conditionalFormatting sqref="AA20:AI21">
    <cfRule type="expression" dxfId="525" priority="97">
      <formula>AA$19=""</formula>
    </cfRule>
  </conditionalFormatting>
  <conditionalFormatting sqref="AA22:AI22">
    <cfRule type="expression" dxfId="524" priority="47">
      <formula>OR(AA$19="",AND(AA$21&lt;&gt;woning,AA$21&lt;&gt;woongebouw))</formula>
    </cfRule>
  </conditionalFormatting>
  <conditionalFormatting sqref="AA25:AI25">
    <cfRule type="expression" dxfId="523" priority="141">
      <formula>AND(AA$19="",AA25&gt;0)</formula>
    </cfRule>
    <cfRule type="expression" dxfId="522" priority="142">
      <formula>AND(AA$19&lt;&gt;"",AA25="")</formula>
    </cfRule>
  </conditionalFormatting>
  <conditionalFormatting sqref="AA26:AI29 AA31:AI35 AA42:AI48 AA60:AI66 AM26:AU29 AM31:AU35 AM42:AU48 AM60:AU66 AY26:BG29 AY31:BG35 AY42:BG48 AY60:BG66">
    <cfRule type="expression" dxfId="521" priority="127">
      <formula>OR(AA$19="",AA$24=0)</formula>
    </cfRule>
  </conditionalFormatting>
  <conditionalFormatting sqref="AA68:AI68 AM68:AU68 AY68:BG68">
    <cfRule type="expression" dxfId="520" priority="116">
      <formula>OR(AA$19="",AA$24=0)</formula>
    </cfRule>
  </conditionalFormatting>
  <conditionalFormatting sqref="AA70:AI70">
    <cfRule type="expression" dxfId="519" priority="37">
      <formula>OR(AA$19="",AA$24=0)</formula>
    </cfRule>
    <cfRule type="expression" dxfId="518" priority="38">
      <formula>AND(AA$19&lt;&gt;"",AA70="")</formula>
    </cfRule>
  </conditionalFormatting>
  <conditionalFormatting sqref="AA227:AI227 AA229:AI230 AA234:AI237 AA251:AI253 AA255:AI255 AA257:AI258 AA262:AI269 AA271:AI271 AA273:AI273 AA275:AI276 AA280:AI280 AA282:AI284 AA286:AI288 AA290:AI290 AA241:BG249">
    <cfRule type="expression" dxfId="517" priority="8">
      <formula>AA$24=0</formula>
    </cfRule>
  </conditionalFormatting>
  <conditionalFormatting sqref="AA292:AI292">
    <cfRule type="expression" dxfId="516" priority="28">
      <formula>AA292&lt;AA287</formula>
    </cfRule>
  </conditionalFormatting>
  <conditionalFormatting sqref="AA294:AI294">
    <cfRule type="expression" dxfId="515" priority="21">
      <formula>AND(AA294&lt;&gt;"nvt",AA294&gt;AA293)</formula>
    </cfRule>
    <cfRule type="expression" dxfId="514" priority="22">
      <formula>AND(AA294&lt;&gt;"nvt",AA294&lt;=AA293)</formula>
    </cfRule>
  </conditionalFormatting>
  <conditionalFormatting sqref="AA297:AI297">
    <cfRule type="expression" dxfId="512" priority="19">
      <formula>AND(AA297&lt;&gt;"nvt",AA297&gt;AA296)</formula>
    </cfRule>
    <cfRule type="expression" dxfId="513" priority="20">
      <formula>AND(AA297&lt;&gt;"nvt",AA297&lt;=AA296)</formula>
    </cfRule>
  </conditionalFormatting>
  <conditionalFormatting sqref="AA302:AI310 AA312:AI314 AA316:AI316 AA318:AI318">
    <cfRule type="expression" dxfId="511" priority="66">
      <formula>AA$24=0</formula>
    </cfRule>
  </conditionalFormatting>
  <conditionalFormatting sqref="AA286:AU287">
    <cfRule type="expression" dxfId="510" priority="122">
      <formula>AA286&gt;AA282</formula>
    </cfRule>
  </conditionalFormatting>
  <conditionalFormatting sqref="AA295:AX295">
    <cfRule type="expression" dxfId="509" priority="14">
      <formula>AA295&lt;AA290</formula>
    </cfRule>
  </conditionalFormatting>
  <conditionalFormatting sqref="AF186:AF188">
    <cfRule type="expression" dxfId="508" priority="80">
      <formula>AF$29=0</formula>
    </cfRule>
  </conditionalFormatting>
  <conditionalFormatting sqref="AF221:AF222">
    <cfRule type="expression" dxfId="507" priority="81">
      <formula>AF$29=0</formula>
    </cfRule>
  </conditionalFormatting>
  <conditionalFormatting sqref="AF209:BD216">
    <cfRule type="expression" dxfId="506" priority="68">
      <formula>AF$29=0</formula>
    </cfRule>
  </conditionalFormatting>
  <conditionalFormatting sqref="AM187">
    <cfRule type="expression" dxfId="505" priority="91">
      <formula>AM$29=0</formula>
    </cfRule>
  </conditionalFormatting>
  <conditionalFormatting sqref="AM209:AO209">
    <cfRule type="expression" dxfId="504" priority="30">
      <formula>AM$29=0</formula>
    </cfRule>
  </conditionalFormatting>
  <conditionalFormatting sqref="AM22:AU22">
    <cfRule type="expression" dxfId="503" priority="46">
      <formula>OR(AM$19="",AND(AM$21&lt;&gt;woning,AM$21&lt;&gt;woongebouw))</formula>
    </cfRule>
  </conditionalFormatting>
  <conditionalFormatting sqref="AM70:AU70">
    <cfRule type="expression" dxfId="502" priority="35">
      <formula>OR(AM$19="",AM$24=0)</formula>
    </cfRule>
    <cfRule type="expression" dxfId="501" priority="36">
      <formula>AND(AM$19&lt;&gt;"",AM70="")</formula>
    </cfRule>
  </conditionalFormatting>
  <conditionalFormatting sqref="AM229:AU229">
    <cfRule type="expression" dxfId="500" priority="75">
      <formula>AM$24=0</formula>
    </cfRule>
  </conditionalFormatting>
  <conditionalFormatting sqref="AM257:AU257">
    <cfRule type="expression" dxfId="499" priority="76">
      <formula>AM$24=0</formula>
    </cfRule>
  </conditionalFormatting>
  <conditionalFormatting sqref="AM290:AU290">
    <cfRule type="expression" dxfId="498" priority="7">
      <formula>AM$24=0</formula>
    </cfRule>
  </conditionalFormatting>
  <conditionalFormatting sqref="AM292:AU292">
    <cfRule type="expression" dxfId="497" priority="27">
      <formula>AM292&lt;AM287</formula>
    </cfRule>
  </conditionalFormatting>
  <conditionalFormatting sqref="AM294:AU294">
    <cfRule type="expression" dxfId="495" priority="17">
      <formula>AND(AM294&lt;&gt;"nvt",AM294&gt;AM293)</formula>
    </cfRule>
    <cfRule type="expression" dxfId="496" priority="18">
      <formula>AND(AM294&lt;&gt;"nvt",AM294&lt;=AM293)</formula>
    </cfRule>
  </conditionalFormatting>
  <conditionalFormatting sqref="AM297:AU297">
    <cfRule type="expression" dxfId="493" priority="15">
      <formula>AND(AM297&lt;&gt;"nvt",AM297&gt;AM296)</formula>
    </cfRule>
    <cfRule type="expression" dxfId="494" priority="16">
      <formula>AND(AM297&lt;&gt;"nvt",AM297&lt;=AM296)</formula>
    </cfRule>
  </conditionalFormatting>
  <conditionalFormatting sqref="AM302:AU310 AM312:AU314 AM316:AU316 AM318:AU318">
    <cfRule type="expression" dxfId="492" priority="65">
      <formula>AM$24=0</formula>
    </cfRule>
  </conditionalFormatting>
  <conditionalFormatting sqref="AR186:AR188">
    <cfRule type="expression" dxfId="491" priority="77">
      <formula>AR$29=0</formula>
    </cfRule>
  </conditionalFormatting>
  <conditionalFormatting sqref="AR221:AR222">
    <cfRule type="expression" dxfId="490" priority="78">
      <formula>AR$29=0</formula>
    </cfRule>
  </conditionalFormatting>
  <conditionalFormatting sqref="AR289">
    <cfRule type="expression" dxfId="489" priority="79">
      <formula>AR289&lt;AR285</formula>
    </cfRule>
  </conditionalFormatting>
  <conditionalFormatting sqref="AY187">
    <cfRule type="expression" dxfId="488" priority="90">
      <formula>AY$29=0</formula>
    </cfRule>
  </conditionalFormatting>
  <conditionalFormatting sqref="AY106:BA106">
    <cfRule type="expression" dxfId="487" priority="137">
      <formula>AND(AY$75&gt;0,AY106="")</formula>
    </cfRule>
  </conditionalFormatting>
  <conditionalFormatting sqref="AY209:BA209">
    <cfRule type="expression" dxfId="486" priority="29">
      <formula>AY$29=0</formula>
    </cfRule>
  </conditionalFormatting>
  <conditionalFormatting sqref="AY186:BC186">
    <cfRule type="expression" dxfId="485" priority="93">
      <formula>AY$29=0</formula>
    </cfRule>
  </conditionalFormatting>
  <conditionalFormatting sqref="AY22:BG22">
    <cfRule type="expression" dxfId="484" priority="45">
      <formula>OR(AY$19="",AND(AY$21&lt;&gt;woning,AY$21&lt;&gt;woongebouw))</formula>
    </cfRule>
  </conditionalFormatting>
  <conditionalFormatting sqref="AY70:BG70">
    <cfRule type="expression" dxfId="482" priority="33">
      <formula>OR(AY$19="",AY$24=0)</formula>
    </cfRule>
    <cfRule type="expression" dxfId="483" priority="34">
      <formula>AND(AY$19&lt;&gt;"",AY70="")</formula>
    </cfRule>
  </conditionalFormatting>
  <conditionalFormatting sqref="AY229:BG229">
    <cfRule type="expression" dxfId="481" priority="67">
      <formula>AY$24=0</formula>
    </cfRule>
  </conditionalFormatting>
  <conditionalFormatting sqref="AY251:BG253 AY255:BG255 AY257:BG257 AY262:BG269 AY271:BG271 AY273:BG273 AY275:BG275 AY280:BG280 AY282:BG284 AY286:BG288 AY293:BG294 AY296:BG297 AY302:BG310">
    <cfRule type="expression" dxfId="480" priority="63">
      <formula>AY$24=0</formula>
    </cfRule>
  </conditionalFormatting>
  <conditionalFormatting sqref="AY286:BG287">
    <cfRule type="expression" dxfId="479" priority="121">
      <formula>AY286&gt;AY282</formula>
    </cfRule>
  </conditionalFormatting>
  <conditionalFormatting sqref="AY290:BG290">
    <cfRule type="expression" dxfId="478" priority="6">
      <formula>AY$24=0</formula>
    </cfRule>
  </conditionalFormatting>
  <conditionalFormatting sqref="AY290:BG291 AY312:BG314 AY316:BG316">
    <cfRule type="expression" dxfId="477" priority="70">
      <formula>AY$24=0</formula>
    </cfRule>
  </conditionalFormatting>
  <conditionalFormatting sqref="AY294:BG294">
    <cfRule type="expression" dxfId="475" priority="12">
      <formula>AND(AY294&lt;&gt;"nvt",AY294&gt;AY293)</formula>
    </cfRule>
    <cfRule type="expression" dxfId="476" priority="13">
      <formula>AND(AY294&lt;&gt;"nvt",AY294&lt;=AY293)</formula>
    </cfRule>
  </conditionalFormatting>
  <conditionalFormatting sqref="AY297:BG297">
    <cfRule type="expression" dxfId="473" priority="10">
      <formula>AND(AY297&lt;&gt;"nvt",AY297&gt;AY296)</formula>
    </cfRule>
    <cfRule type="expression" dxfId="474" priority="11">
      <formula>AND(AY297&lt;&gt;"nvt",AY297&lt;=AY296)</formula>
    </cfRule>
  </conditionalFormatting>
  <conditionalFormatting sqref="AY318:BG318">
    <cfRule type="expression" dxfId="472" priority="69">
      <formula>AY$24=0</formula>
    </cfRule>
  </conditionalFormatting>
  <conditionalFormatting sqref="BD161:BD162">
    <cfRule type="expression" dxfId="471" priority="60">
      <formula>BD$29=0</formula>
    </cfRule>
  </conditionalFormatting>
  <conditionalFormatting sqref="BD186:BD188">
    <cfRule type="expression" dxfId="470" priority="71">
      <formula>BD$29=0</formula>
    </cfRule>
  </conditionalFormatting>
  <conditionalFormatting sqref="BD221:BD222">
    <cfRule type="expression" dxfId="469" priority="72">
      <formula>BD$29=0</formula>
    </cfRule>
  </conditionalFormatting>
  <conditionalFormatting sqref="BD288">
    <cfRule type="expression" dxfId="468" priority="73">
      <formula>BD288&lt;BD284</formula>
    </cfRule>
  </conditionalFormatting>
  <conditionalFormatting sqref="BH186:BH188 BH190:BH192">
    <cfRule type="expression" dxfId="467" priority="125">
      <formula>AND(BH186&lt;&gt;"-",BH186&gt;BH187)</formula>
    </cfRule>
  </conditionalFormatting>
  <conditionalFormatting sqref="BH227">
    <cfRule type="expression" dxfId="466" priority="135">
      <formula>AND(BH227&lt;&gt;"-",BH227&gt;#REF!)</formula>
    </cfRule>
  </conditionalFormatting>
  <conditionalFormatting sqref="O288:W288 AA288:AI288 AM288:AU288 AY288:BG288">
    <cfRule type="expression" dxfId="465" priority="1">
      <formula>$O$288&lt;$O$284</formula>
    </cfRule>
  </conditionalFormatting>
  <dataValidations count="97">
    <dataValidation type="decimal" allowBlank="1" showInputMessage="1" showErrorMessage="1" errorTitle="Invoer valt buiten bereik" error="De ingevoerde waarde valt buiten het bereik." sqref="O54:W55 AA54:AI55 AM54:AU55 AY54:BG55" xr:uid="{9BBFF9E2-0FB7-479C-AEE8-2E46EFE92209}">
      <formula1>0.2</formula1>
      <formula2>2</formula2>
    </dataValidation>
    <dataValidation allowBlank="1" showInputMessage="1" showErrorMessage="1" promptTitle="Renocatiestandaard utiliteit" prompt="De renovatiestandaard is een vrijwillige richtlijn voor de energieprestatie van utiliteitsgebouwen. Na 2030 wordt er een verplichte eindnorm bepaald waaraan de energieprestaties van alle gebouwen moeten voldoen in 2050." sqref="D291" xr:uid="{57766C64-FC0A-4361-8D5A-AFFF49801453}"/>
    <dataValidation allowBlank="1" showInputMessage="1" showErrorMessage="1" promptTitle="Energiepakket / energiebehoefte" sqref="O40:BG40" xr:uid="{91339148-004D-445D-B124-79AE3D01F41A}"/>
    <dataValidation type="list" allowBlank="1" showInputMessage="1" showErrorMessage="1" promptTitle="Energiepakket / energiebehoefte" sqref="AY41:BG41 AA41:AI41 AM41:AU41 O41:W41" xr:uid="{EE5B44DF-F955-4AAE-8BD0-5E3F854C5CA9}">
      <formula1>isolatiepakketten_gebouwschil_namen</formula1>
    </dataValidation>
    <dataValidation allowBlank="1" showInputMessage="1" showErrorMessage="1" promptTitle="Correctie warmtebehoefte RV" prompt="In slecht geïsoleerde gebouwen berekent NTA8800 gemiddeld té hoge energiegebruiken voor ruimteverwarming._x000a_De correctie corrigeert de NTA berekening op basis van de gemiddelde U-waarde._x000a__x000a_&gt;&gt; energieprestatie-indicatoren zijn alleen geldig ZONDER correctie." sqref="D6" xr:uid="{94B991BE-AA49-44BC-960A-3A0E7FF38C5A}"/>
    <dataValidation allowBlank="1" showInputMessage="1" showErrorMessage="1" promptTitle="Correctiefactor verwarming" prompt="Slecht geïsoleerde woningen verbruiken gemiddeld veel minder en goed geïsoleerde woningen verbruiken gemiddeld wat meer dan berekend cf NTA8800._x000a__x000a_Deze correctiefactor verrekent dat._x000a__x000a_Rekenwaarde warmtebehoefte = correctiefactor * warmtebehoefte cf NTA8800" sqref="D53" xr:uid="{341D60F6-46EB-42DA-A053-85BCD04627DD}"/>
    <dataValidation allowBlank="1" showInputMessage="1" showErrorMessage="1" promptTitle="Standaardwaarde" prompt="Deze standaard geeft aan wanneer een woning goed genoeg is geïsoleerd om aardgasvrij te worden. Hij is ontstaan uit het Klimaatakkoord._x000a_" sqref="D292" xr:uid="{71DBAA7C-72C4-4E8B-9EDF-E6CD81BC3D5A}"/>
    <dataValidation allowBlank="1" showInputMessage="1" showErrorMessage="1" promptTitle="CO2 emissiecoëfficiënt" prompt="CO2 emissiecoëfficiënt energiedrager._x000a__x000a_Bij collectieve WKK met/zonder derving, geothermie, etc wordt de CO2 emissiecoëfficiënt uitgerekend cf. NEN7125_2017 paragraaf 7.3.4.5/6/9._x000a__x000a_Bij een EMG-verklaring wordt de waarde voor K_CO2 del overgenomen." sqref="D119" xr:uid="{DC01A297-89BD-48FB-A3E5-7A9D8B4A747F}"/>
    <dataValidation allowBlank="1" showInputMessage="1" showErrorMessage="1" promptTitle="Elektriciteitsderving bij WKK" prompt="Bij WKK's waarbij de elektriciteitsproductie afneemt bij onttrekking van warmte, wordt de primaire energiefactor uitgerekend met de verhouding tussen elektriciteitsderving en thermische omzettingsgetal (Δε;chp;el / ε;chp;th)._x000a__x000a_NEN7125_2017 par 7.3.4.6" sqref="D110" xr:uid="{11763C26-1FA3-4543-AD97-71CCE9156B7F}"/>
    <dataValidation allowBlank="1" showInputMessage="1" showErrorMessage="1" promptTitle="Primaire energiefactor" prompt="Primaire energiefactor energiedrager._x000a__x000a_Bij collectieve WKK met/zonder derving, geothermie, etc wordt de primaire energiefactor uitgerekend cf. NEN7125_2017 paragraaf 7.3.4.5/6/9._x000a__x000a_Bij een EMG-verklaring wordt de waarde voor fPdel overgenomen." sqref="D115" xr:uid="{56541328-EA35-4F25-87B2-D11ABB310528}"/>
    <dataValidation type="textLength" allowBlank="1" showInputMessage="1" showErrorMessage="1" errorTitle="Maximaal 65 karakters" error="Maximaal 65 karakters." sqref="F4" xr:uid="{0F761681-10A7-4768-86BC-FF659FE38BB9}">
      <formula1>0</formula1>
      <formula2>65</formula2>
    </dataValidation>
    <dataValidation type="textLength" errorStyle="warning" allowBlank="1" showInputMessage="1" showErrorMessage="1" errorTitle="Maximaal 30 karakters" error="Maximaal 30 karakters" sqref="H3" xr:uid="{EAFE655E-6F6C-4CE0-9461-1EA2AD66738B}">
      <formula1>0</formula1>
      <formula2>40</formula2>
    </dataValidation>
    <dataValidation type="textLength" errorStyle="warning" allowBlank="1" showInputMessage="1" showErrorMessage="1" errorTitle="Maximaal 30 karakters" error="Maximaal 30 karakters" sqref="E3 F4" xr:uid="{76392593-8C33-422E-A07E-4B179A270124}">
      <formula1>0</formula1>
      <formula2>30</formula2>
    </dataValidation>
    <dataValidation type="decimal" allowBlank="1" showInputMessage="1" showErrorMessage="1" errorTitle="Bereik 0%-100%" error="De ingevoerde waarde valt buiten het bereik." sqref="O44:W44 AA44:AI44 AY44:BG44 AM44:AU44" xr:uid="{0D808273-53D7-44D5-91D3-51812A0F1891}">
      <formula1>0.5</formula1>
      <formula2>2</formula2>
    </dataValidation>
    <dataValidation allowBlank="1" showInputMessage="1" showErrorMessage="1" promptTitle="Elektriciteit 'overig'" prompt="Elektriciteit 'overig' is het elektriciteitsgebruik voor hulpenergie installaties, verlichting, ventilatoren, apparatuur, mobiliteit, elektrisch koken, etcetera." sqref="D154" xr:uid="{0ACC29C8-1D2B-40AF-BE85-97A827EE3983}"/>
    <dataValidation allowBlank="1" showInputMessage="1" showErrorMessage="1" promptTitle="Indicatie geïnstalleerd vermogen" prompt="Forfaitaire, conservatieve, waarden in NTA8800, par. 14.3, in W/m2:_x000a_- winkels: 30_x000a_- gezondheid met bed, logies, cellen: 17_x000a_- overige functies: 16_x000a__x000a_Gebruikelijk is 30% lager._x000a_Energiezuinig 50%-60% lager." sqref="D45" xr:uid="{353916F7-A0E4-443E-9268-8476B77CFF1E}"/>
    <dataValidation allowBlank="1" showInputMessage="1" showErrorMessage="1" promptTitle="Bijdrage zonthermisch MWh" prompt="Bijdrage zonthermisch = %bijdrage zonthermisch * (energiebehoefte + intern distributieverlies)_x000a__x000a_Het % bijdrage zonthermisch is verschillend voor RV en TAP en staat in de bibliotheek." sqref="D88" xr:uid="{F935D2D5-C611-4D42-8783-FE461E76EA2F}"/>
    <dataValidation allowBlank="1" showInputMessage="1" showErrorMessage="1" promptTitle="Aandeel hernieuwbare energie" prompt="Aandeel hernieuwbare energie._x000a__x000a_RERPrenTOT = EPrenTot / (EPTot + EPrenTot) * 100%_x000a__x000a_Cf. NTA8800 par. 5.3.1.3, formule 5.3" sqref="D288" xr:uid="{6CF80B30-9D5B-4236-9927-C180509FE9DA}"/>
    <dataValidation type="list" allowBlank="1" showInputMessage="1" showErrorMessage="1" sqref="O47:W47 AA47:AI47 AY47:BG47 AM47:AU47" xr:uid="{CC5A0012-A0DF-42B4-8760-05B77C5E5240}">
      <formula1>"elektriciteit,aardgas"</formula1>
    </dataValidation>
    <dataValidation allowBlank="1" showInputMessage="1" showErrorMessage="1" promptTitle="Kookgas" prompt="Gasverbruik voor kookgas." sqref="D65" xr:uid="{71B33942-D66D-46A6-AA31-909F49007E50}"/>
    <dataValidation allowBlank="1" showInputMessage="1" showErrorMessage="1" promptTitle="Hernieuwbare 'primaire' energie" prompt="De totale hernieuwbare 'primaire' energie voor GEBOUWGEBONDEN energiegebruik is berekend cf. NTA8800._x000a__x000a_NTA8800 par. 5.6." sqref="D260" xr:uid="{2AF00065-732B-490D-BA23-4EE5A3A9FA72}"/>
    <dataValidation allowBlank="1" showInputMessage="1" showErrorMessage="1" promptTitle="Energieprestatie indicatoren" prompt="De energieprestatie indicatoren gaan alleen over GEBOUWGEBONDEN energiegebruik en zijn bepaald cf. paragraaf 5.3.1 van NTA 8800._x000a__x000a_" sqref="D278" xr:uid="{AC8CD3A3-D9B6-49C7-956D-D45480613199}"/>
    <dataValidation allowBlank="1" showInputMessage="1" showErrorMessage="1" promptTitle="Energielabel" prompt="Het energielabel wordt bepaald op basis van het gebouwgebonden primair energiegebruik in kWh/m2._x000a__x000a_Zie 'Regeling energieprestatie gebouwen', https://wetten.overheid.nl/BWBR0020921/2021-07-01" sqref="D290" xr:uid="{3AB3690A-40BB-4B5A-BBF0-3AB70453E850}"/>
    <dataValidation allowBlank="1" showInputMessage="1" showErrorMessage="1" promptTitle="Besparing warmtevraag tapwater" prompt="Reductie (of toename) van de warmtevraag voor warmtapwater t.o.v. van de berekende warmtevraag cf. NTA 8800._x000a__x000a_Te denken valt aan DWTW, waterbesparende kranen, lagere bezetting, bewust energiezuinig gedrag, et cetera." sqref="D44" xr:uid="{ACEA5BFA-D0A7-42BF-BE5C-A2F1932CFF8D}"/>
    <dataValidation allowBlank="1" showInputMessage="1" showErrorMessage="1" promptTitle="Woningen|utiliteitsgebouwen" prompt="De tabel geeft een terugkoppeling van de ingevoerde woningen en utileitsgebouwen in" sqref="D17" xr:uid="{D93897BB-1059-40B8-ADBF-783A4B68E238}"/>
    <dataValidation allowBlank="1" showInputMessage="1" showErrorMessage="1" promptTitle="Resultaten" prompt="De tabel geeft een samenvatting van het primair energiegebruik, de CO2 emissie en het gasverbruik van de locatie(s) als gevolg van energetische keuzes in deze variant." sqref="D10" xr:uid="{C170E332-A6E4-4ED8-B8A9-2489B614A107}"/>
    <dataValidation allowBlank="1" showInputMessage="1" showErrorMessage="1" promptTitle="Niet preferent toestel" prompt="Kenmerken wijzigen van het niet preferente toestel (niet preferent toestel bepaald door type installatie)._x000a_De kenmerken bepalen de te leveren warmte|koude door het niet preferente toestel, het finaal/primair energiegebruik en de CO2 emissie." sqref="D129" xr:uid="{6740F587-4A54-4907-AE9A-070A68C951D0}"/>
    <dataValidation allowBlank="1" showInputMessage="1" showErrorMessage="1" promptTitle="Preferent toestel" prompt="Hier kunnen de kenmerken van het al eerder gekozen preferente toestel worden gewijzigd._x000a_De kenmerken bepalen welk deel van de te leveren warmte|koude door het preferente toestel geleverd wordt en hoeveel primair energiegebruik en CO2 emissie dat kost." sqref="D99" xr:uid="{C6AA699C-B8E5-4390-9549-0BDA7DC57ACA}"/>
    <dataValidation allowBlank="1" showInputMessage="1" showErrorMessage="1" promptTitle="Te leveren warmte en koude" prompt="Aan het distributiesysteem te leveren warmte|koude wordt berekend op basis van de warmte- en koudevraag van woningen en utiliteitsgebouwen (energiebehoefte per energiepost), de verliezen door warmte-/koudedistributie en gebruik van thermische zonnewarmte." sqref="D93" xr:uid="{A11A4F7D-1535-4486-98E4-406DFA1EC121}"/>
    <dataValidation allowBlank="1" showInputMessage="1" showErrorMessage="1" promptTitle="Keuze preferent toestel" prompt="De keuze van het preferente toestel bepaalt welke forfaitaire waarden voor warmtedistributie, energiedragers en rendementen uit de bibliotheek worden opgehaald." sqref="D79" xr:uid="{C964F1BA-447B-4A4F-A03D-2AA5623074AF}"/>
    <dataValidation allowBlank="1" showInputMessage="1" showErrorMessage="1" promptTitle="Installatie" prompt="De installatie voor verwarming, koeling en warmtapwater wordt vastgelegd door keuze voor het type preferent toestel, de warmteverliezen door interen en externe warmtedistributie en gebruik van thermische zonne-energie." sqref="D78" xr:uid="{7466FBDC-CE75-472E-8D50-CDDD3CE34AF7}"/>
    <dataValidation allowBlank="1" showInputMessage="1" showErrorMessage="1" promptTitle="Thermische zonne-energie" prompt="Het thermisch zonne-energiesysteem levert een % van de warmtevraag inclusief intern distributieverlies._x000a__x000a_In de UMGO worden de volgende forfaitaire waarden aangehouden:_x000a_- ruimteverwarming: 15%;_x000a_- warmtapwater: 50%." sqref="D86" xr:uid="{C22335BF-CCC6-4444-9C92-C0730C7AA2A6}"/>
    <dataValidation allowBlank="1" showInputMessage="1" showErrorMessage="1" promptTitle="Energie niet voor verwarmen/koel" prompt="Elektra en gas NIET voor verwarmen/koelen._x000a_- gebouwgebonden (hulpenergie_x000a_   toestellen, verlichting,_x000a_   ventilatoren);_x000a_- niet gebouwgebonden (apparatuur_x000a_   (tv, computer, elektrisch koken,_x000a_   klusapparatuur, etc), mobiliteit);_x000a_-  kookgas" sqref="D149" xr:uid="{C03E9F68-9CB6-49FC-B273-7AF14C392807}"/>
    <dataValidation type="decimal" allowBlank="1" showInputMessage="1" showErrorMessage="1" errorTitle="Bereik 0,0-0,5" error="De ingevoerde waarde valt buiten het bereik." sqref="O126:Q126 AA126:AC126 AY126:BA126 AM126:AO126" xr:uid="{4094A445-BB85-46C9-B6EE-B71350BCE0A4}">
      <formula1>0</formula1>
      <formula2>0.5</formula2>
    </dataValidation>
    <dataValidation type="decimal" allowBlank="1" showInputMessage="1" showErrorMessage="1" errorTitle="Bereik 0,0-1,0" error="De ingevoerde waarde valt buiten het bereik." sqref="AY152:BA152 AA120:AC120 AY120:BA120 O145:Q145 AA145:AC145 AY145:BA145 O152:Q152 AA152:AC152 P120:Q120 AM152:AO152 AM145:AO145 AM120:AO120" xr:uid="{708D3099-F1F4-439D-8CE9-0A7D9A72D5E1}">
      <formula1>0</formula1>
      <formula2>1</formula2>
    </dataValidation>
    <dataValidation type="decimal" allowBlank="1" showInputMessage="1" showErrorMessage="1" errorTitle="Bereik 0,0-2,0" error="De ingevoerde waarde valt buiten het bereik." sqref="O116:Q116 AA116:AC116 AY116:BA116 O141:Q141 AA141:AC141 AY141:BA141 O120 AM141:AO141 AM116:AO116" xr:uid="{840F2959-41D4-42E4-8C63-F759A769B421}">
      <formula1>0</formula1>
      <formula2>2</formula2>
    </dataValidation>
    <dataValidation type="decimal" allowBlank="1" showInputMessage="1" showErrorMessage="1" errorTitle="Bereik 0,10-1,00" error="De ingevoerde waarde valt buiten het bereik." sqref="O84 Q84 AA84 AC84 AY84 BA84 AM84 AO84" xr:uid="{5644592B-8426-437F-AA85-873EFE0CE68B}">
      <formula1>0.1</formula1>
      <formula2>1</formula2>
    </dataValidation>
    <dataValidation type="decimal" operator="greaterThanOrEqual" allowBlank="1" showInputMessage="1" showErrorMessage="1" errorTitle="Bereik ≥0" error="De ingevoerde waarde valt buiten het bereik." promptTitle="Energiepakket / energiebehoefte" sqref="O70:W70 AA70:AI70 AY70:BG70 AM70:AU70" xr:uid="{C26F4CA6-DCF6-4F53-B8E4-A41CFC48DEF8}">
      <formula1>0</formula1>
    </dataValidation>
    <dataValidation type="decimal" operator="greaterThanOrEqual" allowBlank="1" showInputMessage="1" showErrorMessage="1" errorTitle="Bereik ≥0" error="De ingevoerde waarde valt buiten het bereik." sqref="BA91 O68:W68 AA68:AI68 O91 Q91 AA91 AC91 AM91 AO91 AY91 AY68:BG68 AM68:AU68" xr:uid="{B36F800D-6D7F-4C1C-9A7D-B7EB83F8C620}">
      <formula1>0</formula1>
    </dataValidation>
    <dataValidation type="decimal" allowBlank="1" showInputMessage="1" showErrorMessage="1" errorTitle="Bereik 0-30" error="De ingevoerde waarde valt buiten het bereik." sqref="O45:W45 AA45:AI45 AY45:BG45 AM45:AU45" xr:uid="{BF09432F-EEC8-459C-98B5-44BB0BD7D72F}">
      <formula1>0</formula1>
      <formula2>30</formula2>
    </dataValidation>
    <dataValidation type="decimal" operator="greaterThanOrEqual" allowBlank="1" showInputMessage="1" showErrorMessage="1" errorTitle="Bereik ≥0" error="De ingevulde waarde valt buiten het bereik." sqref="O25:W25 AA25:AI25 AY25:BG25 AM25:AU25" xr:uid="{46C4833E-DD88-464C-B642-A10F54987ADD}">
      <formula1>0</formula1>
    </dataValidation>
    <dataValidation type="decimal" allowBlank="1" showInputMessage="1" showErrorMessage="1" errorTitle="Bereik 0%-100%" error="De ingevoerde waarde valt buiten het bereik." sqref="O48:W48 AA48:AI48 AY48:BG48 AM48:AU48" xr:uid="{8DFAF050-D1B8-4792-84AC-F4F6BD796B08}">
      <formula1>0</formula1>
      <formula2>1</formula2>
    </dataValidation>
    <dataValidation type="decimal" allowBlank="1" showInputMessage="1" showErrorMessage="1" errorTitle="Bereik 0,1-15,0" error="De ingevoerde waarde valt buiten het bereik." sqref="AA109:AC109 AY109:BA109 AY137:BA137 O137:Q137 AA137:AC137 O109:Q109 AM137:AO137 AM109:AO109" xr:uid="{93B356CF-8535-4BC3-94E6-3FF476B271DF}">
      <formula1>0.1</formula1>
      <formula2>15</formula2>
    </dataValidation>
    <dataValidation type="decimal" allowBlank="1" showInputMessage="1" showErrorMessage="1" errorTitle="Bereik 0%-100%" error="De ingevoerde waarde is buiten het bereik." sqref="AY106:BA106 AA106:AC106 O106:Q106 AM106:AO106" xr:uid="{B63E08C4-1DCA-4CDC-B62B-002FA8D19618}">
      <formula1>0</formula1>
      <formula2>1</formula2>
    </dataValidation>
    <dataValidation allowBlank="1" showInputMessage="1" showErrorMessage="1" promptTitle="Hernieuwbaar ext. warmte/koude" prompt="Ingezette hernieuwbare energie door externe warmte-/koudelevering._x000a__x000a_EPren;gen;out = Q[HCW];gen;out * fPren;d[hcw]X_x000a__x000a_X staat voor 'kwal' (kwalteitsverklaring) of 'forf' (forfaitair)._x000a__x000a_Cf. NTA8800 par. 5.6.2." sqref="D212" xr:uid="{249157F3-6B63-4A7C-99E7-5CDA15B9C5E4}"/>
    <dataValidation allowBlank="1" showInputMessage="1" showErrorMessage="1" promptTitle="primaire energie indicator" prompt="Het totale gebouwgebonden primaire (vermeden) energiegebruik (voor woningen ZONDER verlichting) in kWh/m2._x000a__x000a_NTA8800, par. 5.3.1.2_x000a__x000a_" sqref="D287" xr:uid="{D939C4A2-0F5B-4106-9BD2-43EA25D08944}"/>
    <dataValidation allowBlank="1" showInputMessage="1" showErrorMessage="1" promptTitle="energiebehoefte-indicator" prompt="Warmtebehoefte ruimteverwarming + koudebehoefte voor koeling, berekend met ventilatiesysteem C1, in kWh/m2._x000a__x000a_NTA8800, par. 5.3.1.1_x000a__x000a_" sqref="D286" xr:uid="{2C25C5AB-CBDA-4F87-A2FB-59F6B36AB0D6}"/>
    <dataValidation allowBlank="1" showInputMessage="1" showErrorMessage="1" promptTitle="Energieprestaties" prompt="De berekende energieprestatie (bestaande bouw EN nieuwbouw) is afgezet tegen de BENG eisen voor NIEUWBOUW._x000a__x000a_GROEN: berekende waarde voldoet WEL aan de eis_x000a_ROOD: berekende waarde voldoet NIET aan de eis_x000a__x000a_" sqref="D285" xr:uid="{6895B00E-F198-4AF8-A04B-C82F1E789FBD}"/>
    <dataValidation allowBlank="1" showInputMessage="1" showErrorMessage="1" promptTitle="BENG eisen 2021" prompt="De BENG eisen zijn overgenomen van:_x000a__x000a_https://zoek.officielebekendmakingen.nl/stb-2019-501.html_x000a__x000a_" sqref="D281" xr:uid="{30F7BF5C-1948-406B-B0FD-FC018D385279}"/>
    <dataValidation allowBlank="1" showInputMessage="1" showErrorMessage="1" promptTitle="Energiegebruik per energiepost" prompt="Per deellocatie is de energiebehoefte van alle woningen en gebouwen per energiepost gesommeerd." sqref="D75" xr:uid="{2AB3346E-3FEF-41B3-B257-334325429F63}"/>
    <dataValidation allowBlank="1" showInputMessage="1" showErrorMessage="1" promptTitle="Besparing elektr. apparatuur" prompt="Reductie van het niet gebouwgebonden elektriciteitsgebruik zoals dat in de onderstaande tabel is berekend._x000a__x000a_Een reductie van 100% betekent dat in de UMGO het niet gebouwgebonden elektriciteitsgebruik niet in de berekening wordt meegenomen." sqref="D48" xr:uid="{421B2F7D-D53C-4703-8075-5BC1A17117B3}"/>
    <dataValidation allowBlank="1" showInputMessage="1" showErrorMessage="1" promptTitle="Elektriciteitsgebruik overig" prompt="Het elektriciteitsgebruik binnen het gebouw, niet gerelateerd aan gebouwinstallaties (computers, printers, elektrisch koken, klusapparatuur et cetera)._x000a__x000a_Voor woningen zijn CBS cijfers gebruikt. Voor utiliteitsgebouwen tabel 7.3 uit NTA8800." sqref="D66" xr:uid="{AB1E6634-8405-486B-ABF7-F8F61E0CF4E2}"/>
    <dataValidation allowBlank="1" showInputMessage="1" showErrorMessage="1" promptTitle="Elektriciteitsvraag ventilatoren" prompt="De elektriciteitsvraag voor ventilatoren is afgeleid met gebouwen uit de energielabeldatabase (UT) en Voorbeeldgebouwen 2020. Na (her)berekenen met NTA8800 wordt de elektricitetsvraag berekend obv:_x000a_- ventilatiesysteem_x000a_- wissel-gelijkstroom/installatiejaar" sqref="D64" xr:uid="{65D6088B-2ABB-4DCE-A71D-A8EBC10901DC}"/>
    <dataValidation allowBlank="1" showInputMessage="1" showErrorMessage="1" promptTitle="Elektriciteitsvraag verlichting" prompt="De elektriciteitsvraag voor verlichting is afgeleid met gebouwen uit de energielabeldatabase (UT) en Voorbeeldgebouwen 2020. Na (her)berekenen met NTA8800 wordt de elektricitetsvraag berekend obv:_x000a_- geïnstalleerd vermogen in W/m2_x000a_- verlichtingsregeling" sqref="D63" xr:uid="{76632FC4-44FD-431D-994E-4CFDDEF84B51}"/>
    <dataValidation allowBlank="1" showInputMessage="1" showErrorMessage="1" promptTitle="Koudebehoefte koeling" prompt="De koudebehoefte voor koeling is afgeleid met data van gebouwen uit de energielabeldatabase (UT) en Voorbeeldgebouwen 2020. Na (her)berekenen met NTA8800 is een verband afgeleid tussen koudebehoefte en:_x000a_- Als/Ag_x000a_- U gem_x000a_- vent.sys." sqref="D61" xr:uid="{A483A452-251E-44E0-9D4D-E8118186E32A}"/>
    <dataValidation allowBlank="1" showInputMessage="1" showErrorMessage="1" promptTitle="Warmtebehoefte ruimteverwarming" prompt="De warmtebehoefte voor verwarming is afgeleid met data van gebouwen uit de energielabeldatabase (UT) en Voorbeeldgebouwen 2020. Na (her)berekenen met NTA8800 is een verband afgeleid tussen warmtebehoefte en:_x000a_- Als/Ag_x000a_- U gem_x000a_- vent.sys." sqref="D60" xr:uid="{D82B3589-EF45-4D20-BB87-65DB31623EC0}"/>
    <dataValidation allowBlank="1" showInputMessage="1" showErrorMessage="1" promptTitle="Hernieuwbaar door vrije koeling" prompt="Geleverde energie door vrije koeling. Mits EER &gt;= 8 (anders EPren;gen;out = 0)_x000a__x000a_EPren;gen;out = QC;gen;out * fPren;rencold_x000a__x000a_Cf. NTA8800 par. 5.6.2.2_x000a_" sqref="D265 D210" xr:uid="{2AC2488B-49D9-4E8A-B2FE-0F084597A2D5}"/>
    <dataValidation allowBlank="1" showInputMessage="1" showErrorMessage="1" promptTitle="Aandeel hernieuwb. prim energie" prompt="Aandeel hernieuwbare energie._x000a__x000a_RERPrenTOT = EPrenTot / (EPTot + EPrenTot) * 100%_x000a__x000a_Cf. NTA8800 par. 5.3.1.3, formule 5.3" sqref="D275" xr:uid="{FB28DD0C-1CA6-42C0-AF5D-ACB588E1DD26}"/>
    <dataValidation allowBlank="1" showInputMessage="1" showErrorMessage="1" promptTitle="Hernieuwb. abs. koel ext. warmte" prompt="Geleverde energie door absorptiekoeling op externe warmtelevering._x000a__x000a_EPren;gen;out = QC;gen;out * fPren;dhX_x000a__x000a_Waarbij de X in fPren;dhX staat voor 'kwal' (met) of 'forf' (zonder kwalteitsverklaring)._x000a__x000a_Cf. NTA8800 par. 5.6.2." sqref="D268 D213" xr:uid="{BA7D4504-FA42-4B47-AE3E-E4A676F4C640}"/>
    <dataValidation allowBlank="1" showInputMessage="1" showErrorMessage="1" promptTitle="Totaal hernieuwbare prim energie" prompt="Hernieuwbare 'primaire' energie van de woning of het gebouw." sqref="D273" xr:uid="{11759F9A-3690-4A72-894A-87607A9C7C1A}"/>
    <dataValidation allowBlank="1" showInputMessage="1" showErrorMessage="1" promptTitle="Hernieuwbaar opgewekte elek." prompt="Op het eigen perceel opgewekte primaire hernieuwbare elektriciteit._x000a__x000a_EPren;el = Eel;PV/PVT/wind * fPren;renelect_x000a__x000a_Cf. NTA8800 par. 5.6.2.4." sqref="D271 D215" xr:uid="{7B4C7C46-1EAA-4F49-9269-E30319A69A0C}"/>
    <dataValidation allowBlank="1" showInputMessage="1" showErrorMessage="1" promptTitle="Hernieuwbaar zonne-energie therm" prompt="Onder praktijkomstandigheden aangeleverde hoeveelheid hernieuwbare energie, door thermische zonne-energiesystemen (zonneboiler(combi)s op eigen perceel._x000a__x000a_EPren;sol;prac = QHW;sol;prac * fPren;renheat_x000a__x000a_Cf. NTA8800 par. 5.6.2._x000a_" sqref="D269 D214" xr:uid="{31D63025-B2CD-4146-99A6-91074488597F}"/>
    <dataValidation allowBlank="1" showInputMessage="1" showErrorMessage="1" promptTitle="Hernieuwbaar ext. warmte/koude" prompt="Ingezette hernieuwbare energie door externe warmte-/koudelevering. Waarbij de X in fPren;d[hcw]X staat voor 'kwal' (met) of 'forf' (zonder kwalteitsverklaring)._x000a__x000a_EPren;gen;out = Q[HCW];gen;out * fPren;d[hcw]X_x000a__x000a_Cf. NTA8800 par. 5.6.2._x000a_" sqref="D267" xr:uid="{74608D26-70C6-4DA5-81B2-7107935AE1EF}"/>
    <dataValidation allowBlank="1" showInputMessage="1" showErrorMessage="1" promptTitle="Hernieuwbare energie biomassa" prompt="Ingezette hernieuwbare energie door biomassatoestel._x000a__x000a_EPren;gen;out = QHW;gen;out * fPren;bmX_x000a__x000a_Waarbij de X in fPren;bmX staat voor A, B of C afhankelijk van het type biomassa._x000a__x000a_Cf. NTA8800 par. 5.6.2._x000a_" sqref="D266 D211" xr:uid="{605DBBB2-28AE-4FB2-BF29-5478CFFD4E5B}"/>
    <dataValidation allowBlank="1" showInputMessage="1" showErrorMessage="1" promptTitle="Hernieuwbare energie warmtepomp" prompt="Ingezette hernieuwbare energie door warmtepompen. Mits EN:_x000a_- COP (of eta) &gt;=1,0;_x000a_- bron is GEEN ventilatieretourlucht_x000a_- warmtepomp GEEN booster-wp._x000a__x000a_EPren;hp = QHW;gen;hp;out * (1-1/COP) * fPren;renheat_x000a__x000a_Cf. NTA8800 par. 5.6.2." sqref="D264 D209" xr:uid="{C96925A6-414C-44EB-A58C-271A9C6139B0}"/>
    <dataValidation allowBlank="1" showInputMessage="1" showErrorMessage="1" promptTitle="Aantal toestellen" prompt="Voor toestellen met geografisch niveau:_x000a_- 'gebouw': aantal woningen en gebouwen in deellocatie._x000a_- 'gebied': totale gebruiksoppervlakte in deelgebied delen door gemiddeld maximaal te verwarmen/koelen oppervlak._x000a_- 'centraal': 1." sqref="D95" xr:uid="{626B7186-A861-4E69-96F2-78D10CE69DE6}"/>
    <dataValidation allowBlank="1" showInputMessage="1" showErrorMessage="1" promptTitle="Vermogen verwarming &amp; koeling" prompt="Een indicatie van het verwarmings- en koelvermogen op basis van formules NTA8800. Zie 'bibliotheek' voor meer details." sqref="D96" xr:uid="{C7FCF5DC-1C61-42AB-978D-197ECFFAF681}"/>
    <dataValidation type="list" allowBlank="1" showInputMessage="1" showErrorMessage="1" sqref="O46:W46 AA46:AI46 AY46:BG46 AM46:AU46" xr:uid="{57B017CC-FE1C-49EE-A9F0-7F7291C40A44}">
      <formula1>verlichtingsregeling_namen</formula1>
    </dataValidation>
    <dataValidation type="list" allowBlank="1" showInputMessage="1" showErrorMessage="1" sqref="O43:W43 AA43:AI43 AY43:BG43 AM43:AU43" xr:uid="{95F081F3-0A9A-4B96-8A0D-95C6CA2554A8}">
      <formula1>ventilatoren_typen</formula1>
    </dataValidation>
    <dataValidation type="list" allowBlank="1" showInputMessage="1" showErrorMessage="1" sqref="O42:W42 AY42:BG42 AA42:AI42 AM42:AU42" xr:uid="{667112FE-A51C-4DCC-93F3-87D4076E6AF3}">
      <formula1>ventilatiesystemen_namen</formula1>
    </dataValidation>
    <dataValidation allowBlank="1" showInputMessage="1" showErrorMessage="1" promptTitle="Correctiefactor ruimteverwarming" prompt="Werkelijk energiegebruik voor ruimteverwarming wijkt vaak af van energiegebruik cf. EPG._x000a__x000a_Slecht geïsoleerde woningen verbruiken gemiddeld minder en goed geïsoleerde woningen verbruiken gemiddeld meer dan berekend._x000a__x000a_Deze correctiefactor verrekent dat." sqref="D54:D55" xr:uid="{444C0C7D-7EDE-4489-88DE-EF29A4668D9F}"/>
    <dataValidation type="list" allowBlank="1" showInputMessage="1" showErrorMessage="1" errorTitle="Toestel RV" error="Kies een beschikbaar toestel." sqref="Q87 AA87 AC87 AM87 AO87 AY87 BA87 O87" xr:uid="{F86D2C44-FC6D-4BA3-8418-2C73EAEA750A}">
      <formula1>"ja,nee"</formula1>
    </dataValidation>
    <dataValidation allowBlank="1" showInputMessage="1" showErrorMessage="1" promptTitle="Isolatiepakket gebouwschil" prompt="De aangeboden isolatiepakketten voor de gebouwschil bepalen de gemiddelde warmtedoorgangscoëfficiënt van de gebouwschil. In de bibliotheek zijn de Rc- en U-waarden per pakket en per bouwdeel aangegeven._x000a__x000a_Eigen pakketten zijn daaraan toe te voegen." sqref="D40" xr:uid="{031B6C15-7503-4E4F-B200-7B8A693079CF}"/>
    <dataValidation allowBlank="1" showInputMessage="1" showErrorMessage="1" promptTitle="Warmtebehoefte warmtapwater" prompt="De energiebehoefte voor warmtapwatergebruik wordt berekend op basis van rekenregels in NTA8800 (paragraaf 13.2)." sqref="D62" xr:uid="{D90C9AB8-602E-4D55-87BA-9CF6CBF8D581}"/>
    <dataValidation allowBlank="1" showInputMessage="1" showErrorMessage="1" promptTitle="Gegevensfilter en navigatie" prompt="&lt;-_x000a_Het gegevensfilter biedt de mogelijkheid om (delen van) tabellen in de UMGO te filteren._x000a__x000a_-&gt;_x000a_Navigatieknoppen naar andere tabbladen." sqref="D8" xr:uid="{43783DBD-9FB0-4964-893D-066670D0F87D}"/>
    <dataValidation allowBlank="1" showInputMessage="1" showErrorMessage="1" promptTitle="Distributieverlies binnen gebouw" prompt="Warmtedistributieverlies binnen woning|gebouw voor ruimteverwarming en warmtapwater, en afgifteverlies (radiator, vloerverwarming) voor ruimteverwarming._x000a_(Afgifteverlies voor warmtapwater zit verwerkt in het kengetal voor energiebehoefte warmtapwater.)" sqref="D82" xr:uid="{69F16AE2-2EA6-40F4-AB69-7066A0957707}"/>
    <dataValidation type="list" allowBlank="1" showInputMessage="1" showErrorMessage="1" sqref="Q80 AC80 BA80 AO80" xr:uid="{76A4A7E3-705C-4BAE-924C-708B750DB3E1}">
      <formula1>toestellen_TAP_invoer</formula1>
    </dataValidation>
    <dataValidation type="list" allowBlank="1" showInputMessage="1" showErrorMessage="1" sqref="P80 AB80 AZ80 AN80" xr:uid="{5F738352-7DC1-4940-A44E-182EF3471BA8}">
      <formula1>toestellen_KOEL_invoer</formula1>
    </dataValidation>
    <dataValidation type="list" allowBlank="1" showInputMessage="1" showErrorMessage="1" sqref="AY80" xr:uid="{19093799-451E-4BC1-8969-44DB962D5426}">
      <formula1>toestellen_RV_invoer</formula1>
    </dataValidation>
    <dataValidation type="list" allowBlank="1" showInputMessage="1" showErrorMessage="1" sqref="F5" xr:uid="{E2121F56-5065-4539-B494-A9A6F402A3AD}">
      <formula1>opwekking_elektriciteit</formula1>
    </dataValidation>
    <dataValidation allowBlank="1" showInputMessage="1" showErrorMessage="1" promptTitle="BENG-eisen" prompt="Als er meer dan één gebruiksfunctie is, dan is de eis gelijk aan het naar gebruiksoppervlakte gewogen gemiddelde over de verschillende functies." sqref="A273" xr:uid="{78AE2E3F-27AE-4129-B94F-120C6993C195}"/>
    <dataValidation allowBlank="1" showInputMessage="1" showErrorMessage="1" promptTitle="Primair energiegebruik" prompt="De Uniforme Maatlat rekent op onderwaarde. De EPG rekent echter op bovenwaarde. De berekende primaire energiebruiken in de EPG zijn daarom hoger." sqref="D159" xr:uid="{655AB50C-97C1-47F8-B327-84EC6887EA5E}"/>
    <dataValidation allowBlank="1" showInputMessage="1" showErrorMessage="1" promptTitle="Regerenatie WKO" prompt="Indien regeneratie van de WKO wordt voorzien wordt het elektriciteitsverbruik voor regeneratie bepaald als volgt:_x000a_Elektriciteitsverbruik regeneratie = abs (hoeveelheid warmte uit aquifer – hoeveelheid koude uit aquifer) * specifiek vermogen regeneratie_x000a_" sqref="D123" xr:uid="{F0605935-70C7-4C02-AFC5-C930CA5DEE69}"/>
    <dataValidation type="whole" allowBlank="1" showInputMessage="1" showErrorMessage="1" sqref="AN139:AO139 AN142:AO143 AB142:AC143 P142:Q143 AB139:AC139 AZ142:BA142" xr:uid="{B2F324C6-03BE-40D9-90B2-CE5471448257}">
      <formula1>0</formula1>
      <formula2>1</formula2>
    </dataValidation>
    <dataValidation type="decimal" allowBlank="1" showInputMessage="1" showErrorMessage="1" sqref="AM139 AM142:AM143 AA142:AA143 O142:O143 AA139 AY142" xr:uid="{511DF376-7F92-49A0-B5FF-E904B314A68A}">
      <formula1>0</formula1>
      <formula2>1</formula2>
    </dataValidation>
    <dataValidation allowBlank="1" showInputMessage="1" showErrorMessage="1" promptTitle="Primaire energiefactor" prompt="Het is mogelijk een eigen primaire energiefactor in te voeren. _x000a_Let op: Het verrekenen van aftapwarmte gaat via 'gederfde elektriciteit'." sqref="D140" xr:uid="{0964A47D-6E9F-4597-887F-4ACEDDA8BBBA}"/>
    <dataValidation allowBlank="1" showInputMessage="1" showErrorMessage="1" promptTitle="Opwekkingsrendement" prompt="Binnen de Uniforme Maatlat wordt het opwekkingsrendement op bovenwaarde gebruikt." sqref="D108" xr:uid="{00257B81-A0BD-46DB-B10E-024C44250847}"/>
    <dataValidation allowBlank="1" showInputMessage="1" showErrorMessage="1" promptTitle="Forfaitaire waarden PV" prompt="Forfaitaire waarde voor opbrengst van PV: 875 kWh/kWp._x000a_" sqref="D168" xr:uid="{B3D8B0BE-26DF-44D9-A1D7-0DEE2189859A}"/>
    <dataValidation allowBlank="1" showInputMessage="1" showErrorMessage="1" promptTitle="Distributieverlies extern" prompt="Het warmteverlies bij warmtedistributie buiten het gebouw in MWh per woning en/of utiliteitsgebouw._x000a__x000a_Als hiervoor waarden beschikbaar zijn, kunnen de forfaitaire waarden uit het model worden overschreven." sqref="D89" xr:uid="{6F2EB58E-0A4D-4890-A420-32A16B001645}"/>
    <dataValidation allowBlank="1" showInputMessage="1" showErrorMessage="1" promptTitle="Relatieve bijdrage per type" prompt="De relatieve bijdrage per energiepost (verwarming, warmtapwater, ..) wordt per type woning, woongebouw, utiliteitsgebouw bepaald op basis van de primaire energiegebruiken conform EPG/BENG." sqref="D234" xr:uid="{ABE36DE2-D162-4B8E-92CF-8899B524D020}"/>
    <dataValidation allowBlank="1" showInputMessage="1" showErrorMessage="1" promptTitle="Karakteristiek energiegebruik" prompt="Totaal naar primaire energie omgerekend fossiele brandstoffen voor gebouwgebonden energiegebruik (voor woningen ZONDER verlichting), verminderd met primair energiegebruik op eigen perceel geproduceerde energie._x000a__x000a_Cf. NTA8800 par. 5.5." sqref="D262" xr:uid="{BC670102-E690-477E-A114-070C977D9E62}"/>
    <dataValidation allowBlank="1" showInputMessage="1" showErrorMessage="1" promptTitle="PV" prompt="Opbrengst PV op gevel en dak in kWh per woning | utiliteitsgebouw." sqref="D70" xr:uid="{8451DF5D-5ED3-43DB-86A2-AC2C2B74505F}"/>
    <dataValidation allowBlank="1" showInputMessage="1" showErrorMessage="1" promptTitle="Mobiliteit" prompt="Het geschatte elektriciteitsgebruik voor mobiliteit, bijvoorbeeld door elektrische auto's, kan worden ingevuld in kWh per woning of per utiliteitsgebouw." sqref="D68" xr:uid="{D99868ED-59BF-4F01-9F87-6112E37E0CDA}"/>
    <dataValidation allowBlank="1" showInputMessage="1" showErrorMessage="1" promptTitle="Warmte-/koudebehoefte" prompt="De warmte- en koudebehoefte van de woning of het utiliteitsgebouw is gegeven in kWh/m2._x000a__x000a_Het is geen maat voor BENG 1, omdat het ventilatiesysteem voor BENG 1 per definitie C1 moet zijn. En dat is hier niet het geval." sqref="D225" xr:uid="{C8DA94D3-8992-4AEB-BD1D-0FA7AA55CF24}"/>
    <dataValidation allowBlank="1" showInputMessage="1" showErrorMessage="1" promptTitle="Primair energiegebruik" prompt="Het primair energiegebruik in kWh_prim/m2.jaar per woningtype, per energiepost en voor het totaal._x000a__x000a_Het primair energiegebruik in GJ_prim/jaar per (deel)locatie, per energiepost en voor het totaal._x000a__x000a_Het is geen maat voor BENG 2." sqref="D239" xr:uid="{BF806697-9FE1-4B20-93BD-8B3DD38D2F49}"/>
    <dataValidation type="list" allowBlank="1" showInputMessage="1" showErrorMessage="1" errorTitle="Toestel RV" error="Kies een beschikbaar toestel." sqref="AA80 O80 AM80" xr:uid="{8D6B6724-2795-4B13-9DD8-A98B23E89B3D}">
      <formula1>toestellen_RV_invoer</formula1>
    </dataValidation>
    <dataValidation allowBlank="1" showInputMessage="1" showErrorMessage="1" promptTitle="CO2 emisse" prompt="De CO2 emissie in kg/m2.jaar per woningtype, per energiepost en voor het totaal._x000a__x000a_De CO2 emissie in ton/jaar per (deel)locatie, per energiepost en voor het totaal._x000a__x000a_" sqref="D300" xr:uid="{413173EF-E6DF-49EF-BC52-BD789EF1AFD9}"/>
  </dataValidations>
  <hyperlinks>
    <hyperlink ref="D281" r:id="rId1" tooltip="verwijzing naar Staatsblad 2019, 501 met BENG-eisen" xr:uid="{2E321D47-3C38-4DF0-8623-6B38982DB3A1}"/>
  </hyperlinks>
  <pageMargins left="0.23622047244094491" right="0.23622047244094491" top="0.74803149606299213" bottom="0.74803149606299213" header="0.31496062992125984" footer="0.31496062992125984"/>
  <pageSetup paperSize="9" scale="25" fitToHeight="0" orientation="landscape"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561153" r:id="rId5" name="Correctie_RV">
              <controlPr defaultSize="0" autoFill="0" autoLine="0" autoPict="0">
                <anchor moveWithCells="1">
                  <from>
                    <xdr:col>6</xdr:col>
                    <xdr:colOff>66675</xdr:colOff>
                    <xdr:row>5</xdr:row>
                    <xdr:rowOff>0</xdr:rowOff>
                  </from>
                  <to>
                    <xdr:col>6</xdr:col>
                    <xdr:colOff>542925</xdr:colOff>
                    <xdr:row>6</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53" id="{7B5C05FA-D6A2-4806-AE9A-FB04C9D51E8A}">
            <xm:f>OR(O$19="",O$24=0,IFERROR(INDEX(bibliotheek!$J$51:$J$56,MATCH(IF(O$19="",bibliotheek!$E$51,O$42),ventilatiesystemen_namen,0))="A",0))</xm:f>
            <x14:dxf>
              <font>
                <color theme="0" tint="-4.9989318521683403E-2"/>
              </font>
              <fill>
                <patternFill>
                  <bgColor theme="0" tint="-4.9989318521683403E-2"/>
                </patternFill>
              </fill>
            </x14:dxf>
          </x14:cfRule>
          <xm:sqref>O43:W43 AA43:AI43 AM43:AU43 AY43:BG43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E97A8-1B4B-4746-B640-263DC26EF325}">
  <sheetPr codeName="Blad13" filterMode="1">
    <tabColor theme="6" tint="0.39997558519241921"/>
    <outlinePr showOutlineSymbols="0"/>
    <pageSetUpPr fitToPage="1"/>
  </sheetPr>
  <dimension ref="A1:BH320"/>
  <sheetViews>
    <sheetView showGridLines="0" showRowColHeaders="0" zoomScaleNormal="100" workbookViewId="0">
      <pane xSplit="11" ySplit="15" topLeftCell="L16" activePane="bottomRight" state="frozen"/>
      <selection pane="topRight" activeCell="L1" sqref="L1"/>
      <selection pane="bottomLeft" activeCell="A16" sqref="A16"/>
      <selection pane="bottomRight" activeCell="H3" sqref="H3"/>
    </sheetView>
  </sheetViews>
  <sheetFormatPr defaultRowHeight="15.75" x14ac:dyDescent="0.2"/>
  <cols>
    <col min="1" max="1" width="0.5703125" style="651" customWidth="1"/>
    <col min="2" max="3" width="2.7109375" style="61" customWidth="1"/>
    <col min="4" max="4" width="2.7109375" style="233" customWidth="1"/>
    <col min="5" max="5" width="26.7109375" customWidth="1"/>
    <col min="6" max="7" width="17.7109375" customWidth="1"/>
    <col min="8" max="8" width="21.7109375" customWidth="1"/>
    <col min="9" max="9" width="0.28515625" customWidth="1"/>
    <col min="10" max="10" width="15.7109375" customWidth="1"/>
    <col min="11" max="12" width="0.85546875" customWidth="1"/>
    <col min="13" max="13" width="15.7109375" customWidth="1"/>
    <col min="14" max="14" width="0.28515625" customWidth="1"/>
    <col min="15" max="23" width="12.7109375" customWidth="1"/>
    <col min="24" max="24" width="1.7109375" customWidth="1"/>
    <col min="25" max="25" width="15.7109375" customWidth="1"/>
    <col min="26" max="26" width="0.28515625" customWidth="1"/>
    <col min="27" max="35" width="12.7109375" customWidth="1"/>
    <col min="36" max="36" width="1.7109375" customWidth="1"/>
    <col min="37" max="37" width="15.7109375" customWidth="1"/>
    <col min="38" max="38" width="0.28515625" customWidth="1"/>
    <col min="39" max="47" width="12.7109375" customWidth="1"/>
    <col min="48" max="48" width="1.7109375" customWidth="1"/>
    <col min="49" max="49" width="15.7109375" customWidth="1"/>
    <col min="50" max="50" width="0.28515625" customWidth="1"/>
    <col min="51" max="59" width="12.7109375" customWidth="1"/>
    <col min="60" max="60" width="1.140625" customWidth="1"/>
    <col min="61" max="65" width="9.140625" customWidth="1"/>
  </cols>
  <sheetData>
    <row r="1" spans="1:60" s="832" customFormat="1" ht="21" x14ac:dyDescent="0.2">
      <c r="A1" s="826"/>
      <c r="B1" s="826"/>
      <c r="C1" s="826"/>
      <c r="D1" s="827"/>
      <c r="E1" s="829" t="str">
        <f>disclaimer!$E$7&amp;" - "&amp;"versie "&amp;TEXT(disclaimer!$E$8,"d mmm jjjj")</f>
        <v>Uniforme Maatlat Gebouwde Omgeving 5.04 - versie 5 apr 2023</v>
      </c>
      <c r="F1" s="830"/>
      <c r="G1" s="830"/>
      <c r="H1" s="829"/>
      <c r="I1" s="830"/>
      <c r="J1" s="828"/>
      <c r="K1" s="831"/>
      <c r="L1" s="831"/>
      <c r="M1" s="831"/>
      <c r="N1" s="831"/>
      <c r="O1" s="835"/>
      <c r="P1" s="831"/>
      <c r="Q1" s="831"/>
      <c r="R1" s="831"/>
      <c r="S1" s="831"/>
      <c r="T1" s="831"/>
      <c r="U1" s="831"/>
      <c r="V1" s="831"/>
      <c r="W1" s="831"/>
      <c r="X1" s="831"/>
      <c r="Y1" s="831"/>
      <c r="Z1" s="831"/>
      <c r="AA1" s="835"/>
      <c r="AB1" s="831"/>
      <c r="AC1" s="831"/>
      <c r="AD1" s="831"/>
      <c r="AE1" s="831"/>
      <c r="AF1" s="831"/>
      <c r="AG1" s="831"/>
      <c r="AH1" s="831"/>
      <c r="AI1" s="831"/>
      <c r="AJ1" s="831"/>
      <c r="AK1" s="831"/>
      <c r="AL1" s="831"/>
      <c r="AM1" s="835"/>
      <c r="AN1" s="831"/>
      <c r="AO1" s="831"/>
      <c r="AP1" s="831"/>
      <c r="AQ1" s="831"/>
      <c r="AR1" s="831"/>
      <c r="AS1" s="831"/>
      <c r="AT1" s="831"/>
      <c r="AU1" s="831"/>
      <c r="AV1" s="831"/>
      <c r="AW1" s="831"/>
      <c r="AX1" s="831"/>
      <c r="AY1" s="831"/>
      <c r="AZ1" s="831"/>
      <c r="BA1" s="831"/>
      <c r="BB1" s="831"/>
      <c r="BC1" s="831"/>
      <c r="BD1" s="831"/>
      <c r="BE1" s="831"/>
      <c r="BF1" s="831"/>
      <c r="BG1" s="831"/>
      <c r="BH1" s="831"/>
    </row>
    <row r="2" spans="1:60" s="922" customFormat="1" ht="23.25" x14ac:dyDescent="0.35">
      <c r="A2" s="917"/>
      <c r="B2" s="918"/>
      <c r="C2" s="918"/>
      <c r="D2" s="919"/>
      <c r="E2" s="920" t="str">
        <f ca="1">IFERROR(MID(CELL("bestandsnaam",A1),SEARCH("]",CELL("bestandsnaam",A1),1)+1,99),"bestand nog niet opgeslagen")</f>
        <v>variant 4</v>
      </c>
      <c r="F2" s="921" t="str">
        <f>IF('woningen|utiliteit'!$G$2&lt;&gt;"","Controleer invoer gebouwen",IF(J50&lt;&gt;"OK","NB  Energiemaatregelen niet correct/volledig ingevuld",IF(J80&lt;&gt;"OK","NB  Vul alle installaties in","")))</f>
        <v/>
      </c>
      <c r="G2" s="921"/>
      <c r="H2" s="976"/>
      <c r="I2" s="850"/>
      <c r="J2" s="923"/>
      <c r="K2" s="903"/>
      <c r="L2" s="903"/>
      <c r="M2" s="926" t="s">
        <v>90</v>
      </c>
      <c r="N2" s="925"/>
      <c r="O2" s="940" t="s">
        <v>91</v>
      </c>
      <c r="P2" s="924"/>
      <c r="Q2" s="924"/>
      <c r="R2" s="924"/>
      <c r="S2" s="924"/>
      <c r="T2" s="924"/>
      <c r="U2" s="924"/>
      <c r="V2" s="924"/>
      <c r="W2" s="924"/>
      <c r="X2" s="924"/>
      <c r="Y2" s="926" t="s">
        <v>90</v>
      </c>
      <c r="Z2" s="925"/>
      <c r="AA2" s="940" t="s">
        <v>91</v>
      </c>
      <c r="AB2" s="924"/>
      <c r="AC2" s="924"/>
      <c r="AD2" s="924"/>
      <c r="AE2" s="924"/>
      <c r="AF2" s="924"/>
      <c r="AG2" s="924"/>
      <c r="AH2" s="924"/>
      <c r="AI2" s="924"/>
      <c r="AJ2" s="924"/>
      <c r="AK2" s="926" t="s">
        <v>90</v>
      </c>
      <c r="AL2" s="925"/>
      <c r="AM2" s="940" t="s">
        <v>91</v>
      </c>
      <c r="AN2" s="924"/>
      <c r="AO2" s="924"/>
      <c r="AP2" s="924"/>
      <c r="AQ2" s="924"/>
      <c r="AR2" s="924"/>
      <c r="AS2" s="924"/>
      <c r="AT2" s="924"/>
      <c r="AU2" s="924"/>
      <c r="AV2" s="924"/>
      <c r="AW2" s="926" t="s">
        <v>90</v>
      </c>
      <c r="AX2" s="925"/>
      <c r="AY2" s="940" t="s">
        <v>91</v>
      </c>
      <c r="AZ2" s="924"/>
      <c r="BA2" s="924"/>
      <c r="BB2" s="924"/>
      <c r="BC2" s="924"/>
      <c r="BD2" s="924"/>
      <c r="BE2" s="924"/>
      <c r="BF2" s="924"/>
      <c r="BG2" s="924"/>
      <c r="BH2" s="256"/>
    </row>
    <row r="3" spans="1:60" x14ac:dyDescent="0.2">
      <c r="A3" s="649"/>
      <c r="B3" s="491"/>
      <c r="C3" s="491"/>
      <c r="D3" s="747"/>
      <c r="E3" s="1068" t="str">
        <f>"project: "&amp;IF('woningen|utiliteit'!$F$3="","",'woningen|utiliteit'!$F$3)</f>
        <v xml:space="preserve">project: </v>
      </c>
      <c r="F3" s="1069"/>
      <c r="G3" s="853" t="s">
        <v>92</v>
      </c>
      <c r="H3" s="854"/>
      <c r="I3" s="90"/>
      <c r="K3" s="903"/>
      <c r="L3" s="903"/>
      <c r="M3" s="904" t="s">
        <v>93</v>
      </c>
      <c r="N3" s="905"/>
      <c r="O3" s="941" t="str">
        <f>IF(M24=0,"-",O101&amp;IF(O105=1,"","   |  "&amp;O131))</f>
        <v>-</v>
      </c>
      <c r="P3" s="906"/>
      <c r="Q3" s="907"/>
      <c r="R3" s="907"/>
      <c r="S3" s="907"/>
      <c r="T3" s="907"/>
      <c r="U3" s="907"/>
      <c r="V3" s="907"/>
      <c r="W3" s="907"/>
      <c r="X3" s="91"/>
      <c r="Y3" s="904" t="s">
        <v>93</v>
      </c>
      <c r="Z3" s="905"/>
      <c r="AA3" s="941" t="str">
        <f>IF(Y24=0,"-",AA101&amp;IF(AA105=1,"","   |  "&amp;AA131))</f>
        <v>-</v>
      </c>
      <c r="AB3" s="906"/>
      <c r="AC3" s="907"/>
      <c r="AD3" s="907"/>
      <c r="AE3" s="907"/>
      <c r="AF3" s="907"/>
      <c r="AG3" s="907"/>
      <c r="AH3" s="907"/>
      <c r="AI3" s="907"/>
      <c r="AJ3" s="91"/>
      <c r="AK3" s="904" t="s">
        <v>93</v>
      </c>
      <c r="AL3" s="905"/>
      <c r="AM3" s="941" t="str">
        <f>IF(AK24=0,"-",AM101&amp;IF(AM105=1,"","   |  "&amp;AM131))</f>
        <v>-</v>
      </c>
      <c r="AN3" s="906"/>
      <c r="AO3" s="907"/>
      <c r="AP3" s="907"/>
      <c r="AQ3" s="907"/>
      <c r="AR3" s="907"/>
      <c r="AS3" s="907"/>
      <c r="AT3" s="907"/>
      <c r="AU3" s="907"/>
      <c r="AV3" s="91"/>
      <c r="AW3" s="904" t="s">
        <v>93</v>
      </c>
      <c r="AX3" s="905"/>
      <c r="AY3" s="941" t="str">
        <f>IF(AW24=0,"-",AY101&amp;IF(AY105=1,"","   |  "&amp;AY131))</f>
        <v>-</v>
      </c>
      <c r="AZ3" s="906"/>
      <c r="BA3" s="907"/>
      <c r="BB3" s="907"/>
      <c r="BC3" s="907"/>
      <c r="BD3" s="907"/>
      <c r="BE3" s="907"/>
      <c r="BF3" s="907"/>
      <c r="BG3" s="907"/>
      <c r="BH3" s="256"/>
    </row>
    <row r="4" spans="1:60" x14ac:dyDescent="0.2">
      <c r="A4" s="649"/>
      <c r="B4" s="491"/>
      <c r="C4" s="491"/>
      <c r="D4" s="747"/>
      <c r="E4" s="855" t="s">
        <v>94</v>
      </c>
      <c r="F4" s="1070"/>
      <c r="G4" s="1070"/>
      <c r="H4" s="1071"/>
      <c r="I4" s="90"/>
      <c r="K4" s="903"/>
      <c r="L4" s="903"/>
      <c r="M4" s="908" t="s">
        <v>95</v>
      </c>
      <c r="N4" s="905"/>
      <c r="O4" s="942" t="str">
        <f>IF(M24=0,"-",P101&amp;IF(P105=1,"","   |  "&amp;P131))</f>
        <v>-</v>
      </c>
      <c r="P4" s="909"/>
      <c r="Q4" s="910"/>
      <c r="R4" s="907"/>
      <c r="S4" s="907"/>
      <c r="T4" s="907"/>
      <c r="U4" s="907"/>
      <c r="V4" s="907"/>
      <c r="W4" s="907"/>
      <c r="X4" s="91"/>
      <c r="Y4" s="908" t="s">
        <v>95</v>
      </c>
      <c r="Z4" s="905"/>
      <c r="AA4" s="942" t="str">
        <f>IF(Y24=0,"-",AB101&amp;IF(AB105=1,"","   |  "&amp;AB131))</f>
        <v>-</v>
      </c>
      <c r="AB4" s="909"/>
      <c r="AC4" s="910"/>
      <c r="AD4" s="907"/>
      <c r="AE4" s="907"/>
      <c r="AF4" s="907"/>
      <c r="AG4" s="907"/>
      <c r="AH4" s="907"/>
      <c r="AI4" s="907"/>
      <c r="AJ4" s="91"/>
      <c r="AK4" s="908" t="s">
        <v>95</v>
      </c>
      <c r="AL4" s="905"/>
      <c r="AM4" s="942" t="str">
        <f>IF(AK24=0,"-",AN101&amp;IF(AN105=1,"","   |  "&amp;AN131))</f>
        <v>-</v>
      </c>
      <c r="AN4" s="909"/>
      <c r="AO4" s="910"/>
      <c r="AP4" s="907"/>
      <c r="AQ4" s="907"/>
      <c r="AR4" s="907"/>
      <c r="AS4" s="907"/>
      <c r="AT4" s="907"/>
      <c r="AU4" s="907"/>
      <c r="AV4" s="91"/>
      <c r="AW4" s="908" t="s">
        <v>95</v>
      </c>
      <c r="AX4" s="905"/>
      <c r="AY4" s="942" t="str">
        <f>IF(AW24=0,"-",AZ101&amp;IF(AZ105=1,"","   |  "&amp;AZ131))</f>
        <v>-</v>
      </c>
      <c r="AZ4" s="909"/>
      <c r="BA4" s="910"/>
      <c r="BB4" s="907"/>
      <c r="BC4" s="907"/>
      <c r="BD4" s="907"/>
      <c r="BE4" s="907"/>
      <c r="BF4" s="907"/>
      <c r="BG4" s="907"/>
      <c r="BH4" s="256"/>
    </row>
    <row r="5" spans="1:60" x14ac:dyDescent="0.2">
      <c r="A5" s="649"/>
      <c r="B5" s="1072" t="s">
        <v>96</v>
      </c>
      <c r="C5" s="1072" t="s">
        <v>97</v>
      </c>
      <c r="D5" s="747"/>
      <c r="E5" s="855" t="s">
        <v>98</v>
      </c>
      <c r="F5" s="977" t="s">
        <v>99</v>
      </c>
      <c r="G5" s="978">
        <f>HLOOKUP($F$5,bibliotheek!$E$261:$R$264,ROWS(bibliotheek!$E$261:$E$262),FALSE)</f>
        <v>1.45</v>
      </c>
      <c r="H5" s="979">
        <f>HLOOKUP($F$5,bibliotheek!$E$261:$R$264,ROWS(bibliotheek!$E$261:$E$264),FALSE)</f>
        <v>0.34</v>
      </c>
      <c r="I5" s="90"/>
      <c r="J5" s="834"/>
      <c r="K5" s="91"/>
      <c r="L5" s="91"/>
      <c r="M5" s="904" t="s">
        <v>100</v>
      </c>
      <c r="N5" s="905"/>
      <c r="O5" s="941" t="str">
        <f>IF(M24=0,"-",Q101&amp;IF(Q105=1,"","   |  "&amp;Q131))</f>
        <v>-</v>
      </c>
      <c r="P5" s="907"/>
      <c r="Q5" s="907"/>
      <c r="R5" s="907"/>
      <c r="S5" s="907"/>
      <c r="T5" s="907"/>
      <c r="U5" s="907"/>
      <c r="V5" s="907"/>
      <c r="W5" s="907"/>
      <c r="X5" s="91"/>
      <c r="Y5" s="904" t="s">
        <v>100</v>
      </c>
      <c r="Z5" s="905"/>
      <c r="AA5" s="941" t="str">
        <f>IF(Y24=0,"-",AC101&amp;IF(AC105=1,"","   |  "&amp;AC131))</f>
        <v>-</v>
      </c>
      <c r="AB5" s="907"/>
      <c r="AC5" s="907"/>
      <c r="AD5" s="907"/>
      <c r="AE5" s="907"/>
      <c r="AF5" s="907"/>
      <c r="AG5" s="907"/>
      <c r="AH5" s="907"/>
      <c r="AI5" s="907"/>
      <c r="AJ5" s="91"/>
      <c r="AK5" s="904" t="s">
        <v>100</v>
      </c>
      <c r="AL5" s="905"/>
      <c r="AM5" s="941" t="str">
        <f>IF(AK24=0,"-",AO101&amp;IF(AO105=1,"","   |  "&amp;AO131))</f>
        <v>-</v>
      </c>
      <c r="AN5" s="907"/>
      <c r="AO5" s="907"/>
      <c r="AP5" s="907"/>
      <c r="AQ5" s="907"/>
      <c r="AR5" s="907"/>
      <c r="AS5" s="907"/>
      <c r="AT5" s="907"/>
      <c r="AU5" s="907"/>
      <c r="AV5" s="91"/>
      <c r="AW5" s="904" t="s">
        <v>100</v>
      </c>
      <c r="AX5" s="905"/>
      <c r="AY5" s="941" t="str">
        <f>IF(AW24=0,"-",BA101&amp;IF(BA105=1,"","   |  "&amp;BA131))</f>
        <v>-</v>
      </c>
      <c r="AZ5" s="907"/>
      <c r="BA5" s="907"/>
      <c r="BB5" s="907"/>
      <c r="BC5" s="907"/>
      <c r="BD5" s="907"/>
      <c r="BE5" s="907"/>
      <c r="BF5" s="907"/>
      <c r="BG5" s="907"/>
      <c r="BH5" s="256"/>
    </row>
    <row r="6" spans="1:60" x14ac:dyDescent="0.2">
      <c r="A6" s="649"/>
      <c r="B6" s="1072"/>
      <c r="C6" s="1072"/>
      <c r="D6" s="748" t="s">
        <v>50</v>
      </c>
      <c r="E6" s="856" t="s">
        <v>101</v>
      </c>
      <c r="F6" s="857"/>
      <c r="G6" s="1034" t="b">
        <v>0</v>
      </c>
      <c r="H6" s="980" t="str">
        <f>IF(G6=TRUE,"(energieprestatie ongeldig)","")</f>
        <v/>
      </c>
      <c r="I6" s="90"/>
      <c r="J6" s="834"/>
      <c r="K6" s="834"/>
      <c r="L6" s="834"/>
      <c r="M6" s="834"/>
      <c r="N6" s="834"/>
      <c r="O6" s="834"/>
      <c r="P6" s="834"/>
      <c r="Q6" s="834"/>
      <c r="R6" s="834"/>
      <c r="S6" s="834"/>
      <c r="T6" s="834"/>
      <c r="U6" s="834"/>
      <c r="V6" s="834"/>
      <c r="W6" s="834"/>
      <c r="X6" s="834"/>
      <c r="Y6" s="834"/>
      <c r="Z6" s="834"/>
      <c r="AA6" s="834"/>
      <c r="AB6" s="834"/>
      <c r="AC6" s="834"/>
      <c r="AD6" s="834"/>
      <c r="AE6" s="834"/>
      <c r="AF6" s="834"/>
      <c r="AG6" s="834"/>
      <c r="AH6" s="834"/>
      <c r="AI6" s="834"/>
      <c r="AJ6" s="834"/>
      <c r="AK6" s="834"/>
      <c r="AL6" s="834"/>
      <c r="AM6" s="834"/>
      <c r="AN6" s="834"/>
      <c r="AO6" s="834"/>
      <c r="AP6" s="834"/>
      <c r="AQ6" s="834"/>
      <c r="AR6" s="834"/>
      <c r="AS6" s="834"/>
      <c r="AT6" s="834"/>
      <c r="AU6" s="834"/>
      <c r="AV6" s="834"/>
      <c r="AW6" s="834"/>
      <c r="AX6" s="834"/>
      <c r="AY6" s="834"/>
      <c r="AZ6" s="834"/>
      <c r="BA6" s="834"/>
      <c r="BB6" s="834"/>
      <c r="BC6" s="834"/>
      <c r="BD6" s="834"/>
      <c r="BE6" s="834"/>
      <c r="BF6" s="834"/>
      <c r="BG6" s="834"/>
      <c r="BH6" s="256"/>
    </row>
    <row r="7" spans="1:60" s="914" customFormat="1" x14ac:dyDescent="0.2">
      <c r="A7" s="987"/>
      <c r="B7" s="1072"/>
      <c r="C7" s="1072"/>
      <c r="D7" s="911"/>
      <c r="E7" s="912"/>
      <c r="F7" s="912"/>
      <c r="G7" s="912"/>
      <c r="H7" s="912"/>
      <c r="I7" s="912"/>
      <c r="J7" s="913"/>
      <c r="K7" s="913"/>
      <c r="L7" s="913"/>
      <c r="M7" s="912"/>
      <c r="N7" s="912"/>
      <c r="O7" s="1035"/>
      <c r="P7" s="912"/>
      <c r="Q7" s="912"/>
      <c r="R7" s="912"/>
      <c r="S7" s="912"/>
      <c r="T7" s="911"/>
      <c r="U7" s="911"/>
      <c r="V7" s="911"/>
    </row>
    <row r="8" spans="1:60" ht="21" x14ac:dyDescent="0.35">
      <c r="A8" s="649"/>
      <c r="B8" s="658"/>
      <c r="C8" s="658"/>
      <c r="D8" s="748" t="s">
        <v>50</v>
      </c>
      <c r="E8" s="848"/>
      <c r="F8" s="1"/>
      <c r="G8" s="1"/>
      <c r="H8" s="1"/>
      <c r="I8" s="2"/>
      <c r="J8" s="849" t="s">
        <v>102</v>
      </c>
      <c r="K8" s="850"/>
      <c r="L8" s="850"/>
      <c r="M8" s="849" t="s">
        <v>67</v>
      </c>
      <c r="N8" s="851"/>
      <c r="O8" s="943" t="str">
        <f>IF(M24=0,"[geen gebouwgegevens ingevoerd]",IF('woningen|utiliteit'!$L$17="","[geen naam locatie ingevoerd]",'woningen|utiliteit'!$L$17))</f>
        <v>[geen gebouwgegevens ingevoerd]</v>
      </c>
      <c r="P8" s="851"/>
      <c r="Q8" s="851"/>
      <c r="R8" s="851"/>
      <c r="S8" s="851"/>
      <c r="T8" s="852"/>
      <c r="U8" s="852"/>
      <c r="V8" s="851"/>
      <c r="W8" s="851"/>
      <c r="X8" s="850"/>
      <c r="Y8" s="849" t="s">
        <v>84</v>
      </c>
      <c r="Z8" s="851"/>
      <c r="AA8" s="943" t="str">
        <f>IF(Y24=0,"[geen gebouwgegevens ingevoerd]",IF('woningen|utiliteit'!$L$31="","[geen naam locatie ingevoerd]",'woningen|utiliteit'!$L$31))</f>
        <v>[geen gebouwgegevens ingevoerd]</v>
      </c>
      <c r="AB8" s="851"/>
      <c r="AC8" s="851"/>
      <c r="AD8" s="851"/>
      <c r="AE8" s="851"/>
      <c r="AF8" s="852"/>
      <c r="AG8" s="852"/>
      <c r="AH8" s="851"/>
      <c r="AI8" s="851"/>
      <c r="AJ8" s="850"/>
      <c r="AK8" s="849" t="s">
        <v>85</v>
      </c>
      <c r="AL8" s="851"/>
      <c r="AM8" s="943" t="str">
        <f>IF(AK24=0,"[geen gebouwgegevens ingevoerd]",IF('woningen|utiliteit'!$L$45="","[geen naam locatie ingevoerd]",'woningen|utiliteit'!$L$45))</f>
        <v>[geen gebouwgegevens ingevoerd]</v>
      </c>
      <c r="AN8" s="851"/>
      <c r="AO8" s="851"/>
      <c r="AP8" s="851"/>
      <c r="AQ8" s="851"/>
      <c r="AR8" s="852"/>
      <c r="AS8" s="852"/>
      <c r="AT8" s="851"/>
      <c r="AU8" s="851"/>
      <c r="AV8" s="850"/>
      <c r="AW8" s="849" t="s">
        <v>86</v>
      </c>
      <c r="AX8" s="851"/>
      <c r="AY8" s="943" t="str">
        <f>IF(AW24=0,"[geen gebouwgegevens ingevoerd]",IF('woningen|utiliteit'!$L$59="","[geen naam locatie ingevoerd]",'woningen|utiliteit'!$L$59))</f>
        <v>[geen gebouwgegevens ingevoerd]</v>
      </c>
      <c r="AZ8" s="218"/>
      <c r="BA8" s="218"/>
      <c r="BB8" s="218"/>
      <c r="BC8" s="218"/>
      <c r="BD8" s="219"/>
      <c r="BE8" s="219"/>
      <c r="BF8" s="218"/>
      <c r="BG8" s="218"/>
      <c r="BH8" s="1"/>
    </row>
    <row r="9" spans="1:60" s="682" customFormat="1" ht="5.25" x14ac:dyDescent="0.2">
      <c r="A9" s="678"/>
      <c r="B9" s="841" t="s">
        <v>103</v>
      </c>
      <c r="C9" s="657" t="s">
        <v>104</v>
      </c>
      <c r="D9" s="679"/>
      <c r="E9" s="680"/>
      <c r="F9" s="680"/>
      <c r="G9" s="680"/>
      <c r="H9" s="680"/>
      <c r="I9" s="680"/>
      <c r="J9" s="681"/>
      <c r="K9" s="681"/>
      <c r="L9" s="681"/>
      <c r="M9" s="680"/>
      <c r="N9" s="680"/>
      <c r="O9" s="680"/>
      <c r="P9" s="680"/>
      <c r="Q9" s="680"/>
      <c r="R9" s="680"/>
      <c r="S9" s="680"/>
      <c r="T9" s="679"/>
      <c r="U9" s="679"/>
      <c r="V9" s="679"/>
    </row>
    <row r="10" spans="1:60" ht="21" x14ac:dyDescent="0.2">
      <c r="A10" s="648"/>
      <c r="B10" s="739" t="s">
        <v>103</v>
      </c>
      <c r="C10" s="656" t="s">
        <v>104</v>
      </c>
      <c r="D10" s="748" t="s">
        <v>50</v>
      </c>
      <c r="E10" s="670" t="s">
        <v>105</v>
      </c>
      <c r="F10" s="670"/>
      <c r="G10" s="670"/>
      <c r="H10" s="670"/>
      <c r="I10" s="88"/>
      <c r="J10" s="241" t="s">
        <v>58</v>
      </c>
      <c r="K10" s="142"/>
      <c r="L10" s="142"/>
      <c r="M10" s="216" t="s">
        <v>58</v>
      </c>
      <c r="N10" s="222"/>
      <c r="O10" s="217" t="s">
        <v>93</v>
      </c>
      <c r="P10" s="217" t="s">
        <v>95</v>
      </c>
      <c r="Q10" s="217" t="s">
        <v>106</v>
      </c>
      <c r="R10" s="217" t="s">
        <v>107</v>
      </c>
      <c r="S10" s="217" t="s">
        <v>108</v>
      </c>
      <c r="T10" s="217" t="s">
        <v>109</v>
      </c>
      <c r="U10" s="217" t="s">
        <v>110</v>
      </c>
      <c r="V10" s="217" t="s">
        <v>111</v>
      </c>
      <c r="W10" s="217" t="s">
        <v>112</v>
      </c>
      <c r="X10" s="214"/>
      <c r="Y10" s="216" t="s">
        <v>58</v>
      </c>
      <c r="Z10" s="222"/>
      <c r="AA10" s="217" t="str">
        <f>$O$10</f>
        <v>verwarming</v>
      </c>
      <c r="AB10" s="217" t="str">
        <f>$P$10</f>
        <v>koeling</v>
      </c>
      <c r="AC10" s="217" t="str">
        <f>$Q$10</f>
        <v>tapwater</v>
      </c>
      <c r="AD10" s="217" t="str">
        <f>$R$10</f>
        <v>verlichting</v>
      </c>
      <c r="AE10" s="217" t="str">
        <f>$S$10</f>
        <v>ventilatoren</v>
      </c>
      <c r="AF10" s="217" t="str">
        <f>$T$10</f>
        <v>kookgas</v>
      </c>
      <c r="AG10" s="217" t="str">
        <f>$U$10</f>
        <v>overig elektra</v>
      </c>
      <c r="AH10" s="217" t="str">
        <f>$V$10</f>
        <v>mobiliteit</v>
      </c>
      <c r="AI10" s="217" t="str">
        <f>$W$10</f>
        <v>zonnepanelen</v>
      </c>
      <c r="AJ10" s="214"/>
      <c r="AK10" s="216" t="s">
        <v>58</v>
      </c>
      <c r="AL10" s="222"/>
      <c r="AM10" s="217" t="str">
        <f>$O$10</f>
        <v>verwarming</v>
      </c>
      <c r="AN10" s="217" t="str">
        <f>$P$10</f>
        <v>koeling</v>
      </c>
      <c r="AO10" s="217" t="str">
        <f>$Q$10</f>
        <v>tapwater</v>
      </c>
      <c r="AP10" s="217" t="str">
        <f>$R$10</f>
        <v>verlichting</v>
      </c>
      <c r="AQ10" s="217" t="str">
        <f>$S$10</f>
        <v>ventilatoren</v>
      </c>
      <c r="AR10" s="217" t="str">
        <f>$T$10</f>
        <v>kookgas</v>
      </c>
      <c r="AS10" s="217" t="str">
        <f>$U$10</f>
        <v>overig elektra</v>
      </c>
      <c r="AT10" s="217" t="str">
        <f>$V$10</f>
        <v>mobiliteit</v>
      </c>
      <c r="AU10" s="217" t="str">
        <f>$W$10</f>
        <v>zonnepanelen</v>
      </c>
      <c r="AV10" s="214"/>
      <c r="AW10" s="216" t="s">
        <v>58</v>
      </c>
      <c r="AX10" s="222"/>
      <c r="AY10" s="217" t="str">
        <f>$O$10</f>
        <v>verwarming</v>
      </c>
      <c r="AZ10" s="217" t="str">
        <f>$P$10</f>
        <v>koeling</v>
      </c>
      <c r="BA10" s="217" t="str">
        <f>$Q$10</f>
        <v>tapwater</v>
      </c>
      <c r="BB10" s="217" t="str">
        <f>$R$10</f>
        <v>verlichting</v>
      </c>
      <c r="BC10" s="217" t="str">
        <f>$S$10</f>
        <v>ventilatoren</v>
      </c>
      <c r="BD10" s="217" t="str">
        <f>$T$10</f>
        <v>kookgas</v>
      </c>
      <c r="BE10" s="217" t="str">
        <f>$U$10</f>
        <v>overig elektra</v>
      </c>
      <c r="BF10" s="217" t="str">
        <f>$V$10</f>
        <v>mobiliteit</v>
      </c>
      <c r="BG10" s="217" t="str">
        <f>$W$10</f>
        <v>zonnepanelen</v>
      </c>
      <c r="BH10" s="1"/>
    </row>
    <row r="11" spans="1:60" s="682" customFormat="1" ht="5.25" x14ac:dyDescent="0.2">
      <c r="A11" s="678"/>
      <c r="B11" s="841" t="s">
        <v>103</v>
      </c>
      <c r="C11" s="841" t="s">
        <v>104</v>
      </c>
      <c r="D11" s="679"/>
      <c r="E11" s="680"/>
      <c r="F11" s="680"/>
      <c r="G11" s="680"/>
      <c r="H11" s="680"/>
      <c r="I11" s="680"/>
      <c r="J11" s="681"/>
      <c r="K11" s="681"/>
      <c r="L11" s="681"/>
      <c r="M11" s="680"/>
      <c r="N11" s="680"/>
      <c r="O11" s="680"/>
      <c r="P11" s="680"/>
      <c r="Q11" s="680"/>
      <c r="R11" s="680"/>
      <c r="S11" s="680"/>
      <c r="T11" s="679"/>
      <c r="U11" s="679"/>
      <c r="V11" s="679"/>
    </row>
    <row r="12" spans="1:60" x14ac:dyDescent="0.2">
      <c r="A12" s="648"/>
      <c r="B12" s="739" t="s">
        <v>103</v>
      </c>
      <c r="C12" s="656" t="s">
        <v>113</v>
      </c>
      <c r="D12" s="747"/>
      <c r="E12" s="220" t="s">
        <v>114</v>
      </c>
      <c r="F12" s="220"/>
      <c r="G12" s="220"/>
      <c r="H12" s="221" t="s">
        <v>115</v>
      </c>
      <c r="I12" s="94"/>
      <c r="J12" s="243">
        <f>M12+Y12+AK12+AW12</f>
        <v>0</v>
      </c>
      <c r="K12" s="294"/>
      <c r="L12" s="294"/>
      <c r="M12" s="243">
        <f>SUM(N12:X12)</f>
        <v>0</v>
      </c>
      <c r="N12" s="95"/>
      <c r="O12" s="207">
        <f>O117+O142+O159-O177</f>
        <v>0</v>
      </c>
      <c r="P12" s="207">
        <f t="shared" ref="P12:W12" si="0">P117+P142+P159-P177</f>
        <v>0</v>
      </c>
      <c r="Q12" s="207">
        <f t="shared" si="0"/>
        <v>0</v>
      </c>
      <c r="R12" s="207">
        <f t="shared" si="0"/>
        <v>0</v>
      </c>
      <c r="S12" s="207">
        <f t="shared" si="0"/>
        <v>0</v>
      </c>
      <c r="T12" s="207">
        <f t="shared" si="0"/>
        <v>0</v>
      </c>
      <c r="U12" s="207">
        <f>U117+U142+U159-U177</f>
        <v>0</v>
      </c>
      <c r="V12" s="207">
        <f t="shared" si="0"/>
        <v>0</v>
      </c>
      <c r="W12" s="207">
        <f t="shared" si="0"/>
        <v>0</v>
      </c>
      <c r="X12" s="324"/>
      <c r="Y12" s="243">
        <f>SUM(Z12:AJ12)</f>
        <v>0</v>
      </c>
      <c r="Z12" s="95"/>
      <c r="AA12" s="207">
        <f t="shared" ref="AA12:AI12" si="1">AA117+AA142+AA159-AA177</f>
        <v>0</v>
      </c>
      <c r="AB12" s="207">
        <f t="shared" si="1"/>
        <v>0</v>
      </c>
      <c r="AC12" s="207">
        <f t="shared" si="1"/>
        <v>0</v>
      </c>
      <c r="AD12" s="207">
        <f t="shared" si="1"/>
        <v>0</v>
      </c>
      <c r="AE12" s="207">
        <f t="shared" si="1"/>
        <v>0</v>
      </c>
      <c r="AF12" s="207">
        <f t="shared" si="1"/>
        <v>0</v>
      </c>
      <c r="AG12" s="207">
        <f t="shared" si="1"/>
        <v>0</v>
      </c>
      <c r="AH12" s="207">
        <f t="shared" si="1"/>
        <v>0</v>
      </c>
      <c r="AI12" s="207">
        <f t="shared" si="1"/>
        <v>0</v>
      </c>
      <c r="AJ12" s="324"/>
      <c r="AK12" s="243">
        <f>SUM(AL12:AV12)</f>
        <v>0</v>
      </c>
      <c r="AL12" s="95"/>
      <c r="AM12" s="207">
        <f t="shared" ref="AM12:AU12" si="2">AM117+AM142+AM159-AM177</f>
        <v>0</v>
      </c>
      <c r="AN12" s="207">
        <f t="shared" si="2"/>
        <v>0</v>
      </c>
      <c r="AO12" s="207">
        <f t="shared" si="2"/>
        <v>0</v>
      </c>
      <c r="AP12" s="207">
        <f t="shared" si="2"/>
        <v>0</v>
      </c>
      <c r="AQ12" s="207">
        <f t="shared" si="2"/>
        <v>0</v>
      </c>
      <c r="AR12" s="207">
        <f t="shared" si="2"/>
        <v>0</v>
      </c>
      <c r="AS12" s="207">
        <f t="shared" si="2"/>
        <v>0</v>
      </c>
      <c r="AT12" s="207">
        <f t="shared" si="2"/>
        <v>0</v>
      </c>
      <c r="AU12" s="207">
        <f t="shared" si="2"/>
        <v>0</v>
      </c>
      <c r="AV12" s="324"/>
      <c r="AW12" s="243">
        <f>SUM(AX12:BH12)</f>
        <v>0</v>
      </c>
      <c r="AX12" s="95"/>
      <c r="AY12" s="207">
        <f t="shared" ref="AY12:BG12" si="3">AY117+AY142+AY159-AY177</f>
        <v>0</v>
      </c>
      <c r="AZ12" s="207">
        <f t="shared" si="3"/>
        <v>0</v>
      </c>
      <c r="BA12" s="207">
        <f t="shared" si="3"/>
        <v>0</v>
      </c>
      <c r="BB12" s="207">
        <f t="shared" si="3"/>
        <v>0</v>
      </c>
      <c r="BC12" s="207">
        <f t="shared" si="3"/>
        <v>0</v>
      </c>
      <c r="BD12" s="207">
        <f t="shared" si="3"/>
        <v>0</v>
      </c>
      <c r="BE12" s="207">
        <f t="shared" si="3"/>
        <v>0</v>
      </c>
      <c r="BF12" s="207">
        <f t="shared" si="3"/>
        <v>0</v>
      </c>
      <c r="BG12" s="207">
        <f t="shared" si="3"/>
        <v>0</v>
      </c>
      <c r="BH12" s="255"/>
    </row>
    <row r="13" spans="1:60" x14ac:dyDescent="0.2">
      <c r="A13" s="648"/>
      <c r="B13" s="739" t="s">
        <v>103</v>
      </c>
      <c r="C13" s="656" t="s">
        <v>113</v>
      </c>
      <c r="D13" s="747"/>
      <c r="E13" s="220" t="s">
        <v>116</v>
      </c>
      <c r="F13" s="220"/>
      <c r="G13" s="220"/>
      <c r="H13" s="221" t="s">
        <v>117</v>
      </c>
      <c r="I13" s="94"/>
      <c r="J13" s="243">
        <f>M13+Y13+AK13+AW13</f>
        <v>0</v>
      </c>
      <c r="K13" s="294"/>
      <c r="L13" s="294"/>
      <c r="M13" s="243">
        <f>SUM(N13:X13)</f>
        <v>0</v>
      </c>
      <c r="N13" s="95"/>
      <c r="O13" s="207">
        <f t="shared" ref="O13:V13" si="4">O121+O146+O162</f>
        <v>0</v>
      </c>
      <c r="P13" s="207">
        <f t="shared" si="4"/>
        <v>0</v>
      </c>
      <c r="Q13" s="207">
        <f t="shared" si="4"/>
        <v>0</v>
      </c>
      <c r="R13" s="207">
        <f t="shared" si="4"/>
        <v>0</v>
      </c>
      <c r="S13" s="207">
        <f t="shared" si="4"/>
        <v>0</v>
      </c>
      <c r="T13" s="207">
        <f t="shared" si="4"/>
        <v>0</v>
      </c>
      <c r="U13" s="207">
        <f t="shared" si="4"/>
        <v>0</v>
      </c>
      <c r="V13" s="207">
        <f t="shared" si="4"/>
        <v>0</v>
      </c>
      <c r="W13" s="207">
        <f>W121+W146+W162-W181</f>
        <v>0</v>
      </c>
      <c r="X13" s="324"/>
      <c r="Y13" s="243">
        <f>SUM(Z13:AJ13)</f>
        <v>0</v>
      </c>
      <c r="Z13" s="95"/>
      <c r="AA13" s="207">
        <f t="shared" ref="AA13:AH13" si="5">AA121+AA146+AA162</f>
        <v>0</v>
      </c>
      <c r="AB13" s="207">
        <f t="shared" si="5"/>
        <v>0</v>
      </c>
      <c r="AC13" s="207">
        <f t="shared" si="5"/>
        <v>0</v>
      </c>
      <c r="AD13" s="207">
        <f t="shared" si="5"/>
        <v>0</v>
      </c>
      <c r="AE13" s="207">
        <f t="shared" si="5"/>
        <v>0</v>
      </c>
      <c r="AF13" s="207">
        <f t="shared" si="5"/>
        <v>0</v>
      </c>
      <c r="AG13" s="207">
        <f t="shared" si="5"/>
        <v>0</v>
      </c>
      <c r="AH13" s="207">
        <f t="shared" si="5"/>
        <v>0</v>
      </c>
      <c r="AI13" s="207">
        <f>AI121+AI146+AI162-AI181</f>
        <v>0</v>
      </c>
      <c r="AJ13" s="324"/>
      <c r="AK13" s="243">
        <f>SUM(AL13:AV13)</f>
        <v>0</v>
      </c>
      <c r="AL13" s="95"/>
      <c r="AM13" s="207">
        <f t="shared" ref="AM13:AT13" si="6">AM121+AM146+AM162</f>
        <v>0</v>
      </c>
      <c r="AN13" s="207">
        <f t="shared" si="6"/>
        <v>0</v>
      </c>
      <c r="AO13" s="207">
        <f t="shared" si="6"/>
        <v>0</v>
      </c>
      <c r="AP13" s="207">
        <f t="shared" si="6"/>
        <v>0</v>
      </c>
      <c r="AQ13" s="207">
        <f t="shared" si="6"/>
        <v>0</v>
      </c>
      <c r="AR13" s="207">
        <f t="shared" si="6"/>
        <v>0</v>
      </c>
      <c r="AS13" s="207">
        <f t="shared" si="6"/>
        <v>0</v>
      </c>
      <c r="AT13" s="207">
        <f t="shared" si="6"/>
        <v>0</v>
      </c>
      <c r="AU13" s="207">
        <f>AU121+AU146+AU162-AU181</f>
        <v>0</v>
      </c>
      <c r="AV13" s="324"/>
      <c r="AW13" s="243">
        <f>SUM(AX13:BH13)</f>
        <v>0</v>
      </c>
      <c r="AX13" s="95"/>
      <c r="AY13" s="207">
        <f t="shared" ref="AY13:BF13" si="7">AY121+AY146+AY162</f>
        <v>0</v>
      </c>
      <c r="AZ13" s="207">
        <f t="shared" si="7"/>
        <v>0</v>
      </c>
      <c r="BA13" s="207">
        <f t="shared" si="7"/>
        <v>0</v>
      </c>
      <c r="BB13" s="207">
        <f t="shared" si="7"/>
        <v>0</v>
      </c>
      <c r="BC13" s="207">
        <f t="shared" si="7"/>
        <v>0</v>
      </c>
      <c r="BD13" s="207">
        <f t="shared" si="7"/>
        <v>0</v>
      </c>
      <c r="BE13" s="207">
        <f t="shared" si="7"/>
        <v>0</v>
      </c>
      <c r="BF13" s="207">
        <f t="shared" si="7"/>
        <v>0</v>
      </c>
      <c r="BG13" s="207">
        <f>BG121+BG146+BG162-BG181</f>
        <v>0</v>
      </c>
      <c r="BH13" s="255"/>
    </row>
    <row r="14" spans="1:60" x14ac:dyDescent="0.2">
      <c r="A14" s="648"/>
      <c r="B14" s="739" t="s">
        <v>103</v>
      </c>
      <c r="C14" s="656" t="s">
        <v>113</v>
      </c>
      <c r="D14" s="747"/>
      <c r="E14" s="220" t="s">
        <v>118</v>
      </c>
      <c r="F14" s="220"/>
      <c r="G14" s="220"/>
      <c r="H14" s="221" t="s">
        <v>119</v>
      </c>
      <c r="I14" s="94"/>
      <c r="J14" s="243">
        <f>M14+Y14+AK14+AW14</f>
        <v>0</v>
      </c>
      <c r="K14" s="294"/>
      <c r="L14" s="294"/>
      <c r="M14" s="243">
        <f>SUM(N14:X14)</f>
        <v>0</v>
      </c>
      <c r="N14" s="95"/>
      <c r="O14" s="207">
        <f t="shared" ref="O14:W14" si="8">O186*O29/1000</f>
        <v>0</v>
      </c>
      <c r="P14" s="207">
        <f t="shared" si="8"/>
        <v>0</v>
      </c>
      <c r="Q14" s="207">
        <f t="shared" si="8"/>
        <v>0</v>
      </c>
      <c r="R14" s="207">
        <f t="shared" si="8"/>
        <v>0</v>
      </c>
      <c r="S14" s="207">
        <f t="shared" si="8"/>
        <v>0</v>
      </c>
      <c r="T14" s="207">
        <f t="shared" si="8"/>
        <v>0</v>
      </c>
      <c r="U14" s="207">
        <f t="shared" si="8"/>
        <v>0</v>
      </c>
      <c r="V14" s="207">
        <f t="shared" si="8"/>
        <v>0</v>
      </c>
      <c r="W14" s="207">
        <f t="shared" si="8"/>
        <v>0</v>
      </c>
      <c r="X14" s="324"/>
      <c r="Y14" s="243">
        <f>SUM(Z14:AJ14)</f>
        <v>0</v>
      </c>
      <c r="Z14" s="95"/>
      <c r="AA14" s="207">
        <f t="shared" ref="AA14:AI14" si="9">AA186*AA29/1000</f>
        <v>0</v>
      </c>
      <c r="AB14" s="207">
        <f t="shared" si="9"/>
        <v>0</v>
      </c>
      <c r="AC14" s="207">
        <f t="shared" si="9"/>
        <v>0</v>
      </c>
      <c r="AD14" s="207">
        <f t="shared" si="9"/>
        <v>0</v>
      </c>
      <c r="AE14" s="207">
        <f t="shared" si="9"/>
        <v>0</v>
      </c>
      <c r="AF14" s="207">
        <f t="shared" si="9"/>
        <v>0</v>
      </c>
      <c r="AG14" s="207">
        <f t="shared" si="9"/>
        <v>0</v>
      </c>
      <c r="AH14" s="207">
        <f t="shared" si="9"/>
        <v>0</v>
      </c>
      <c r="AI14" s="207">
        <f t="shared" si="9"/>
        <v>0</v>
      </c>
      <c r="AJ14" s="324"/>
      <c r="AK14" s="243">
        <f>SUM(AL14:AV14)</f>
        <v>0</v>
      </c>
      <c r="AL14" s="95"/>
      <c r="AM14" s="207">
        <f t="shared" ref="AM14:AU14" si="10">AM186*AM29/1000</f>
        <v>0</v>
      </c>
      <c r="AN14" s="207">
        <f t="shared" si="10"/>
        <v>0</v>
      </c>
      <c r="AO14" s="207">
        <f t="shared" si="10"/>
        <v>0</v>
      </c>
      <c r="AP14" s="207">
        <f t="shared" si="10"/>
        <v>0</v>
      </c>
      <c r="AQ14" s="207">
        <f t="shared" si="10"/>
        <v>0</v>
      </c>
      <c r="AR14" s="207">
        <f t="shared" si="10"/>
        <v>0</v>
      </c>
      <c r="AS14" s="207">
        <f t="shared" si="10"/>
        <v>0</v>
      </c>
      <c r="AT14" s="207">
        <f t="shared" si="10"/>
        <v>0</v>
      </c>
      <c r="AU14" s="207">
        <f t="shared" si="10"/>
        <v>0</v>
      </c>
      <c r="AV14" s="324"/>
      <c r="AW14" s="243">
        <f>SUM(AX14:BH14)</f>
        <v>0</v>
      </c>
      <c r="AX14" s="95"/>
      <c r="AY14" s="207">
        <f t="shared" ref="AY14:BG14" si="11">AY186*AY29/1000</f>
        <v>0</v>
      </c>
      <c r="AZ14" s="207">
        <f t="shared" si="11"/>
        <v>0</v>
      </c>
      <c r="BA14" s="207">
        <f t="shared" si="11"/>
        <v>0</v>
      </c>
      <c r="BB14" s="207">
        <f t="shared" si="11"/>
        <v>0</v>
      </c>
      <c r="BC14" s="207">
        <f t="shared" si="11"/>
        <v>0</v>
      </c>
      <c r="BD14" s="207">
        <f t="shared" si="11"/>
        <v>0</v>
      </c>
      <c r="BE14" s="207">
        <f t="shared" si="11"/>
        <v>0</v>
      </c>
      <c r="BF14" s="207">
        <f t="shared" si="11"/>
        <v>0</v>
      </c>
      <c r="BG14" s="207">
        <f t="shared" si="11"/>
        <v>0</v>
      </c>
      <c r="BH14" s="257"/>
    </row>
    <row r="15" spans="1:60" s="847" customFormat="1" ht="5.25" x14ac:dyDescent="0.2">
      <c r="A15" s="842"/>
      <c r="B15" s="843" t="s">
        <v>103</v>
      </c>
      <c r="C15" s="841" t="s">
        <v>113</v>
      </c>
      <c r="D15" s="756"/>
      <c r="E15" s="844"/>
      <c r="F15" s="844"/>
      <c r="G15" s="844"/>
      <c r="H15" s="845"/>
      <c r="I15" s="844"/>
      <c r="J15" s="846"/>
      <c r="K15" s="844"/>
      <c r="L15" s="844"/>
      <c r="M15" s="846"/>
      <c r="N15" s="844"/>
      <c r="O15" s="846"/>
      <c r="P15" s="846"/>
      <c r="Q15" s="846"/>
      <c r="R15" s="846"/>
      <c r="S15" s="846"/>
      <c r="T15" s="846"/>
      <c r="U15" s="846"/>
      <c r="V15" s="846"/>
      <c r="W15" s="846"/>
      <c r="X15" s="846"/>
      <c r="Y15" s="846"/>
      <c r="Z15" s="844"/>
      <c r="AA15" s="846"/>
      <c r="AB15" s="846"/>
      <c r="AC15" s="846"/>
      <c r="AD15" s="846"/>
      <c r="AE15" s="846"/>
      <c r="AF15" s="846"/>
      <c r="AG15" s="846"/>
      <c r="AH15" s="846"/>
      <c r="AI15" s="846"/>
      <c r="AJ15" s="846"/>
      <c r="AK15" s="846"/>
      <c r="AL15" s="844"/>
      <c r="AM15" s="846"/>
      <c r="AN15" s="846"/>
      <c r="AO15" s="846"/>
      <c r="AP15" s="846"/>
      <c r="AQ15" s="846"/>
      <c r="AR15" s="846"/>
      <c r="AS15" s="846"/>
      <c r="AT15" s="846"/>
      <c r="AU15" s="846"/>
      <c r="AV15" s="846"/>
      <c r="AW15" s="846"/>
      <c r="AX15" s="844"/>
      <c r="AY15" s="846"/>
      <c r="AZ15" s="846"/>
      <c r="BA15" s="846"/>
      <c r="BB15" s="846"/>
      <c r="BC15" s="846"/>
      <c r="BD15" s="846"/>
      <c r="BE15" s="846"/>
      <c r="BF15" s="846"/>
      <c r="BG15" s="846"/>
      <c r="BH15" s="846"/>
    </row>
    <row r="16" spans="1:60" x14ac:dyDescent="0.2">
      <c r="A16" s="653"/>
      <c r="B16" s="739" t="s">
        <v>120</v>
      </c>
      <c r="C16" s="739" t="s">
        <v>104</v>
      </c>
      <c r="D16" s="747"/>
      <c r="E16" s="90"/>
      <c r="F16" s="90"/>
      <c r="G16" s="90"/>
      <c r="H16" s="96"/>
      <c r="I16" s="90"/>
      <c r="J16" s="93"/>
      <c r="K16" s="90"/>
      <c r="L16" s="90"/>
      <c r="M16" s="93"/>
      <c r="N16" s="90"/>
      <c r="O16" s="93"/>
      <c r="P16" s="93"/>
      <c r="Q16" s="93"/>
      <c r="R16" s="93"/>
      <c r="S16" s="93"/>
      <c r="T16" s="93"/>
      <c r="U16" s="93"/>
      <c r="V16" s="93"/>
      <c r="W16" s="93"/>
      <c r="X16" s="93"/>
      <c r="Y16" s="93"/>
      <c r="Z16" s="90"/>
      <c r="AA16" s="93"/>
      <c r="AB16" s="93"/>
      <c r="AC16" s="93"/>
      <c r="AD16" s="93"/>
      <c r="AE16" s="93"/>
      <c r="AF16" s="93"/>
      <c r="AG16" s="93"/>
      <c r="AH16" s="93"/>
      <c r="AI16" s="93"/>
      <c r="AJ16" s="93"/>
      <c r="AK16" s="93"/>
      <c r="AL16" s="90"/>
      <c r="AM16" s="93"/>
      <c r="AN16" s="93"/>
      <c r="AO16" s="93"/>
      <c r="AP16" s="93"/>
      <c r="AQ16" s="93"/>
      <c r="AR16" s="93"/>
      <c r="AS16" s="93"/>
      <c r="AT16" s="93"/>
      <c r="AU16" s="93"/>
      <c r="AV16" s="93"/>
      <c r="AW16" s="93"/>
      <c r="AX16" s="90"/>
      <c r="AY16" s="93"/>
      <c r="AZ16" s="93"/>
      <c r="BA16" s="93"/>
      <c r="BB16" s="93"/>
      <c r="BC16" s="93"/>
      <c r="BD16" s="93"/>
      <c r="BE16" s="93"/>
      <c r="BF16" s="93"/>
      <c r="BG16" s="93"/>
      <c r="BH16" s="1"/>
    </row>
    <row r="17" spans="1:60" s="2" customFormat="1" ht="21" x14ac:dyDescent="0.2">
      <c r="A17" s="649"/>
      <c r="B17" s="739" t="s">
        <v>120</v>
      </c>
      <c r="C17" s="739" t="s">
        <v>104</v>
      </c>
      <c r="D17" s="748" t="s">
        <v>50</v>
      </c>
      <c r="E17" s="253" t="s">
        <v>121</v>
      </c>
      <c r="F17" s="253"/>
      <c r="G17" s="253"/>
      <c r="H17" s="253"/>
      <c r="I17" s="146"/>
      <c r="J17" s="318" t="str">
        <f>J$10</f>
        <v>totaal</v>
      </c>
      <c r="K17" s="142"/>
      <c r="L17" s="142"/>
      <c r="M17" s="319" t="str">
        <f>M$10</f>
        <v>totaal</v>
      </c>
      <c r="N17" s="234"/>
      <c r="O17" s="320" t="str">
        <f>IF(O19="","",O19)</f>
        <v/>
      </c>
      <c r="P17" s="320" t="str">
        <f t="shared" ref="P17:W17" si="12">IF(P19="","",P19)</f>
        <v/>
      </c>
      <c r="Q17" s="320" t="str">
        <f t="shared" si="12"/>
        <v/>
      </c>
      <c r="R17" s="320" t="str">
        <f t="shared" si="12"/>
        <v/>
      </c>
      <c r="S17" s="320" t="str">
        <f t="shared" si="12"/>
        <v/>
      </c>
      <c r="T17" s="320" t="str">
        <f>IF(T19="","",T19)</f>
        <v/>
      </c>
      <c r="U17" s="320" t="str">
        <f t="shared" si="12"/>
        <v/>
      </c>
      <c r="V17" s="320" t="str">
        <f t="shared" si="12"/>
        <v/>
      </c>
      <c r="W17" s="320" t="str">
        <f t="shared" si="12"/>
        <v/>
      </c>
      <c r="X17" s="214"/>
      <c r="Y17" s="319" t="str">
        <f>Y$10</f>
        <v>totaal</v>
      </c>
      <c r="Z17" s="234"/>
      <c r="AA17" s="320" t="str">
        <f>IF(AA19="","",AA19)</f>
        <v/>
      </c>
      <c r="AB17" s="320" t="str">
        <f t="shared" ref="AB17:AI17" si="13">IF(AB19="","",AB19)</f>
        <v/>
      </c>
      <c r="AC17" s="320" t="str">
        <f t="shared" si="13"/>
        <v/>
      </c>
      <c r="AD17" s="320" t="str">
        <f t="shared" si="13"/>
        <v/>
      </c>
      <c r="AE17" s="320" t="str">
        <f t="shared" si="13"/>
        <v/>
      </c>
      <c r="AF17" s="320" t="str">
        <f>IF(AF19="","",AF19)</f>
        <v/>
      </c>
      <c r="AG17" s="320" t="str">
        <f t="shared" si="13"/>
        <v/>
      </c>
      <c r="AH17" s="320" t="str">
        <f t="shared" si="13"/>
        <v/>
      </c>
      <c r="AI17" s="320" t="str">
        <f t="shared" si="13"/>
        <v/>
      </c>
      <c r="AJ17" s="214"/>
      <c r="AK17" s="319" t="str">
        <f>AK$10</f>
        <v>totaal</v>
      </c>
      <c r="AL17" s="234"/>
      <c r="AM17" s="320" t="str">
        <f>IF(AM19="","",AM19)</f>
        <v/>
      </c>
      <c r="AN17" s="320" t="str">
        <f t="shared" ref="AN17:AU17" si="14">IF(AN19="","",AN19)</f>
        <v/>
      </c>
      <c r="AO17" s="320" t="str">
        <f t="shared" si="14"/>
        <v/>
      </c>
      <c r="AP17" s="320" t="str">
        <f t="shared" si="14"/>
        <v/>
      </c>
      <c r="AQ17" s="320" t="str">
        <f t="shared" si="14"/>
        <v/>
      </c>
      <c r="AR17" s="320" t="str">
        <f>IF(AR19="","",AR19)</f>
        <v/>
      </c>
      <c r="AS17" s="320" t="str">
        <f t="shared" si="14"/>
        <v/>
      </c>
      <c r="AT17" s="320" t="str">
        <f t="shared" si="14"/>
        <v/>
      </c>
      <c r="AU17" s="320" t="str">
        <f t="shared" si="14"/>
        <v/>
      </c>
      <c r="AV17" s="214"/>
      <c r="AW17" s="319" t="str">
        <f>AW$10</f>
        <v>totaal</v>
      </c>
      <c r="AX17" s="234"/>
      <c r="AY17" s="320" t="str">
        <f>IF(AY19="","",AY19)</f>
        <v/>
      </c>
      <c r="AZ17" s="320" t="str">
        <f t="shared" ref="AZ17:BG17" si="15">IF(AZ19="","",AZ19)</f>
        <v/>
      </c>
      <c r="BA17" s="320" t="str">
        <f t="shared" si="15"/>
        <v/>
      </c>
      <c r="BB17" s="320" t="str">
        <f t="shared" si="15"/>
        <v/>
      </c>
      <c r="BC17" s="320" t="str">
        <f t="shared" si="15"/>
        <v/>
      </c>
      <c r="BD17" s="320" t="str">
        <f>IF(BD19="","",BD19)</f>
        <v/>
      </c>
      <c r="BE17" s="320" t="str">
        <f t="shared" si="15"/>
        <v/>
      </c>
      <c r="BF17" s="320" t="str">
        <f t="shared" si="15"/>
        <v/>
      </c>
      <c r="BG17" s="320" t="str">
        <f t="shared" si="15"/>
        <v/>
      </c>
      <c r="BH17" s="1"/>
    </row>
    <row r="18" spans="1:60" ht="18.75" x14ac:dyDescent="0.2">
      <c r="A18" s="648"/>
      <c r="B18" s="739" t="s">
        <v>120</v>
      </c>
      <c r="C18" s="739" t="s">
        <v>104</v>
      </c>
      <c r="D18" s="747"/>
      <c r="E18" s="236" t="s">
        <v>122</v>
      </c>
      <c r="F18" s="236"/>
      <c r="G18" s="236"/>
      <c r="H18" s="89"/>
      <c r="I18" s="236"/>
      <c r="J18" s="236"/>
      <c r="K18" s="236"/>
      <c r="L18" s="236"/>
      <c r="M18" s="236"/>
      <c r="N18" s="236"/>
      <c r="O18" s="236"/>
      <c r="P18" s="236"/>
      <c r="Q18" s="236"/>
      <c r="R18" s="236"/>
      <c r="S18" s="236"/>
      <c r="T18" s="236"/>
      <c r="U18" s="236"/>
      <c r="V18" s="236"/>
      <c r="W18" s="236"/>
      <c r="X18" s="236"/>
      <c r="Y18" s="236"/>
      <c r="Z18" s="236"/>
      <c r="AA18" s="236"/>
      <c r="AB18" s="791"/>
      <c r="AC18" s="236"/>
      <c r="AD18" s="236"/>
      <c r="AE18" s="236"/>
      <c r="AF18" s="236"/>
      <c r="AG18" s="236"/>
      <c r="AH18" s="236"/>
      <c r="AI18" s="236"/>
      <c r="AJ18" s="236"/>
      <c r="AK18" s="236"/>
      <c r="AL18" s="236"/>
      <c r="AM18" s="236"/>
      <c r="AN18" s="791"/>
      <c r="AO18" s="791"/>
      <c r="AP18" s="236"/>
      <c r="AQ18" s="236"/>
      <c r="AR18" s="236"/>
      <c r="AS18" s="236"/>
      <c r="AT18" s="236"/>
      <c r="AU18" s="236"/>
      <c r="AV18" s="236"/>
      <c r="AW18" s="236"/>
      <c r="AX18" s="236"/>
      <c r="AY18" s="236"/>
      <c r="AZ18" s="236"/>
      <c r="BA18" s="236"/>
      <c r="BB18" s="236"/>
      <c r="BC18" s="236"/>
      <c r="BD18" s="236"/>
      <c r="BE18" s="236"/>
      <c r="BF18" s="236"/>
      <c r="BG18" s="236"/>
      <c r="BH18" s="38"/>
    </row>
    <row r="19" spans="1:60" x14ac:dyDescent="0.2">
      <c r="A19" s="648"/>
      <c r="B19" s="739" t="s">
        <v>120</v>
      </c>
      <c r="C19" s="656" t="s">
        <v>113</v>
      </c>
      <c r="D19" s="747"/>
      <c r="E19" s="220" t="s">
        <v>122</v>
      </c>
      <c r="F19" s="182"/>
      <c r="G19" s="182"/>
      <c r="H19" s="183" t="s">
        <v>70</v>
      </c>
      <c r="I19" s="235"/>
      <c r="J19" s="224"/>
      <c r="K19" s="232"/>
      <c r="L19" s="232"/>
      <c r="M19" s="224"/>
      <c r="N19" s="99"/>
      <c r="O19" s="453" t="str">
        <f>IF('woningen|utiliteit'!L18="","",'woningen|utiliteit'!L18)</f>
        <v/>
      </c>
      <c r="P19" s="453" t="str">
        <f>IF('woningen|utiliteit'!M18="","",'woningen|utiliteit'!M18)</f>
        <v/>
      </c>
      <c r="Q19" s="453" t="str">
        <f>IF('woningen|utiliteit'!N18="","",'woningen|utiliteit'!N18)</f>
        <v/>
      </c>
      <c r="R19" s="453" t="str">
        <f>IF('woningen|utiliteit'!O18="","",'woningen|utiliteit'!O18)</f>
        <v/>
      </c>
      <c r="S19" s="453" t="str">
        <f>IF('woningen|utiliteit'!P18="","",'woningen|utiliteit'!P18)</f>
        <v/>
      </c>
      <c r="T19" s="453" t="str">
        <f>IF('woningen|utiliteit'!Q18="","",'woningen|utiliteit'!Q18)</f>
        <v/>
      </c>
      <c r="U19" s="453" t="str">
        <f>IF('woningen|utiliteit'!R18="","",'woningen|utiliteit'!R18)</f>
        <v/>
      </c>
      <c r="V19" s="453" t="str">
        <f>IF('woningen|utiliteit'!S18="","",'woningen|utiliteit'!S18)</f>
        <v/>
      </c>
      <c r="W19" s="453" t="str">
        <f>IF('woningen|utiliteit'!T18="","",'woningen|utiliteit'!T18)</f>
        <v/>
      </c>
      <c r="X19" s="98"/>
      <c r="Y19" s="224"/>
      <c r="Z19" s="99"/>
      <c r="AA19" s="453" t="str">
        <f>IF('woningen|utiliteit'!L32="","",'woningen|utiliteit'!L32)</f>
        <v/>
      </c>
      <c r="AB19" s="453" t="str">
        <f>IF('woningen|utiliteit'!M32="","",'woningen|utiliteit'!M32)</f>
        <v/>
      </c>
      <c r="AC19" s="453" t="str">
        <f>IF('woningen|utiliteit'!N32="","",'woningen|utiliteit'!N32)</f>
        <v/>
      </c>
      <c r="AD19" s="453" t="str">
        <f>IF('woningen|utiliteit'!O32="","",'woningen|utiliteit'!O32)</f>
        <v/>
      </c>
      <c r="AE19" s="453" t="str">
        <f>IF('woningen|utiliteit'!P32="","",'woningen|utiliteit'!P32)</f>
        <v/>
      </c>
      <c r="AF19" s="453" t="str">
        <f>IF('woningen|utiliteit'!Q32="","",'woningen|utiliteit'!Q32)</f>
        <v/>
      </c>
      <c r="AG19" s="453" t="str">
        <f>IF('woningen|utiliteit'!R32="","",'woningen|utiliteit'!R32)</f>
        <v/>
      </c>
      <c r="AH19" s="453" t="str">
        <f>IF('woningen|utiliteit'!S32="","",'woningen|utiliteit'!S32)</f>
        <v/>
      </c>
      <c r="AI19" s="453" t="str">
        <f>IF('woningen|utiliteit'!T32="","",'woningen|utiliteit'!T32)</f>
        <v/>
      </c>
      <c r="AJ19" s="98"/>
      <c r="AK19" s="224"/>
      <c r="AL19" s="99"/>
      <c r="AM19" s="453" t="str">
        <f>IF('woningen|utiliteit'!L46="","",'woningen|utiliteit'!L46)</f>
        <v/>
      </c>
      <c r="AN19" s="453" t="str">
        <f>IF('woningen|utiliteit'!M46="","",'woningen|utiliteit'!M46)</f>
        <v/>
      </c>
      <c r="AO19" s="453" t="str">
        <f>IF('woningen|utiliteit'!N46="","",'woningen|utiliteit'!N46)</f>
        <v/>
      </c>
      <c r="AP19" s="453" t="str">
        <f>IF('woningen|utiliteit'!O46="","",'woningen|utiliteit'!O46)</f>
        <v/>
      </c>
      <c r="AQ19" s="453" t="str">
        <f>IF('woningen|utiliteit'!P46="","",'woningen|utiliteit'!P46)</f>
        <v/>
      </c>
      <c r="AR19" s="453" t="str">
        <f>IF('woningen|utiliteit'!Q46="","",'woningen|utiliteit'!Q46)</f>
        <v/>
      </c>
      <c r="AS19" s="453" t="str">
        <f>IF('woningen|utiliteit'!R46="","",'woningen|utiliteit'!R46)</f>
        <v/>
      </c>
      <c r="AT19" s="453" t="str">
        <f>IF('woningen|utiliteit'!S46="","",'woningen|utiliteit'!S46)</f>
        <v/>
      </c>
      <c r="AU19" s="453" t="str">
        <f>IF('woningen|utiliteit'!T46="","",'woningen|utiliteit'!T46)</f>
        <v/>
      </c>
      <c r="AV19" s="98"/>
      <c r="AW19" s="224"/>
      <c r="AX19" s="99"/>
      <c r="AY19" s="453" t="str">
        <f>IF('woningen|utiliteit'!L60="","",'woningen|utiliteit'!L60)</f>
        <v/>
      </c>
      <c r="AZ19" s="453" t="str">
        <f>IF('woningen|utiliteit'!M60="","",'woningen|utiliteit'!M60)</f>
        <v/>
      </c>
      <c r="BA19" s="453" t="str">
        <f>IF('woningen|utiliteit'!N60="","",'woningen|utiliteit'!N60)</f>
        <v/>
      </c>
      <c r="BB19" s="453" t="str">
        <f>IF('woningen|utiliteit'!O60="","",'woningen|utiliteit'!O60)</f>
        <v/>
      </c>
      <c r="BC19" s="453" t="str">
        <f>IF('woningen|utiliteit'!P60="","",'woningen|utiliteit'!P60)</f>
        <v/>
      </c>
      <c r="BD19" s="453" t="str">
        <f>IF('woningen|utiliteit'!Q60="","",'woningen|utiliteit'!Q60)</f>
        <v/>
      </c>
      <c r="BE19" s="453" t="str">
        <f>IF('woningen|utiliteit'!R60="","",'woningen|utiliteit'!R60)</f>
        <v/>
      </c>
      <c r="BF19" s="453" t="str">
        <f>IF('woningen|utiliteit'!S60="","",'woningen|utiliteit'!S60)</f>
        <v/>
      </c>
      <c r="BG19" s="453" t="str">
        <f>IF('woningen|utiliteit'!T60="","",'woningen|utiliteit'!T60)</f>
        <v/>
      </c>
      <c r="BH19" s="258"/>
    </row>
    <row r="20" spans="1:60" x14ac:dyDescent="0.2">
      <c r="A20" s="648"/>
      <c r="B20" s="739" t="s">
        <v>120</v>
      </c>
      <c r="C20" s="656" t="s">
        <v>113</v>
      </c>
      <c r="D20" s="747"/>
      <c r="E20" s="317" t="s">
        <v>123</v>
      </c>
      <c r="F20" s="286"/>
      <c r="G20" s="286"/>
      <c r="H20" s="360" t="s">
        <v>70</v>
      </c>
      <c r="I20" s="716"/>
      <c r="J20" s="226"/>
      <c r="K20" s="232"/>
      <c r="L20" s="232"/>
      <c r="M20" s="226"/>
      <c r="N20" s="106"/>
      <c r="O20" s="637" t="str">
        <f>IF('woningen|utiliteit'!L20="","",'woningen|utiliteit'!L20)</f>
        <v/>
      </c>
      <c r="P20" s="637" t="str">
        <f>IF('woningen|utiliteit'!M20="","",'woningen|utiliteit'!M20)</f>
        <v/>
      </c>
      <c r="Q20" s="637" t="str">
        <f>IF('woningen|utiliteit'!N20="","",'woningen|utiliteit'!N20)</f>
        <v/>
      </c>
      <c r="R20" s="637" t="str">
        <f>IF('woningen|utiliteit'!O20="","",'woningen|utiliteit'!O20)</f>
        <v/>
      </c>
      <c r="S20" s="637" t="str">
        <f>IF('woningen|utiliteit'!P20="","",'woningen|utiliteit'!P20)</f>
        <v/>
      </c>
      <c r="T20" s="637" t="str">
        <f>IF('woningen|utiliteit'!Q20="","",'woningen|utiliteit'!Q20)</f>
        <v/>
      </c>
      <c r="U20" s="637" t="str">
        <f>IF('woningen|utiliteit'!R20="","",'woningen|utiliteit'!R20)</f>
        <v/>
      </c>
      <c r="V20" s="637" t="str">
        <f>IF('woningen|utiliteit'!S20="","",'woningen|utiliteit'!S20)</f>
        <v/>
      </c>
      <c r="W20" s="637" t="str">
        <f>IF('woningen|utiliteit'!T20="","",'woningen|utiliteit'!T20)</f>
        <v/>
      </c>
      <c r="X20" s="98"/>
      <c r="Y20" s="226"/>
      <c r="Z20" s="106"/>
      <c r="AA20" s="637" t="str">
        <f>IF('woningen|utiliteit'!L34="","",'woningen|utiliteit'!L34)</f>
        <v/>
      </c>
      <c r="AB20" s="637" t="str">
        <f>IF('woningen|utiliteit'!M34="","",'woningen|utiliteit'!M34)</f>
        <v/>
      </c>
      <c r="AC20" s="637" t="str">
        <f>IF('woningen|utiliteit'!N34="","",'woningen|utiliteit'!N34)</f>
        <v/>
      </c>
      <c r="AD20" s="637" t="str">
        <f>IF('woningen|utiliteit'!O34="","",'woningen|utiliteit'!O34)</f>
        <v/>
      </c>
      <c r="AE20" s="637" t="str">
        <f>IF('woningen|utiliteit'!P34="","",'woningen|utiliteit'!P34)</f>
        <v/>
      </c>
      <c r="AF20" s="637" t="str">
        <f>IF('woningen|utiliteit'!Q34="","",'woningen|utiliteit'!Q34)</f>
        <v/>
      </c>
      <c r="AG20" s="637" t="str">
        <f>IF('woningen|utiliteit'!R34="","",'woningen|utiliteit'!R34)</f>
        <v/>
      </c>
      <c r="AH20" s="637" t="str">
        <f>IF('woningen|utiliteit'!S34="","",'woningen|utiliteit'!S34)</f>
        <v/>
      </c>
      <c r="AI20" s="637" t="str">
        <f>IF('woningen|utiliteit'!T34="","",'woningen|utiliteit'!T34)</f>
        <v/>
      </c>
      <c r="AJ20" s="98"/>
      <c r="AK20" s="226"/>
      <c r="AL20" s="106"/>
      <c r="AM20" s="637" t="str">
        <f>IF('woningen|utiliteit'!L48="","",'woningen|utiliteit'!L48)</f>
        <v/>
      </c>
      <c r="AN20" s="637" t="str">
        <f>IF('woningen|utiliteit'!M48="","",'woningen|utiliteit'!M48)</f>
        <v/>
      </c>
      <c r="AO20" s="637" t="str">
        <f>IF('woningen|utiliteit'!N48="","",'woningen|utiliteit'!N48)</f>
        <v/>
      </c>
      <c r="AP20" s="637" t="str">
        <f>IF('woningen|utiliteit'!O48="","",'woningen|utiliteit'!O48)</f>
        <v/>
      </c>
      <c r="AQ20" s="637" t="str">
        <f>IF('woningen|utiliteit'!P48="","",'woningen|utiliteit'!P48)</f>
        <v/>
      </c>
      <c r="AR20" s="637" t="str">
        <f>IF('woningen|utiliteit'!Q48="","",'woningen|utiliteit'!Q48)</f>
        <v/>
      </c>
      <c r="AS20" s="637" t="str">
        <f>IF('woningen|utiliteit'!R48="","",'woningen|utiliteit'!R48)</f>
        <v/>
      </c>
      <c r="AT20" s="637" t="str">
        <f>IF('woningen|utiliteit'!S48="","",'woningen|utiliteit'!S48)</f>
        <v/>
      </c>
      <c r="AU20" s="637" t="str">
        <f>IF('woningen|utiliteit'!T48="","",'woningen|utiliteit'!T48)</f>
        <v/>
      </c>
      <c r="AV20" s="98"/>
      <c r="AW20" s="226"/>
      <c r="AX20" s="106"/>
      <c r="AY20" s="637" t="str">
        <f>IF('woningen|utiliteit'!L62="","",'woningen|utiliteit'!L62)</f>
        <v/>
      </c>
      <c r="AZ20" s="637" t="str">
        <f>IF('woningen|utiliteit'!M62="","",'woningen|utiliteit'!M62)</f>
        <v/>
      </c>
      <c r="BA20" s="637" t="str">
        <f>IF('woningen|utiliteit'!N62="","",'woningen|utiliteit'!N62)</f>
        <v/>
      </c>
      <c r="BB20" s="637" t="str">
        <f>IF('woningen|utiliteit'!O62="","",'woningen|utiliteit'!O62)</f>
        <v/>
      </c>
      <c r="BC20" s="637" t="str">
        <f>IF('woningen|utiliteit'!P62="","",'woningen|utiliteit'!P62)</f>
        <v/>
      </c>
      <c r="BD20" s="637" t="str">
        <f>IF('woningen|utiliteit'!Q62="","",'woningen|utiliteit'!Q62)</f>
        <v/>
      </c>
      <c r="BE20" s="637" t="str">
        <f>IF('woningen|utiliteit'!R62="","",'woningen|utiliteit'!R62)</f>
        <v/>
      </c>
      <c r="BF20" s="637" t="str">
        <f>IF('woningen|utiliteit'!S62="","",'woningen|utiliteit'!S62)</f>
        <v/>
      </c>
      <c r="BG20" s="637" t="str">
        <f>IF('woningen|utiliteit'!T62="","",'woningen|utiliteit'!T62)</f>
        <v/>
      </c>
      <c r="BH20" s="258"/>
    </row>
    <row r="21" spans="1:60" s="38" customFormat="1" x14ac:dyDescent="0.2">
      <c r="A21" s="648"/>
      <c r="B21" s="739" t="s">
        <v>120</v>
      </c>
      <c r="C21" s="656" t="s">
        <v>113</v>
      </c>
      <c r="D21" s="747"/>
      <c r="E21" s="316" t="s">
        <v>124</v>
      </c>
      <c r="F21" s="713"/>
      <c r="G21" s="713"/>
      <c r="H21" s="361" t="s">
        <v>70</v>
      </c>
      <c r="I21" s="97"/>
      <c r="J21" s="714"/>
      <c r="K21" s="105"/>
      <c r="L21" s="105"/>
      <c r="M21" s="714"/>
      <c r="N21" s="715"/>
      <c r="O21" s="619" t="str">
        <f>IF(O$19="","",HLOOKUP(O$19,woningen_gebouwen_gegevens,ROWS(bibliotheek!$E$13:$E$14),FALSE))</f>
        <v/>
      </c>
      <c r="P21" s="619" t="str">
        <f>IF(P$19="","",HLOOKUP(P$19,woningen_gebouwen_gegevens,ROWS(bibliotheek!$E$13:$E$14),FALSE))</f>
        <v/>
      </c>
      <c r="Q21" s="619" t="str">
        <f>IF(Q$19="","",HLOOKUP(Q$19,woningen_gebouwen_gegevens,ROWS(bibliotheek!$E$13:$E$14),FALSE))</f>
        <v/>
      </c>
      <c r="R21" s="619" t="str">
        <f>IF(R$19="","",HLOOKUP(R$19,woningen_gebouwen_gegevens,ROWS(bibliotheek!$E$13:$E$14),FALSE))</f>
        <v/>
      </c>
      <c r="S21" s="619" t="str">
        <f>IF(S$19="","",HLOOKUP(S$19,woningen_gebouwen_gegevens,ROWS(bibliotheek!$E$13:$E$14),FALSE))</f>
        <v/>
      </c>
      <c r="T21" s="619" t="str">
        <f>IF(T$19="","",HLOOKUP(T$19,woningen_gebouwen_gegevens,ROWS(bibliotheek!$E$13:$E$14),FALSE))</f>
        <v/>
      </c>
      <c r="U21" s="619" t="str">
        <f>IF(U$19="","",HLOOKUP(U$19,woningen_gebouwen_gegevens,ROWS(bibliotheek!$E$13:$E$14),FALSE))</f>
        <v/>
      </c>
      <c r="V21" s="619" t="str">
        <f>IF(V$19="","",HLOOKUP(V$19,woningen_gebouwen_gegevens,ROWS(bibliotheek!$E$13:$E$14),FALSE))</f>
        <v/>
      </c>
      <c r="W21" s="619" t="str">
        <f>IF(W$19="","",HLOOKUP(W$19,woningen_gebouwen_gegevens,ROWS(bibliotheek!$E$13:$E$14),FALSE))</f>
        <v/>
      </c>
      <c r="X21" s="388"/>
      <c r="Y21" s="181"/>
      <c r="Z21" s="389"/>
      <c r="AA21" s="453" t="str">
        <f>IF(AA$19="","",HLOOKUP(AA$19,woningen_gebouwen_gegevens,ROWS(bibliotheek!$E$13:$E$14),FALSE))</f>
        <v/>
      </c>
      <c r="AB21" s="453" t="str">
        <f>IF(AB$19="","",HLOOKUP(AB$19,woningen_gebouwen_gegevens,ROWS(bibliotheek!$E$13:$E$14),FALSE))</f>
        <v/>
      </c>
      <c r="AC21" s="453" t="str">
        <f>IF(AC$19="","",HLOOKUP(AC$19,woningen_gebouwen_gegevens,ROWS(bibliotheek!$E$13:$E$14),FALSE))</f>
        <v/>
      </c>
      <c r="AD21" s="453" t="str">
        <f>IF(AD$19="","",HLOOKUP(AD$19,woningen_gebouwen_gegevens,ROWS(bibliotheek!$E$13:$E$14),FALSE))</f>
        <v/>
      </c>
      <c r="AE21" s="453" t="str">
        <f>IF(AE$19="","",HLOOKUP(AE$19,woningen_gebouwen_gegevens,ROWS(bibliotheek!$E$13:$E$14),FALSE))</f>
        <v/>
      </c>
      <c r="AF21" s="453" t="str">
        <f>IF(AF$19="","",HLOOKUP(AF$19,woningen_gebouwen_gegevens,ROWS(bibliotheek!$E$13:$E$14),FALSE))</f>
        <v/>
      </c>
      <c r="AG21" s="453" t="str">
        <f>IF(AG$19="","",HLOOKUP(AG$19,woningen_gebouwen_gegevens,ROWS(bibliotheek!$E$13:$E$14),FALSE))</f>
        <v/>
      </c>
      <c r="AH21" s="453" t="str">
        <f>IF(AH$19="","",HLOOKUP(AH$19,woningen_gebouwen_gegevens,ROWS(bibliotheek!$E$13:$E$14),FALSE))</f>
        <v/>
      </c>
      <c r="AI21" s="453" t="str">
        <f>IF(AI$19="","",HLOOKUP(AI$19,woningen_gebouwen_gegevens,ROWS(bibliotheek!$E$13:$E$14),FALSE))</f>
        <v/>
      </c>
      <c r="AJ21" s="388"/>
      <c r="AK21" s="181"/>
      <c r="AL21" s="389"/>
      <c r="AM21" s="453" t="str">
        <f>IF(AM$19="","",HLOOKUP(AM$19,woningen_gebouwen_gegevens,ROWS(bibliotheek!$E$13:$E$14),FALSE))</f>
        <v/>
      </c>
      <c r="AN21" s="453" t="str">
        <f>IF(AN$19="","",HLOOKUP(AN$19,woningen_gebouwen_gegevens,ROWS(bibliotheek!$E$13:$E$14),FALSE))</f>
        <v/>
      </c>
      <c r="AO21" s="453" t="str">
        <f>IF(AO$19="","",HLOOKUP(AO$19,woningen_gebouwen_gegevens,ROWS(bibliotheek!$E$13:$E$14),FALSE))</f>
        <v/>
      </c>
      <c r="AP21" s="453" t="str">
        <f>IF(AP$19="","",HLOOKUP(AP$19,woningen_gebouwen_gegevens,ROWS(bibliotheek!$E$13:$E$14),FALSE))</f>
        <v/>
      </c>
      <c r="AQ21" s="453" t="str">
        <f>IF(AQ$19="","",HLOOKUP(AQ$19,woningen_gebouwen_gegevens,ROWS(bibliotheek!$E$13:$E$14),FALSE))</f>
        <v/>
      </c>
      <c r="AR21" s="453" t="str">
        <f>IF(AR$19="","",HLOOKUP(AR$19,woningen_gebouwen_gegevens,ROWS(bibliotheek!$E$13:$E$14),FALSE))</f>
        <v/>
      </c>
      <c r="AS21" s="453" t="str">
        <f>IF(AS$19="","",HLOOKUP(AS$19,woningen_gebouwen_gegevens,ROWS(bibliotheek!$E$13:$E$14),FALSE))</f>
        <v/>
      </c>
      <c r="AT21" s="453" t="str">
        <f>IF(AT$19="","",HLOOKUP(AT$19,woningen_gebouwen_gegevens,ROWS(bibliotheek!$E$13:$E$14),FALSE))</f>
        <v/>
      </c>
      <c r="AU21" s="453" t="str">
        <f>IF(AU$19="","",HLOOKUP(AU$19,woningen_gebouwen_gegevens,ROWS(bibliotheek!$E$13:$E$14),FALSE))</f>
        <v/>
      </c>
      <c r="AV21" s="388"/>
      <c r="AW21" s="181"/>
      <c r="AX21" s="389"/>
      <c r="AY21" s="453" t="str">
        <f>IF(AY$19="","",HLOOKUP(AY$19,woningen_gebouwen_gegevens,ROWS(bibliotheek!$E$13:$E$14),FALSE))</f>
        <v/>
      </c>
      <c r="AZ21" s="453" t="str">
        <f>IF(AZ$19="","",HLOOKUP(AZ$19,woningen_gebouwen_gegevens,ROWS(bibliotheek!$E$13:$E$14),FALSE))</f>
        <v/>
      </c>
      <c r="BA21" s="453" t="str">
        <f>IF(BA$19="","",HLOOKUP(BA$19,woningen_gebouwen_gegevens,ROWS(bibliotheek!$E$13:$E$14),FALSE))</f>
        <v/>
      </c>
      <c r="BB21" s="453" t="str">
        <f>IF(BB$19="","",HLOOKUP(BB$19,woningen_gebouwen_gegevens,ROWS(bibliotheek!$E$13:$E$14),FALSE))</f>
        <v/>
      </c>
      <c r="BC21" s="453" t="str">
        <f>IF(BC$19="","",HLOOKUP(BC$19,woningen_gebouwen_gegevens,ROWS(bibliotheek!$E$13:$E$14),FALSE))</f>
        <v/>
      </c>
      <c r="BD21" s="453" t="str">
        <f>IF(BD$19="","",HLOOKUP(BD$19,woningen_gebouwen_gegevens,ROWS(bibliotheek!$E$13:$E$14),FALSE))</f>
        <v/>
      </c>
      <c r="BE21" s="453" t="str">
        <f>IF(BE$19="","",HLOOKUP(BE$19,woningen_gebouwen_gegevens,ROWS(bibliotheek!$E$13:$E$14),FALSE))</f>
        <v/>
      </c>
      <c r="BF21" s="453" t="str">
        <f>IF(BF$19="","",HLOOKUP(BF$19,woningen_gebouwen_gegevens,ROWS(bibliotheek!$E$13:$E$14),FALSE))</f>
        <v/>
      </c>
      <c r="BG21" s="453" t="str">
        <f>IF(BG$19="","",HLOOKUP(BG$19,woningen_gebouwen_gegevens,ROWS(bibliotheek!$E$13:$E$14),FALSE))</f>
        <v/>
      </c>
      <c r="BH21" s="258"/>
    </row>
    <row r="22" spans="1:60" x14ac:dyDescent="0.2">
      <c r="A22" s="648"/>
      <c r="B22" s="739" t="s">
        <v>120</v>
      </c>
      <c r="C22" s="656" t="s">
        <v>113</v>
      </c>
      <c r="D22" s="747"/>
      <c r="E22" s="220" t="s">
        <v>125</v>
      </c>
      <c r="F22" s="220"/>
      <c r="G22" s="220"/>
      <c r="H22" s="221" t="s">
        <v>70</v>
      </c>
      <c r="I22" s="129"/>
      <c r="J22" s="719"/>
      <c r="K22" s="294"/>
      <c r="L22" s="294"/>
      <c r="M22" s="228"/>
      <c r="N22" s="100"/>
      <c r="O22" s="453" t="str">
        <f>IF(O$19="","",HLOOKUP(O$19,woningen_gebouwen_gegevens,ROWS(bibliotheek!$E$13:$E$15),FALSE))</f>
        <v/>
      </c>
      <c r="P22" s="453" t="str">
        <f>IF(P$19="","",HLOOKUP(P$19,woningen_gebouwen_gegevens,ROWS(bibliotheek!$E$13:$E$15),FALSE))</f>
        <v/>
      </c>
      <c r="Q22" s="453" t="str">
        <f>IF(Q$19="","",HLOOKUP(Q$19,woningen_gebouwen_gegevens,ROWS(bibliotheek!$E$13:$E$15),FALSE))</f>
        <v/>
      </c>
      <c r="R22" s="453" t="str">
        <f>IF(R$19="","",HLOOKUP(R$19,woningen_gebouwen_gegevens,ROWS(bibliotheek!$E$13:$E$15),FALSE))</f>
        <v/>
      </c>
      <c r="S22" s="453" t="str">
        <f>IF(S$19="","",HLOOKUP(S$19,woningen_gebouwen_gegevens,ROWS(bibliotheek!$E$13:$E$15),FALSE))</f>
        <v/>
      </c>
      <c r="T22" s="453" t="str">
        <f>IF(T$19="","",HLOOKUP(T$19,woningen_gebouwen_gegevens,ROWS(bibliotheek!$E$13:$E$15),FALSE))</f>
        <v/>
      </c>
      <c r="U22" s="453" t="str">
        <f>IF(U$19="","",HLOOKUP(U$19,woningen_gebouwen_gegevens,ROWS(bibliotheek!$E$13:$E$15),FALSE))</f>
        <v/>
      </c>
      <c r="V22" s="453" t="str">
        <f>IF(V$19="","",HLOOKUP(V$19,woningen_gebouwen_gegevens,ROWS(bibliotheek!$E$13:$E$15),FALSE))</f>
        <v/>
      </c>
      <c r="W22" s="453" t="str">
        <f>IF(W$19="","",HLOOKUP(W$19,woningen_gebouwen_gegevens,ROWS(bibliotheek!$E$13:$E$15),FALSE))</f>
        <v/>
      </c>
      <c r="X22" s="101"/>
      <c r="Y22" s="228"/>
      <c r="Z22" s="100"/>
      <c r="AA22" s="453" t="str">
        <f>IF(AA$19="","",HLOOKUP(AA$19,woningen_gebouwen_gegevens,ROWS(bibliotheek!$E$13:$E$15),FALSE))</f>
        <v/>
      </c>
      <c r="AB22" s="453" t="str">
        <f>IF(AB$19="","",HLOOKUP(AB$19,woningen_gebouwen_gegevens,ROWS(bibliotheek!$E$13:$E$15),FALSE))</f>
        <v/>
      </c>
      <c r="AC22" s="453" t="str">
        <f>IF(AC$19="","",HLOOKUP(AC$19,woningen_gebouwen_gegevens,ROWS(bibliotheek!$E$13:$E$15),FALSE))</f>
        <v/>
      </c>
      <c r="AD22" s="453" t="str">
        <f>IF(AD$19="","",HLOOKUP(AD$19,woningen_gebouwen_gegevens,ROWS(bibliotheek!$E$13:$E$15),FALSE))</f>
        <v/>
      </c>
      <c r="AE22" s="453" t="str">
        <f>IF(AE$19="","",HLOOKUP(AE$19,woningen_gebouwen_gegevens,ROWS(bibliotheek!$E$13:$E$15),FALSE))</f>
        <v/>
      </c>
      <c r="AF22" s="453" t="str">
        <f>IF(AF$19="","",HLOOKUP(AF$19,woningen_gebouwen_gegevens,ROWS(bibliotheek!$E$13:$E$15),FALSE))</f>
        <v/>
      </c>
      <c r="AG22" s="453" t="str">
        <f>IF(AG$19="","",HLOOKUP(AG$19,woningen_gebouwen_gegevens,ROWS(bibliotheek!$E$13:$E$15),FALSE))</f>
        <v/>
      </c>
      <c r="AH22" s="453" t="str">
        <f>IF(AH$19="","",HLOOKUP(AH$19,woningen_gebouwen_gegevens,ROWS(bibliotheek!$E$13:$E$15),FALSE))</f>
        <v/>
      </c>
      <c r="AI22" s="453" t="str">
        <f>IF(AI$19="","",HLOOKUP(AI$19,woningen_gebouwen_gegevens,ROWS(bibliotheek!$E$13:$E$15),FALSE))</f>
        <v/>
      </c>
      <c r="AJ22" s="101"/>
      <c r="AK22" s="228"/>
      <c r="AL22" s="100"/>
      <c r="AM22" s="453" t="str">
        <f>IF(AM$19="","",HLOOKUP(AM$19,woningen_gebouwen_gegevens,ROWS(bibliotheek!$E$13:$E$15),FALSE))</f>
        <v/>
      </c>
      <c r="AN22" s="453" t="str">
        <f>IF(AN$19="","",HLOOKUP(AN$19,woningen_gebouwen_gegevens,ROWS(bibliotheek!$E$13:$E$15),FALSE))</f>
        <v/>
      </c>
      <c r="AO22" s="453" t="str">
        <f>IF(AO$19="","",HLOOKUP(AO$19,woningen_gebouwen_gegevens,ROWS(bibliotheek!$E$13:$E$15),FALSE))</f>
        <v/>
      </c>
      <c r="AP22" s="453" t="str">
        <f>IF(AP$19="","",HLOOKUP(AP$19,woningen_gebouwen_gegevens,ROWS(bibliotheek!$E$13:$E$15),FALSE))</f>
        <v/>
      </c>
      <c r="AQ22" s="453" t="str">
        <f>IF(AQ$19="","",HLOOKUP(AQ$19,woningen_gebouwen_gegevens,ROWS(bibliotheek!$E$13:$E$15),FALSE))</f>
        <v/>
      </c>
      <c r="AR22" s="453" t="str">
        <f>IF(AR$19="","",HLOOKUP(AR$19,woningen_gebouwen_gegevens,ROWS(bibliotheek!$E$13:$E$15),FALSE))</f>
        <v/>
      </c>
      <c r="AS22" s="453" t="str">
        <f>IF(AS$19="","",HLOOKUP(AS$19,woningen_gebouwen_gegevens,ROWS(bibliotheek!$E$13:$E$15),FALSE))</f>
        <v/>
      </c>
      <c r="AT22" s="453" t="str">
        <f>IF(AT$19="","",HLOOKUP(AT$19,woningen_gebouwen_gegevens,ROWS(bibliotheek!$E$13:$E$15),FALSE))</f>
        <v/>
      </c>
      <c r="AU22" s="453" t="str">
        <f>IF(AU$19="","",HLOOKUP(AU$19,woningen_gebouwen_gegevens,ROWS(bibliotheek!$E$13:$E$15),FALSE))</f>
        <v/>
      </c>
      <c r="AV22" s="101"/>
      <c r="AW22" s="228"/>
      <c r="AX22" s="100"/>
      <c r="AY22" s="453" t="str">
        <f>IF(AY$19="","",HLOOKUP(AY$19,woningen_gebouwen_gegevens,ROWS(bibliotheek!$E$13:$E$15),FALSE))</f>
        <v/>
      </c>
      <c r="AZ22" s="453" t="str">
        <f>IF(AZ$19="","",HLOOKUP(AZ$19,woningen_gebouwen_gegevens,ROWS(bibliotheek!$E$13:$E$15),FALSE))</f>
        <v/>
      </c>
      <c r="BA22" s="453" t="str">
        <f>IF(BA$19="","",HLOOKUP(BA$19,woningen_gebouwen_gegevens,ROWS(bibliotheek!$E$13:$E$15),FALSE))</f>
        <v/>
      </c>
      <c r="BB22" s="453" t="str">
        <f>IF(BB$19="","",HLOOKUP(BB$19,woningen_gebouwen_gegevens,ROWS(bibliotheek!$E$13:$E$15),FALSE))</f>
        <v/>
      </c>
      <c r="BC22" s="453" t="str">
        <f>IF(BC$19="","",HLOOKUP(BC$19,woningen_gebouwen_gegevens,ROWS(bibliotheek!$E$13:$E$15),FALSE))</f>
        <v/>
      </c>
      <c r="BD22" s="453" t="str">
        <f>IF(BD$19="","",HLOOKUP(BD$19,woningen_gebouwen_gegevens,ROWS(bibliotheek!$E$13:$E$15),FALSE))</f>
        <v/>
      </c>
      <c r="BE22" s="453" t="str">
        <f>IF(BE$19="","",HLOOKUP(BE$19,woningen_gebouwen_gegevens,ROWS(bibliotheek!$E$13:$E$15),FALSE))</f>
        <v/>
      </c>
      <c r="BF22" s="453" t="str">
        <f>IF(BF$19="","",HLOOKUP(BF$19,woningen_gebouwen_gegevens,ROWS(bibliotheek!$E$13:$E$15),FALSE))</f>
        <v/>
      </c>
      <c r="BG22" s="453" t="str">
        <f>IF(BG$19="","",HLOOKUP(BG$19,woningen_gebouwen_gegevens,ROWS(bibliotheek!$E$13:$E$15),FALSE))</f>
        <v/>
      </c>
      <c r="BH22" s="259"/>
    </row>
    <row r="23" spans="1:60" ht="18.75" x14ac:dyDescent="0.2">
      <c r="A23" s="648"/>
      <c r="B23" s="739" t="s">
        <v>120</v>
      </c>
      <c r="C23" s="739" t="s">
        <v>104</v>
      </c>
      <c r="D23" s="747"/>
      <c r="E23" s="236" t="s">
        <v>126</v>
      </c>
      <c r="F23" s="236"/>
      <c r="G23" s="236"/>
      <c r="H23" s="89"/>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38"/>
    </row>
    <row r="24" spans="1:60" x14ac:dyDescent="0.2">
      <c r="A24" s="648"/>
      <c r="B24" s="739" t="s">
        <v>120</v>
      </c>
      <c r="C24" s="656" t="s">
        <v>127</v>
      </c>
      <c r="D24" s="747"/>
      <c r="E24" s="316" t="s">
        <v>128</v>
      </c>
      <c r="F24" s="316"/>
      <c r="G24" s="316"/>
      <c r="H24" s="361" t="s">
        <v>129</v>
      </c>
      <c r="I24" s="131"/>
      <c r="J24" s="225">
        <f>M24+Y24+AK24+AW24</f>
        <v>0</v>
      </c>
      <c r="K24" s="102"/>
      <c r="L24" s="102"/>
      <c r="M24" s="469">
        <f>SUM(N24:X24)</f>
        <v>0</v>
      </c>
      <c r="N24" s="103"/>
      <c r="O24" s="618">
        <f>IF('woningen|utiliteit'!L18="",0,IF(O25&lt;&gt;"",O25,'woningen|utiliteit'!L21))</f>
        <v>0</v>
      </c>
      <c r="P24" s="618">
        <f>IF('woningen|utiliteit'!M18="",0,IF(P25&lt;&gt;"",P25,'woningen|utiliteit'!M21))</f>
        <v>0</v>
      </c>
      <c r="Q24" s="619">
        <f>IF('woningen|utiliteit'!N18="",0,IF(Q25&lt;&gt;"",Q25,'woningen|utiliteit'!N21))</f>
        <v>0</v>
      </c>
      <c r="R24" s="619">
        <f>IF('woningen|utiliteit'!O18="",0,IF(R25&lt;&gt;"",R25,'woningen|utiliteit'!O21))</f>
        <v>0</v>
      </c>
      <c r="S24" s="619">
        <f>IF('woningen|utiliteit'!P18="",0,IF(S25&lt;&gt;"",S25,'woningen|utiliteit'!P21))</f>
        <v>0</v>
      </c>
      <c r="T24" s="619">
        <f>IF('woningen|utiliteit'!Q18="",0,IF(T25&lt;&gt;"",T25,'woningen|utiliteit'!Q21))</f>
        <v>0</v>
      </c>
      <c r="U24" s="619">
        <f>IF('woningen|utiliteit'!R18="",0,IF(U25&lt;&gt;"",U25,'woningen|utiliteit'!R21))</f>
        <v>0</v>
      </c>
      <c r="V24" s="619">
        <f>IF('woningen|utiliteit'!S18="",0,IF(V25&lt;&gt;"",V25,'woningen|utiliteit'!S21))</f>
        <v>0</v>
      </c>
      <c r="W24" s="618">
        <f>IF('woningen|utiliteit'!T18="",0,IF(W25&lt;&gt;"",W25,'woningen|utiliteit'!T21))</f>
        <v>0</v>
      </c>
      <c r="X24" s="104"/>
      <c r="Y24" s="229">
        <f>SUM(Z24:AJ24)</f>
        <v>0</v>
      </c>
      <c r="Z24" s="103"/>
      <c r="AA24" s="618">
        <f>IF('woningen|utiliteit'!L32="",0,IF(AA25&lt;&gt;"",AA25,'woningen|utiliteit'!L35))</f>
        <v>0</v>
      </c>
      <c r="AB24" s="618">
        <f>IF('woningen|utiliteit'!M32="",0,IF(AB25&lt;&gt;"",AB25,'woningen|utiliteit'!M35))</f>
        <v>0</v>
      </c>
      <c r="AC24" s="619">
        <f>IF('woningen|utiliteit'!N32="",0,IF(AC25&lt;&gt;"",AC25,'woningen|utiliteit'!N35))</f>
        <v>0</v>
      </c>
      <c r="AD24" s="619">
        <f>IF('woningen|utiliteit'!O32="",0,IF(AD25&lt;&gt;"",AD25,'woningen|utiliteit'!O35))</f>
        <v>0</v>
      </c>
      <c r="AE24" s="619">
        <f>IF('woningen|utiliteit'!P32="",0,IF(AE25&lt;&gt;"",AE25,'woningen|utiliteit'!P35))</f>
        <v>0</v>
      </c>
      <c r="AF24" s="619">
        <f>IF('woningen|utiliteit'!Q32="",0,IF(AF25&lt;&gt;"",AF25,'woningen|utiliteit'!Q35))</f>
        <v>0</v>
      </c>
      <c r="AG24" s="619">
        <f>IF('woningen|utiliteit'!R32="",0,IF(AG25&lt;&gt;"",AG25,'woningen|utiliteit'!R35))</f>
        <v>0</v>
      </c>
      <c r="AH24" s="619">
        <f>IF('woningen|utiliteit'!S32="",0,IF(AH25&lt;&gt;"",AH25,'woningen|utiliteit'!S35))</f>
        <v>0</v>
      </c>
      <c r="AI24" s="618">
        <f>IF('woningen|utiliteit'!T32="",0,IF(AI25&lt;&gt;"",AI25,'woningen|utiliteit'!T35))</f>
        <v>0</v>
      </c>
      <c r="AJ24" s="104"/>
      <c r="AK24" s="229">
        <f>SUM(AL24:AV24)</f>
        <v>0</v>
      </c>
      <c r="AL24" s="103"/>
      <c r="AM24" s="618">
        <f>IF('woningen|utiliteit'!L46="",0,IF(AM25&lt;&gt;"",AM25,'woningen|utiliteit'!L49))</f>
        <v>0</v>
      </c>
      <c r="AN24" s="618">
        <f>IF('woningen|utiliteit'!M46="",0,IF(AN25&lt;&gt;"",AN25,'woningen|utiliteit'!M49))</f>
        <v>0</v>
      </c>
      <c r="AO24" s="619">
        <f>IF('woningen|utiliteit'!N46="",0,IF(AO25&lt;&gt;"",AO25,'woningen|utiliteit'!N49))</f>
        <v>0</v>
      </c>
      <c r="AP24" s="619">
        <f>IF('woningen|utiliteit'!O46="",0,IF(AP25&lt;&gt;"",AP25,'woningen|utiliteit'!O49))</f>
        <v>0</v>
      </c>
      <c r="AQ24" s="619">
        <f>IF('woningen|utiliteit'!P46="",0,IF(AQ25&lt;&gt;"",AQ25,'woningen|utiliteit'!P49))</f>
        <v>0</v>
      </c>
      <c r="AR24" s="619">
        <f>IF('woningen|utiliteit'!Q46="",0,IF(AR25&lt;&gt;"",AR25,'woningen|utiliteit'!Q49))</f>
        <v>0</v>
      </c>
      <c r="AS24" s="619">
        <f>IF('woningen|utiliteit'!R46="",0,IF(AS25&lt;&gt;"",AS25,'woningen|utiliteit'!R49))</f>
        <v>0</v>
      </c>
      <c r="AT24" s="619">
        <f>IF('woningen|utiliteit'!S46="",0,IF(AT25&lt;&gt;"",AT25,'woningen|utiliteit'!S49))</f>
        <v>0</v>
      </c>
      <c r="AU24" s="618">
        <f>IF('woningen|utiliteit'!T46="",0,IF(AU25&lt;&gt;"",AU25,'woningen|utiliteit'!T49))</f>
        <v>0</v>
      </c>
      <c r="AV24" s="104"/>
      <c r="AW24" s="229">
        <f>SUM(AX24:BH24)</f>
        <v>0</v>
      </c>
      <c r="AX24" s="103"/>
      <c r="AY24" s="618">
        <f>IF('woningen|utiliteit'!L60="",0,IF(AY25&lt;&gt;"",AY25,'woningen|utiliteit'!L63))</f>
        <v>0</v>
      </c>
      <c r="AZ24" s="618">
        <f>IF('woningen|utiliteit'!M60="",0,IF(AZ25&lt;&gt;"",AZ25,'woningen|utiliteit'!M63))</f>
        <v>0</v>
      </c>
      <c r="BA24" s="619">
        <f>IF('woningen|utiliteit'!N60="",0,IF(BA25&lt;&gt;"",BA25,'woningen|utiliteit'!N63))</f>
        <v>0</v>
      </c>
      <c r="BB24" s="619">
        <f>IF('woningen|utiliteit'!O60="",0,IF(BB25&lt;&gt;"",BB25,'woningen|utiliteit'!O63))</f>
        <v>0</v>
      </c>
      <c r="BC24" s="619">
        <f>IF('woningen|utiliteit'!P60="",0,IF(BC25&lt;&gt;"",BC25,'woningen|utiliteit'!P63))</f>
        <v>0</v>
      </c>
      <c r="BD24" s="619">
        <f>IF('woningen|utiliteit'!Q60="",0,IF(BD25&lt;&gt;"",BD25,'woningen|utiliteit'!Q63))</f>
        <v>0</v>
      </c>
      <c r="BE24" s="619">
        <f>IF('woningen|utiliteit'!R60="",0,IF(BE25&lt;&gt;"",BE25,'woningen|utiliteit'!R63))</f>
        <v>0</v>
      </c>
      <c r="BF24" s="619">
        <f>IF('woningen|utiliteit'!S60="",0,IF(BF25&lt;&gt;"",BF25,'woningen|utiliteit'!S63))</f>
        <v>0</v>
      </c>
      <c r="BG24" s="618">
        <f>IF('woningen|utiliteit'!T60="",0,IF(BG25&lt;&gt;"",BG25,'woningen|utiliteit'!T63))</f>
        <v>0</v>
      </c>
      <c r="BH24" s="258"/>
    </row>
    <row r="25" spans="1:60" x14ac:dyDescent="0.2">
      <c r="A25" s="648"/>
      <c r="B25" s="739" t="s">
        <v>120</v>
      </c>
      <c r="C25" s="656" t="s">
        <v>127</v>
      </c>
      <c r="D25" s="747"/>
      <c r="E25" s="412" t="s">
        <v>82</v>
      </c>
      <c r="F25" s="317"/>
      <c r="G25" s="317"/>
      <c r="H25" s="360"/>
      <c r="I25" s="97"/>
      <c r="J25" s="362"/>
      <c r="K25" s="105"/>
      <c r="L25" s="105"/>
      <c r="M25" s="467"/>
      <c r="N25" s="106"/>
      <c r="O25" s="325"/>
      <c r="P25" s="325"/>
      <c r="Q25" s="325"/>
      <c r="R25" s="325"/>
      <c r="S25" s="325"/>
      <c r="T25" s="325"/>
      <c r="U25" s="325"/>
      <c r="V25" s="325"/>
      <c r="W25" s="325"/>
      <c r="X25" s="98"/>
      <c r="Y25" s="238"/>
      <c r="Z25" s="106"/>
      <c r="AA25" s="325"/>
      <c r="AB25" s="325"/>
      <c r="AC25" s="325"/>
      <c r="AD25" s="325"/>
      <c r="AE25" s="325"/>
      <c r="AF25" s="325"/>
      <c r="AG25" s="325"/>
      <c r="AH25" s="325"/>
      <c r="AI25" s="325"/>
      <c r="AJ25" s="98"/>
      <c r="AK25" s="238"/>
      <c r="AL25" s="106"/>
      <c r="AM25" s="325"/>
      <c r="AN25" s="325"/>
      <c r="AO25" s="325"/>
      <c r="AP25" s="325"/>
      <c r="AQ25" s="325"/>
      <c r="AR25" s="325"/>
      <c r="AS25" s="325"/>
      <c r="AT25" s="325"/>
      <c r="AU25" s="325"/>
      <c r="AV25" s="98"/>
      <c r="AW25" s="238"/>
      <c r="AX25" s="106"/>
      <c r="AY25" s="325"/>
      <c r="AZ25" s="325"/>
      <c r="BA25" s="325"/>
      <c r="BB25" s="325"/>
      <c r="BC25" s="325"/>
      <c r="BD25" s="325"/>
      <c r="BE25" s="325"/>
      <c r="BF25" s="325"/>
      <c r="BG25" s="325"/>
      <c r="BH25" s="214"/>
    </row>
    <row r="26" spans="1:60" x14ac:dyDescent="0.2">
      <c r="A26" s="648"/>
      <c r="B26" s="739" t="s">
        <v>120</v>
      </c>
      <c r="C26" s="656" t="s">
        <v>113</v>
      </c>
      <c r="D26" s="747"/>
      <c r="E26" s="316" t="s">
        <v>130</v>
      </c>
      <c r="F26" s="220"/>
      <c r="G26" s="220"/>
      <c r="H26" s="183" t="s">
        <v>77</v>
      </c>
      <c r="I26" s="107"/>
      <c r="J26" s="225">
        <f>M26+Y26+AK26+AW26</f>
        <v>0</v>
      </c>
      <c r="K26" s="102"/>
      <c r="L26" s="102"/>
      <c r="M26" s="249">
        <f>SUM(N26:X26)</f>
        <v>0</v>
      </c>
      <c r="N26" s="108"/>
      <c r="O26" s="620">
        <f t="shared" ref="O26:W26" si="16">IF(O$21=woning,O$24,0)</f>
        <v>0</v>
      </c>
      <c r="P26" s="620">
        <f t="shared" si="16"/>
        <v>0</v>
      </c>
      <c r="Q26" s="620">
        <f t="shared" si="16"/>
        <v>0</v>
      </c>
      <c r="R26" s="620">
        <f t="shared" si="16"/>
        <v>0</v>
      </c>
      <c r="S26" s="620">
        <f t="shared" si="16"/>
        <v>0</v>
      </c>
      <c r="T26" s="620">
        <f t="shared" si="16"/>
        <v>0</v>
      </c>
      <c r="U26" s="620">
        <f t="shared" si="16"/>
        <v>0</v>
      </c>
      <c r="V26" s="620">
        <f t="shared" si="16"/>
        <v>0</v>
      </c>
      <c r="W26" s="620">
        <f t="shared" si="16"/>
        <v>0</v>
      </c>
      <c r="X26" s="109"/>
      <c r="Y26" s="469">
        <f>SUM(Z26:AJ26)</f>
        <v>0</v>
      </c>
      <c r="Z26" s="108"/>
      <c r="AA26" s="620">
        <f t="shared" ref="AA26:AI26" si="17">IF(AA$21=woning,AA$24,0)</f>
        <v>0</v>
      </c>
      <c r="AB26" s="620">
        <f t="shared" si="17"/>
        <v>0</v>
      </c>
      <c r="AC26" s="620">
        <f t="shared" si="17"/>
        <v>0</v>
      </c>
      <c r="AD26" s="620">
        <f t="shared" si="17"/>
        <v>0</v>
      </c>
      <c r="AE26" s="620">
        <f t="shared" si="17"/>
        <v>0</v>
      </c>
      <c r="AF26" s="620">
        <f t="shared" si="17"/>
        <v>0</v>
      </c>
      <c r="AG26" s="620">
        <f t="shared" si="17"/>
        <v>0</v>
      </c>
      <c r="AH26" s="620">
        <f t="shared" si="17"/>
        <v>0</v>
      </c>
      <c r="AI26" s="620">
        <f t="shared" si="17"/>
        <v>0</v>
      </c>
      <c r="AJ26" s="109"/>
      <c r="AK26" s="229">
        <f>SUM(AL26:AV26)</f>
        <v>0</v>
      </c>
      <c r="AL26" s="108"/>
      <c r="AM26" s="620">
        <f>IF(AM$21=woning,AM$24,0)</f>
        <v>0</v>
      </c>
      <c r="AN26" s="620">
        <f t="shared" ref="AN26:AU26" si="18">IF(AN$21=woning,AN$24,0)</f>
        <v>0</v>
      </c>
      <c r="AO26" s="620">
        <f t="shared" si="18"/>
        <v>0</v>
      </c>
      <c r="AP26" s="620">
        <f t="shared" si="18"/>
        <v>0</v>
      </c>
      <c r="AQ26" s="620">
        <f t="shared" si="18"/>
        <v>0</v>
      </c>
      <c r="AR26" s="620">
        <f t="shared" si="18"/>
        <v>0</v>
      </c>
      <c r="AS26" s="620">
        <f t="shared" si="18"/>
        <v>0</v>
      </c>
      <c r="AT26" s="620">
        <f t="shared" si="18"/>
        <v>0</v>
      </c>
      <c r="AU26" s="620">
        <f t="shared" si="18"/>
        <v>0</v>
      </c>
      <c r="AV26" s="109"/>
      <c r="AW26" s="469">
        <f>SUM(AX26:BH26)</f>
        <v>0</v>
      </c>
      <c r="AX26" s="108"/>
      <c r="AY26" s="620">
        <f t="shared" ref="AY26:BG26" si="19">IF(AY$21=woning,AY$24,0)</f>
        <v>0</v>
      </c>
      <c r="AZ26" s="620">
        <f t="shared" si="19"/>
        <v>0</v>
      </c>
      <c r="BA26" s="620">
        <f t="shared" si="19"/>
        <v>0</v>
      </c>
      <c r="BB26" s="620">
        <f t="shared" si="19"/>
        <v>0</v>
      </c>
      <c r="BC26" s="620">
        <f t="shared" si="19"/>
        <v>0</v>
      </c>
      <c r="BD26" s="620">
        <f t="shared" si="19"/>
        <v>0</v>
      </c>
      <c r="BE26" s="620">
        <f t="shared" si="19"/>
        <v>0</v>
      </c>
      <c r="BF26" s="620">
        <f t="shared" si="19"/>
        <v>0</v>
      </c>
      <c r="BG26" s="620">
        <f t="shared" si="19"/>
        <v>0</v>
      </c>
      <c r="BH26" s="214"/>
    </row>
    <row r="27" spans="1:60" x14ac:dyDescent="0.2">
      <c r="A27" s="648"/>
      <c r="B27" s="739" t="s">
        <v>120</v>
      </c>
      <c r="C27" s="656" t="s">
        <v>113</v>
      </c>
      <c r="D27" s="747"/>
      <c r="E27" s="316" t="s">
        <v>131</v>
      </c>
      <c r="F27" s="220"/>
      <c r="G27" s="220"/>
      <c r="H27" s="183" t="s">
        <v>77</v>
      </c>
      <c r="I27" s="107"/>
      <c r="J27" s="225">
        <f>M27+Y27+AK27+AW27</f>
        <v>0</v>
      </c>
      <c r="K27" s="102"/>
      <c r="L27" s="102"/>
      <c r="M27" s="249">
        <f>SUM(N27:X27)</f>
        <v>0</v>
      </c>
      <c r="N27" s="108"/>
      <c r="O27" s="620">
        <f t="shared" ref="O27:W27" si="20">IF(O$21=woongebouw,O$24,0)</f>
        <v>0</v>
      </c>
      <c r="P27" s="620">
        <f t="shared" si="20"/>
        <v>0</v>
      </c>
      <c r="Q27" s="620">
        <f t="shared" si="20"/>
        <v>0</v>
      </c>
      <c r="R27" s="620">
        <f t="shared" si="20"/>
        <v>0</v>
      </c>
      <c r="S27" s="620">
        <f t="shared" si="20"/>
        <v>0</v>
      </c>
      <c r="T27" s="620">
        <f t="shared" si="20"/>
        <v>0</v>
      </c>
      <c r="U27" s="620">
        <f t="shared" si="20"/>
        <v>0</v>
      </c>
      <c r="V27" s="620">
        <f t="shared" si="20"/>
        <v>0</v>
      </c>
      <c r="W27" s="620">
        <f t="shared" si="20"/>
        <v>0</v>
      </c>
      <c r="X27" s="109"/>
      <c r="Y27" s="469">
        <f>SUM(Z27:AJ27)</f>
        <v>0</v>
      </c>
      <c r="Z27" s="108"/>
      <c r="AA27" s="620">
        <f t="shared" ref="AA27:AI27" si="21">IF(AA$21=woongebouw,AA$24,0)</f>
        <v>0</v>
      </c>
      <c r="AB27" s="620">
        <f t="shared" si="21"/>
        <v>0</v>
      </c>
      <c r="AC27" s="620">
        <f t="shared" si="21"/>
        <v>0</v>
      </c>
      <c r="AD27" s="620">
        <f t="shared" si="21"/>
        <v>0</v>
      </c>
      <c r="AE27" s="620">
        <f t="shared" si="21"/>
        <v>0</v>
      </c>
      <c r="AF27" s="620">
        <f t="shared" si="21"/>
        <v>0</v>
      </c>
      <c r="AG27" s="620">
        <f t="shared" si="21"/>
        <v>0</v>
      </c>
      <c r="AH27" s="620">
        <f t="shared" si="21"/>
        <v>0</v>
      </c>
      <c r="AI27" s="620">
        <f t="shared" si="21"/>
        <v>0</v>
      </c>
      <c r="AJ27" s="109"/>
      <c r="AK27" s="229">
        <f>SUM(AL27:AV27)</f>
        <v>0</v>
      </c>
      <c r="AL27" s="108"/>
      <c r="AM27" s="620">
        <f>IF(AM$21=woongebouw,AM$24,0)</f>
        <v>0</v>
      </c>
      <c r="AN27" s="620">
        <f t="shared" ref="AN27:AU27" si="22">IF(AN$21=woongebouw,AN$24,0)</f>
        <v>0</v>
      </c>
      <c r="AO27" s="620">
        <f t="shared" si="22"/>
        <v>0</v>
      </c>
      <c r="AP27" s="620">
        <f t="shared" si="22"/>
        <v>0</v>
      </c>
      <c r="AQ27" s="620">
        <f t="shared" si="22"/>
        <v>0</v>
      </c>
      <c r="AR27" s="620">
        <f t="shared" si="22"/>
        <v>0</v>
      </c>
      <c r="AS27" s="620">
        <f t="shared" si="22"/>
        <v>0</v>
      </c>
      <c r="AT27" s="620">
        <f t="shared" si="22"/>
        <v>0</v>
      </c>
      <c r="AU27" s="620">
        <f t="shared" si="22"/>
        <v>0</v>
      </c>
      <c r="AV27" s="109"/>
      <c r="AW27" s="469">
        <f>SUM(AX27:BH27)</f>
        <v>0</v>
      </c>
      <c r="AX27" s="108"/>
      <c r="AY27" s="620">
        <f t="shared" ref="AY27:BG27" si="23">IF(AY$21=woongebouw,AY$24,0)</f>
        <v>0</v>
      </c>
      <c r="AZ27" s="620">
        <f t="shared" si="23"/>
        <v>0</v>
      </c>
      <c r="BA27" s="620">
        <f t="shared" si="23"/>
        <v>0</v>
      </c>
      <c r="BB27" s="620">
        <f t="shared" si="23"/>
        <v>0</v>
      </c>
      <c r="BC27" s="620">
        <f t="shared" si="23"/>
        <v>0</v>
      </c>
      <c r="BD27" s="620">
        <f t="shared" si="23"/>
        <v>0</v>
      </c>
      <c r="BE27" s="620">
        <f t="shared" si="23"/>
        <v>0</v>
      </c>
      <c r="BF27" s="620">
        <f t="shared" si="23"/>
        <v>0</v>
      </c>
      <c r="BG27" s="620">
        <f t="shared" si="23"/>
        <v>0</v>
      </c>
      <c r="BH27" s="214"/>
    </row>
    <row r="28" spans="1:60" x14ac:dyDescent="0.2">
      <c r="A28" s="648"/>
      <c r="B28" s="739" t="s">
        <v>120</v>
      </c>
      <c r="C28" s="656" t="s">
        <v>113</v>
      </c>
      <c r="D28" s="747"/>
      <c r="E28" s="316" t="s">
        <v>78</v>
      </c>
      <c r="F28" s="220"/>
      <c r="G28" s="220"/>
      <c r="H28" s="183" t="s">
        <v>79</v>
      </c>
      <c r="I28" s="107"/>
      <c r="J28" s="225">
        <f>M28+Y28+AK28+AW28</f>
        <v>0</v>
      </c>
      <c r="K28" s="102"/>
      <c r="L28" s="102"/>
      <c r="M28" s="468">
        <f>SUM(N28:X28)</f>
        <v>0</v>
      </c>
      <c r="N28" s="108"/>
      <c r="O28" s="620">
        <f>O24-O27-O26</f>
        <v>0</v>
      </c>
      <c r="P28" s="620">
        <f t="shared" ref="P28:W28" si="24">P24-P27-P26</f>
        <v>0</v>
      </c>
      <c r="Q28" s="620">
        <f t="shared" si="24"/>
        <v>0</v>
      </c>
      <c r="R28" s="620">
        <f t="shared" si="24"/>
        <v>0</v>
      </c>
      <c r="S28" s="620">
        <f t="shared" si="24"/>
        <v>0</v>
      </c>
      <c r="T28" s="620">
        <f t="shared" si="24"/>
        <v>0</v>
      </c>
      <c r="U28" s="620">
        <f t="shared" si="24"/>
        <v>0</v>
      </c>
      <c r="V28" s="620">
        <f t="shared" si="24"/>
        <v>0</v>
      </c>
      <c r="W28" s="620">
        <f t="shared" si="24"/>
        <v>0</v>
      </c>
      <c r="X28" s="109"/>
      <c r="Y28" s="249">
        <f>SUM(Z28:AJ28)</f>
        <v>0</v>
      </c>
      <c r="Z28" s="108"/>
      <c r="AA28" s="620">
        <f t="shared" ref="AA28:AI28" si="25">AA24-AA27-AA26</f>
        <v>0</v>
      </c>
      <c r="AB28" s="620">
        <f t="shared" si="25"/>
        <v>0</v>
      </c>
      <c r="AC28" s="620">
        <f t="shared" si="25"/>
        <v>0</v>
      </c>
      <c r="AD28" s="620">
        <f t="shared" si="25"/>
        <v>0</v>
      </c>
      <c r="AE28" s="620">
        <f t="shared" si="25"/>
        <v>0</v>
      </c>
      <c r="AF28" s="620">
        <f t="shared" si="25"/>
        <v>0</v>
      </c>
      <c r="AG28" s="620">
        <f t="shared" si="25"/>
        <v>0</v>
      </c>
      <c r="AH28" s="620">
        <f t="shared" si="25"/>
        <v>0</v>
      </c>
      <c r="AI28" s="620">
        <f t="shared" si="25"/>
        <v>0</v>
      </c>
      <c r="AJ28" s="109"/>
      <c r="AK28" s="469">
        <f>SUM(AL28:AV28)</f>
        <v>0</v>
      </c>
      <c r="AL28" s="108"/>
      <c r="AM28" s="620">
        <f t="shared" ref="AM28:AU28" si="26">AM24-AM27-AM26</f>
        <v>0</v>
      </c>
      <c r="AN28" s="620">
        <f t="shared" si="26"/>
        <v>0</v>
      </c>
      <c r="AO28" s="620">
        <f t="shared" si="26"/>
        <v>0</v>
      </c>
      <c r="AP28" s="620">
        <f t="shared" si="26"/>
        <v>0</v>
      </c>
      <c r="AQ28" s="620">
        <f t="shared" si="26"/>
        <v>0</v>
      </c>
      <c r="AR28" s="620">
        <f t="shared" si="26"/>
        <v>0</v>
      </c>
      <c r="AS28" s="620">
        <f t="shared" si="26"/>
        <v>0</v>
      </c>
      <c r="AT28" s="620">
        <f t="shared" si="26"/>
        <v>0</v>
      </c>
      <c r="AU28" s="620">
        <f t="shared" si="26"/>
        <v>0</v>
      </c>
      <c r="AV28" s="109"/>
      <c r="AW28" s="249">
        <f>SUM(AX28:BH28)</f>
        <v>0</v>
      </c>
      <c r="AX28" s="108"/>
      <c r="AY28" s="620">
        <f t="shared" ref="AY28:BG28" si="27">AY24-AY27-AY26</f>
        <v>0</v>
      </c>
      <c r="AZ28" s="620">
        <f t="shared" si="27"/>
        <v>0</v>
      </c>
      <c r="BA28" s="620">
        <f t="shared" si="27"/>
        <v>0</v>
      </c>
      <c r="BB28" s="620">
        <f t="shared" si="27"/>
        <v>0</v>
      </c>
      <c r="BC28" s="620">
        <f t="shared" si="27"/>
        <v>0</v>
      </c>
      <c r="BD28" s="620">
        <f t="shared" si="27"/>
        <v>0</v>
      </c>
      <c r="BE28" s="620">
        <f t="shared" si="27"/>
        <v>0</v>
      </c>
      <c r="BF28" s="620">
        <f t="shared" si="27"/>
        <v>0</v>
      </c>
      <c r="BG28" s="620">
        <f t="shared" si="27"/>
        <v>0</v>
      </c>
      <c r="BH28" s="214"/>
    </row>
    <row r="29" spans="1:60" x14ac:dyDescent="0.2">
      <c r="A29" s="648"/>
      <c r="B29" s="739" t="s">
        <v>120</v>
      </c>
      <c r="C29" s="656" t="s">
        <v>113</v>
      </c>
      <c r="D29" s="747"/>
      <c r="E29" s="220" t="s">
        <v>132</v>
      </c>
      <c r="F29" s="220"/>
      <c r="G29" s="220"/>
      <c r="H29" s="183" t="s">
        <v>64</v>
      </c>
      <c r="I29" s="107"/>
      <c r="J29" s="639"/>
      <c r="K29" s="816"/>
      <c r="L29" s="816"/>
      <c r="M29" s="639">
        <f>SUM(M26:M28)</f>
        <v>0</v>
      </c>
      <c r="N29" s="108"/>
      <c r="O29" s="620">
        <f>$M24</f>
        <v>0</v>
      </c>
      <c r="P29" s="620">
        <f t="shared" ref="P29:W29" si="28">$M24</f>
        <v>0</v>
      </c>
      <c r="Q29" s="620">
        <f t="shared" si="28"/>
        <v>0</v>
      </c>
      <c r="R29" s="620">
        <f t="shared" si="28"/>
        <v>0</v>
      </c>
      <c r="S29" s="620">
        <f t="shared" si="28"/>
        <v>0</v>
      </c>
      <c r="T29" s="620">
        <f t="shared" si="28"/>
        <v>0</v>
      </c>
      <c r="U29" s="620">
        <f t="shared" si="28"/>
        <v>0</v>
      </c>
      <c r="V29" s="620">
        <f t="shared" si="28"/>
        <v>0</v>
      </c>
      <c r="W29" s="620">
        <f t="shared" si="28"/>
        <v>0</v>
      </c>
      <c r="X29" s="109"/>
      <c r="Y29" s="639">
        <f>SUM(Y26:Y28)</f>
        <v>0</v>
      </c>
      <c r="Z29" s="108"/>
      <c r="AA29" s="620">
        <f>$Y24</f>
        <v>0</v>
      </c>
      <c r="AB29" s="620">
        <f t="shared" ref="AB29:AI29" si="29">$Y24</f>
        <v>0</v>
      </c>
      <c r="AC29" s="620">
        <f t="shared" si="29"/>
        <v>0</v>
      </c>
      <c r="AD29" s="620">
        <f t="shared" si="29"/>
        <v>0</v>
      </c>
      <c r="AE29" s="620">
        <f t="shared" si="29"/>
        <v>0</v>
      </c>
      <c r="AF29" s="620">
        <f t="shared" si="29"/>
        <v>0</v>
      </c>
      <c r="AG29" s="620">
        <f t="shared" si="29"/>
        <v>0</v>
      </c>
      <c r="AH29" s="620">
        <f t="shared" si="29"/>
        <v>0</v>
      </c>
      <c r="AI29" s="620">
        <f t="shared" si="29"/>
        <v>0</v>
      </c>
      <c r="AJ29" s="109"/>
      <c r="AK29" s="639">
        <f>SUM(AK26:AK28)</f>
        <v>0</v>
      </c>
      <c r="AL29" s="108"/>
      <c r="AM29" s="620">
        <f t="shared" ref="AM29:AU29" si="30">$AK24</f>
        <v>0</v>
      </c>
      <c r="AN29" s="620">
        <f t="shared" si="30"/>
        <v>0</v>
      </c>
      <c r="AO29" s="620">
        <f t="shared" si="30"/>
        <v>0</v>
      </c>
      <c r="AP29" s="620">
        <f t="shared" si="30"/>
        <v>0</v>
      </c>
      <c r="AQ29" s="620">
        <f t="shared" si="30"/>
        <v>0</v>
      </c>
      <c r="AR29" s="620">
        <f t="shared" si="30"/>
        <v>0</v>
      </c>
      <c r="AS29" s="620">
        <f t="shared" si="30"/>
        <v>0</v>
      </c>
      <c r="AT29" s="620">
        <f t="shared" si="30"/>
        <v>0</v>
      </c>
      <c r="AU29" s="620">
        <f t="shared" si="30"/>
        <v>0</v>
      </c>
      <c r="AV29" s="109"/>
      <c r="AW29" s="639"/>
      <c r="AX29" s="639">
        <f>SUM(AX26:AX28)</f>
        <v>0</v>
      </c>
      <c r="AY29" s="620">
        <f>$AW24</f>
        <v>0</v>
      </c>
      <c r="AZ29" s="620">
        <f t="shared" ref="AZ29:BG29" si="31">$AW24</f>
        <v>0</v>
      </c>
      <c r="BA29" s="620">
        <f t="shared" si="31"/>
        <v>0</v>
      </c>
      <c r="BB29" s="620">
        <f t="shared" si="31"/>
        <v>0</v>
      </c>
      <c r="BC29" s="620">
        <f t="shared" si="31"/>
        <v>0</v>
      </c>
      <c r="BD29" s="620">
        <f t="shared" si="31"/>
        <v>0</v>
      </c>
      <c r="BE29" s="620">
        <f t="shared" si="31"/>
        <v>0</v>
      </c>
      <c r="BF29" s="620">
        <f t="shared" si="31"/>
        <v>0</v>
      </c>
      <c r="BG29" s="620">
        <f t="shared" si="31"/>
        <v>0</v>
      </c>
      <c r="BH29" s="214"/>
    </row>
    <row r="30" spans="1:60" ht="18.75" x14ac:dyDescent="0.2">
      <c r="A30" s="648"/>
      <c r="B30" s="739" t="s">
        <v>120</v>
      </c>
      <c r="C30" s="739" t="s">
        <v>104</v>
      </c>
      <c r="D30" s="747"/>
      <c r="E30" s="236" t="s">
        <v>133</v>
      </c>
      <c r="F30" s="236"/>
      <c r="G30" s="236"/>
      <c r="H30" s="89"/>
      <c r="I30" s="236"/>
      <c r="J30" s="236"/>
      <c r="K30" s="236"/>
      <c r="L30" s="236"/>
      <c r="M30" s="236"/>
      <c r="N30" s="236"/>
      <c r="O30" s="236"/>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38"/>
    </row>
    <row r="31" spans="1:60" x14ac:dyDescent="0.2">
      <c r="A31" s="648"/>
      <c r="B31" s="739" t="s">
        <v>120</v>
      </c>
      <c r="C31" s="656" t="s">
        <v>113</v>
      </c>
      <c r="D31" s="747"/>
      <c r="E31" s="316" t="s">
        <v>80</v>
      </c>
      <c r="F31" s="220" t="s">
        <v>134</v>
      </c>
      <c r="G31" s="220"/>
      <c r="H31" s="221" t="s">
        <v>81</v>
      </c>
      <c r="I31" s="90"/>
      <c r="J31" s="227">
        <f>M31+Y31+AK31+AW31</f>
        <v>0</v>
      </c>
      <c r="K31" s="294"/>
      <c r="L31" s="294"/>
      <c r="M31" s="227">
        <f>SUMPRODUCT(N$24:X$24,N31:X31)</f>
        <v>0</v>
      </c>
      <c r="N31" s="100"/>
      <c r="O31" s="184">
        <f>IF(O$19="",0,'woningen|utiliteit'!L24)</f>
        <v>0</v>
      </c>
      <c r="P31" s="184">
        <f>IF(P$19="",0,'woningen|utiliteit'!M24)</f>
        <v>0</v>
      </c>
      <c r="Q31" s="184">
        <f>IF(Q$19="",0,'woningen|utiliteit'!N24)</f>
        <v>0</v>
      </c>
      <c r="R31" s="184">
        <f>IF(R$19="",0,'woningen|utiliteit'!O24)</f>
        <v>0</v>
      </c>
      <c r="S31" s="184">
        <f>IF(S$19="",0,'woningen|utiliteit'!P24)</f>
        <v>0</v>
      </c>
      <c r="T31" s="184">
        <f>IF(T$19="",0,'woningen|utiliteit'!Q24)</f>
        <v>0</v>
      </c>
      <c r="U31" s="184">
        <f>IF(U$19="",0,'woningen|utiliteit'!R24)</f>
        <v>0</v>
      </c>
      <c r="V31" s="184">
        <f>IF(V$19="",0,'woningen|utiliteit'!S24)</f>
        <v>0</v>
      </c>
      <c r="W31" s="184">
        <f>IF(W$19="",0,'woningen|utiliteit'!T24)</f>
        <v>0</v>
      </c>
      <c r="X31" s="110"/>
      <c r="Y31" s="227">
        <f>SUMPRODUCT(Z$24:AJ$24,Z31:AJ31)</f>
        <v>0</v>
      </c>
      <c r="Z31" s="100"/>
      <c r="AA31" s="184">
        <f>IF(AA$19="",0,'woningen|utiliteit'!L38)</f>
        <v>0</v>
      </c>
      <c r="AB31" s="184">
        <f>IF(AB$19="",0,'woningen|utiliteit'!M38)</f>
        <v>0</v>
      </c>
      <c r="AC31" s="184">
        <f>IF(AC$19="",0,'woningen|utiliteit'!N38)</f>
        <v>0</v>
      </c>
      <c r="AD31" s="184">
        <f>IF(AD$19="",0,'woningen|utiliteit'!O38)</f>
        <v>0</v>
      </c>
      <c r="AE31" s="184">
        <f>IF(AE$19="",0,'woningen|utiliteit'!P38)</f>
        <v>0</v>
      </c>
      <c r="AF31" s="184">
        <f>IF(AF$19="",0,'woningen|utiliteit'!Q38)</f>
        <v>0</v>
      </c>
      <c r="AG31" s="184">
        <f>IF(AG$19="",0,'woningen|utiliteit'!R38)</f>
        <v>0</v>
      </c>
      <c r="AH31" s="184">
        <f>IF(AH$19="",0,'woningen|utiliteit'!S38)</f>
        <v>0</v>
      </c>
      <c r="AI31" s="184">
        <f>IF(AI$19="",0,'woningen|utiliteit'!T38)</f>
        <v>0</v>
      </c>
      <c r="AJ31" s="110"/>
      <c r="AK31" s="227">
        <f>SUMPRODUCT(AL$24:AV$24,AL31:AV31)</f>
        <v>0</v>
      </c>
      <c r="AL31" s="100"/>
      <c r="AM31" s="184">
        <f>IF(AM$19="",0,'woningen|utiliteit'!L52)</f>
        <v>0</v>
      </c>
      <c r="AN31" s="184">
        <f>IF(AN$19="",0,'woningen|utiliteit'!M52)</f>
        <v>0</v>
      </c>
      <c r="AO31" s="184">
        <f>IF(AO$19="",0,'woningen|utiliteit'!N52)</f>
        <v>0</v>
      </c>
      <c r="AP31" s="184">
        <f>IF(AP$19="",0,'woningen|utiliteit'!O52)</f>
        <v>0</v>
      </c>
      <c r="AQ31" s="184">
        <f>IF(AQ$19="",0,'woningen|utiliteit'!P52)</f>
        <v>0</v>
      </c>
      <c r="AR31" s="184">
        <f>IF(AR$19="",0,'woningen|utiliteit'!Q52)</f>
        <v>0</v>
      </c>
      <c r="AS31" s="184">
        <f>IF(AS$19="",0,'woningen|utiliteit'!R52)</f>
        <v>0</v>
      </c>
      <c r="AT31" s="184">
        <f>IF(AT$19="",0,'woningen|utiliteit'!S52)</f>
        <v>0</v>
      </c>
      <c r="AU31" s="184">
        <f>IF(AU$19="",0,'woningen|utiliteit'!T52)</f>
        <v>0</v>
      </c>
      <c r="AV31" s="110"/>
      <c r="AW31" s="227">
        <f>SUMPRODUCT(AX$24:BH$24,AX31:BH31)</f>
        <v>0</v>
      </c>
      <c r="AX31" s="100"/>
      <c r="AY31" s="184">
        <f>IF(AY$19="",0,'woningen|utiliteit'!L66)</f>
        <v>0</v>
      </c>
      <c r="AZ31" s="184">
        <f>IF(AZ$19="",0,'woningen|utiliteit'!M66)</f>
        <v>0</v>
      </c>
      <c r="BA31" s="184">
        <f>IF(BA$19="",0,'woningen|utiliteit'!N66)</f>
        <v>0</v>
      </c>
      <c r="BB31" s="184">
        <f>IF(BB$19="",0,'woningen|utiliteit'!O66)</f>
        <v>0</v>
      </c>
      <c r="BC31" s="184">
        <f>IF(BC$19="",0,'woningen|utiliteit'!P66)</f>
        <v>0</v>
      </c>
      <c r="BD31" s="184">
        <f>IF(BD$19="",0,'woningen|utiliteit'!Q66)</f>
        <v>0</v>
      </c>
      <c r="BE31" s="184">
        <f>IF(BE$19="",0,'woningen|utiliteit'!R66)</f>
        <v>0</v>
      </c>
      <c r="BF31" s="184">
        <f>IF(BF$19="",0,'woningen|utiliteit'!S66)</f>
        <v>0</v>
      </c>
      <c r="BG31" s="184">
        <f>IF(BG$19="",0,'woningen|utiliteit'!T66)</f>
        <v>0</v>
      </c>
      <c r="BH31" s="214"/>
    </row>
    <row r="32" spans="1:60" x14ac:dyDescent="0.2">
      <c r="A32" s="653"/>
      <c r="B32" s="739" t="s">
        <v>120</v>
      </c>
      <c r="C32" s="656" t="s">
        <v>113</v>
      </c>
      <c r="D32" s="747"/>
      <c r="E32" s="687"/>
      <c r="F32" s="220" t="s">
        <v>135</v>
      </c>
      <c r="G32" s="220"/>
      <c r="H32" s="221" t="s">
        <v>136</v>
      </c>
      <c r="I32" s="111"/>
      <c r="J32" s="227"/>
      <c r="K32" s="817"/>
      <c r="L32" s="817"/>
      <c r="M32" s="717"/>
      <c r="N32" s="718"/>
      <c r="O32" s="637">
        <f>O24*O31</f>
        <v>0</v>
      </c>
      <c r="P32" s="637">
        <f t="shared" ref="P32:W32" si="32">P24*P31</f>
        <v>0</v>
      </c>
      <c r="Q32" s="637">
        <f t="shared" si="32"/>
        <v>0</v>
      </c>
      <c r="R32" s="637">
        <f t="shared" si="32"/>
        <v>0</v>
      </c>
      <c r="S32" s="637">
        <f t="shared" si="32"/>
        <v>0</v>
      </c>
      <c r="T32" s="637">
        <f>T24*T31</f>
        <v>0</v>
      </c>
      <c r="U32" s="637">
        <f t="shared" si="32"/>
        <v>0</v>
      </c>
      <c r="V32" s="637">
        <f t="shared" si="32"/>
        <v>0</v>
      </c>
      <c r="W32" s="637">
        <f t="shared" si="32"/>
        <v>0</v>
      </c>
      <c r="X32" s="113"/>
      <c r="Y32" s="717"/>
      <c r="Z32" s="718"/>
      <c r="AA32" s="637">
        <f t="shared" ref="AA32:AI32" si="33">AA24*AA31</f>
        <v>0</v>
      </c>
      <c r="AB32" s="637">
        <f t="shared" si="33"/>
        <v>0</v>
      </c>
      <c r="AC32" s="637">
        <f t="shared" si="33"/>
        <v>0</v>
      </c>
      <c r="AD32" s="637">
        <f t="shared" si="33"/>
        <v>0</v>
      </c>
      <c r="AE32" s="637">
        <f t="shared" si="33"/>
        <v>0</v>
      </c>
      <c r="AF32" s="637">
        <f t="shared" si="33"/>
        <v>0</v>
      </c>
      <c r="AG32" s="637">
        <f t="shared" si="33"/>
        <v>0</v>
      </c>
      <c r="AH32" s="637">
        <f t="shared" si="33"/>
        <v>0</v>
      </c>
      <c r="AI32" s="637">
        <f t="shared" si="33"/>
        <v>0</v>
      </c>
      <c r="AJ32" s="113"/>
      <c r="AK32" s="717"/>
      <c r="AL32" s="718"/>
      <c r="AM32" s="637">
        <f t="shared" ref="AM32:AU32" si="34">AM24*AM31</f>
        <v>0</v>
      </c>
      <c r="AN32" s="637">
        <f t="shared" si="34"/>
        <v>0</v>
      </c>
      <c r="AO32" s="637">
        <f t="shared" si="34"/>
        <v>0</v>
      </c>
      <c r="AP32" s="637">
        <f t="shared" si="34"/>
        <v>0</v>
      </c>
      <c r="AQ32" s="637">
        <f t="shared" si="34"/>
        <v>0</v>
      </c>
      <c r="AR32" s="637">
        <f t="shared" si="34"/>
        <v>0</v>
      </c>
      <c r="AS32" s="637">
        <f t="shared" si="34"/>
        <v>0</v>
      </c>
      <c r="AT32" s="637">
        <f t="shared" si="34"/>
        <v>0</v>
      </c>
      <c r="AU32" s="637">
        <f t="shared" si="34"/>
        <v>0</v>
      </c>
      <c r="AV32" s="113"/>
      <c r="AW32" s="717"/>
      <c r="AX32" s="718"/>
      <c r="AY32" s="637">
        <f t="shared" ref="AY32:BG32" si="35">AY24*AY31</f>
        <v>0</v>
      </c>
      <c r="AZ32" s="637">
        <f t="shared" si="35"/>
        <v>0</v>
      </c>
      <c r="BA32" s="637">
        <f t="shared" si="35"/>
        <v>0</v>
      </c>
      <c r="BB32" s="637">
        <f t="shared" si="35"/>
        <v>0</v>
      </c>
      <c r="BC32" s="637">
        <f t="shared" si="35"/>
        <v>0</v>
      </c>
      <c r="BD32" s="637">
        <f t="shared" si="35"/>
        <v>0</v>
      </c>
      <c r="BE32" s="637">
        <f t="shared" si="35"/>
        <v>0</v>
      </c>
      <c r="BF32" s="637">
        <f t="shared" si="35"/>
        <v>0</v>
      </c>
      <c r="BG32" s="637">
        <f t="shared" si="35"/>
        <v>0</v>
      </c>
      <c r="BH32" s="214"/>
    </row>
    <row r="33" spans="1:60" x14ac:dyDescent="0.2">
      <c r="A33" s="653"/>
      <c r="B33" s="739" t="s">
        <v>120</v>
      </c>
      <c r="C33" s="656" t="s">
        <v>113</v>
      </c>
      <c r="D33" s="747"/>
      <c r="E33" s="317"/>
      <c r="F33" s="220" t="s">
        <v>137</v>
      </c>
      <c r="G33" s="220"/>
      <c r="H33" s="221" t="s">
        <v>136</v>
      </c>
      <c r="I33" s="111"/>
      <c r="J33" s="227"/>
      <c r="K33" s="817"/>
      <c r="L33" s="817"/>
      <c r="M33" s="227"/>
      <c r="N33" s="112"/>
      <c r="O33" s="453">
        <f>SUMPRODUCT($N24:$X24,$N31:$X31)</f>
        <v>0</v>
      </c>
      <c r="P33" s="453">
        <f t="shared" ref="P33:W33" si="36">SUMPRODUCT($N24:$X24,$N31:$X31)</f>
        <v>0</v>
      </c>
      <c r="Q33" s="453">
        <f t="shared" si="36"/>
        <v>0</v>
      </c>
      <c r="R33" s="453">
        <f t="shared" si="36"/>
        <v>0</v>
      </c>
      <c r="S33" s="453">
        <f t="shared" si="36"/>
        <v>0</v>
      </c>
      <c r="T33" s="453">
        <f t="shared" si="36"/>
        <v>0</v>
      </c>
      <c r="U33" s="453">
        <f t="shared" si="36"/>
        <v>0</v>
      </c>
      <c r="V33" s="453">
        <f t="shared" si="36"/>
        <v>0</v>
      </c>
      <c r="W33" s="453">
        <f t="shared" si="36"/>
        <v>0</v>
      </c>
      <c r="X33" s="113"/>
      <c r="Y33" s="227"/>
      <c r="Z33" s="112"/>
      <c r="AA33" s="453">
        <f t="shared" ref="AA33:AI33" si="37">SUMPRODUCT($Z$24:$AJ$24,$Z$31:$AJ$31)</f>
        <v>0</v>
      </c>
      <c r="AB33" s="453">
        <f t="shared" si="37"/>
        <v>0</v>
      </c>
      <c r="AC33" s="453">
        <f t="shared" si="37"/>
        <v>0</v>
      </c>
      <c r="AD33" s="453">
        <f t="shared" si="37"/>
        <v>0</v>
      </c>
      <c r="AE33" s="453">
        <f t="shared" si="37"/>
        <v>0</v>
      </c>
      <c r="AF33" s="453">
        <f t="shared" si="37"/>
        <v>0</v>
      </c>
      <c r="AG33" s="453">
        <f t="shared" si="37"/>
        <v>0</v>
      </c>
      <c r="AH33" s="453">
        <f t="shared" si="37"/>
        <v>0</v>
      </c>
      <c r="AI33" s="453">
        <f t="shared" si="37"/>
        <v>0</v>
      </c>
      <c r="AJ33" s="113"/>
      <c r="AK33" s="227"/>
      <c r="AL33" s="112"/>
      <c r="AM33" s="453">
        <f>SUMPRODUCT($AL$24:$AV$24,$AL$31:$AV$31)</f>
        <v>0</v>
      </c>
      <c r="AN33" s="453">
        <f t="shared" ref="AN33:AU33" si="38">SUMPRODUCT($AL$24:$AV$24,$AL$31:$AV$31)</f>
        <v>0</v>
      </c>
      <c r="AO33" s="453">
        <f t="shared" si="38"/>
        <v>0</v>
      </c>
      <c r="AP33" s="453">
        <f t="shared" si="38"/>
        <v>0</v>
      </c>
      <c r="AQ33" s="453">
        <f t="shared" si="38"/>
        <v>0</v>
      </c>
      <c r="AR33" s="453">
        <f t="shared" si="38"/>
        <v>0</v>
      </c>
      <c r="AS33" s="453">
        <f t="shared" si="38"/>
        <v>0</v>
      </c>
      <c r="AT33" s="453">
        <f t="shared" si="38"/>
        <v>0</v>
      </c>
      <c r="AU33" s="453">
        <f t="shared" si="38"/>
        <v>0</v>
      </c>
      <c r="AV33" s="113"/>
      <c r="AW33" s="227"/>
      <c r="AX33" s="112"/>
      <c r="AY33" s="453">
        <f>SUMPRODUCT($AX$24:$BH$24,$AX$31:$BH$31)</f>
        <v>0</v>
      </c>
      <c r="AZ33" s="453">
        <f t="shared" ref="AZ33:BG33" si="39">SUMPRODUCT($AX$24:$BH$24,$AX$31:$BH$31)</f>
        <v>0</v>
      </c>
      <c r="BA33" s="453">
        <f t="shared" si="39"/>
        <v>0</v>
      </c>
      <c r="BB33" s="453">
        <f t="shared" si="39"/>
        <v>0</v>
      </c>
      <c r="BC33" s="453">
        <f t="shared" si="39"/>
        <v>0</v>
      </c>
      <c r="BD33" s="453">
        <f t="shared" si="39"/>
        <v>0</v>
      </c>
      <c r="BE33" s="453">
        <f t="shared" si="39"/>
        <v>0</v>
      </c>
      <c r="BF33" s="453">
        <f t="shared" si="39"/>
        <v>0</v>
      </c>
      <c r="BG33" s="453">
        <f t="shared" si="39"/>
        <v>0</v>
      </c>
      <c r="BH33" s="214"/>
    </row>
    <row r="34" spans="1:60" x14ac:dyDescent="0.2">
      <c r="A34" s="653"/>
      <c r="B34" s="739" t="s">
        <v>120</v>
      </c>
      <c r="C34" s="656" t="s">
        <v>113</v>
      </c>
      <c r="D34" s="747"/>
      <c r="E34" s="220" t="s">
        <v>138</v>
      </c>
      <c r="F34" s="220"/>
      <c r="G34" s="220"/>
      <c r="H34" s="221" t="s">
        <v>139</v>
      </c>
      <c r="I34" s="90"/>
      <c r="J34" s="227"/>
      <c r="K34" s="294"/>
      <c r="L34" s="294"/>
      <c r="M34" s="227"/>
      <c r="N34" s="100"/>
      <c r="O34" s="184" t="str">
        <f>IF(O$19="","",HLOOKUP(O$19,woningen_gebouwen_gegevens,ROWS(bibliotheek!$E$13:$E$26),FALSE))</f>
        <v/>
      </c>
      <c r="P34" s="184" t="str">
        <f>IF(P$19="","",HLOOKUP(P$19,woningen_gebouwen_gegevens,ROWS(bibliotheek!$E$13:$E$26),FALSE))</f>
        <v/>
      </c>
      <c r="Q34" s="184" t="str">
        <f>IF(Q$19="","",HLOOKUP(Q$19,woningen_gebouwen_gegevens,ROWS(bibliotheek!$E$13:$E$26),FALSE))</f>
        <v/>
      </c>
      <c r="R34" s="184" t="str">
        <f>IF(R$19="","",HLOOKUP(R$19,woningen_gebouwen_gegevens,ROWS(bibliotheek!$E$13:$E$26),FALSE))</f>
        <v/>
      </c>
      <c r="S34" s="184" t="str">
        <f>IF(S$19="","",HLOOKUP(S$19,woningen_gebouwen_gegevens,ROWS(bibliotheek!$E$13:$E$26),FALSE))</f>
        <v/>
      </c>
      <c r="T34" s="184" t="str">
        <f>IF(T$19="","",HLOOKUP(T$19,woningen_gebouwen_gegevens,ROWS(bibliotheek!$E$13:$E$26),FALSE))</f>
        <v/>
      </c>
      <c r="U34" s="184" t="str">
        <f>IF(U$19="","",HLOOKUP(U$19,woningen_gebouwen_gegevens,ROWS(bibliotheek!$E$13:$E$26),FALSE))</f>
        <v/>
      </c>
      <c r="V34" s="184" t="str">
        <f>IF(V$19="","",HLOOKUP(V$19,woningen_gebouwen_gegevens,ROWS(bibliotheek!$E$13:$E$26),FALSE))</f>
        <v/>
      </c>
      <c r="W34" s="184" t="str">
        <f>IF(W$19="","",HLOOKUP(W$19,woningen_gebouwen_gegevens,ROWS(bibliotheek!$E$13:$E$26),FALSE))</f>
        <v/>
      </c>
      <c r="X34" s="110"/>
      <c r="Y34" s="227"/>
      <c r="Z34" s="100"/>
      <c r="AA34" s="184" t="str">
        <f>IF(AA$19="","",HLOOKUP(AA$19,woningen_gebouwen_gegevens,ROWS(bibliotheek!$E$13:$E$26),FALSE))</f>
        <v/>
      </c>
      <c r="AB34" s="184" t="str">
        <f>IF(AB$19="","",HLOOKUP(AB$19,woningen_gebouwen_gegevens,ROWS(bibliotheek!$E$13:$E$26),FALSE))</f>
        <v/>
      </c>
      <c r="AC34" s="184" t="str">
        <f>IF(AC$19="","",HLOOKUP(AC$19,woningen_gebouwen_gegevens,ROWS(bibliotheek!$E$13:$E$26),FALSE))</f>
        <v/>
      </c>
      <c r="AD34" s="184" t="str">
        <f>IF(AD$19="","",HLOOKUP(AD$19,woningen_gebouwen_gegevens,ROWS(bibliotheek!$E$13:$E$26),FALSE))</f>
        <v/>
      </c>
      <c r="AE34" s="184" t="str">
        <f>IF(AE$19="","",HLOOKUP(AE$19,woningen_gebouwen_gegevens,ROWS(bibliotheek!$E$13:$E$26),FALSE))</f>
        <v/>
      </c>
      <c r="AF34" s="184" t="str">
        <f>IF(AF$19="","",HLOOKUP(AF$19,woningen_gebouwen_gegevens,ROWS(bibliotheek!$E$13:$E$26),FALSE))</f>
        <v/>
      </c>
      <c r="AG34" s="184" t="str">
        <f>IF(AG$19="","",HLOOKUP(AG$19,woningen_gebouwen_gegevens,ROWS(bibliotheek!$E$13:$E$26),FALSE))</f>
        <v/>
      </c>
      <c r="AH34" s="184" t="str">
        <f>IF(AH$19="","",HLOOKUP(AH$19,woningen_gebouwen_gegevens,ROWS(bibliotheek!$E$13:$E$26),FALSE))</f>
        <v/>
      </c>
      <c r="AI34" s="184" t="str">
        <f>IF(AI$19="","",HLOOKUP(AI$19,woningen_gebouwen_gegevens,ROWS(bibliotheek!$E$13:$E$26),FALSE))</f>
        <v/>
      </c>
      <c r="AJ34" s="110"/>
      <c r="AK34" s="227"/>
      <c r="AL34" s="100"/>
      <c r="AM34" s="184" t="str">
        <f>IF(AM$19="","",HLOOKUP(AM$19,woningen_gebouwen_gegevens,ROWS(bibliotheek!$E$13:$E$26),FALSE))</f>
        <v/>
      </c>
      <c r="AN34" s="184" t="str">
        <f>IF(AN$19="","",HLOOKUP(AN$19,woningen_gebouwen_gegevens,ROWS(bibliotheek!$E$13:$E$26),FALSE))</f>
        <v/>
      </c>
      <c r="AO34" s="184" t="str">
        <f>IF(AO$19="","",HLOOKUP(AO$19,woningen_gebouwen_gegevens,ROWS(bibliotheek!$E$13:$E$26),FALSE))</f>
        <v/>
      </c>
      <c r="AP34" s="184" t="str">
        <f>IF(AP$19="","",HLOOKUP(AP$19,woningen_gebouwen_gegevens,ROWS(bibliotheek!$E$13:$E$26),FALSE))</f>
        <v/>
      </c>
      <c r="AQ34" s="184" t="str">
        <f>IF(AQ$19="","",HLOOKUP(AQ$19,woningen_gebouwen_gegevens,ROWS(bibliotheek!$E$13:$E$26),FALSE))</f>
        <v/>
      </c>
      <c r="AR34" s="184" t="str">
        <f>IF(AR$19="","",HLOOKUP(AR$19,woningen_gebouwen_gegevens,ROWS(bibliotheek!$E$13:$E$26),FALSE))</f>
        <v/>
      </c>
      <c r="AS34" s="184" t="str">
        <f>IF(AS$19="","",HLOOKUP(AS$19,woningen_gebouwen_gegevens,ROWS(bibliotheek!$E$13:$E$26),FALSE))</f>
        <v/>
      </c>
      <c r="AT34" s="184" t="str">
        <f>IF(AT$19="","",HLOOKUP(AT$19,woningen_gebouwen_gegevens,ROWS(bibliotheek!$E$13:$E$26),FALSE))</f>
        <v/>
      </c>
      <c r="AU34" s="184" t="str">
        <f>IF(AU$19="","",HLOOKUP(AU$19,woningen_gebouwen_gegevens,ROWS(bibliotheek!$E$13:$E$26),FALSE))</f>
        <v/>
      </c>
      <c r="AV34" s="110"/>
      <c r="AW34" s="227"/>
      <c r="AX34" s="100"/>
      <c r="AY34" s="184" t="str">
        <f>IF(AY$19="","",HLOOKUP(AY$19,woningen_gebouwen_gegevens,ROWS(bibliotheek!$E$13:$E$26),FALSE))</f>
        <v/>
      </c>
      <c r="AZ34" s="184" t="str">
        <f>IF(AZ$19="","",HLOOKUP(AZ$19,woningen_gebouwen_gegevens,ROWS(bibliotheek!$E$13:$E$26),FALSE))</f>
        <v/>
      </c>
      <c r="BA34" s="184" t="str">
        <f>IF(BA$19="","",HLOOKUP(BA$19,woningen_gebouwen_gegevens,ROWS(bibliotheek!$E$13:$E$26),FALSE))</f>
        <v/>
      </c>
      <c r="BB34" s="184" t="str">
        <f>IF(BB$19="","",HLOOKUP(BB$19,woningen_gebouwen_gegevens,ROWS(bibliotheek!$E$13:$E$26),FALSE))</f>
        <v/>
      </c>
      <c r="BC34" s="184" t="str">
        <f>IF(BC$19="","",HLOOKUP(BC$19,woningen_gebouwen_gegevens,ROWS(bibliotheek!$E$13:$E$26),FALSE))</f>
        <v/>
      </c>
      <c r="BD34" s="184" t="str">
        <f>IF(BD$19="","",HLOOKUP(BD$19,woningen_gebouwen_gegevens,ROWS(bibliotheek!$E$13:$E$26),FALSE))</f>
        <v/>
      </c>
      <c r="BE34" s="184" t="str">
        <f>IF(BE$19="","",HLOOKUP(BE$19,woningen_gebouwen_gegevens,ROWS(bibliotheek!$E$13:$E$26),FALSE))</f>
        <v/>
      </c>
      <c r="BF34" s="184" t="str">
        <f>IF(BF$19="","",HLOOKUP(BF$19,woningen_gebouwen_gegevens,ROWS(bibliotheek!$E$13:$E$26),FALSE))</f>
        <v/>
      </c>
      <c r="BG34" s="184" t="str">
        <f>IF(BG$19="","",HLOOKUP(BG$19,woningen_gebouwen_gegevens,ROWS(bibliotheek!$E$13:$E$26),FALSE))</f>
        <v/>
      </c>
      <c r="BH34" s="214"/>
    </row>
    <row r="35" spans="1:60" x14ac:dyDescent="0.2">
      <c r="A35" s="653"/>
      <c r="B35" s="739" t="s">
        <v>120</v>
      </c>
      <c r="C35" s="656" t="s">
        <v>113</v>
      </c>
      <c r="D35" s="747"/>
      <c r="E35" s="220" t="s">
        <v>140</v>
      </c>
      <c r="F35" s="220"/>
      <c r="G35" s="220"/>
      <c r="H35" s="221" t="s">
        <v>139</v>
      </c>
      <c r="I35" s="90"/>
      <c r="J35" s="227"/>
      <c r="K35" s="294"/>
      <c r="L35" s="294"/>
      <c r="M35" s="227"/>
      <c r="N35" s="100"/>
      <c r="O35" s="184" t="str">
        <f>IF(O$19="","",HLOOKUP(O$19,woningen_gebouwen_gegevens,ROWS(bibliotheek!$E$13:$E$27),FALSE))</f>
        <v/>
      </c>
      <c r="P35" s="184" t="str">
        <f>IF(P$19="","",HLOOKUP(P$19,woningen_gebouwen_gegevens,ROWS(bibliotheek!$E$13:$E$27),FALSE))</f>
        <v/>
      </c>
      <c r="Q35" s="184" t="str">
        <f>IF(Q$19="","",HLOOKUP(Q$19,woningen_gebouwen_gegevens,ROWS(bibliotheek!$E$13:$E$27),FALSE))</f>
        <v/>
      </c>
      <c r="R35" s="184" t="str">
        <f>IF(R$19="","",HLOOKUP(R$19,woningen_gebouwen_gegevens,ROWS(bibliotheek!$E$13:$E$27),FALSE))</f>
        <v/>
      </c>
      <c r="S35" s="184" t="str">
        <f>IF(S$19="","",HLOOKUP(S$19,woningen_gebouwen_gegevens,ROWS(bibliotheek!$E$13:$E$27),FALSE))</f>
        <v/>
      </c>
      <c r="T35" s="184" t="str">
        <f>IF(T$19="","",HLOOKUP(T$19,woningen_gebouwen_gegevens,ROWS(bibliotheek!$E$13:$E$27),FALSE))</f>
        <v/>
      </c>
      <c r="U35" s="184" t="str">
        <f>IF(U$19="","",HLOOKUP(U$19,woningen_gebouwen_gegevens,ROWS(bibliotheek!$E$13:$E$27),FALSE))</f>
        <v/>
      </c>
      <c r="V35" s="184" t="str">
        <f>IF(V$19="","",HLOOKUP(V$19,woningen_gebouwen_gegevens,ROWS(bibliotheek!$E$13:$E$27),FALSE))</f>
        <v/>
      </c>
      <c r="W35" s="184" t="str">
        <f>IF(W$19="","",HLOOKUP(W$19,woningen_gebouwen_gegevens,ROWS(bibliotheek!$E$13:$E$27),FALSE))</f>
        <v/>
      </c>
      <c r="X35" s="110"/>
      <c r="Y35" s="227"/>
      <c r="Z35" s="100"/>
      <c r="AA35" s="184" t="str">
        <f>IF(AA$19="","",HLOOKUP(AA$19,woningen_gebouwen_gegevens,ROWS(bibliotheek!$E$13:$E$27),FALSE))</f>
        <v/>
      </c>
      <c r="AB35" s="184" t="str">
        <f>IF(AB$19="","",HLOOKUP(AB$19,woningen_gebouwen_gegevens,ROWS(bibliotheek!$E$13:$E$27),FALSE))</f>
        <v/>
      </c>
      <c r="AC35" s="184" t="str">
        <f>IF(AC$19="","",HLOOKUP(AC$19,woningen_gebouwen_gegevens,ROWS(bibliotheek!$E$13:$E$27),FALSE))</f>
        <v/>
      </c>
      <c r="AD35" s="184" t="str">
        <f>IF(AD$19="","",HLOOKUP(AD$19,woningen_gebouwen_gegevens,ROWS(bibliotheek!$E$13:$E$27),FALSE))</f>
        <v/>
      </c>
      <c r="AE35" s="184" t="str">
        <f>IF(AE$19="","",HLOOKUP(AE$19,woningen_gebouwen_gegevens,ROWS(bibliotheek!$E$13:$E$27),FALSE))</f>
        <v/>
      </c>
      <c r="AF35" s="184" t="str">
        <f>IF(AF$19="","",HLOOKUP(AF$19,woningen_gebouwen_gegevens,ROWS(bibliotheek!$E$13:$E$27),FALSE))</f>
        <v/>
      </c>
      <c r="AG35" s="184" t="str">
        <f>IF(AG$19="","",HLOOKUP(AG$19,woningen_gebouwen_gegevens,ROWS(bibliotheek!$E$13:$E$27),FALSE))</f>
        <v/>
      </c>
      <c r="AH35" s="184" t="str">
        <f>IF(AH$19="","",HLOOKUP(AH$19,woningen_gebouwen_gegevens,ROWS(bibliotheek!$E$13:$E$27),FALSE))</f>
        <v/>
      </c>
      <c r="AI35" s="184" t="str">
        <f>IF(AI$19="","",HLOOKUP(AI$19,woningen_gebouwen_gegevens,ROWS(bibliotheek!$E$13:$E$27),FALSE))</f>
        <v/>
      </c>
      <c r="AJ35" s="110"/>
      <c r="AK35" s="227"/>
      <c r="AL35" s="100"/>
      <c r="AM35" s="184" t="str">
        <f>IF(AM$19="","",HLOOKUP(AM$19,woningen_gebouwen_gegevens,ROWS(bibliotheek!$E$13:$E$27),FALSE))</f>
        <v/>
      </c>
      <c r="AN35" s="184" t="str">
        <f>IF(AN$19="","",HLOOKUP(AN$19,woningen_gebouwen_gegevens,ROWS(bibliotheek!$E$13:$E$27),FALSE))</f>
        <v/>
      </c>
      <c r="AO35" s="184" t="str">
        <f>IF(AO$19="","",HLOOKUP(AO$19,woningen_gebouwen_gegevens,ROWS(bibliotheek!$E$13:$E$27),FALSE))</f>
        <v/>
      </c>
      <c r="AP35" s="184" t="str">
        <f>IF(AP$19="","",HLOOKUP(AP$19,woningen_gebouwen_gegevens,ROWS(bibliotheek!$E$13:$E$27),FALSE))</f>
        <v/>
      </c>
      <c r="AQ35" s="184" t="str">
        <f>IF(AQ$19="","",HLOOKUP(AQ$19,woningen_gebouwen_gegevens,ROWS(bibliotheek!$E$13:$E$27),FALSE))</f>
        <v/>
      </c>
      <c r="AR35" s="184" t="str">
        <f>IF(AR$19="","",HLOOKUP(AR$19,woningen_gebouwen_gegevens,ROWS(bibliotheek!$E$13:$E$27),FALSE))</f>
        <v/>
      </c>
      <c r="AS35" s="184" t="str">
        <f>IF(AS$19="","",HLOOKUP(AS$19,woningen_gebouwen_gegevens,ROWS(bibliotheek!$E$13:$E$27),FALSE))</f>
        <v/>
      </c>
      <c r="AT35" s="184" t="str">
        <f>IF(AT$19="","",HLOOKUP(AT$19,woningen_gebouwen_gegevens,ROWS(bibliotheek!$E$13:$E$27),FALSE))</f>
        <v/>
      </c>
      <c r="AU35" s="184" t="str">
        <f>IF(AU$19="","",HLOOKUP(AU$19,woningen_gebouwen_gegevens,ROWS(bibliotheek!$E$13:$E$27),FALSE))</f>
        <v/>
      </c>
      <c r="AV35" s="110"/>
      <c r="AW35" s="227"/>
      <c r="AX35" s="100"/>
      <c r="AY35" s="184" t="str">
        <f>IF(AY$19="","",HLOOKUP(AY$19,woningen_gebouwen_gegevens,ROWS(bibliotheek!$E$13:$E$27),FALSE))</f>
        <v/>
      </c>
      <c r="AZ35" s="184" t="str">
        <f>IF(AZ$19="","",HLOOKUP(AZ$19,woningen_gebouwen_gegevens,ROWS(bibliotheek!$E$13:$E$27),FALSE))</f>
        <v/>
      </c>
      <c r="BA35" s="184" t="str">
        <f>IF(BA$19="","",HLOOKUP(BA$19,woningen_gebouwen_gegevens,ROWS(bibliotheek!$E$13:$E$27),FALSE))</f>
        <v/>
      </c>
      <c r="BB35" s="184" t="str">
        <f>IF(BB$19="","",HLOOKUP(BB$19,woningen_gebouwen_gegevens,ROWS(bibliotheek!$E$13:$E$27),FALSE))</f>
        <v/>
      </c>
      <c r="BC35" s="184" t="str">
        <f>IF(BC$19="","",HLOOKUP(BC$19,woningen_gebouwen_gegevens,ROWS(bibliotheek!$E$13:$E$27),FALSE))</f>
        <v/>
      </c>
      <c r="BD35" s="184" t="str">
        <f>IF(BD$19="","",HLOOKUP(BD$19,woningen_gebouwen_gegevens,ROWS(bibliotheek!$E$13:$E$27),FALSE))</f>
        <v/>
      </c>
      <c r="BE35" s="184" t="str">
        <f>IF(BE$19="","",HLOOKUP(BE$19,woningen_gebouwen_gegevens,ROWS(bibliotheek!$E$13:$E$27),FALSE))</f>
        <v/>
      </c>
      <c r="BF35" s="184" t="str">
        <f>IF(BF$19="","",HLOOKUP(BF$19,woningen_gebouwen_gegevens,ROWS(bibliotheek!$E$13:$E$27),FALSE))</f>
        <v/>
      </c>
      <c r="BG35" s="184" t="str">
        <f>IF(BG$19="","",HLOOKUP(BG$19,woningen_gebouwen_gegevens,ROWS(bibliotheek!$E$13:$E$27),FALSE))</f>
        <v/>
      </c>
      <c r="BH35" s="214"/>
    </row>
    <row r="36" spans="1:60" x14ac:dyDescent="0.2">
      <c r="A36" s="653"/>
      <c r="B36" s="739" t="s">
        <v>120</v>
      </c>
      <c r="C36" s="656" t="s">
        <v>113</v>
      </c>
      <c r="D36" s="747"/>
      <c r="E36" s="90"/>
      <c r="F36" s="90"/>
      <c r="G36" s="90"/>
      <c r="H36" s="96"/>
      <c r="I36" s="90"/>
      <c r="J36" s="93"/>
      <c r="K36" s="90"/>
      <c r="L36" s="90"/>
      <c r="M36" s="93"/>
      <c r="N36" s="93"/>
      <c r="O36" s="93"/>
      <c r="P36" s="93"/>
      <c r="Q36" s="93"/>
      <c r="R36" s="93"/>
      <c r="S36" s="93"/>
      <c r="T36" s="93"/>
      <c r="U36" s="93"/>
      <c r="V36" s="93"/>
      <c r="W36" s="93"/>
      <c r="X36" s="93"/>
      <c r="Y36" s="93"/>
      <c r="Z36" s="90"/>
      <c r="AA36" s="93"/>
      <c r="AB36" s="93"/>
      <c r="AC36" s="93"/>
      <c r="AD36" s="93"/>
      <c r="AE36" s="93"/>
      <c r="AF36" s="93"/>
      <c r="AG36" s="93"/>
      <c r="AH36" s="93"/>
      <c r="AI36" s="93"/>
      <c r="AJ36" s="93"/>
      <c r="AK36" s="93"/>
      <c r="AL36" s="90"/>
      <c r="AM36" s="93"/>
      <c r="AN36" s="93"/>
      <c r="AO36" s="93"/>
      <c r="AP36" s="93"/>
      <c r="AQ36" s="93"/>
      <c r="AR36" s="93"/>
      <c r="AS36" s="93"/>
      <c r="AT36" s="93"/>
      <c r="AU36" s="93"/>
      <c r="AV36" s="93"/>
      <c r="AW36" s="93"/>
      <c r="AX36" s="90"/>
      <c r="AY36" s="93"/>
      <c r="AZ36" s="93"/>
      <c r="BA36" s="93"/>
      <c r="BB36" s="93"/>
      <c r="BC36" s="93"/>
      <c r="BD36" s="93"/>
      <c r="BE36" s="93"/>
      <c r="BF36" s="93"/>
      <c r="BG36" s="93"/>
      <c r="BH36" s="1"/>
    </row>
    <row r="37" spans="1:60" x14ac:dyDescent="0.2">
      <c r="A37" s="653"/>
      <c r="B37" s="492" t="s">
        <v>141</v>
      </c>
      <c r="C37" s="656" t="s">
        <v>104</v>
      </c>
      <c r="D37" s="747"/>
      <c r="E37" s="90"/>
      <c r="F37" s="90"/>
      <c r="G37" s="90"/>
      <c r="H37" s="96"/>
      <c r="I37" s="90"/>
      <c r="J37" s="93"/>
      <c r="K37" s="90"/>
      <c r="L37" s="90"/>
      <c r="M37" s="93"/>
      <c r="N37" s="93"/>
      <c r="O37" s="93"/>
      <c r="P37" s="93"/>
      <c r="Q37" s="93"/>
      <c r="R37" s="93"/>
      <c r="S37" s="93"/>
      <c r="T37" s="93"/>
      <c r="U37" s="93"/>
      <c r="V37" s="93"/>
      <c r="W37" s="93"/>
      <c r="X37" s="93"/>
      <c r="Y37" s="93"/>
      <c r="Z37" s="90"/>
      <c r="AA37" s="93"/>
      <c r="AB37" s="93"/>
      <c r="AC37" s="93"/>
      <c r="AD37" s="93"/>
      <c r="AE37" s="93"/>
      <c r="AF37" s="93"/>
      <c r="AG37" s="93"/>
      <c r="AH37" s="93"/>
      <c r="AI37" s="93"/>
      <c r="AJ37" s="93"/>
      <c r="AK37" s="93"/>
      <c r="AL37" s="90"/>
      <c r="AM37" s="93"/>
      <c r="AN37" s="93"/>
      <c r="AO37" s="93"/>
      <c r="AP37" s="93"/>
      <c r="AQ37" s="93"/>
      <c r="AR37" s="93"/>
      <c r="AS37" s="93"/>
      <c r="AT37" s="93"/>
      <c r="AU37" s="93"/>
      <c r="AV37" s="93"/>
      <c r="AW37" s="93"/>
      <c r="AX37" s="90"/>
      <c r="AY37" s="93"/>
      <c r="AZ37" s="93"/>
      <c r="BA37" s="93"/>
      <c r="BB37" s="93"/>
      <c r="BC37" s="93"/>
      <c r="BD37" s="93"/>
      <c r="BE37" s="93"/>
      <c r="BF37" s="93"/>
      <c r="BG37" s="93"/>
      <c r="BH37" s="1"/>
    </row>
    <row r="38" spans="1:60" s="2" customFormat="1" ht="21" x14ac:dyDescent="0.2">
      <c r="A38" s="654"/>
      <c r="B38" s="492" t="s">
        <v>141</v>
      </c>
      <c r="C38" s="739" t="s">
        <v>104</v>
      </c>
      <c r="D38" s="749"/>
      <c r="E38" s="253" t="s">
        <v>142</v>
      </c>
      <c r="F38" s="253"/>
      <c r="G38" s="253"/>
      <c r="H38" s="253"/>
      <c r="I38" s="146"/>
      <c r="J38" s="318"/>
      <c r="K38" s="142"/>
      <c r="L38" s="142"/>
      <c r="M38" s="319" t="str">
        <f>M$10</f>
        <v>totaal</v>
      </c>
      <c r="N38" s="234"/>
      <c r="O38" s="320" t="str">
        <f t="shared" ref="O38:W38" si="40">O$17</f>
        <v/>
      </c>
      <c r="P38" s="320" t="str">
        <f t="shared" si="40"/>
        <v/>
      </c>
      <c r="Q38" s="320" t="str">
        <f t="shared" si="40"/>
        <v/>
      </c>
      <c r="R38" s="320" t="str">
        <f t="shared" si="40"/>
        <v/>
      </c>
      <c r="S38" s="320" t="str">
        <f t="shared" si="40"/>
        <v/>
      </c>
      <c r="T38" s="320" t="str">
        <f t="shared" si="40"/>
        <v/>
      </c>
      <c r="U38" s="320" t="str">
        <f t="shared" si="40"/>
        <v/>
      </c>
      <c r="V38" s="320" t="str">
        <f t="shared" si="40"/>
        <v/>
      </c>
      <c r="W38" s="320" t="str">
        <f t="shared" si="40"/>
        <v/>
      </c>
      <c r="X38" s="214"/>
      <c r="Y38" s="319" t="str">
        <f>Y$10</f>
        <v>totaal</v>
      </c>
      <c r="Z38" s="234"/>
      <c r="AA38" s="320" t="str">
        <f t="shared" ref="AA38:AI38" si="41">AA$17</f>
        <v/>
      </c>
      <c r="AB38" s="320" t="str">
        <f t="shared" si="41"/>
        <v/>
      </c>
      <c r="AC38" s="320" t="str">
        <f t="shared" si="41"/>
        <v/>
      </c>
      <c r="AD38" s="320" t="str">
        <f t="shared" si="41"/>
        <v/>
      </c>
      <c r="AE38" s="320" t="str">
        <f t="shared" si="41"/>
        <v/>
      </c>
      <c r="AF38" s="320" t="str">
        <f t="shared" si="41"/>
        <v/>
      </c>
      <c r="AG38" s="320" t="str">
        <f t="shared" si="41"/>
        <v/>
      </c>
      <c r="AH38" s="320" t="str">
        <f t="shared" si="41"/>
        <v/>
      </c>
      <c r="AI38" s="320" t="str">
        <f t="shared" si="41"/>
        <v/>
      </c>
      <c r="AJ38" s="214"/>
      <c r="AK38" s="319" t="str">
        <f>AK$10</f>
        <v>totaal</v>
      </c>
      <c r="AL38" s="234"/>
      <c r="AM38" s="320" t="str">
        <f>AM$17</f>
        <v/>
      </c>
      <c r="AN38" s="320" t="str">
        <f t="shared" ref="AN38:AU38" si="42">AN$17</f>
        <v/>
      </c>
      <c r="AO38" s="320" t="str">
        <f t="shared" si="42"/>
        <v/>
      </c>
      <c r="AP38" s="320" t="str">
        <f t="shared" si="42"/>
        <v/>
      </c>
      <c r="AQ38" s="320" t="str">
        <f t="shared" si="42"/>
        <v/>
      </c>
      <c r="AR38" s="320" t="str">
        <f t="shared" si="42"/>
        <v/>
      </c>
      <c r="AS38" s="320" t="str">
        <f t="shared" si="42"/>
        <v/>
      </c>
      <c r="AT38" s="320" t="str">
        <f t="shared" si="42"/>
        <v/>
      </c>
      <c r="AU38" s="320" t="str">
        <f t="shared" si="42"/>
        <v/>
      </c>
      <c r="AV38" s="214"/>
      <c r="AW38" s="319" t="str">
        <f>AW$10</f>
        <v>totaal</v>
      </c>
      <c r="AX38" s="234"/>
      <c r="AY38" s="320" t="str">
        <f>AY$17</f>
        <v/>
      </c>
      <c r="AZ38" s="320" t="str">
        <f t="shared" ref="AZ38:BG38" si="43">AZ$17</f>
        <v/>
      </c>
      <c r="BA38" s="320" t="str">
        <f t="shared" si="43"/>
        <v/>
      </c>
      <c r="BB38" s="320" t="str">
        <f t="shared" si="43"/>
        <v/>
      </c>
      <c r="BC38" s="320" t="str">
        <f t="shared" si="43"/>
        <v/>
      </c>
      <c r="BD38" s="320" t="str">
        <f t="shared" si="43"/>
        <v/>
      </c>
      <c r="BE38" s="320" t="str">
        <f t="shared" si="43"/>
        <v/>
      </c>
      <c r="BF38" s="320" t="str">
        <f t="shared" si="43"/>
        <v/>
      </c>
      <c r="BG38" s="320" t="str">
        <f t="shared" si="43"/>
        <v/>
      </c>
      <c r="BH38" s="1"/>
    </row>
    <row r="39" spans="1:60" ht="18.75" x14ac:dyDescent="0.2">
      <c r="A39" s="653"/>
      <c r="B39" s="492" t="s">
        <v>141</v>
      </c>
      <c r="C39" s="656" t="s">
        <v>127</v>
      </c>
      <c r="D39" s="747"/>
      <c r="E39" s="236" t="s">
        <v>143</v>
      </c>
      <c r="F39" s="236"/>
      <c r="G39" s="236"/>
      <c r="H39" s="89"/>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38"/>
    </row>
    <row r="40" spans="1:60" x14ac:dyDescent="0.2">
      <c r="A40" s="653"/>
      <c r="B40" s="492" t="s">
        <v>141</v>
      </c>
      <c r="C40" s="739" t="s">
        <v>127</v>
      </c>
      <c r="D40" s="750" t="s">
        <v>50</v>
      </c>
      <c r="E40" s="713" t="s">
        <v>144</v>
      </c>
      <c r="F40" s="713"/>
      <c r="G40" s="713"/>
      <c r="H40" s="183" t="s">
        <v>70</v>
      </c>
      <c r="I40" s="210"/>
      <c r="J40" s="711"/>
      <c r="K40" s="90"/>
      <c r="L40" s="90"/>
      <c r="M40" s="224"/>
      <c r="N40" s="236"/>
      <c r="O40" s="184" t="str">
        <f t="shared" ref="O40:W40" si="44">IF(O$19="","",IF(AND(O41&lt;&gt;"",
ISERROR(MATCH(O41,isolatiepakketten_gebouwschil_namen,0))=FALSE),O41,
INDEX(referentiepakketten_bij_gebouwen,MATCH(O$19,woningen_gebouwen_namen,0))))</f>
        <v/>
      </c>
      <c r="P40" s="184" t="str">
        <f t="shared" si="44"/>
        <v/>
      </c>
      <c r="Q40" s="184" t="str">
        <f t="shared" si="44"/>
        <v/>
      </c>
      <c r="R40" s="184" t="str">
        <f t="shared" si="44"/>
        <v/>
      </c>
      <c r="S40" s="184" t="str">
        <f t="shared" si="44"/>
        <v/>
      </c>
      <c r="T40" s="184" t="str">
        <f t="shared" si="44"/>
        <v/>
      </c>
      <c r="U40" s="184" t="str">
        <f t="shared" si="44"/>
        <v/>
      </c>
      <c r="V40" s="184" t="str">
        <f t="shared" si="44"/>
        <v/>
      </c>
      <c r="W40" s="184" t="str">
        <f t="shared" si="44"/>
        <v/>
      </c>
      <c r="X40" s="767"/>
      <c r="Y40" s="224"/>
      <c r="Z40" s="236"/>
      <c r="AA40" s="184" t="str">
        <f t="shared" ref="AA40:AI40" si="45">IF(AA$19="","",IF(AND(AA41&lt;&gt;"",
ISERROR(MATCH(AA41,isolatiepakketten_gebouwschil_namen,0))=FALSE),AA41,
INDEX(referentiepakketten_bij_gebouwen,MATCH(AA$19,woningen_gebouwen_namen,0))))</f>
        <v/>
      </c>
      <c r="AB40" s="184" t="str">
        <f t="shared" si="45"/>
        <v/>
      </c>
      <c r="AC40" s="184" t="str">
        <f t="shared" si="45"/>
        <v/>
      </c>
      <c r="AD40" s="184" t="str">
        <f t="shared" si="45"/>
        <v/>
      </c>
      <c r="AE40" s="184" t="str">
        <f t="shared" si="45"/>
        <v/>
      </c>
      <c r="AF40" s="184" t="str">
        <f t="shared" si="45"/>
        <v/>
      </c>
      <c r="AG40" s="184" t="str">
        <f t="shared" si="45"/>
        <v/>
      </c>
      <c r="AH40" s="184" t="str">
        <f t="shared" si="45"/>
        <v/>
      </c>
      <c r="AI40" s="184" t="str">
        <f t="shared" si="45"/>
        <v/>
      </c>
      <c r="AJ40" s="767"/>
      <c r="AK40" s="224"/>
      <c r="AL40" s="236"/>
      <c r="AM40" s="184" t="str">
        <f t="shared" ref="AM40:AU40" si="46">IF(AM$19="","",IF(AND(AM41&lt;&gt;"",
ISERROR(MATCH(AM41,isolatiepakketten_gebouwschil_namen,0))=FALSE),AM41,
INDEX(referentiepakketten_bij_gebouwen,MATCH(AM$19,woningen_gebouwen_namen,0))))</f>
        <v/>
      </c>
      <c r="AN40" s="184" t="str">
        <f t="shared" si="46"/>
        <v/>
      </c>
      <c r="AO40" s="184" t="str">
        <f t="shared" si="46"/>
        <v/>
      </c>
      <c r="AP40" s="184" t="str">
        <f t="shared" si="46"/>
        <v/>
      </c>
      <c r="AQ40" s="184" t="str">
        <f t="shared" si="46"/>
        <v/>
      </c>
      <c r="AR40" s="184" t="str">
        <f t="shared" si="46"/>
        <v/>
      </c>
      <c r="AS40" s="184" t="str">
        <f t="shared" si="46"/>
        <v/>
      </c>
      <c r="AT40" s="184" t="str">
        <f t="shared" si="46"/>
        <v/>
      </c>
      <c r="AU40" s="184" t="str">
        <f t="shared" si="46"/>
        <v/>
      </c>
      <c r="AV40" s="767"/>
      <c r="AW40" s="224"/>
      <c r="AX40" s="236"/>
      <c r="AY40" s="184" t="str">
        <f t="shared" ref="AY40:BG40" si="47">IF(AY$19="","",IF(AND(AY41&lt;&gt;"",
ISERROR(MATCH(AY41,isolatiepakketten_gebouwschil_namen,0))=FALSE),AY41,
INDEX(referentiepakketten_bij_gebouwen,MATCH(AY$19,woningen_gebouwen_namen,0))))</f>
        <v/>
      </c>
      <c r="AZ40" s="184" t="str">
        <f t="shared" si="47"/>
        <v/>
      </c>
      <c r="BA40" s="184" t="str">
        <f t="shared" si="47"/>
        <v/>
      </c>
      <c r="BB40" s="184" t="str">
        <f t="shared" si="47"/>
        <v/>
      </c>
      <c r="BC40" s="184" t="str">
        <f t="shared" si="47"/>
        <v/>
      </c>
      <c r="BD40" s="184" t="str">
        <f t="shared" si="47"/>
        <v/>
      </c>
      <c r="BE40" s="184" t="str">
        <f t="shared" si="47"/>
        <v/>
      </c>
      <c r="BF40" s="184" t="str">
        <f t="shared" si="47"/>
        <v/>
      </c>
      <c r="BG40" s="184" t="str">
        <f t="shared" si="47"/>
        <v/>
      </c>
      <c r="BH40" s="260"/>
    </row>
    <row r="41" spans="1:60" x14ac:dyDescent="0.2">
      <c r="A41" s="653"/>
      <c r="B41" s="492" t="s">
        <v>141</v>
      </c>
      <c r="C41" s="739" t="s">
        <v>127</v>
      </c>
      <c r="D41" s="747"/>
      <c r="E41" s="412" t="s">
        <v>1130</v>
      </c>
      <c r="F41" s="286"/>
      <c r="G41" s="286"/>
      <c r="H41" s="183" t="s">
        <v>70</v>
      </c>
      <c r="I41" s="210"/>
      <c r="J41" s="711"/>
      <c r="K41" s="90"/>
      <c r="L41" s="90"/>
      <c r="M41" s="224"/>
      <c r="N41" s="236"/>
      <c r="O41" s="1051"/>
      <c r="P41" s="1051"/>
      <c r="Q41" s="1051"/>
      <c r="R41" s="1051"/>
      <c r="S41" s="1051"/>
      <c r="T41" s="1051"/>
      <c r="U41" s="1051"/>
      <c r="V41" s="1051"/>
      <c r="W41" s="1051"/>
      <c r="X41" s="767"/>
      <c r="Y41" s="224"/>
      <c r="Z41" s="236"/>
      <c r="AA41" s="1051"/>
      <c r="AB41" s="1051"/>
      <c r="AC41" s="1051"/>
      <c r="AD41" s="1051"/>
      <c r="AE41" s="1051"/>
      <c r="AF41" s="1051"/>
      <c r="AG41" s="1051"/>
      <c r="AH41" s="1051"/>
      <c r="AI41" s="1051"/>
      <c r="AJ41" s="767"/>
      <c r="AK41" s="224"/>
      <c r="AL41" s="236"/>
      <c r="AM41" s="1051"/>
      <c r="AN41" s="1051"/>
      <c r="AO41" s="1051"/>
      <c r="AP41" s="1051"/>
      <c r="AQ41" s="1051"/>
      <c r="AR41" s="1051"/>
      <c r="AS41" s="1051"/>
      <c r="AT41" s="1051"/>
      <c r="AU41" s="1051"/>
      <c r="AV41" s="767"/>
      <c r="AW41" s="224"/>
      <c r="AX41" s="236"/>
      <c r="AY41" s="1051"/>
      <c r="AZ41" s="1051"/>
      <c r="BA41" s="1051"/>
      <c r="BB41" s="1051"/>
      <c r="BC41" s="1051"/>
      <c r="BD41" s="1051"/>
      <c r="BE41" s="1051"/>
      <c r="BF41" s="1051"/>
      <c r="BG41" s="1051"/>
      <c r="BH41" s="260"/>
    </row>
    <row r="42" spans="1:60" s="38" customFormat="1" ht="25.5" x14ac:dyDescent="0.2">
      <c r="A42" s="655"/>
      <c r="B42" s="492" t="s">
        <v>141</v>
      </c>
      <c r="C42" s="656" t="s">
        <v>127</v>
      </c>
      <c r="D42" s="751"/>
      <c r="E42" s="182" t="s">
        <v>145</v>
      </c>
      <c r="F42" s="182"/>
      <c r="G42" s="182"/>
      <c r="H42" s="183" t="s">
        <v>70</v>
      </c>
      <c r="I42" s="114"/>
      <c r="J42" s="711"/>
      <c r="K42" s="97"/>
      <c r="L42" s="97"/>
      <c r="M42" s="224"/>
      <c r="N42" s="99"/>
      <c r="O42" s="886" t="s">
        <v>146</v>
      </c>
      <c r="P42" s="886" t="s">
        <v>146</v>
      </c>
      <c r="Q42" s="886" t="s">
        <v>146</v>
      </c>
      <c r="R42" s="886" t="s">
        <v>146</v>
      </c>
      <c r="S42" s="886" t="s">
        <v>146</v>
      </c>
      <c r="T42" s="886" t="s">
        <v>146</v>
      </c>
      <c r="U42" s="886" t="s">
        <v>146</v>
      </c>
      <c r="V42" s="886" t="s">
        <v>146</v>
      </c>
      <c r="W42" s="886" t="s">
        <v>146</v>
      </c>
      <c r="X42" s="768"/>
      <c r="Y42" s="224"/>
      <c r="Z42" s="769"/>
      <c r="AA42" s="886" t="s">
        <v>146</v>
      </c>
      <c r="AB42" s="886" t="s">
        <v>146</v>
      </c>
      <c r="AC42" s="886" t="s">
        <v>146</v>
      </c>
      <c r="AD42" s="886" t="s">
        <v>146</v>
      </c>
      <c r="AE42" s="886" t="s">
        <v>146</v>
      </c>
      <c r="AF42" s="886" t="s">
        <v>146</v>
      </c>
      <c r="AG42" s="886" t="s">
        <v>146</v>
      </c>
      <c r="AH42" s="886" t="s">
        <v>146</v>
      </c>
      <c r="AI42" s="886" t="s">
        <v>146</v>
      </c>
      <c r="AJ42" s="768"/>
      <c r="AK42" s="224"/>
      <c r="AL42" s="770"/>
      <c r="AM42" s="886" t="s">
        <v>146</v>
      </c>
      <c r="AN42" s="886" t="s">
        <v>146</v>
      </c>
      <c r="AO42" s="886" t="s">
        <v>146</v>
      </c>
      <c r="AP42" s="886" t="s">
        <v>146</v>
      </c>
      <c r="AQ42" s="886" t="s">
        <v>146</v>
      </c>
      <c r="AR42" s="886" t="s">
        <v>146</v>
      </c>
      <c r="AS42" s="886" t="s">
        <v>146</v>
      </c>
      <c r="AT42" s="886" t="s">
        <v>146</v>
      </c>
      <c r="AU42" s="886" t="s">
        <v>146</v>
      </c>
      <c r="AV42" s="768"/>
      <c r="AW42" s="224"/>
      <c r="AX42" s="770"/>
      <c r="AY42" s="886" t="s">
        <v>146</v>
      </c>
      <c r="AZ42" s="886" t="s">
        <v>146</v>
      </c>
      <c r="BA42" s="886" t="s">
        <v>146</v>
      </c>
      <c r="BB42" s="886" t="s">
        <v>146</v>
      </c>
      <c r="BC42" s="886" t="s">
        <v>146</v>
      </c>
      <c r="BD42" s="886" t="s">
        <v>146</v>
      </c>
      <c r="BE42" s="886" t="s">
        <v>146</v>
      </c>
      <c r="BF42" s="886" t="s">
        <v>146</v>
      </c>
      <c r="BG42" s="886" t="s">
        <v>146</v>
      </c>
      <c r="BH42" s="262"/>
    </row>
    <row r="43" spans="1:60" ht="25.5" x14ac:dyDescent="0.2">
      <c r="A43" s="655"/>
      <c r="B43" s="492" t="s">
        <v>141</v>
      </c>
      <c r="C43" s="739" t="s">
        <v>127</v>
      </c>
      <c r="D43" s="751"/>
      <c r="E43" s="182" t="s">
        <v>147</v>
      </c>
      <c r="F43" s="182"/>
      <c r="G43" s="182"/>
      <c r="H43" s="183" t="s">
        <v>70</v>
      </c>
      <c r="I43" s="114"/>
      <c r="J43" s="224"/>
      <c r="K43" s="97"/>
      <c r="L43" s="97"/>
      <c r="M43" s="224"/>
      <c r="N43" s="99"/>
      <c r="O43" s="886" t="s">
        <v>148</v>
      </c>
      <c r="P43" s="886" t="s">
        <v>148</v>
      </c>
      <c r="Q43" s="886" t="s">
        <v>148</v>
      </c>
      <c r="R43" s="886" t="s">
        <v>148</v>
      </c>
      <c r="S43" s="886" t="s">
        <v>148</v>
      </c>
      <c r="T43" s="886" t="s">
        <v>148</v>
      </c>
      <c r="U43" s="886" t="s">
        <v>148</v>
      </c>
      <c r="V43" s="886" t="s">
        <v>148</v>
      </c>
      <c r="W43" s="886" t="s">
        <v>148</v>
      </c>
      <c r="X43" s="768"/>
      <c r="Y43" s="224"/>
      <c r="Z43" s="236"/>
      <c r="AA43" s="886" t="s">
        <v>148</v>
      </c>
      <c r="AB43" s="886" t="s">
        <v>148</v>
      </c>
      <c r="AC43" s="886" t="s">
        <v>148</v>
      </c>
      <c r="AD43" s="886" t="s">
        <v>148</v>
      </c>
      <c r="AE43" s="886" t="s">
        <v>148</v>
      </c>
      <c r="AF43" s="886" t="s">
        <v>148</v>
      </c>
      <c r="AG43" s="886" t="s">
        <v>148</v>
      </c>
      <c r="AH43" s="886" t="s">
        <v>148</v>
      </c>
      <c r="AI43" s="886" t="s">
        <v>148</v>
      </c>
      <c r="AJ43" s="768"/>
      <c r="AK43" s="224"/>
      <c r="AL43" s="770"/>
      <c r="AM43" s="886" t="s">
        <v>148</v>
      </c>
      <c r="AN43" s="886" t="s">
        <v>148</v>
      </c>
      <c r="AO43" s="886" t="s">
        <v>148</v>
      </c>
      <c r="AP43" s="886" t="s">
        <v>148</v>
      </c>
      <c r="AQ43" s="886" t="s">
        <v>148</v>
      </c>
      <c r="AR43" s="886" t="s">
        <v>148</v>
      </c>
      <c r="AS43" s="886" t="s">
        <v>148</v>
      </c>
      <c r="AT43" s="886" t="s">
        <v>148</v>
      </c>
      <c r="AU43" s="886" t="s">
        <v>148</v>
      </c>
      <c r="AV43" s="768"/>
      <c r="AW43" s="224"/>
      <c r="AX43" s="770"/>
      <c r="AY43" s="886" t="s">
        <v>148</v>
      </c>
      <c r="AZ43" s="886" t="s">
        <v>148</v>
      </c>
      <c r="BA43" s="886" t="s">
        <v>148</v>
      </c>
      <c r="BB43" s="886" t="s">
        <v>148</v>
      </c>
      <c r="BC43" s="886" t="s">
        <v>148</v>
      </c>
      <c r="BD43" s="886" t="s">
        <v>148</v>
      </c>
      <c r="BE43" s="886" t="s">
        <v>148</v>
      </c>
      <c r="BF43" s="886" t="s">
        <v>148</v>
      </c>
      <c r="BG43" s="886" t="s">
        <v>148</v>
      </c>
      <c r="BH43" s="262"/>
    </row>
    <row r="44" spans="1:60" x14ac:dyDescent="0.2">
      <c r="A44" s="655"/>
      <c r="B44" s="492" t="s">
        <v>141</v>
      </c>
      <c r="C44" s="739" t="s">
        <v>127</v>
      </c>
      <c r="D44" s="750" t="s">
        <v>50</v>
      </c>
      <c r="E44" s="182" t="s">
        <v>149</v>
      </c>
      <c r="F44" s="182"/>
      <c r="G44" s="182"/>
      <c r="H44" s="183" t="s">
        <v>150</v>
      </c>
      <c r="I44" s="210"/>
      <c r="J44" s="224"/>
      <c r="K44" s="90"/>
      <c r="L44" s="90"/>
      <c r="M44" s="224"/>
      <c r="N44" s="99"/>
      <c r="O44" s="887">
        <v>1</v>
      </c>
      <c r="P44" s="887">
        <v>1</v>
      </c>
      <c r="Q44" s="887">
        <v>1</v>
      </c>
      <c r="R44" s="887">
        <v>1</v>
      </c>
      <c r="S44" s="887">
        <v>1</v>
      </c>
      <c r="T44" s="887">
        <v>1</v>
      </c>
      <c r="U44" s="887">
        <v>1</v>
      </c>
      <c r="V44" s="887">
        <v>1</v>
      </c>
      <c r="W44" s="887">
        <v>1</v>
      </c>
      <c r="X44" s="767"/>
      <c r="Y44" s="224"/>
      <c r="Z44" s="236"/>
      <c r="AA44" s="887">
        <v>1</v>
      </c>
      <c r="AB44" s="887">
        <v>1</v>
      </c>
      <c r="AC44" s="887">
        <v>1</v>
      </c>
      <c r="AD44" s="887">
        <v>1</v>
      </c>
      <c r="AE44" s="887">
        <v>1</v>
      </c>
      <c r="AF44" s="887">
        <v>1</v>
      </c>
      <c r="AG44" s="887">
        <v>1</v>
      </c>
      <c r="AH44" s="887">
        <v>1</v>
      </c>
      <c r="AI44" s="887">
        <v>1</v>
      </c>
      <c r="AJ44" s="767"/>
      <c r="AK44" s="224"/>
      <c r="AL44" s="771"/>
      <c r="AM44" s="887">
        <v>1</v>
      </c>
      <c r="AN44" s="887">
        <v>1</v>
      </c>
      <c r="AO44" s="887">
        <v>1</v>
      </c>
      <c r="AP44" s="887">
        <v>1</v>
      </c>
      <c r="AQ44" s="887">
        <v>1</v>
      </c>
      <c r="AR44" s="887">
        <v>1</v>
      </c>
      <c r="AS44" s="887">
        <v>1</v>
      </c>
      <c r="AT44" s="887">
        <v>1</v>
      </c>
      <c r="AU44" s="887">
        <v>1</v>
      </c>
      <c r="AV44" s="767"/>
      <c r="AW44" s="224"/>
      <c r="AX44" s="771"/>
      <c r="AY44" s="887">
        <v>1</v>
      </c>
      <c r="AZ44" s="887">
        <v>1</v>
      </c>
      <c r="BA44" s="887">
        <v>1</v>
      </c>
      <c r="BB44" s="887">
        <v>1</v>
      </c>
      <c r="BC44" s="887">
        <v>1</v>
      </c>
      <c r="BD44" s="887">
        <v>1</v>
      </c>
      <c r="BE44" s="887">
        <v>1</v>
      </c>
      <c r="BF44" s="887">
        <v>1</v>
      </c>
      <c r="BG44" s="887">
        <v>1</v>
      </c>
      <c r="BH44" s="261"/>
    </row>
    <row r="45" spans="1:60" x14ac:dyDescent="0.2">
      <c r="A45" s="655"/>
      <c r="B45" s="492" t="s">
        <v>141</v>
      </c>
      <c r="C45" s="739" t="s">
        <v>127</v>
      </c>
      <c r="D45" s="750" t="s">
        <v>50</v>
      </c>
      <c r="E45" s="182" t="s">
        <v>151</v>
      </c>
      <c r="F45" s="182"/>
      <c r="G45" s="182"/>
      <c r="H45" s="183" t="s">
        <v>152</v>
      </c>
      <c r="I45" s="210"/>
      <c r="J45" s="282"/>
      <c r="K45" s="294"/>
      <c r="L45" s="294"/>
      <c r="M45" s="282"/>
      <c r="N45" s="99"/>
      <c r="O45" s="888"/>
      <c r="P45" s="888"/>
      <c r="Q45" s="888"/>
      <c r="R45" s="888"/>
      <c r="S45" s="888"/>
      <c r="T45" s="888"/>
      <c r="U45" s="888"/>
      <c r="V45" s="888"/>
      <c r="W45" s="888"/>
      <c r="X45" s="772"/>
      <c r="Y45" s="282"/>
      <c r="Z45" s="279"/>
      <c r="AA45" s="888"/>
      <c r="AB45" s="888"/>
      <c r="AC45" s="888"/>
      <c r="AD45" s="888"/>
      <c r="AE45" s="888"/>
      <c r="AF45" s="888"/>
      <c r="AG45" s="888"/>
      <c r="AH45" s="888"/>
      <c r="AI45" s="888"/>
      <c r="AJ45" s="772"/>
      <c r="AK45" s="282"/>
      <c r="AL45" s="773"/>
      <c r="AM45" s="888"/>
      <c r="AN45" s="888"/>
      <c r="AO45" s="888"/>
      <c r="AP45" s="888"/>
      <c r="AQ45" s="888"/>
      <c r="AR45" s="888"/>
      <c r="AS45" s="888"/>
      <c r="AT45" s="888"/>
      <c r="AU45" s="888"/>
      <c r="AV45" s="772"/>
      <c r="AW45" s="282"/>
      <c r="AX45" s="773"/>
      <c r="AY45" s="888"/>
      <c r="AZ45" s="888"/>
      <c r="BA45" s="888"/>
      <c r="BB45" s="888"/>
      <c r="BC45" s="888"/>
      <c r="BD45" s="888"/>
      <c r="BE45" s="888"/>
      <c r="BF45" s="888"/>
      <c r="BG45" s="888"/>
      <c r="BH45" s="261"/>
    </row>
    <row r="46" spans="1:60" x14ac:dyDescent="0.2">
      <c r="A46" s="655"/>
      <c r="B46" s="492" t="s">
        <v>141</v>
      </c>
      <c r="C46" s="739" t="s">
        <v>127</v>
      </c>
      <c r="D46" s="751"/>
      <c r="E46" s="182" t="s">
        <v>153</v>
      </c>
      <c r="F46" s="182"/>
      <c r="G46" s="182"/>
      <c r="H46" s="183" t="s">
        <v>70</v>
      </c>
      <c r="I46" s="114"/>
      <c r="J46" s="711"/>
      <c r="K46" s="97"/>
      <c r="L46" s="97"/>
      <c r="M46" s="224"/>
      <c r="N46" s="99"/>
      <c r="O46" s="886"/>
      <c r="P46" s="886"/>
      <c r="Q46" s="886"/>
      <c r="R46" s="886"/>
      <c r="S46" s="886"/>
      <c r="T46" s="886"/>
      <c r="U46" s="886"/>
      <c r="V46" s="886"/>
      <c r="W46" s="886"/>
      <c r="X46" s="768"/>
      <c r="Y46" s="224"/>
      <c r="Z46" s="236"/>
      <c r="AA46" s="886"/>
      <c r="AB46" s="886"/>
      <c r="AC46" s="886"/>
      <c r="AD46" s="886"/>
      <c r="AE46" s="886"/>
      <c r="AF46" s="886"/>
      <c r="AG46" s="886"/>
      <c r="AH46" s="886"/>
      <c r="AI46" s="886"/>
      <c r="AJ46" s="768"/>
      <c r="AK46" s="224"/>
      <c r="AL46" s="770"/>
      <c r="AM46" s="886"/>
      <c r="AN46" s="886"/>
      <c r="AO46" s="886"/>
      <c r="AP46" s="886"/>
      <c r="AQ46" s="886"/>
      <c r="AR46" s="886"/>
      <c r="AS46" s="886"/>
      <c r="AT46" s="886"/>
      <c r="AU46" s="886"/>
      <c r="AV46" s="768"/>
      <c r="AW46" s="224"/>
      <c r="AX46" s="770"/>
      <c r="AY46" s="886"/>
      <c r="AZ46" s="886"/>
      <c r="BA46" s="886"/>
      <c r="BB46" s="886"/>
      <c r="BC46" s="886"/>
      <c r="BD46" s="886"/>
      <c r="BE46" s="886"/>
      <c r="BF46" s="886"/>
      <c r="BG46" s="886"/>
      <c r="BH46" s="262"/>
    </row>
    <row r="47" spans="1:60" x14ac:dyDescent="0.2">
      <c r="A47" s="655"/>
      <c r="B47" s="492" t="s">
        <v>141</v>
      </c>
      <c r="C47" s="739" t="s">
        <v>127</v>
      </c>
      <c r="D47" s="751"/>
      <c r="E47" s="182" t="s">
        <v>155</v>
      </c>
      <c r="F47" s="182"/>
      <c r="G47" s="182"/>
      <c r="H47" s="183" t="s">
        <v>70</v>
      </c>
      <c r="I47" s="114"/>
      <c r="J47" s="711"/>
      <c r="K47" s="97"/>
      <c r="L47" s="97"/>
      <c r="M47" s="224"/>
      <c r="N47" s="99"/>
      <c r="O47" s="886" t="s">
        <v>156</v>
      </c>
      <c r="P47" s="886" t="s">
        <v>156</v>
      </c>
      <c r="Q47" s="886" t="s">
        <v>156</v>
      </c>
      <c r="R47" s="886" t="s">
        <v>156</v>
      </c>
      <c r="S47" s="886" t="s">
        <v>156</v>
      </c>
      <c r="T47" s="886" t="s">
        <v>156</v>
      </c>
      <c r="U47" s="886" t="s">
        <v>156</v>
      </c>
      <c r="V47" s="886" t="s">
        <v>156</v>
      </c>
      <c r="W47" s="886" t="s">
        <v>156</v>
      </c>
      <c r="X47" s="768"/>
      <c r="Y47" s="224"/>
      <c r="Z47" s="236"/>
      <c r="AA47" s="886" t="s">
        <v>156</v>
      </c>
      <c r="AB47" s="886" t="s">
        <v>156</v>
      </c>
      <c r="AC47" s="886" t="s">
        <v>156</v>
      </c>
      <c r="AD47" s="886" t="s">
        <v>156</v>
      </c>
      <c r="AE47" s="886" t="s">
        <v>156</v>
      </c>
      <c r="AF47" s="886" t="s">
        <v>156</v>
      </c>
      <c r="AG47" s="886" t="s">
        <v>156</v>
      </c>
      <c r="AH47" s="886" t="s">
        <v>156</v>
      </c>
      <c r="AI47" s="886" t="s">
        <v>156</v>
      </c>
      <c r="AJ47" s="768"/>
      <c r="AK47" s="224"/>
      <c r="AL47" s="770"/>
      <c r="AM47" s="886" t="s">
        <v>156</v>
      </c>
      <c r="AN47" s="886" t="s">
        <v>156</v>
      </c>
      <c r="AO47" s="886" t="s">
        <v>156</v>
      </c>
      <c r="AP47" s="886" t="s">
        <v>156</v>
      </c>
      <c r="AQ47" s="886" t="s">
        <v>156</v>
      </c>
      <c r="AR47" s="886" t="s">
        <v>156</v>
      </c>
      <c r="AS47" s="886" t="s">
        <v>156</v>
      </c>
      <c r="AT47" s="886" t="s">
        <v>156</v>
      </c>
      <c r="AU47" s="886" t="s">
        <v>156</v>
      </c>
      <c r="AV47" s="768"/>
      <c r="AW47" s="224"/>
      <c r="AX47" s="770"/>
      <c r="AY47" s="886" t="s">
        <v>156</v>
      </c>
      <c r="AZ47" s="886" t="s">
        <v>156</v>
      </c>
      <c r="BA47" s="886" t="s">
        <v>156</v>
      </c>
      <c r="BB47" s="886" t="s">
        <v>156</v>
      </c>
      <c r="BC47" s="886" t="s">
        <v>156</v>
      </c>
      <c r="BD47" s="886" t="s">
        <v>156</v>
      </c>
      <c r="BE47" s="886" t="s">
        <v>156</v>
      </c>
      <c r="BF47" s="886" t="s">
        <v>156</v>
      </c>
      <c r="BG47" s="886" t="s">
        <v>156</v>
      </c>
      <c r="BH47" s="262"/>
    </row>
    <row r="48" spans="1:60" x14ac:dyDescent="0.2">
      <c r="A48" s="655"/>
      <c r="B48" s="492" t="s">
        <v>141</v>
      </c>
      <c r="C48" s="739" t="s">
        <v>127</v>
      </c>
      <c r="D48" s="750" t="s">
        <v>50</v>
      </c>
      <c r="E48" s="182" t="s">
        <v>157</v>
      </c>
      <c r="F48" s="182"/>
      <c r="G48" s="182"/>
      <c r="H48" s="183" t="s">
        <v>150</v>
      </c>
      <c r="I48" s="210"/>
      <c r="J48" s="224"/>
      <c r="K48" s="90"/>
      <c r="L48" s="90"/>
      <c r="M48" s="224"/>
      <c r="N48" s="99"/>
      <c r="O48" s="887">
        <v>0</v>
      </c>
      <c r="P48" s="887">
        <v>0</v>
      </c>
      <c r="Q48" s="887">
        <v>0</v>
      </c>
      <c r="R48" s="887">
        <v>0</v>
      </c>
      <c r="S48" s="887">
        <v>0</v>
      </c>
      <c r="T48" s="887">
        <v>0</v>
      </c>
      <c r="U48" s="887">
        <v>0</v>
      </c>
      <c r="V48" s="887">
        <v>0</v>
      </c>
      <c r="W48" s="887">
        <v>0</v>
      </c>
      <c r="X48" s="767"/>
      <c r="Y48" s="224"/>
      <c r="Z48" s="236"/>
      <c r="AA48" s="887">
        <v>0</v>
      </c>
      <c r="AB48" s="887">
        <v>0</v>
      </c>
      <c r="AC48" s="887">
        <v>0</v>
      </c>
      <c r="AD48" s="887">
        <v>0</v>
      </c>
      <c r="AE48" s="887">
        <v>0</v>
      </c>
      <c r="AF48" s="887">
        <v>0</v>
      </c>
      <c r="AG48" s="887">
        <v>0</v>
      </c>
      <c r="AH48" s="887">
        <v>0</v>
      </c>
      <c r="AI48" s="887">
        <v>0</v>
      </c>
      <c r="AJ48" s="767"/>
      <c r="AK48" s="224"/>
      <c r="AL48" s="771"/>
      <c r="AM48" s="887">
        <v>0</v>
      </c>
      <c r="AN48" s="887">
        <v>0</v>
      </c>
      <c r="AO48" s="887">
        <v>0</v>
      </c>
      <c r="AP48" s="887">
        <v>0</v>
      </c>
      <c r="AQ48" s="887">
        <v>0</v>
      </c>
      <c r="AR48" s="887">
        <v>0</v>
      </c>
      <c r="AS48" s="887">
        <v>0</v>
      </c>
      <c r="AT48" s="887">
        <v>0</v>
      </c>
      <c r="AU48" s="887">
        <v>0</v>
      </c>
      <c r="AV48" s="767"/>
      <c r="AW48" s="224"/>
      <c r="AX48" s="771"/>
      <c r="AY48" s="887">
        <v>0</v>
      </c>
      <c r="AZ48" s="887">
        <v>0</v>
      </c>
      <c r="BA48" s="887">
        <v>0</v>
      </c>
      <c r="BB48" s="887">
        <v>0</v>
      </c>
      <c r="BC48" s="887">
        <v>0</v>
      </c>
      <c r="BD48" s="887">
        <v>0</v>
      </c>
      <c r="BE48" s="887">
        <v>0</v>
      </c>
      <c r="BF48" s="887">
        <v>0</v>
      </c>
      <c r="BG48" s="887">
        <v>0</v>
      </c>
      <c r="BH48" s="261"/>
    </row>
    <row r="49" spans="1:60" ht="18.75" x14ac:dyDescent="0.2">
      <c r="A49" s="653"/>
      <c r="B49" s="492" t="s">
        <v>158</v>
      </c>
      <c r="C49" s="739" t="s">
        <v>104</v>
      </c>
      <c r="D49" s="749"/>
      <c r="E49" s="708" t="s">
        <v>159</v>
      </c>
      <c r="F49" s="167"/>
      <c r="G49" s="167"/>
      <c r="H49" s="89"/>
      <c r="I49" s="169"/>
      <c r="J49" s="170"/>
      <c r="K49" s="142"/>
      <c r="L49" s="142"/>
      <c r="M49" s="186"/>
      <c r="N49" s="186"/>
      <c r="O49" s="186"/>
      <c r="P49" s="186"/>
      <c r="Q49" s="186"/>
      <c r="R49" s="186"/>
      <c r="S49" s="186"/>
      <c r="T49" s="186"/>
      <c r="U49" s="186"/>
      <c r="V49" s="186"/>
      <c r="W49" s="186"/>
      <c r="X49" s="173"/>
      <c r="Y49" s="172"/>
      <c r="Z49" s="172"/>
      <c r="AA49" s="172"/>
      <c r="AB49" s="172"/>
      <c r="AC49" s="172"/>
      <c r="AD49" s="172"/>
      <c r="AE49" s="172"/>
      <c r="AF49" s="172"/>
      <c r="AG49" s="172"/>
      <c r="AH49" s="172"/>
      <c r="AI49" s="172"/>
      <c r="AJ49" s="173"/>
      <c r="AK49" s="172"/>
      <c r="AL49" s="172"/>
      <c r="AM49" s="172"/>
      <c r="AN49" s="172"/>
      <c r="AO49" s="172"/>
      <c r="AP49" s="172"/>
      <c r="AQ49" s="172"/>
      <c r="AR49" s="172"/>
      <c r="AS49" s="172"/>
      <c r="AT49" s="172"/>
      <c r="AU49" s="172"/>
      <c r="AV49" s="173"/>
      <c r="AW49" s="172"/>
      <c r="AX49" s="172"/>
      <c r="AY49" s="172"/>
      <c r="AZ49" s="172"/>
      <c r="BA49" s="172"/>
      <c r="BB49" s="172"/>
      <c r="BC49" s="172"/>
      <c r="BD49" s="172"/>
      <c r="BE49" s="172"/>
      <c r="BF49" s="172"/>
      <c r="BG49" s="172"/>
      <c r="BH49" s="263"/>
    </row>
    <row r="50" spans="1:60" x14ac:dyDescent="0.2">
      <c r="A50" s="655"/>
      <c r="B50" s="492" t="s">
        <v>141</v>
      </c>
      <c r="C50" s="739" t="s">
        <v>127</v>
      </c>
      <c r="D50" s="751"/>
      <c r="E50" s="182" t="s">
        <v>160</v>
      </c>
      <c r="F50" s="182"/>
      <c r="G50" s="182"/>
      <c r="H50" s="183" t="s">
        <v>70</v>
      </c>
      <c r="I50" s="116"/>
      <c r="J50" s="774" t="str">
        <f>IF(COUNTIF(N50:X50,"nee")&gt;0,"nee: locatie 1",
IF(COUNTIF(Z50:AJ50,"nee")&gt;0,"nee: locatie 2",
IF(COUNTIF(AL50:AV50,"nee")&gt;0,"nee: locatie 3",
IF(COUNTIF(AX50:BH50,"nee")&gt;0,"nee: locatie 4",
"OK"))))</f>
        <v>OK</v>
      </c>
      <c r="K50" s="818"/>
      <c r="L50" s="818"/>
      <c r="M50" s="224"/>
      <c r="N50" s="775"/>
      <c r="O50" s="776" t="str">
        <f>IF(OR(O$19="",O$24=0),"",IF(OR(O$40="",O$42="",AND(O$42&lt;&gt;bibliotheek!$E$51,O$43=""),O$44="",AND(O$21&lt;&gt;woning,O$21&lt;&gt;woongebouw,O$45=""),AND(O$21&lt;&gt;woning,O$21&lt;&gt;woongebouw,O$46=""),AND(OR(O$21=woning,O$21=woongebouw),O$47=""),O$48=""),"nee","ja"))</f>
        <v/>
      </c>
      <c r="P50" s="776" t="str">
        <f>IF(OR(P$19="",P$24=0),"",IF(OR(P$40="",P$42="",AND(P$42&lt;&gt;bibliotheek!$E$51,P$43=""),P$44="",AND(P$21&lt;&gt;woning,P$21&lt;&gt;woongebouw,P$45=""),AND(P$21&lt;&gt;woning,P$21&lt;&gt;woongebouw,P$46=""),AND(OR(P$21=woning,P$21=woongebouw),P$47=""),P$48=""),"nee","ja"))</f>
        <v/>
      </c>
      <c r="Q50" s="776" t="str">
        <f>IF(OR(Q$19="",Q$24=0),"",IF(OR(Q$40="",Q$42="",AND(Q$42&lt;&gt;bibliotheek!$E$51,Q$43=""),Q$44="",AND(Q$21&lt;&gt;woning,Q$21&lt;&gt;woongebouw,Q$45=""),AND(Q$21&lt;&gt;woning,Q$21&lt;&gt;woongebouw,Q$46=""),AND(OR(Q$21=woning,Q$21=woongebouw),Q$47=""),Q$48=""),"nee","ja"))</f>
        <v/>
      </c>
      <c r="R50" s="776" t="str">
        <f>IF(OR(R$19="",R$24=0),"",IF(OR(R$40="",R$42="",AND(R$42&lt;&gt;bibliotheek!$E$51,R$43=""),R$44="",AND(R$21&lt;&gt;woning,R$21&lt;&gt;woongebouw,R$45=""),AND(R$21&lt;&gt;woning,R$21&lt;&gt;woongebouw,R$46=""),AND(OR(R$21=woning,R$21=woongebouw),R$47=""),R$48=""),"nee","ja"))</f>
        <v/>
      </c>
      <c r="S50" s="776" t="str">
        <f>IF(OR(S$19="",S$24=0),"",IF(OR(S$40="",S$42="",AND(S$42&lt;&gt;bibliotheek!$E$51,S$43=""),S$44="",AND(S$21&lt;&gt;woning,S$21&lt;&gt;woongebouw,S$45=""),AND(S$21&lt;&gt;woning,S$21&lt;&gt;woongebouw,S$46=""),AND(OR(S$21=woning,S$21=woongebouw),S$47=""),S$48=""),"nee","ja"))</f>
        <v/>
      </c>
      <c r="T50" s="776" t="str">
        <f>IF(OR(T$19="",T$24=0),"",IF(OR(T$40="",T$42="",AND(T$42&lt;&gt;bibliotheek!$E$51,T$43=""),T$44="",AND(T$21&lt;&gt;woning,T$21&lt;&gt;woongebouw,T$45=""),AND(T$21&lt;&gt;woning,T$21&lt;&gt;woongebouw,T$46=""),AND(OR(T$21=woning,T$21=woongebouw),T$47=""),T$48=""),"nee","ja"))</f>
        <v/>
      </c>
      <c r="U50" s="776" t="str">
        <f>IF(OR(U$19="",U$24=0),"",IF(OR(U$40="",U$42="",AND(U$42&lt;&gt;bibliotheek!$E$51,U$43=""),U$44="",AND(U$21&lt;&gt;woning,U$21&lt;&gt;woongebouw,U$45=""),AND(U$21&lt;&gt;woning,U$21&lt;&gt;woongebouw,U$46=""),AND(OR(U$21=woning,U$21=woongebouw),U$47=""),U$48=""),"nee","ja"))</f>
        <v/>
      </c>
      <c r="V50" s="776" t="str">
        <f>IF(OR(V$19="",V$24=0),"",IF(OR(V$40="",V$42="",AND(V$42&lt;&gt;bibliotheek!$E$51,V$43=""),V$44="",AND(V$21&lt;&gt;woning,V$21&lt;&gt;woongebouw,V$45=""),AND(V$21&lt;&gt;woning,V$21&lt;&gt;woongebouw,V$46=""),AND(OR(V$21=woning,V$21=woongebouw),V$47=""),V$48=""),"nee","ja"))</f>
        <v/>
      </c>
      <c r="W50" s="776" t="str">
        <f>IF(OR(W$19="",W$24=0),"",IF(OR(W$40="",W$42="",AND(W$42&lt;&gt;bibliotheek!$E$51,W$43=""),W$44="",AND(W$21&lt;&gt;woning,W$21&lt;&gt;woongebouw,W$45=""),AND(W$21&lt;&gt;woning,W$21&lt;&gt;woongebouw,W$46=""),AND(OR(W$21=woning,W$21=woongebouw),W$47=""),W$48=""),"nee","ja"))</f>
        <v/>
      </c>
      <c r="X50" s="777"/>
      <c r="Y50" s="224"/>
      <c r="Z50" s="236"/>
      <c r="AA50" s="776" t="str">
        <f>IF(OR(AA$19="",AA$24=0),"",IF(OR(AA$40="",AA$42="",AND(AA$42&lt;&gt;bibliotheek!$E$51,AA$43=""),AA$44="",AND(AA$21&lt;&gt;woning,AA$21&lt;&gt;woongebouw,AA$45=""),AND(AA$21&lt;&gt;woning,AA$21&lt;&gt;woongebouw,AA$46=""),AND(OR(AA$21=woning,AA$21=woongebouw),AA$47=""),AA$48=""),"nee","ja"))</f>
        <v/>
      </c>
      <c r="AB50" s="776" t="str">
        <f>IF(OR(AB$19="",AB$24=0),"",IF(OR(AB$40="",AB$42="",AND(AB$42&lt;&gt;bibliotheek!$E$51,AB$43=""),AB$44="",AND(AB$21&lt;&gt;woning,AB$21&lt;&gt;woongebouw,AB$45=""),AND(AB$21&lt;&gt;woning,AB$21&lt;&gt;woongebouw,AB$46=""),AND(OR(AB$21=woning,AB$21=woongebouw),AB$47=""),AB$48=""),"nee","ja"))</f>
        <v/>
      </c>
      <c r="AC50" s="776" t="str">
        <f>IF(OR(AC$19="",AC$24=0),"",IF(OR(AC$40="",AC$42="",AND(AC$42&lt;&gt;bibliotheek!$E$51,AC$43=""),AC$44="",AND(AC$21&lt;&gt;woning,AC$21&lt;&gt;woongebouw,AC$45=""),AND(AC$21&lt;&gt;woning,AC$21&lt;&gt;woongebouw,AC$46=""),AND(OR(AC$21=woning,AC$21=woongebouw),AC$47=""),AC$48=""),"nee","ja"))</f>
        <v/>
      </c>
      <c r="AD50" s="776" t="str">
        <f>IF(OR(AD$19="",AD$24=0),"",IF(OR(AD$40="",AD$42="",AND(AD$42&lt;&gt;bibliotheek!$E$51,AD$43=""),AD$44="",AND(AD$21&lt;&gt;woning,AD$21&lt;&gt;woongebouw,AD$45=""),AND(AD$21&lt;&gt;woning,AD$21&lt;&gt;woongebouw,AD$46=""),AND(OR(AD$21=woning,AD$21=woongebouw),AD$47=""),AD$48=""),"nee","ja"))</f>
        <v/>
      </c>
      <c r="AE50" s="776" t="str">
        <f>IF(OR(AE$19="",AE$24=0),"",IF(OR(AE$40="",AE$42="",AND(AE$42&lt;&gt;bibliotheek!$E$51,AE$43=""),AE$44="",AND(AE$21&lt;&gt;woning,AE$21&lt;&gt;woongebouw,AE$45=""),AND(AE$21&lt;&gt;woning,AE$21&lt;&gt;woongebouw,AE$46=""),AND(OR(AE$21=woning,AE$21=woongebouw),AE$47=""),AE$48=""),"nee","ja"))</f>
        <v/>
      </c>
      <c r="AF50" s="776" t="str">
        <f>IF(OR(AF$19="",AF$24=0),"",IF(OR(AF$40="",AF$42="",AND(AF$42&lt;&gt;bibliotheek!$E$51,AF$43=""),AF$44="",AND(AF$21&lt;&gt;woning,AF$21&lt;&gt;woongebouw,AF$45=""),AND(AF$21&lt;&gt;woning,AF$21&lt;&gt;woongebouw,AF$46=""),AND(OR(AF$21=woning,AF$21=woongebouw),AF$47=""),AF$48=""),"nee","ja"))</f>
        <v/>
      </c>
      <c r="AG50" s="776" t="str">
        <f>IF(OR(AG$19="",AG$24=0),"",IF(OR(AG$40="",AG$42="",AND(AG$42&lt;&gt;bibliotheek!$E$51,AG$43=""),AG$44="",AND(AG$21&lt;&gt;woning,AG$21&lt;&gt;woongebouw,AG$45=""),AND(AG$21&lt;&gt;woning,AG$21&lt;&gt;woongebouw,AG$46=""),AND(OR(AG$21=woning,AG$21=woongebouw),AG$47=""),AG$48=""),"nee","ja"))</f>
        <v/>
      </c>
      <c r="AH50" s="776" t="str">
        <f>IF(OR(AH$19="",AH$24=0),"",IF(OR(AH$40="",AH$42="",AND(AH$42&lt;&gt;bibliotheek!$E$51,AH$43=""),AH$44="",AND(AH$21&lt;&gt;woning,AH$21&lt;&gt;woongebouw,AH$45=""),AND(AH$21&lt;&gt;woning,AH$21&lt;&gt;woongebouw,AH$46=""),AND(OR(AH$21=woning,AH$21=woongebouw),AH$47=""),AH$48=""),"nee","ja"))</f>
        <v/>
      </c>
      <c r="AI50" s="776" t="str">
        <f>IF(OR(AI$19="",AI$24=0),"",IF(OR(AI$40="",AI$42="",AND(AI$42&lt;&gt;bibliotheek!$E$51,AI$43=""),AI$44="",AND(AI$21&lt;&gt;woning,AI$21&lt;&gt;woongebouw,AI$45=""),AND(AI$21&lt;&gt;woning,AI$21&lt;&gt;woongebouw,AI$46=""),AND(OR(AI$21=woning,AI$21=woongebouw),AI$47=""),AI$48=""),"nee","ja"))</f>
        <v/>
      </c>
      <c r="AJ50" s="777"/>
      <c r="AK50" s="224"/>
      <c r="AL50" s="778"/>
      <c r="AM50" s="776" t="str">
        <f>IF(OR(AM$19="",AM$24=0),"",IF(OR(AM$40="",AM$42="",AND(AM$42&lt;&gt;bibliotheek!$E$51,AM$43=""),AM$44="",AND(AM$21&lt;&gt;woning,AM$21&lt;&gt;woongebouw,AM$45=""),AND(AM$21&lt;&gt;woning,AM$21&lt;&gt;woongebouw,AM$46=""),AND(OR(AM$21=woning,AM$21=woongebouw),AM$47=""),AM$48=""),"nee","ja"))</f>
        <v/>
      </c>
      <c r="AN50" s="776" t="str">
        <f>IF(OR(AN$19="",AN$24=0),"",IF(OR(AN$40="",AN$42="",AND(AN$42&lt;&gt;bibliotheek!$E$51,AN$43=""),AN$44="",AND(AN$21&lt;&gt;woning,AN$21&lt;&gt;woongebouw,AN$45=""),AND(AN$21&lt;&gt;woning,AN$21&lt;&gt;woongebouw,AN$46=""),AND(OR(AN$21=woning,AN$21=woongebouw),AN$47=""),AN$48=""),"nee","ja"))</f>
        <v/>
      </c>
      <c r="AO50" s="776" t="str">
        <f>IF(OR(AO$19="",AO$24=0),"",IF(OR(AO$40="",AO$42="",AND(AO$42&lt;&gt;bibliotheek!$E$51,AO$43=""),AO$44="",AND(AO$21&lt;&gt;woning,AO$21&lt;&gt;woongebouw,AO$45=""),AND(AO$21&lt;&gt;woning,AO$21&lt;&gt;woongebouw,AO$46=""),AND(OR(AO$21=woning,AO$21=woongebouw),AO$47=""),AO$48=""),"nee","ja"))</f>
        <v/>
      </c>
      <c r="AP50" s="776" t="str">
        <f>IF(OR(AP$19="",AP$24=0),"",IF(OR(AP$40="",AP$42="",AND(AP$42&lt;&gt;bibliotheek!$E$51,AP$43=""),AP$44="",AND(AP$21&lt;&gt;woning,AP$21&lt;&gt;woongebouw,AP$45=""),AND(AP$21&lt;&gt;woning,AP$21&lt;&gt;woongebouw,AP$46=""),AND(OR(AP$21=woning,AP$21=woongebouw),AP$47=""),AP$48=""),"nee","ja"))</f>
        <v/>
      </c>
      <c r="AQ50" s="776" t="str">
        <f>IF(OR(AQ$19="",AQ$24=0),"",IF(OR(AQ$40="",AQ$42="",AND(AQ$42&lt;&gt;bibliotheek!$E$51,AQ$43=""),AQ$44="",AND(AQ$21&lt;&gt;woning,AQ$21&lt;&gt;woongebouw,AQ$45=""),AND(AQ$21&lt;&gt;woning,AQ$21&lt;&gt;woongebouw,AQ$46=""),AND(OR(AQ$21=woning,AQ$21=woongebouw),AQ$47=""),AQ$48=""),"nee","ja"))</f>
        <v/>
      </c>
      <c r="AR50" s="776" t="str">
        <f>IF(OR(AR$19="",AR$24=0),"",IF(OR(AR$40="",AR$42="",AND(AR$42&lt;&gt;bibliotheek!$E$51,AR$43=""),AR$44="",AND(AR$21&lt;&gt;woning,AR$21&lt;&gt;woongebouw,AR$45=""),AND(AR$21&lt;&gt;woning,AR$21&lt;&gt;woongebouw,AR$46=""),AND(OR(AR$21=woning,AR$21=woongebouw),AR$47=""),AR$48=""),"nee","ja"))</f>
        <v/>
      </c>
      <c r="AS50" s="776" t="str">
        <f>IF(OR(AS$19="",AS$24=0),"",IF(OR(AS$40="",AS$42="",AND(AS$42&lt;&gt;bibliotheek!$E$51,AS$43=""),AS$44="",AND(AS$21&lt;&gt;woning,AS$21&lt;&gt;woongebouw,AS$45=""),AND(AS$21&lt;&gt;woning,AS$21&lt;&gt;woongebouw,AS$46=""),AND(OR(AS$21=woning,AS$21=woongebouw),AS$47=""),AS$48=""),"nee","ja"))</f>
        <v/>
      </c>
      <c r="AT50" s="776" t="str">
        <f>IF(OR(AT$19="",AT$24=0),"",IF(OR(AT$40="",AT$42="",AND(AT$42&lt;&gt;bibliotheek!$E$51,AT$43=""),AT$44="",AND(AT$21&lt;&gt;woning,AT$21&lt;&gt;woongebouw,AT$45=""),AND(AT$21&lt;&gt;woning,AT$21&lt;&gt;woongebouw,AT$46=""),AND(OR(AT$21=woning,AT$21=woongebouw),AT$47=""),AT$48=""),"nee","ja"))</f>
        <v/>
      </c>
      <c r="AU50" s="776" t="str">
        <f>IF(OR(AU$19="",AU$24=0),"",IF(OR(AU$40="",AU$42="",AND(AU$42&lt;&gt;bibliotheek!$E$51,AU$43=""),AU$44="",AND(AU$21&lt;&gt;woning,AU$21&lt;&gt;woongebouw,AU$45=""),AND(AU$21&lt;&gt;woning,AU$21&lt;&gt;woongebouw,AU$46=""),AND(OR(AU$21=woning,AU$21=woongebouw),AU$47=""),AU$48=""),"nee","ja"))</f>
        <v/>
      </c>
      <c r="AV50" s="777"/>
      <c r="AW50" s="224"/>
      <c r="AX50" s="778"/>
      <c r="AY50" s="776" t="str">
        <f>IF(OR(AY$19="",AY$24=0),"",IF(OR(AY$40="",AY$42="",AND(AY$42&lt;&gt;bibliotheek!$E$51,AY$43=""),AY$44="",AND(AY$21&lt;&gt;woning,AY$21&lt;&gt;woongebouw,AY$45=""),AND(AY$21&lt;&gt;woning,AY$21&lt;&gt;woongebouw,AY$46=""),AND(OR(AY$21=woning,AY$21=woongebouw),AY$47=""),AY$48=""),"nee","ja"))</f>
        <v/>
      </c>
      <c r="AZ50" s="776" t="str">
        <f>IF(OR(AZ$19="",AZ$24=0),"",IF(OR(AZ$40="",AZ$42="",AND(AZ$42&lt;&gt;bibliotheek!$E$51,AZ$43=""),AZ$44="",AND(AZ$21&lt;&gt;woning,AZ$21&lt;&gt;woongebouw,AZ$45=""),AND(AZ$21&lt;&gt;woning,AZ$21&lt;&gt;woongebouw,AZ$46=""),AND(OR(AZ$21=woning,AZ$21=woongebouw),AZ$47=""),AZ$48=""),"nee","ja"))</f>
        <v/>
      </c>
      <c r="BA50" s="776" t="str">
        <f>IF(OR(BA$19="",BA$24=0),"",IF(OR(BA$40="",BA$42="",AND(BA$42&lt;&gt;bibliotheek!$E$51,BA$43=""),BA$44="",AND(BA$21&lt;&gt;woning,BA$21&lt;&gt;woongebouw,BA$45=""),AND(BA$21&lt;&gt;woning,BA$21&lt;&gt;woongebouw,BA$46=""),AND(OR(BA$21=woning,BA$21=woongebouw),BA$47=""),BA$48=""),"nee","ja"))</f>
        <v/>
      </c>
      <c r="BB50" s="776" t="str">
        <f>IF(OR(BB$19="",BB$24=0),"",IF(OR(BB$40="",BB$42="",AND(BB$42&lt;&gt;bibliotheek!$E$51,BB$43=""),BB$44="",AND(BB$21&lt;&gt;woning,BB$21&lt;&gt;woongebouw,BB$45=""),AND(BB$21&lt;&gt;woning,BB$21&lt;&gt;woongebouw,BB$46=""),AND(OR(BB$21=woning,BB$21=woongebouw),BB$47=""),BB$48=""),"nee","ja"))</f>
        <v/>
      </c>
      <c r="BC50" s="776" t="str">
        <f>IF(OR(BC$19="",BC$24=0),"",IF(OR(BC$40="",BC$42="",AND(BC$42&lt;&gt;bibliotheek!$E$51,BC$43=""),BC$44="",AND(BC$21&lt;&gt;woning,BC$21&lt;&gt;woongebouw,BC$45=""),AND(BC$21&lt;&gt;woning,BC$21&lt;&gt;woongebouw,BC$46=""),AND(OR(BC$21=woning,BC$21=woongebouw),BC$47=""),BC$48=""),"nee","ja"))</f>
        <v/>
      </c>
      <c r="BD50" s="776" t="str">
        <f>IF(OR(BD$19="",BD$24=0),"",IF(OR(BD$40="",BD$42="",AND(BD$42&lt;&gt;bibliotheek!$E$51,BD$43=""),BD$44="",AND(BD$21&lt;&gt;woning,BD$21&lt;&gt;woongebouw,BD$45=""),AND(BD$21&lt;&gt;woning,BD$21&lt;&gt;woongebouw,BD$46=""),AND(OR(BD$21=woning,BD$21=woongebouw),BD$47=""),BD$48=""),"nee","ja"))</f>
        <v/>
      </c>
      <c r="BE50" s="776" t="str">
        <f>IF(OR(BE$19="",BE$24=0),"",IF(OR(BE$40="",BE$42="",AND(BE$42&lt;&gt;bibliotheek!$E$51,BE$43=""),BE$44="",AND(BE$21&lt;&gt;woning,BE$21&lt;&gt;woongebouw,BE$45=""),AND(BE$21&lt;&gt;woning,BE$21&lt;&gt;woongebouw,BE$46=""),AND(OR(BE$21=woning,BE$21=woongebouw),BE$47=""),BE$48=""),"nee","ja"))</f>
        <v/>
      </c>
      <c r="BF50" s="776" t="str">
        <f>IF(OR(BF$19="",BF$24=0),"",IF(OR(BF$40="",BF$42="",AND(BF$42&lt;&gt;bibliotheek!$E$51,BF$43=""),BF$44="",AND(BF$21&lt;&gt;woning,BF$21&lt;&gt;woongebouw,BF$45=""),AND(BF$21&lt;&gt;woning,BF$21&lt;&gt;woongebouw,BF$46=""),AND(OR(BF$21=woning,BF$21=woongebouw),BF$47=""),BF$48=""),"nee","ja"))</f>
        <v/>
      </c>
      <c r="BG50" s="776" t="str">
        <f>IF(OR(BG$19="",BG$24=0),"",IF(OR(BG$40="",BG$42="",AND(BG$42&lt;&gt;bibliotheek!$E$51,BG$43=""),BG$44="",AND(BG$21&lt;&gt;woning,BG$21&lt;&gt;woongebouw,BG$45=""),AND(BG$21&lt;&gt;woning,BG$21&lt;&gt;woongebouw,BG$46=""),AND(OR(BG$21=woning,BG$21=woongebouw),BG$47=""),BG$48=""),"nee","ja"))</f>
        <v/>
      </c>
      <c r="BH50" s="261"/>
    </row>
    <row r="51" spans="1:60" ht="18.75" x14ac:dyDescent="0.2">
      <c r="A51" s="653"/>
      <c r="B51" s="492" t="s">
        <v>158</v>
      </c>
      <c r="C51" s="739" t="s">
        <v>104</v>
      </c>
      <c r="D51" s="749"/>
      <c r="E51" s="708" t="s">
        <v>161</v>
      </c>
      <c r="F51" s="167"/>
      <c r="G51" s="167"/>
      <c r="H51" s="89"/>
      <c r="I51" s="169"/>
      <c r="J51" s="170"/>
      <c r="K51" s="142"/>
      <c r="L51" s="142"/>
      <c r="M51" s="186"/>
      <c r="N51" s="186"/>
      <c r="O51" s="186"/>
      <c r="P51" s="186"/>
      <c r="Q51" s="186"/>
      <c r="R51" s="186"/>
      <c r="S51" s="186"/>
      <c r="T51" s="186"/>
      <c r="U51" s="186"/>
      <c r="V51" s="186"/>
      <c r="W51" s="186"/>
      <c r="X51" s="186"/>
      <c r="Y51" s="172"/>
      <c r="Z51" s="172"/>
      <c r="AA51" s="172"/>
      <c r="AB51" s="172"/>
      <c r="AC51" s="172"/>
      <c r="AD51" s="172"/>
      <c r="AE51" s="172"/>
      <c r="AF51" s="172"/>
      <c r="AG51" s="172"/>
      <c r="AH51" s="172"/>
      <c r="AI51" s="172"/>
      <c r="AJ51" s="173"/>
      <c r="AK51" s="172"/>
      <c r="AL51" s="172"/>
      <c r="AM51" s="172"/>
      <c r="AN51" s="172"/>
      <c r="AO51" s="172"/>
      <c r="AP51" s="172"/>
      <c r="AQ51" s="172"/>
      <c r="AR51" s="172"/>
      <c r="AS51" s="172"/>
      <c r="AT51" s="172"/>
      <c r="AU51" s="172"/>
      <c r="AV51" s="173"/>
      <c r="AW51" s="172"/>
      <c r="AX51" s="172"/>
      <c r="AY51" s="172"/>
      <c r="AZ51" s="172"/>
      <c r="BA51" s="172"/>
      <c r="BB51" s="172"/>
      <c r="BC51" s="172"/>
      <c r="BD51" s="172"/>
      <c r="BE51" s="172"/>
      <c r="BF51" s="172"/>
      <c r="BG51" s="172"/>
      <c r="BH51" s="263"/>
    </row>
    <row r="52" spans="1:60" x14ac:dyDescent="0.2">
      <c r="A52" s="655"/>
      <c r="B52" s="492" t="s">
        <v>141</v>
      </c>
      <c r="C52" s="739" t="s">
        <v>127</v>
      </c>
      <c r="D52" s="751"/>
      <c r="E52" s="182" t="s">
        <v>162</v>
      </c>
      <c r="F52" s="182"/>
      <c r="G52" s="182"/>
      <c r="H52" s="183" t="s">
        <v>163</v>
      </c>
      <c r="I52" s="116"/>
      <c r="J52" s="224"/>
      <c r="K52" s="819"/>
      <c r="L52" s="819"/>
      <c r="M52" s="224"/>
      <c r="N52" s="99"/>
      <c r="O52" s="1052" t="str">
        <f ca="1">IF(OR(O$19="",O$40=""),"",
SUMPRODUCT(
OFFSET(bibliotheek!$H$19,0,MATCH(O$19,woningen_gebouwen_namen,0)-1,ROWS(bibliotheek!$I$19:$I$24),1),
OFFSET(bibliotheek!$H$40,0,MATCH(O$40,isolatiepakketten_gebouwschil_namen,0)-1,ROWS(bibliotheek!$I$19:$I$24),1)) /
HLOOKUP(O$19,woningen_gebouwen_gegevens,ROWS(bibliotheek!$E$13:$E$25),FALSE))</f>
        <v/>
      </c>
      <c r="P52" s="1052" t="str">
        <f ca="1">IF(OR(P$19="",P$40=""),"",
SUMPRODUCT(
OFFSET(bibliotheek!$H$19,0,MATCH(P$19,woningen_gebouwen_namen,0)-1,ROWS(bibliotheek!$I$19:$I$24),1),
OFFSET(bibliotheek!$H$40,0,MATCH(P$40,isolatiepakketten_gebouwschil_namen,0)-1,ROWS(bibliotheek!$I$19:$I$24),1)) /
HLOOKUP(P$19,woningen_gebouwen_gegevens,ROWS(bibliotheek!$E$13:$E$25),FALSE))</f>
        <v/>
      </c>
      <c r="Q52" s="1052" t="str">
        <f ca="1">IF(OR(Q$19="",Q$40=""),"",
SUMPRODUCT(
OFFSET(bibliotheek!$H$19,0,MATCH(Q$19,woningen_gebouwen_namen,0)-1,ROWS(bibliotheek!$I$19:$I$24),1),
OFFSET(bibliotheek!$H$40,0,MATCH(Q$40,isolatiepakketten_gebouwschil_namen,0)-1,ROWS(bibliotheek!$I$19:$I$24),1)) /
HLOOKUP(Q$19,woningen_gebouwen_gegevens,ROWS(bibliotheek!$E$13:$E$25),FALSE))</f>
        <v/>
      </c>
      <c r="R52" s="1052" t="str">
        <f ca="1">IF(OR(R$19="",R$40=""),"",
SUMPRODUCT(
OFFSET(bibliotheek!$H$19,0,MATCH(R$19,woningen_gebouwen_namen,0)-1,ROWS(bibliotheek!$I$19:$I$24),1),
OFFSET(bibliotheek!$H$40,0,MATCH(R$40,isolatiepakketten_gebouwschil_namen,0)-1,ROWS(bibliotheek!$I$19:$I$24),1)) /
HLOOKUP(R$19,woningen_gebouwen_gegevens,ROWS(bibliotheek!$E$13:$E$25),FALSE))</f>
        <v/>
      </c>
      <c r="S52" s="1052" t="str">
        <f ca="1">IF(OR(S$19="",S$40=""),"",
SUMPRODUCT(
OFFSET(bibliotheek!$H$19,0,MATCH(S$19,woningen_gebouwen_namen,0)-1,ROWS(bibliotheek!$I$19:$I$24),1),
OFFSET(bibliotheek!$H$40,0,MATCH(S$40,isolatiepakketten_gebouwschil_namen,0)-1,ROWS(bibliotheek!$I$19:$I$24),1)) /
HLOOKUP(S$19,woningen_gebouwen_gegevens,ROWS(bibliotheek!$E$13:$E$25),FALSE))</f>
        <v/>
      </c>
      <c r="T52" s="1052" t="str">
        <f ca="1">IF(OR(T$19="",T$40=""),"",
SUMPRODUCT(
OFFSET(bibliotheek!$H$19,0,MATCH(T$19,woningen_gebouwen_namen,0)-1,ROWS(bibliotheek!$I$19:$I$24),1),
OFFSET(bibliotheek!$H$40,0,MATCH(T$40,isolatiepakketten_gebouwschil_namen,0)-1,ROWS(bibliotheek!$I$19:$I$24),1)) /
HLOOKUP(T$19,woningen_gebouwen_gegevens,ROWS(bibliotheek!$E$13:$E$25),FALSE))</f>
        <v/>
      </c>
      <c r="U52" s="1052" t="str">
        <f ca="1">IF(OR(U$19="",U$40=""),"",
SUMPRODUCT(
OFFSET(bibliotheek!$H$19,0,MATCH(U$19,woningen_gebouwen_namen,0)-1,ROWS(bibliotheek!$I$19:$I$24),1),
OFFSET(bibliotheek!$H$40,0,MATCH(U$40,isolatiepakketten_gebouwschil_namen,0)-1,ROWS(bibliotheek!$I$19:$I$24),1)) /
HLOOKUP(U$19,woningen_gebouwen_gegevens,ROWS(bibliotheek!$E$13:$E$25),FALSE))</f>
        <v/>
      </c>
      <c r="V52" s="1052" t="str">
        <f ca="1">IF(OR(V$19="",V$40=""),"",
SUMPRODUCT(
OFFSET(bibliotheek!$H$19,0,MATCH(V$19,woningen_gebouwen_namen,0)-1,ROWS(bibliotheek!$I$19:$I$24),1),
OFFSET(bibliotheek!$H$40,0,MATCH(V$40,isolatiepakketten_gebouwschil_namen,0)-1,ROWS(bibliotheek!$I$19:$I$24),1)) /
HLOOKUP(V$19,woningen_gebouwen_gegevens,ROWS(bibliotheek!$E$13:$E$25),FALSE))</f>
        <v/>
      </c>
      <c r="W52" s="1052" t="str">
        <f ca="1">IF(OR(W$19="",W$40=""),"",
SUMPRODUCT(
OFFSET(bibliotheek!$H$19,0,MATCH(W$19,woningen_gebouwen_namen,0)-1,ROWS(bibliotheek!$I$19:$I$24),1),
OFFSET(bibliotheek!$H$40,0,MATCH(W$40,isolatiepakketten_gebouwschil_namen,0)-1,ROWS(bibliotheek!$I$19:$I$24),1)) /
HLOOKUP(W$19,woningen_gebouwen_gegevens,ROWS(bibliotheek!$E$13:$E$25),FALSE))</f>
        <v/>
      </c>
      <c r="X52" s="211"/>
      <c r="Y52" s="224"/>
      <c r="Z52" s="236"/>
      <c r="AA52" s="237" t="str">
        <f ca="1">IF(OR(AA$19="",AA$40=""),"",
SUMPRODUCT(
OFFSET(bibliotheek!$H$19,0,MATCH(AA$19,woningen_gebouwen_namen,0)-1,ROWS(bibliotheek!$I$19:$I$24),1),
OFFSET(bibliotheek!$H$40,0,MATCH(AA$40,isolatiepakketten_gebouwschil_namen,0)-1,ROWS(bibliotheek!$I$19:$I$24),1)) /
HLOOKUP(AA$19,woningen_gebouwen_gegevens,ROWS(bibliotheek!$E$13:$E$25),FALSE))</f>
        <v/>
      </c>
      <c r="AB52" s="237" t="str">
        <f ca="1">IF(OR(AB$19="",AB$40=""),"",
SUMPRODUCT(
OFFSET(bibliotheek!$H$19,0,MATCH(AB$19,woningen_gebouwen_namen,0)-1,ROWS(bibliotheek!$I$19:$I$24),1),
OFFSET(bibliotheek!$H$40,0,MATCH(AB$40,isolatiepakketten_gebouwschil_namen,0)-1,ROWS(bibliotheek!$I$19:$I$24),1)) /
HLOOKUP(AB$19,woningen_gebouwen_gegevens,ROWS(bibliotheek!$E$13:$E$25),FALSE))</f>
        <v/>
      </c>
      <c r="AC52" s="237" t="str">
        <f ca="1">IF(OR(AC$19="",AC$40=""),"",
SUMPRODUCT(
OFFSET(bibliotheek!$H$19,0,MATCH(AC$19,woningen_gebouwen_namen,0)-1,ROWS(bibliotheek!$I$19:$I$24),1),
OFFSET(bibliotheek!$H$40,0,MATCH(AC$40,isolatiepakketten_gebouwschil_namen,0)-1,ROWS(bibliotheek!$I$19:$I$24),1)) /
HLOOKUP(AC$19,woningen_gebouwen_gegevens,ROWS(bibliotheek!$E$13:$E$25),FALSE))</f>
        <v/>
      </c>
      <c r="AD52" s="237" t="str">
        <f ca="1">IF(OR(AD$19="",AD$40=""),"",
SUMPRODUCT(
OFFSET(bibliotheek!$H$19,0,MATCH(AD$19,woningen_gebouwen_namen,0)-1,ROWS(bibliotheek!$I$19:$I$24),1),
OFFSET(bibliotheek!$H$40,0,MATCH(AD$40,isolatiepakketten_gebouwschil_namen,0)-1,ROWS(bibliotheek!$I$19:$I$24),1)) /
HLOOKUP(AD$19,woningen_gebouwen_gegevens,ROWS(bibliotheek!$E$13:$E$25),FALSE))</f>
        <v/>
      </c>
      <c r="AE52" s="237" t="str">
        <f ca="1">IF(OR(AE$19="",AE$40=""),"",
SUMPRODUCT(
OFFSET(bibliotheek!$H$19,0,MATCH(AE$19,woningen_gebouwen_namen,0)-1,ROWS(bibliotheek!$I$19:$I$24),1),
OFFSET(bibliotheek!$H$40,0,MATCH(AE$40,isolatiepakketten_gebouwschil_namen,0)-1,ROWS(bibliotheek!$I$19:$I$24),1)) /
HLOOKUP(AE$19,woningen_gebouwen_gegevens,ROWS(bibliotheek!$E$13:$E$25),FALSE))</f>
        <v/>
      </c>
      <c r="AF52" s="237" t="str">
        <f ca="1">IF(OR(AF$19="",AF$40=""),"",
SUMPRODUCT(
OFFSET(bibliotheek!$H$19,0,MATCH(AF$19,woningen_gebouwen_namen,0)-1,ROWS(bibliotheek!$I$19:$I$24),1),
OFFSET(bibliotheek!$H$40,0,MATCH(AF$40,isolatiepakketten_gebouwschil_namen,0)-1,ROWS(bibliotheek!$I$19:$I$24),1)) /
HLOOKUP(AF$19,woningen_gebouwen_gegevens,ROWS(bibliotheek!$E$13:$E$25),FALSE))</f>
        <v/>
      </c>
      <c r="AG52" s="237" t="str">
        <f ca="1">IF(OR(AG$19="",AG$40=""),"",
SUMPRODUCT(
OFFSET(bibliotheek!$H$19,0,MATCH(AG$19,woningen_gebouwen_namen,0)-1,ROWS(bibliotheek!$I$19:$I$24),1),
OFFSET(bibliotheek!$H$40,0,MATCH(AG$40,isolatiepakketten_gebouwschil_namen,0)-1,ROWS(bibliotheek!$I$19:$I$24),1)) /
HLOOKUP(AG$19,woningen_gebouwen_gegevens,ROWS(bibliotheek!$E$13:$E$25),FALSE))</f>
        <v/>
      </c>
      <c r="AH52" s="237" t="str">
        <f ca="1">IF(OR(AH$19="",AH$40=""),"",
SUMPRODUCT(
OFFSET(bibliotheek!$H$19,0,MATCH(AH$19,woningen_gebouwen_namen,0)-1,ROWS(bibliotheek!$I$19:$I$24),1),
OFFSET(bibliotheek!$H$40,0,MATCH(AH$40,isolatiepakketten_gebouwschil_namen,0)-1,ROWS(bibliotheek!$I$19:$I$24),1)) /
HLOOKUP(AH$19,woningen_gebouwen_gegevens,ROWS(bibliotheek!$E$13:$E$25),FALSE))</f>
        <v/>
      </c>
      <c r="AI52" s="237" t="str">
        <f ca="1">IF(OR(AI$19="",AI$40=""),"",
SUMPRODUCT(
OFFSET(bibliotheek!$H$19,0,MATCH(AI$19,woningen_gebouwen_namen,0)-1,ROWS(bibliotheek!$I$19:$I$24),1),
OFFSET(bibliotheek!$H$40,0,MATCH(AI$40,isolatiepakketten_gebouwschil_namen,0)-1,ROWS(bibliotheek!$I$19:$I$24),1)) /
HLOOKUP(AI$19,woningen_gebouwen_gegevens,ROWS(bibliotheek!$E$13:$E$25),FALSE))</f>
        <v/>
      </c>
      <c r="AJ52" s="211"/>
      <c r="AK52" s="224"/>
      <c r="AL52" s="212"/>
      <c r="AM52" s="237" t="str">
        <f ca="1">IF(OR(AM$19="",AM$40=""),"",
SUMPRODUCT(
OFFSET(bibliotheek!$H$19,0,MATCH(AM$19,woningen_gebouwen_namen,0)-1,ROWS(bibliotheek!$I$19:$I$24),1),
OFFSET(bibliotheek!$H$40,0,MATCH(AM$40,isolatiepakketten_gebouwschil_namen,0)-1,ROWS(bibliotheek!$I$19:$I$24),1)) /
HLOOKUP(AM$19,woningen_gebouwen_gegevens,ROWS(bibliotheek!$E$13:$E$25),FALSE))</f>
        <v/>
      </c>
      <c r="AN52" s="237" t="str">
        <f ca="1">IF(OR(AN$19="",AN$40=""),"",
SUMPRODUCT(
OFFSET(bibliotheek!$H$19,0,MATCH(AN$19,woningen_gebouwen_namen,0)-1,ROWS(bibliotheek!$I$19:$I$24),1),
OFFSET(bibliotheek!$H$40,0,MATCH(AN$40,isolatiepakketten_gebouwschil_namen,0)-1,ROWS(bibliotheek!$I$19:$I$24),1)) /
HLOOKUP(AN$19,woningen_gebouwen_gegevens,ROWS(bibliotheek!$E$13:$E$25),FALSE))</f>
        <v/>
      </c>
      <c r="AO52" s="237" t="str">
        <f ca="1">IF(OR(AO$19="",AO$40=""),"",
SUMPRODUCT(
OFFSET(bibliotheek!$H$19,0,MATCH(AO$19,woningen_gebouwen_namen,0)-1,ROWS(bibliotheek!$I$19:$I$24),1),
OFFSET(bibliotheek!$H$40,0,MATCH(AO$40,isolatiepakketten_gebouwschil_namen,0)-1,ROWS(bibliotheek!$I$19:$I$24),1)) /
HLOOKUP(AO$19,woningen_gebouwen_gegevens,ROWS(bibliotheek!$E$13:$E$25),FALSE))</f>
        <v/>
      </c>
      <c r="AP52" s="237" t="str">
        <f ca="1">IF(OR(AP$19="",AP$40=""),"",
SUMPRODUCT(
OFFSET(bibliotheek!$H$19,0,MATCH(AP$19,woningen_gebouwen_namen,0)-1,ROWS(bibliotheek!$I$19:$I$24),1),
OFFSET(bibliotheek!$H$40,0,MATCH(AP$40,isolatiepakketten_gebouwschil_namen,0)-1,ROWS(bibliotheek!$I$19:$I$24),1)) /
HLOOKUP(AP$19,woningen_gebouwen_gegevens,ROWS(bibliotheek!$E$13:$E$25),FALSE))</f>
        <v/>
      </c>
      <c r="AQ52" s="237" t="str">
        <f ca="1">IF(OR(AQ$19="",AQ$40=""),"",
SUMPRODUCT(
OFFSET(bibliotheek!$H$19,0,MATCH(AQ$19,woningen_gebouwen_namen,0)-1,ROWS(bibliotheek!$I$19:$I$24),1),
OFFSET(bibliotheek!$H$40,0,MATCH(AQ$40,isolatiepakketten_gebouwschil_namen,0)-1,ROWS(bibliotheek!$I$19:$I$24),1)) /
HLOOKUP(AQ$19,woningen_gebouwen_gegevens,ROWS(bibliotheek!$E$13:$E$25),FALSE))</f>
        <v/>
      </c>
      <c r="AR52" s="237" t="str">
        <f ca="1">IF(OR(AR$19="",AR$40=""),"",
SUMPRODUCT(
OFFSET(bibliotheek!$H$19,0,MATCH(AR$19,woningen_gebouwen_namen,0)-1,ROWS(bibliotheek!$I$19:$I$24),1),
OFFSET(bibliotheek!$H$40,0,MATCH(AR$40,isolatiepakketten_gebouwschil_namen,0)-1,ROWS(bibliotheek!$I$19:$I$24),1)) /
HLOOKUP(AR$19,woningen_gebouwen_gegevens,ROWS(bibliotheek!$E$13:$E$25),FALSE))</f>
        <v/>
      </c>
      <c r="AS52" s="237" t="str">
        <f ca="1">IF(OR(AS$19="",AS$40=""),"",
SUMPRODUCT(
OFFSET(bibliotheek!$H$19,0,MATCH(AS$19,woningen_gebouwen_namen,0)-1,ROWS(bibliotheek!$I$19:$I$24),1),
OFFSET(bibliotheek!$H$40,0,MATCH(AS$40,isolatiepakketten_gebouwschil_namen,0)-1,ROWS(bibliotheek!$I$19:$I$24),1)) /
HLOOKUP(AS$19,woningen_gebouwen_gegevens,ROWS(bibliotheek!$E$13:$E$25),FALSE))</f>
        <v/>
      </c>
      <c r="AT52" s="237" t="str">
        <f ca="1">IF(OR(AT$19="",AT$40=""),"",
SUMPRODUCT(
OFFSET(bibliotheek!$H$19,0,MATCH(AT$19,woningen_gebouwen_namen,0)-1,ROWS(bibliotheek!$I$19:$I$24),1),
OFFSET(bibliotheek!$H$40,0,MATCH(AT$40,isolatiepakketten_gebouwschil_namen,0)-1,ROWS(bibliotheek!$I$19:$I$24),1)) /
HLOOKUP(AT$19,woningen_gebouwen_gegevens,ROWS(bibliotheek!$E$13:$E$25),FALSE))</f>
        <v/>
      </c>
      <c r="AU52" s="237" t="str">
        <f ca="1">IF(OR(AU$19="",AU$40=""),"",
SUMPRODUCT(
OFFSET(bibliotheek!$H$19,0,MATCH(AU$19,woningen_gebouwen_namen,0)-1,ROWS(bibliotheek!$I$19:$I$24),1),
OFFSET(bibliotheek!$H$40,0,MATCH(AU$40,isolatiepakketten_gebouwschil_namen,0)-1,ROWS(bibliotheek!$I$19:$I$24),1)) /
HLOOKUP(AU$19,woningen_gebouwen_gegevens,ROWS(bibliotheek!$E$13:$E$25),FALSE))</f>
        <v/>
      </c>
      <c r="AV52" s="211"/>
      <c r="AW52" s="224"/>
      <c r="AX52" s="212"/>
      <c r="AY52" s="237" t="str">
        <f ca="1">IF(OR(AY$19="",AY$40=""),"",
SUMPRODUCT(
OFFSET(bibliotheek!$H$19,0,MATCH(AY$19,woningen_gebouwen_namen,0)-1,ROWS(bibliotheek!$I$19:$I$24),1),
OFFSET(bibliotheek!$H$40,0,MATCH(AY$40,isolatiepakketten_gebouwschil_namen,0)-1,ROWS(bibliotheek!$I$19:$I$24),1)) /
HLOOKUP(AY$19,woningen_gebouwen_gegevens,ROWS(bibliotheek!$E$13:$E$25),FALSE))</f>
        <v/>
      </c>
      <c r="AZ52" s="237" t="str">
        <f ca="1">IF(OR(AZ$19="",AZ$40=""),"",
SUMPRODUCT(
OFFSET(bibliotheek!$H$19,0,MATCH(AZ$19,woningen_gebouwen_namen,0)-1,ROWS(bibliotheek!$I$19:$I$24),1),
OFFSET(bibliotheek!$H$40,0,MATCH(AZ$40,isolatiepakketten_gebouwschil_namen,0)-1,ROWS(bibliotheek!$I$19:$I$24),1)) /
HLOOKUP(AZ$19,woningen_gebouwen_gegevens,ROWS(bibliotheek!$E$13:$E$25),FALSE))</f>
        <v/>
      </c>
      <c r="BA52" s="237" t="str">
        <f ca="1">IF(OR(BA$19="",BA$40=""),"",
SUMPRODUCT(
OFFSET(bibliotheek!$H$19,0,MATCH(BA$19,woningen_gebouwen_namen,0)-1,ROWS(bibliotheek!$I$19:$I$24),1),
OFFSET(bibliotheek!$H$40,0,MATCH(BA$40,isolatiepakketten_gebouwschil_namen,0)-1,ROWS(bibliotheek!$I$19:$I$24),1)) /
HLOOKUP(BA$19,woningen_gebouwen_gegevens,ROWS(bibliotheek!$E$13:$E$25),FALSE))</f>
        <v/>
      </c>
      <c r="BB52" s="237" t="str">
        <f ca="1">IF(OR(BB$19="",BB$40=""),"",
SUMPRODUCT(
OFFSET(bibliotheek!$H$19,0,MATCH(BB$19,woningen_gebouwen_namen,0)-1,ROWS(bibliotheek!$I$19:$I$24),1),
OFFSET(bibliotheek!$H$40,0,MATCH(BB$40,isolatiepakketten_gebouwschil_namen,0)-1,ROWS(bibliotheek!$I$19:$I$24),1)) /
HLOOKUP(BB$19,woningen_gebouwen_gegevens,ROWS(bibliotheek!$E$13:$E$25),FALSE))</f>
        <v/>
      </c>
      <c r="BC52" s="237" t="str">
        <f ca="1">IF(OR(BC$19="",BC$40=""),"",
SUMPRODUCT(
OFFSET(bibliotheek!$H$19,0,MATCH(BC$19,woningen_gebouwen_namen,0)-1,ROWS(bibliotheek!$I$19:$I$24),1),
OFFSET(bibliotheek!$H$40,0,MATCH(BC$40,isolatiepakketten_gebouwschil_namen,0)-1,ROWS(bibliotheek!$I$19:$I$24),1)) /
HLOOKUP(BC$19,woningen_gebouwen_gegevens,ROWS(bibliotheek!$E$13:$E$25),FALSE))</f>
        <v/>
      </c>
      <c r="BD52" s="237" t="str">
        <f ca="1">IF(OR(BD$19="",BD$40=""),"",
SUMPRODUCT(
OFFSET(bibliotheek!$H$19,0,MATCH(BD$19,woningen_gebouwen_namen,0)-1,ROWS(bibliotheek!$I$19:$I$24),1),
OFFSET(bibliotheek!$H$40,0,MATCH(BD$40,isolatiepakketten_gebouwschil_namen,0)-1,ROWS(bibliotheek!$I$19:$I$24),1)) /
HLOOKUP(BD$19,woningen_gebouwen_gegevens,ROWS(bibliotheek!$E$13:$E$25),FALSE))</f>
        <v/>
      </c>
      <c r="BE52" s="237" t="str">
        <f ca="1">IF(OR(BE$19="",BE$40=""),"",
SUMPRODUCT(
OFFSET(bibliotheek!$H$19,0,MATCH(BE$19,woningen_gebouwen_namen,0)-1,ROWS(bibliotheek!$I$19:$I$24),1),
OFFSET(bibliotheek!$H$40,0,MATCH(BE$40,isolatiepakketten_gebouwschil_namen,0)-1,ROWS(bibliotheek!$I$19:$I$24),1)) /
HLOOKUP(BE$19,woningen_gebouwen_gegevens,ROWS(bibliotheek!$E$13:$E$25),FALSE))</f>
        <v/>
      </c>
      <c r="BF52" s="237" t="str">
        <f ca="1">IF(OR(BF$19="",BF$40=""),"",
SUMPRODUCT(
OFFSET(bibliotheek!$H$19,0,MATCH(BF$19,woningen_gebouwen_namen,0)-1,ROWS(bibliotheek!$I$19:$I$24),1),
OFFSET(bibliotheek!$H$40,0,MATCH(BF$40,isolatiepakketten_gebouwschil_namen,0)-1,ROWS(bibliotheek!$I$19:$I$24),1)) /
HLOOKUP(BF$19,woningen_gebouwen_gegevens,ROWS(bibliotheek!$E$13:$E$25),FALSE))</f>
        <v/>
      </c>
      <c r="BG52" s="237" t="str">
        <f ca="1">IF(OR(BG$19="",BG$40=""),"",
SUMPRODUCT(
OFFSET(bibliotheek!$H$19,0,MATCH(BG$19,woningen_gebouwen_namen,0)-1,ROWS(bibliotheek!$I$19:$I$24),1),
OFFSET(bibliotheek!$H$40,0,MATCH(BG$40,isolatiepakketten_gebouwschil_namen,0)-1,ROWS(bibliotheek!$I$19:$I$24),1)) /
HLOOKUP(BG$19,woningen_gebouwen_gegevens,ROWS(bibliotheek!$E$13:$E$25),FALSE))</f>
        <v/>
      </c>
      <c r="BH52" s="261"/>
    </row>
    <row r="53" spans="1:60" s="2" customFormat="1" x14ac:dyDescent="0.2">
      <c r="A53" s="927"/>
      <c r="B53" s="741" t="s">
        <v>141</v>
      </c>
      <c r="C53" s="739" t="s">
        <v>127</v>
      </c>
      <c r="D53" s="751" t="s">
        <v>50</v>
      </c>
      <c r="E53" s="316" t="s">
        <v>164</v>
      </c>
      <c r="F53" s="316"/>
      <c r="G53" s="316"/>
      <c r="H53" s="354" t="s">
        <v>70</v>
      </c>
      <c r="I53" s="116"/>
      <c r="J53" s="928"/>
      <c r="K53" s="819"/>
      <c r="L53" s="819"/>
      <c r="M53" s="1056">
        <f>IF(SUMPRODUCT(N32:X32,N60:X60)=0,0,SUMPRODUCT(N53:X53,N32:X32,N60:X60)/SUMPRODUCT(N32:X32,N60:X60))</f>
        <v>0</v>
      </c>
      <c r="N53" s="103"/>
      <c r="O53" s="1053">
        <f t="shared" ref="O53:W53" si="48">IF(OR(O$19="",O$24=0,O$40=""),0,IF($G$6=FALSE,1,IF(O54&lt;&gt;"",O54,O55)))</f>
        <v>0</v>
      </c>
      <c r="P53" s="1053">
        <f t="shared" si="48"/>
        <v>0</v>
      </c>
      <c r="Q53" s="1053">
        <f t="shared" si="48"/>
        <v>0</v>
      </c>
      <c r="R53" s="1053">
        <f t="shared" si="48"/>
        <v>0</v>
      </c>
      <c r="S53" s="1053">
        <f t="shared" si="48"/>
        <v>0</v>
      </c>
      <c r="T53" s="1053">
        <f t="shared" si="48"/>
        <v>0</v>
      </c>
      <c r="U53" s="1053">
        <f t="shared" si="48"/>
        <v>0</v>
      </c>
      <c r="V53" s="1053">
        <f t="shared" si="48"/>
        <v>0</v>
      </c>
      <c r="W53" s="1053">
        <f t="shared" si="48"/>
        <v>0</v>
      </c>
      <c r="X53" s="211"/>
      <c r="Y53" s="1056">
        <f>IF(SUMPRODUCT(Z32:AJ32,Z60:AJ60)=0,0,SUMPRODUCT(Z53:AJ53,Z32:AJ32,Z60:AJ60)/SUMPRODUCT(Z32:AJ32,Z60:AJ60))</f>
        <v>0</v>
      </c>
      <c r="Z53" s="103"/>
      <c r="AA53" s="1052">
        <f t="shared" ref="AA53:AI53" si="49">IF(OR(AA$19="",AA$24=0,AA$40=""),0,IF($G$6=FALSE,1,IF(AA54&lt;&gt;"",AA54,AA55)))</f>
        <v>0</v>
      </c>
      <c r="AB53" s="1052">
        <f t="shared" si="49"/>
        <v>0</v>
      </c>
      <c r="AC53" s="1052">
        <f t="shared" si="49"/>
        <v>0</v>
      </c>
      <c r="AD53" s="1052">
        <f t="shared" si="49"/>
        <v>0</v>
      </c>
      <c r="AE53" s="1052">
        <f t="shared" si="49"/>
        <v>0</v>
      </c>
      <c r="AF53" s="1052">
        <f t="shared" si="49"/>
        <v>0</v>
      </c>
      <c r="AG53" s="1052">
        <f t="shared" si="49"/>
        <v>0</v>
      </c>
      <c r="AH53" s="1052">
        <f t="shared" si="49"/>
        <v>0</v>
      </c>
      <c r="AI53" s="1052">
        <f t="shared" si="49"/>
        <v>0</v>
      </c>
      <c r="AJ53" s="211"/>
      <c r="AK53" s="1056">
        <f>IF(SUMPRODUCT(AL32:AV32,AL60:AV60)=0,0,SUMPRODUCT(AL53:AV53,AL32:AV32,AL60:AV60)/SUMPRODUCT(AL32:AV32,AL60:AV60))</f>
        <v>0</v>
      </c>
      <c r="AL53" s="103"/>
      <c r="AM53" s="1052">
        <f t="shared" ref="AM53:AU53" si="50">IF(OR(AM$19="",AM$24=0,AM$40=""),0,IF($G$6=FALSE,1,IF(AM54&lt;&gt;"",AM54,AM55)))</f>
        <v>0</v>
      </c>
      <c r="AN53" s="1052">
        <f t="shared" si="50"/>
        <v>0</v>
      </c>
      <c r="AO53" s="1052">
        <f t="shared" si="50"/>
        <v>0</v>
      </c>
      <c r="AP53" s="1052">
        <f t="shared" si="50"/>
        <v>0</v>
      </c>
      <c r="AQ53" s="1052">
        <f t="shared" si="50"/>
        <v>0</v>
      </c>
      <c r="AR53" s="1052">
        <f t="shared" si="50"/>
        <v>0</v>
      </c>
      <c r="AS53" s="1052">
        <f t="shared" si="50"/>
        <v>0</v>
      </c>
      <c r="AT53" s="1052">
        <f t="shared" si="50"/>
        <v>0</v>
      </c>
      <c r="AU53" s="1052">
        <f t="shared" si="50"/>
        <v>0</v>
      </c>
      <c r="AV53" s="211"/>
      <c r="AW53" s="1056">
        <f>IF(SUMPRODUCT(AX32:BH32,AX60:BH60)=0,0,SUMPRODUCT(AX53:BH53,AX32:BH32,AX60:BH60)/SUMPRODUCT(AX32:BH32,AX60:BH60))</f>
        <v>0</v>
      </c>
      <c r="AX53" s="103"/>
      <c r="AY53" s="1052">
        <f t="shared" ref="AY53:BG53" si="51">IF(OR(AY$19="",AY$24=0,AY$40=""),0,IF($G$6=FALSE,1,IF(AY54&lt;&gt;"",AY54,AY55)))</f>
        <v>0</v>
      </c>
      <c r="AZ53" s="1052">
        <f t="shared" si="51"/>
        <v>0</v>
      </c>
      <c r="BA53" s="1052">
        <f t="shared" si="51"/>
        <v>0</v>
      </c>
      <c r="BB53" s="1052">
        <f t="shared" si="51"/>
        <v>0</v>
      </c>
      <c r="BC53" s="1052">
        <f t="shared" si="51"/>
        <v>0</v>
      </c>
      <c r="BD53" s="1052">
        <f t="shared" si="51"/>
        <v>0</v>
      </c>
      <c r="BE53" s="1052">
        <f t="shared" si="51"/>
        <v>0</v>
      </c>
      <c r="BF53" s="1052">
        <f t="shared" si="51"/>
        <v>0</v>
      </c>
      <c r="BG53" s="1052">
        <f t="shared" si="51"/>
        <v>0</v>
      </c>
      <c r="BH53" s="261"/>
    </row>
    <row r="54" spans="1:60" s="2" customFormat="1" x14ac:dyDescent="0.2">
      <c r="A54" s="927"/>
      <c r="B54" s="741" t="s">
        <v>141</v>
      </c>
      <c r="C54" s="739" t="s">
        <v>127</v>
      </c>
      <c r="D54" s="748"/>
      <c r="E54" s="455" t="s">
        <v>165</v>
      </c>
      <c r="F54" s="687"/>
      <c r="G54" s="687"/>
      <c r="H54" s="929"/>
      <c r="I54" s="116"/>
      <c r="J54" s="930"/>
      <c r="K54" s="819"/>
      <c r="L54" s="819"/>
      <c r="M54" s="931"/>
      <c r="N54" s="294"/>
      <c r="O54" s="1054"/>
      <c r="P54" s="1054"/>
      <c r="Q54" s="1054"/>
      <c r="R54" s="1054"/>
      <c r="S54" s="1054"/>
      <c r="T54" s="1054"/>
      <c r="U54" s="1054"/>
      <c r="V54" s="1054"/>
      <c r="W54" s="1054"/>
      <c r="X54" s="211"/>
      <c r="Y54" s="931"/>
      <c r="Z54" s="294"/>
      <c r="AA54" s="1054"/>
      <c r="AB54" s="1054"/>
      <c r="AC54" s="1054"/>
      <c r="AD54" s="1054"/>
      <c r="AE54" s="1054"/>
      <c r="AF54" s="1054"/>
      <c r="AG54" s="1054"/>
      <c r="AH54" s="1054"/>
      <c r="AI54" s="1054"/>
      <c r="AJ54" s="211"/>
      <c r="AK54" s="931"/>
      <c r="AL54" s="294"/>
      <c r="AM54" s="1054"/>
      <c r="AN54" s="1054"/>
      <c r="AO54" s="1054"/>
      <c r="AP54" s="1054"/>
      <c r="AQ54" s="1054"/>
      <c r="AR54" s="1054"/>
      <c r="AS54" s="1054"/>
      <c r="AT54" s="1054"/>
      <c r="AU54" s="1054"/>
      <c r="AV54" s="211"/>
      <c r="AW54" s="931"/>
      <c r="AX54" s="294"/>
      <c r="AY54" s="1054"/>
      <c r="AZ54" s="1054"/>
      <c r="BA54" s="1054"/>
      <c r="BB54" s="1054"/>
      <c r="BC54" s="1054"/>
      <c r="BD54" s="1054"/>
      <c r="BE54" s="1054"/>
      <c r="BF54" s="1054"/>
      <c r="BG54" s="1054"/>
      <c r="BH54" s="261"/>
    </row>
    <row r="55" spans="1:60" s="2" customFormat="1" x14ac:dyDescent="0.2">
      <c r="A55" s="927"/>
      <c r="B55" s="741" t="s">
        <v>141</v>
      </c>
      <c r="C55" s="739" t="s">
        <v>127</v>
      </c>
      <c r="D55" s="748"/>
      <c r="E55" s="932" t="s">
        <v>166</v>
      </c>
      <c r="F55" s="933"/>
      <c r="G55" s="933"/>
      <c r="H55" s="934"/>
      <c r="I55" s="935"/>
      <c r="J55" s="936"/>
      <c r="K55" s="937"/>
      <c r="L55" s="937"/>
      <c r="M55" s="938"/>
      <c r="N55" s="718"/>
      <c r="O55" s="1055" t="str" cm="1">
        <f t="array" ref="O55">IF(O24=0,"",ROUND(INDEX(Correctiefactoren,ROWS(bibliotheek!$E$278:$E$279),MATCH(O$21,bibliotheek!$E$278:$U$278,0))*O$52^INDEX(Correctiefactoren,ROWS(bibliotheek!$E$278:$E$280),MATCH(O$21,bibliotheek!$E$278:$U$278,0)),2))</f>
        <v/>
      </c>
      <c r="P55" s="1055" t="str" cm="1">
        <f t="array" ref="P55">IF(P24=0,"",ROUND(INDEX(Correctiefactoren,ROWS(bibliotheek!$E$278:$E$279),MATCH(P$21,bibliotheek!$E$278:$U$278,0))*P$52^INDEX(Correctiefactoren,ROWS(bibliotheek!$E$278:$E$280),MATCH(P$21,bibliotheek!$E$278:$U$278,0)),2))</f>
        <v/>
      </c>
      <c r="Q55" s="1055" t="str" cm="1">
        <f t="array" ref="Q55">IF(Q24=0,"",ROUND(INDEX(Correctiefactoren,ROWS(bibliotheek!$E$278:$E$279),MATCH(Q$21,bibliotheek!$E$278:$U$278,0))*Q$52^INDEX(Correctiefactoren,ROWS(bibliotheek!$E$278:$E$280),MATCH(Q$21,bibliotheek!$E$278:$U$278,0)),2))</f>
        <v/>
      </c>
      <c r="R55" s="1055" t="str" cm="1">
        <f t="array" ref="R55">IF(R24=0,"",ROUND(INDEX(Correctiefactoren,ROWS(bibliotheek!$E$278:$E$279),MATCH(R$21,bibliotheek!$E$278:$U$278,0))*R$52^INDEX(Correctiefactoren,ROWS(bibliotheek!$E$278:$E$280),MATCH(R$21,bibliotheek!$E$278:$U$278,0)),2))</f>
        <v/>
      </c>
      <c r="S55" s="1055" t="str" cm="1">
        <f t="array" ref="S55">IF(S24=0,"",ROUND(INDEX(Correctiefactoren,ROWS(bibliotheek!$E$278:$E$279),MATCH(S$21,bibliotheek!$E$278:$U$278,0))*S$52^INDEX(Correctiefactoren,ROWS(bibliotheek!$E$278:$E$280),MATCH(S$21,bibliotheek!$E$278:$U$278,0)),2))</f>
        <v/>
      </c>
      <c r="T55" s="1055" t="str" cm="1">
        <f t="array" ref="T55">IF(T24=0,"",ROUND(INDEX(Correctiefactoren,ROWS(bibliotheek!$E$278:$E$279),MATCH(T$21,bibliotheek!$E$278:$U$278,0))*T$52^INDEX(Correctiefactoren,ROWS(bibliotheek!$E$278:$E$280),MATCH(T$21,bibliotheek!$E$278:$U$278,0)),2))</f>
        <v/>
      </c>
      <c r="U55" s="1055" t="str" cm="1">
        <f t="array" ref="U55">IF(U24=0,"",ROUND(INDEX(Correctiefactoren,ROWS(bibliotheek!$E$278:$E$279),MATCH(U$21,bibliotheek!$E$278:$U$278,0))*U$52^INDEX(Correctiefactoren,ROWS(bibliotheek!$E$278:$E$280),MATCH(U$21,bibliotheek!$E$278:$U$278,0)),2))</f>
        <v/>
      </c>
      <c r="V55" s="1055" t="str" cm="1">
        <f t="array" ref="V55">IF(V24=0,"",ROUND(INDEX(Correctiefactoren,ROWS(bibliotheek!$E$278:$E$279),MATCH(V$21,bibliotheek!$E$278:$U$278,0))*V$52^INDEX(Correctiefactoren,ROWS(bibliotheek!$E$278:$E$280),MATCH(V$21,bibliotheek!$E$278:$U$278,0)),2))</f>
        <v/>
      </c>
      <c r="W55" s="1055" t="str" cm="1">
        <f t="array" ref="W55">IF(W24=0,"",ROUND(INDEX(Correctiefactoren,ROWS(bibliotheek!$E$278:$E$279),MATCH(W$21,bibliotheek!$E$278:$U$278,0))*W$52^INDEX(Correctiefactoren,ROWS(bibliotheek!$E$278:$E$280),MATCH(W$21,bibliotheek!$E$278:$U$278,0)),2))</f>
        <v/>
      </c>
      <c r="X55" s="939"/>
      <c r="Y55" s="938"/>
      <c r="Z55" s="718"/>
      <c r="AA55" s="1057" t="str" cm="1">
        <f t="array" ref="AA55">IF(AA24=0,"",ROUND(INDEX(Correctiefactoren,ROWS(bibliotheek!$E$278:$E$279),MATCH(AA$21,bibliotheek!$E$278:$U$278,0))*AA$52^INDEX(Correctiefactoren,ROWS(bibliotheek!$E$278:$E$280),MATCH(AA$21,bibliotheek!$E$278:$U$278,0)),2))</f>
        <v/>
      </c>
      <c r="AB55" s="1057" t="str" cm="1">
        <f t="array" ref="AB55">IF(AB24=0,"",ROUND(INDEX(Correctiefactoren,ROWS(bibliotheek!$E$278:$E$279),MATCH(AB$21,bibliotheek!$E$278:$U$278,0))*AB$52^INDEX(Correctiefactoren,ROWS(bibliotheek!$E$278:$E$280),MATCH(AB$21,bibliotheek!$E$278:$U$278,0)),2))</f>
        <v/>
      </c>
      <c r="AC55" s="1057" t="str" cm="1">
        <f t="array" ref="AC55">IF(AC24=0,"",ROUND(INDEX(Correctiefactoren,ROWS(bibliotheek!$E$278:$E$279),MATCH(AC$21,bibliotheek!$E$278:$U$278,0))*AC$52^INDEX(Correctiefactoren,ROWS(bibliotheek!$E$278:$E$280),MATCH(AC$21,bibliotheek!$E$278:$U$278,0)),2))</f>
        <v/>
      </c>
      <c r="AD55" s="1057" t="str" cm="1">
        <f t="array" ref="AD55">IF(AD24=0,"",ROUND(INDEX(Correctiefactoren,ROWS(bibliotheek!$E$278:$E$279),MATCH(AD$21,bibliotheek!$E$278:$U$278,0))*AD$52^INDEX(Correctiefactoren,ROWS(bibliotheek!$E$278:$E$280),MATCH(AD$21,bibliotheek!$E$278:$U$278,0)),2))</f>
        <v/>
      </c>
      <c r="AE55" s="1057" t="str" cm="1">
        <f t="array" ref="AE55">IF(AE24=0,"",ROUND(INDEX(Correctiefactoren,ROWS(bibliotheek!$E$278:$E$279),MATCH(AE$21,bibliotheek!$E$278:$U$278,0))*AE$52^INDEX(Correctiefactoren,ROWS(bibliotheek!$E$278:$E$280),MATCH(AE$21,bibliotheek!$E$278:$U$278,0)),2))</f>
        <v/>
      </c>
      <c r="AF55" s="1057" t="str" cm="1">
        <f t="array" ref="AF55">IF(AF24=0,"",ROUND(INDEX(Correctiefactoren,ROWS(bibliotheek!$E$278:$E$279),MATCH(AF$21,bibliotheek!$E$278:$U$278,0))*AF$52^INDEX(Correctiefactoren,ROWS(bibliotheek!$E$278:$E$280),MATCH(AF$21,bibliotheek!$E$278:$U$278,0)),2))</f>
        <v/>
      </c>
      <c r="AG55" s="1057" t="str" cm="1">
        <f t="array" ref="AG55">IF(AG24=0,"",ROUND(INDEX(Correctiefactoren,ROWS(bibliotheek!$E$278:$E$279),MATCH(AG$21,bibliotheek!$E$278:$U$278,0))*AG$52^INDEX(Correctiefactoren,ROWS(bibliotheek!$E$278:$E$280),MATCH(AG$21,bibliotheek!$E$278:$U$278,0)),2))</f>
        <v/>
      </c>
      <c r="AH55" s="1057" t="str" cm="1">
        <f t="array" ref="AH55">IF(AH24=0,"",ROUND(INDEX(Correctiefactoren,ROWS(bibliotheek!$E$278:$E$279),MATCH(AH$21,bibliotheek!$E$278:$U$278,0))*AH$52^INDEX(Correctiefactoren,ROWS(bibliotheek!$E$278:$E$280),MATCH(AH$21,bibliotheek!$E$278:$U$278,0)),2))</f>
        <v/>
      </c>
      <c r="AI55" s="1057" t="str" cm="1">
        <f t="array" ref="AI55">IF(AI24=0,"",ROUND(INDEX(Correctiefactoren,ROWS(bibliotheek!$E$278:$E$279),MATCH(AI$21,bibliotheek!$E$278:$U$278,0))*AI$52^INDEX(Correctiefactoren,ROWS(bibliotheek!$E$278:$E$280),MATCH(AI$21,bibliotheek!$E$278:$U$278,0)),2))</f>
        <v/>
      </c>
      <c r="AJ55" s="939"/>
      <c r="AK55" s="938"/>
      <c r="AL55" s="718"/>
      <c r="AM55" s="1057" t="str" cm="1">
        <f t="array" ref="AM55">IF(AM24=0,"",ROUND(INDEX(Correctiefactoren,ROWS(bibliotheek!$E$278:$E$279),MATCH(AM$21,bibliotheek!$E$278:$U$278,0))*AM$52^INDEX(Correctiefactoren,ROWS(bibliotheek!$E$278:$E$280),MATCH(AM$21,bibliotheek!$E$278:$U$278,0)),2))</f>
        <v/>
      </c>
      <c r="AN55" s="1057" t="str" cm="1">
        <f t="array" ref="AN55">IF(AN24=0,"",ROUND(INDEX(Correctiefactoren,ROWS(bibliotheek!$E$278:$E$279),MATCH(AN$21,bibliotheek!$E$278:$U$278,0))*AN$52^INDEX(Correctiefactoren,ROWS(bibliotheek!$E$278:$E$280),MATCH(AN$21,bibliotheek!$E$278:$U$278,0)),2))</f>
        <v/>
      </c>
      <c r="AO55" s="1057" t="str" cm="1">
        <f t="array" ref="AO55">IF(AO24=0,"",ROUND(INDEX(Correctiefactoren,ROWS(bibliotheek!$E$278:$E$279),MATCH(AO$21,bibliotheek!$E$278:$U$278,0))*AO$52^INDEX(Correctiefactoren,ROWS(bibliotheek!$E$278:$E$280),MATCH(AO$21,bibliotheek!$E$278:$U$278,0)),2))</f>
        <v/>
      </c>
      <c r="AP55" s="1057" t="str" cm="1">
        <f t="array" ref="AP55">IF(AP24=0,"",ROUND(INDEX(Correctiefactoren,ROWS(bibliotheek!$E$278:$E$279),MATCH(AP$21,bibliotheek!$E$278:$U$278,0))*AP$52^INDEX(Correctiefactoren,ROWS(bibliotheek!$E$278:$E$280),MATCH(AP$21,bibliotheek!$E$278:$U$278,0)),2))</f>
        <v/>
      </c>
      <c r="AQ55" s="1057" t="str" cm="1">
        <f t="array" ref="AQ55">IF(AQ24=0,"",ROUND(INDEX(Correctiefactoren,ROWS(bibliotheek!$E$278:$E$279),MATCH(AQ$21,bibliotheek!$E$278:$U$278,0))*AQ$52^INDEX(Correctiefactoren,ROWS(bibliotheek!$E$278:$E$280),MATCH(AQ$21,bibliotheek!$E$278:$U$278,0)),2))</f>
        <v/>
      </c>
      <c r="AR55" s="1057" t="str" cm="1">
        <f t="array" ref="AR55">IF(AR24=0,"",ROUND(INDEX(Correctiefactoren,ROWS(bibliotheek!$E$278:$E$279),MATCH(AR$21,bibliotheek!$E$278:$U$278,0))*AR$52^INDEX(Correctiefactoren,ROWS(bibliotheek!$E$278:$E$280),MATCH(AR$21,bibliotheek!$E$278:$U$278,0)),2))</f>
        <v/>
      </c>
      <c r="AS55" s="1057" t="str" cm="1">
        <f t="array" ref="AS55">IF(AS24=0,"",ROUND(INDEX(Correctiefactoren,ROWS(bibliotheek!$E$278:$E$279),MATCH(AS$21,bibliotheek!$E$278:$U$278,0))*AS$52^INDEX(Correctiefactoren,ROWS(bibliotheek!$E$278:$E$280),MATCH(AS$21,bibliotheek!$E$278:$U$278,0)),2))</f>
        <v/>
      </c>
      <c r="AT55" s="1057" t="str" cm="1">
        <f t="array" ref="AT55">IF(AT24=0,"",ROUND(INDEX(Correctiefactoren,ROWS(bibliotheek!$E$278:$E$279),MATCH(AT$21,bibliotheek!$E$278:$U$278,0))*AT$52^INDEX(Correctiefactoren,ROWS(bibliotheek!$E$278:$E$280),MATCH(AT$21,bibliotheek!$E$278:$U$278,0)),2))</f>
        <v/>
      </c>
      <c r="AU55" s="1057" t="str" cm="1">
        <f t="array" ref="AU55">IF(AU24=0,"",ROUND(INDEX(Correctiefactoren,ROWS(bibliotheek!$E$278:$E$279),MATCH(AU$21,bibliotheek!$E$278:$U$278,0))*AU$52^INDEX(Correctiefactoren,ROWS(bibliotheek!$E$278:$E$280),MATCH(AU$21,bibliotheek!$E$278:$U$278,0)),2))</f>
        <v/>
      </c>
      <c r="AV55" s="939"/>
      <c r="AW55" s="938"/>
      <c r="AX55" s="718"/>
      <c r="AY55" s="1057" t="str" cm="1">
        <f t="array" ref="AY55">IF(AY24=0,"",ROUND(INDEX(Correctiefactoren,ROWS(bibliotheek!$E$278:$E$279),MATCH(AY$21,bibliotheek!$E$278:$U$278,0))*AY$52^INDEX(Correctiefactoren,ROWS(bibliotheek!$E$278:$E$280),MATCH(AY$21,bibliotheek!$E$278:$U$278,0)),2))</f>
        <v/>
      </c>
      <c r="AZ55" s="1057" t="str" cm="1">
        <f t="array" ref="AZ55">IF(AZ24=0,"",ROUND(INDEX(Correctiefactoren,ROWS(bibliotheek!$E$278:$E$279),MATCH(AZ$21,bibliotheek!$E$278:$U$278,0))*AZ$52^INDEX(Correctiefactoren,ROWS(bibliotheek!$E$278:$E$280),MATCH(AZ$21,bibliotheek!$E$278:$U$278,0)),2))</f>
        <v/>
      </c>
      <c r="BA55" s="1057" t="str" cm="1">
        <f t="array" ref="BA55">IF(BA24=0,"",ROUND(INDEX(Correctiefactoren,ROWS(bibliotheek!$E$278:$E$279),MATCH(BA$21,bibliotheek!$E$278:$U$278,0))*BA$52^INDEX(Correctiefactoren,ROWS(bibliotheek!$E$278:$E$280),MATCH(BA$21,bibliotheek!$E$278:$U$278,0)),2))</f>
        <v/>
      </c>
      <c r="BB55" s="1057" t="str" cm="1">
        <f t="array" ref="BB55">IF(BB24=0,"",ROUND(INDEX(Correctiefactoren,ROWS(bibliotheek!$E$278:$E$279),MATCH(BB$21,bibliotheek!$E$278:$U$278,0))*BB$52^INDEX(Correctiefactoren,ROWS(bibliotheek!$E$278:$E$280),MATCH(BB$21,bibliotheek!$E$278:$U$278,0)),2))</f>
        <v/>
      </c>
      <c r="BC55" s="1057" t="str" cm="1">
        <f t="array" ref="BC55">IF(BC24=0,"",ROUND(INDEX(Correctiefactoren,ROWS(bibliotheek!$E$278:$E$279),MATCH(BC$21,bibliotheek!$E$278:$U$278,0))*BC$52^INDEX(Correctiefactoren,ROWS(bibliotheek!$E$278:$E$280),MATCH(BC$21,bibliotheek!$E$278:$U$278,0)),2))</f>
        <v/>
      </c>
      <c r="BD55" s="1057" t="str" cm="1">
        <f t="array" ref="BD55">IF(BD24=0,"",ROUND(INDEX(Correctiefactoren,ROWS(bibliotheek!$E$278:$E$279),MATCH(BD$21,bibliotheek!$E$278:$U$278,0))*BD$52^INDEX(Correctiefactoren,ROWS(bibliotheek!$E$278:$E$280),MATCH(BD$21,bibliotheek!$E$278:$U$278,0)),2))</f>
        <v/>
      </c>
      <c r="BE55" s="1057" t="str" cm="1">
        <f t="array" ref="BE55">IF(BE24=0,"",ROUND(INDEX(Correctiefactoren,ROWS(bibliotheek!$E$278:$E$279),MATCH(BE$21,bibliotheek!$E$278:$U$278,0))*BE$52^INDEX(Correctiefactoren,ROWS(bibliotheek!$E$278:$E$280),MATCH(BE$21,bibliotheek!$E$278:$U$278,0)),2))</f>
        <v/>
      </c>
      <c r="BF55" s="1057" t="str" cm="1">
        <f t="array" ref="BF55">IF(BF24=0,"",ROUND(INDEX(Correctiefactoren,ROWS(bibliotheek!$E$278:$E$279),MATCH(BF$21,bibliotheek!$E$278:$U$278,0))*BF$52^INDEX(Correctiefactoren,ROWS(bibliotheek!$E$278:$E$280),MATCH(BF$21,bibliotheek!$E$278:$U$278,0)),2))</f>
        <v/>
      </c>
      <c r="BG55" s="1057" t="str" cm="1">
        <f t="array" ref="BG55">IF(BG24=0,"",ROUND(INDEX(Correctiefactoren,ROWS(bibliotheek!$E$278:$E$279),MATCH(BG$21,bibliotheek!$E$278:$U$278,0))*BG$52^INDEX(Correctiefactoren,ROWS(bibliotheek!$E$278:$E$280),MATCH(BG$21,bibliotheek!$E$278:$U$278,0)),2))</f>
        <v/>
      </c>
      <c r="BH55" s="261"/>
    </row>
    <row r="56" spans="1:60" x14ac:dyDescent="0.2">
      <c r="A56" s="653"/>
      <c r="B56" s="492" t="s">
        <v>158</v>
      </c>
      <c r="C56" s="656" t="s">
        <v>104</v>
      </c>
      <c r="D56" s="747"/>
      <c r="E56" s="90"/>
      <c r="F56" s="90"/>
      <c r="G56" s="90"/>
      <c r="H56" s="96"/>
      <c r="I56" s="116"/>
      <c r="J56" s="93"/>
      <c r="K56" s="819"/>
      <c r="L56" s="819"/>
      <c r="M56" s="93"/>
      <c r="N56" s="93"/>
      <c r="O56" s="93"/>
      <c r="P56" s="93"/>
      <c r="Q56" s="93"/>
      <c r="R56" s="93"/>
      <c r="S56" s="93"/>
      <c r="T56" s="93"/>
      <c r="U56" s="93"/>
      <c r="V56" s="93"/>
      <c r="W56" s="93"/>
      <c r="X56" s="93"/>
      <c r="Y56" s="93"/>
      <c r="Z56" s="90"/>
      <c r="AA56" s="93"/>
      <c r="AB56" s="93"/>
      <c r="AC56" s="93"/>
      <c r="AD56" s="93"/>
      <c r="AE56" s="93"/>
      <c r="AF56" s="93"/>
      <c r="AG56" s="93"/>
      <c r="AH56" s="93"/>
      <c r="AI56" s="93"/>
      <c r="AJ56" s="93"/>
      <c r="AK56" s="93"/>
      <c r="AL56" s="90"/>
      <c r="AM56" s="93"/>
      <c r="AN56" s="93"/>
      <c r="AO56" s="93"/>
      <c r="AP56" s="93"/>
      <c r="AQ56" s="93"/>
      <c r="AR56" s="93"/>
      <c r="AS56" s="93"/>
      <c r="AT56" s="93"/>
      <c r="AU56" s="93"/>
      <c r="AV56" s="93"/>
      <c r="AW56" s="93"/>
      <c r="AX56" s="90"/>
      <c r="AY56" s="93"/>
      <c r="AZ56" s="93"/>
      <c r="BA56" s="93"/>
      <c r="BB56" s="93"/>
      <c r="BC56" s="93"/>
      <c r="BD56" s="93"/>
      <c r="BE56" s="93"/>
      <c r="BF56" s="93"/>
      <c r="BG56" s="93"/>
      <c r="BH56" s="1"/>
    </row>
    <row r="57" spans="1:60" x14ac:dyDescent="0.2">
      <c r="A57" s="653"/>
      <c r="B57" s="492" t="s">
        <v>158</v>
      </c>
      <c r="C57" s="739" t="s">
        <v>104</v>
      </c>
      <c r="D57" s="747"/>
      <c r="E57" s="90"/>
      <c r="F57" s="90"/>
      <c r="G57" s="90"/>
      <c r="H57" s="96"/>
      <c r="I57" s="90"/>
      <c r="J57" s="93"/>
      <c r="K57" s="90"/>
      <c r="L57" s="90"/>
      <c r="M57" s="93"/>
      <c r="N57" s="93"/>
      <c r="O57" s="93"/>
      <c r="P57" s="93"/>
      <c r="Q57" s="93"/>
      <c r="R57" s="93"/>
      <c r="S57" s="93"/>
      <c r="T57" s="93"/>
      <c r="U57" s="93"/>
      <c r="V57" s="93"/>
      <c r="W57" s="93"/>
      <c r="X57" s="93"/>
      <c r="Y57" s="93"/>
      <c r="Z57" s="90"/>
      <c r="AA57" s="93"/>
      <c r="AB57" s="93"/>
      <c r="AC57" s="93"/>
      <c r="AD57" s="93"/>
      <c r="AE57" s="93"/>
      <c r="AF57" s="93"/>
      <c r="AG57" s="93"/>
      <c r="AH57" s="93"/>
      <c r="AI57" s="93"/>
      <c r="AJ57" s="93"/>
      <c r="AK57" s="93"/>
      <c r="AL57" s="90"/>
      <c r="AM57" s="93"/>
      <c r="AN57" s="93"/>
      <c r="AO57" s="93"/>
      <c r="AP57" s="93"/>
      <c r="AQ57" s="93"/>
      <c r="AR57" s="93"/>
      <c r="AS57" s="93"/>
      <c r="AT57" s="93"/>
      <c r="AU57" s="93"/>
      <c r="AV57" s="93"/>
      <c r="AW57" s="93"/>
      <c r="AX57" s="90"/>
      <c r="AY57" s="93"/>
      <c r="AZ57" s="93"/>
      <c r="BA57" s="93"/>
      <c r="BB57" s="93"/>
      <c r="BC57" s="93"/>
      <c r="BD57" s="93"/>
      <c r="BE57" s="93"/>
      <c r="BF57" s="93"/>
      <c r="BG57" s="93"/>
      <c r="BH57" s="1"/>
    </row>
    <row r="58" spans="1:60" s="2" customFormat="1" ht="21" x14ac:dyDescent="0.2">
      <c r="A58" s="654"/>
      <c r="B58" s="492" t="s">
        <v>158</v>
      </c>
      <c r="C58" s="739" t="s">
        <v>104</v>
      </c>
      <c r="D58" s="749"/>
      <c r="E58" s="253" t="s">
        <v>167</v>
      </c>
      <c r="F58" s="253"/>
      <c r="G58" s="253"/>
      <c r="H58" s="253"/>
      <c r="I58" s="146"/>
      <c r="J58" s="318" t="str">
        <f>J$10&amp;" MWh"</f>
        <v>totaal MWh</v>
      </c>
      <c r="K58" s="142"/>
      <c r="L58" s="142"/>
      <c r="M58" s="319" t="str">
        <f>M$10&amp;" MWh"</f>
        <v>totaal MWh</v>
      </c>
      <c r="N58" s="234"/>
      <c r="O58" s="320" t="str">
        <f t="shared" ref="O58:W58" si="52">O$17</f>
        <v/>
      </c>
      <c r="P58" s="320" t="str">
        <f t="shared" si="52"/>
        <v/>
      </c>
      <c r="Q58" s="320" t="str">
        <f t="shared" si="52"/>
        <v/>
      </c>
      <c r="R58" s="320" t="str">
        <f t="shared" si="52"/>
        <v/>
      </c>
      <c r="S58" s="320" t="str">
        <f t="shared" si="52"/>
        <v/>
      </c>
      <c r="T58" s="320" t="str">
        <f t="shared" si="52"/>
        <v/>
      </c>
      <c r="U58" s="320" t="str">
        <f t="shared" si="52"/>
        <v/>
      </c>
      <c r="V58" s="320" t="str">
        <f t="shared" si="52"/>
        <v/>
      </c>
      <c r="W58" s="320" t="str">
        <f t="shared" si="52"/>
        <v/>
      </c>
      <c r="X58" s="214"/>
      <c r="Y58" s="319" t="str">
        <f>Y$10&amp;" MWh"</f>
        <v>totaal MWh</v>
      </c>
      <c r="Z58" s="234"/>
      <c r="AA58" s="320" t="str">
        <f t="shared" ref="AA58:AI58" si="53">AA$17</f>
        <v/>
      </c>
      <c r="AB58" s="320" t="str">
        <f t="shared" si="53"/>
        <v/>
      </c>
      <c r="AC58" s="320" t="str">
        <f t="shared" si="53"/>
        <v/>
      </c>
      <c r="AD58" s="320" t="str">
        <f t="shared" si="53"/>
        <v/>
      </c>
      <c r="AE58" s="320" t="str">
        <f t="shared" si="53"/>
        <v/>
      </c>
      <c r="AF58" s="320" t="str">
        <f t="shared" si="53"/>
        <v/>
      </c>
      <c r="AG58" s="320" t="str">
        <f t="shared" si="53"/>
        <v/>
      </c>
      <c r="AH58" s="320" t="str">
        <f t="shared" si="53"/>
        <v/>
      </c>
      <c r="AI58" s="320" t="str">
        <f t="shared" si="53"/>
        <v/>
      </c>
      <c r="AJ58" s="214"/>
      <c r="AK58" s="319" t="str">
        <f>AK$10&amp;" MWh"</f>
        <v>totaal MWh</v>
      </c>
      <c r="AL58" s="234"/>
      <c r="AM58" s="320" t="str">
        <f>AM$17</f>
        <v/>
      </c>
      <c r="AN58" s="320" t="str">
        <f t="shared" ref="AN58:AU58" si="54">AN$17</f>
        <v/>
      </c>
      <c r="AO58" s="320" t="str">
        <f t="shared" si="54"/>
        <v/>
      </c>
      <c r="AP58" s="320" t="str">
        <f t="shared" si="54"/>
        <v/>
      </c>
      <c r="AQ58" s="320" t="str">
        <f t="shared" si="54"/>
        <v/>
      </c>
      <c r="AR58" s="320" t="str">
        <f t="shared" si="54"/>
        <v/>
      </c>
      <c r="AS58" s="320" t="str">
        <f t="shared" si="54"/>
        <v/>
      </c>
      <c r="AT58" s="320" t="str">
        <f t="shared" si="54"/>
        <v/>
      </c>
      <c r="AU58" s="320" t="str">
        <f t="shared" si="54"/>
        <v/>
      </c>
      <c r="AV58" s="214"/>
      <c r="AW58" s="319" t="str">
        <f>AW$10&amp;" MWh"</f>
        <v>totaal MWh</v>
      </c>
      <c r="AX58" s="234"/>
      <c r="AY58" s="320" t="str">
        <f>AY$17</f>
        <v/>
      </c>
      <c r="AZ58" s="320" t="str">
        <f t="shared" ref="AZ58:BG58" si="55">AZ$17</f>
        <v/>
      </c>
      <c r="BA58" s="320" t="str">
        <f t="shared" si="55"/>
        <v/>
      </c>
      <c r="BB58" s="320" t="str">
        <f t="shared" si="55"/>
        <v/>
      </c>
      <c r="BC58" s="320" t="str">
        <f t="shared" si="55"/>
        <v/>
      </c>
      <c r="BD58" s="320" t="str">
        <f t="shared" si="55"/>
        <v/>
      </c>
      <c r="BE58" s="320" t="str">
        <f t="shared" si="55"/>
        <v/>
      </c>
      <c r="BF58" s="320" t="str">
        <f t="shared" si="55"/>
        <v/>
      </c>
      <c r="BG58" s="320" t="str">
        <f t="shared" si="55"/>
        <v/>
      </c>
      <c r="BH58" s="1"/>
    </row>
    <row r="59" spans="1:60" ht="18.75" x14ac:dyDescent="0.2">
      <c r="A59" s="653"/>
      <c r="B59" s="492" t="s">
        <v>158</v>
      </c>
      <c r="C59" s="739" t="s">
        <v>104</v>
      </c>
      <c r="D59" s="749"/>
      <c r="E59" s="708" t="s">
        <v>168</v>
      </c>
      <c r="F59" s="167"/>
      <c r="G59" s="167"/>
      <c r="H59" s="89"/>
      <c r="I59" s="169"/>
      <c r="J59" s="170"/>
      <c r="K59" s="142"/>
      <c r="L59" s="142"/>
      <c r="M59" s="186"/>
      <c r="N59" s="186"/>
      <c r="O59" s="186"/>
      <c r="P59" s="186"/>
      <c r="Q59" s="186"/>
      <c r="R59" s="186"/>
      <c r="S59" s="186"/>
      <c r="T59" s="186"/>
      <c r="U59" s="186"/>
      <c r="V59" s="186"/>
      <c r="W59" s="186"/>
      <c r="X59" s="173"/>
      <c r="Y59" s="172"/>
      <c r="Z59" s="172"/>
      <c r="AA59" s="172"/>
      <c r="AB59" s="172"/>
      <c r="AC59" s="172"/>
      <c r="AD59" s="172"/>
      <c r="AE59" s="172"/>
      <c r="AF59" s="172"/>
      <c r="AG59" s="172"/>
      <c r="AH59" s="172"/>
      <c r="AI59" s="172"/>
      <c r="AJ59" s="173"/>
      <c r="AK59" s="172"/>
      <c r="AL59" s="172"/>
      <c r="AM59" s="172"/>
      <c r="AN59" s="172"/>
      <c r="AO59" s="172"/>
      <c r="AP59" s="172"/>
      <c r="AQ59" s="172"/>
      <c r="AR59" s="172"/>
      <c r="AS59" s="172"/>
      <c r="AT59" s="172"/>
      <c r="AU59" s="172"/>
      <c r="AV59" s="173"/>
      <c r="AW59" s="172"/>
      <c r="AX59" s="172"/>
      <c r="AY59" s="172"/>
      <c r="AZ59" s="172"/>
      <c r="BA59" s="172"/>
      <c r="BB59" s="172"/>
      <c r="BC59" s="172"/>
      <c r="BD59" s="172"/>
      <c r="BE59" s="172"/>
      <c r="BF59" s="172"/>
      <c r="BG59" s="172"/>
      <c r="BH59" s="263"/>
    </row>
    <row r="60" spans="1:60" x14ac:dyDescent="0.2">
      <c r="A60" s="653"/>
      <c r="B60" s="492" t="s">
        <v>158</v>
      </c>
      <c r="C60" s="656" t="s">
        <v>113</v>
      </c>
      <c r="D60" s="750" t="s">
        <v>50</v>
      </c>
      <c r="E60" s="482" t="str">
        <f>$O$10</f>
        <v>verwarming</v>
      </c>
      <c r="F60" s="359"/>
      <c r="G60" s="359"/>
      <c r="H60" s="358" t="s">
        <v>169</v>
      </c>
      <c r="I60" s="321"/>
      <c r="J60" s="323">
        <f t="shared" ref="J60:J66" si="56">M60+Y60+AK60+AW60</f>
        <v>0</v>
      </c>
      <c r="K60" s="142"/>
      <c r="L60" s="142"/>
      <c r="M60" s="323">
        <f t="shared" ref="M60:M66" si="57">SUMPRODUCT(N$24:X$24,N$31:X$31,N60:X60)/1000</f>
        <v>0</v>
      </c>
      <c r="N60" s="321"/>
      <c r="O60" s="322">
        <f t="shared" ref="O60:W60" si="58">IF(OR(O$19="",O$40="",O$42=""),0,O$53*MAX(warmtebehoefte_verwarming_ondergrens,
VLOOKUP(O$42,warmtebehoefte_verwarming_snijpunt,MATCH(O$21,warmtebehoefte_verwarming_gebruiksfuncties,0),FALSE)+
VLOOKUP(O$42,warmtebehoefte_verwarming_C,MATCH(O$21,warmtebehoefte_verwarming_gebruiksfuncties,0),FALSE)*
O$52*O$34^VLOOKUP(O$42,warmtebehoefte_verwarming_n,MATCH(O$21,warmtebehoefte_verwarming_gebruiksfuncties,0),FALSE)))</f>
        <v>0</v>
      </c>
      <c r="P60" s="322">
        <f t="shared" si="58"/>
        <v>0</v>
      </c>
      <c r="Q60" s="322">
        <f t="shared" si="58"/>
        <v>0</v>
      </c>
      <c r="R60" s="322">
        <f t="shared" si="58"/>
        <v>0</v>
      </c>
      <c r="S60" s="322">
        <f t="shared" si="58"/>
        <v>0</v>
      </c>
      <c r="T60" s="322">
        <f t="shared" si="58"/>
        <v>0</v>
      </c>
      <c r="U60" s="322">
        <f t="shared" si="58"/>
        <v>0</v>
      </c>
      <c r="V60" s="322">
        <f t="shared" si="58"/>
        <v>0</v>
      </c>
      <c r="W60" s="322">
        <f t="shared" si="58"/>
        <v>0</v>
      </c>
      <c r="X60" s="142"/>
      <c r="Y60" s="323">
        <f t="shared" ref="Y60:Y66" si="59">SUMPRODUCT(Z$24:AJ$24,Z$31:AJ$31,Z60:AJ60)/1000</f>
        <v>0</v>
      </c>
      <c r="Z60" s="321"/>
      <c r="AA60" s="322">
        <f t="shared" ref="AA60:AI60" si="60">IF(OR(AA$19="",AA$40="",AA$42=""),0,AA$53*MAX(warmtebehoefte_verwarming_ondergrens,
VLOOKUP(AA$42,warmtebehoefte_verwarming_snijpunt,MATCH(AA$21,warmtebehoefte_verwarming_gebruiksfuncties,0),FALSE)+
VLOOKUP(AA$42,warmtebehoefte_verwarming_C,MATCH(AA$21,warmtebehoefte_verwarming_gebruiksfuncties,0),FALSE)*
AA$52*AA$34^VLOOKUP(AA$42,warmtebehoefte_verwarming_n,MATCH(AA$21,warmtebehoefte_verwarming_gebruiksfuncties,0),FALSE)))</f>
        <v>0</v>
      </c>
      <c r="AB60" s="322">
        <f t="shared" si="60"/>
        <v>0</v>
      </c>
      <c r="AC60" s="322">
        <f t="shared" si="60"/>
        <v>0</v>
      </c>
      <c r="AD60" s="322">
        <f t="shared" si="60"/>
        <v>0</v>
      </c>
      <c r="AE60" s="322">
        <f t="shared" si="60"/>
        <v>0</v>
      </c>
      <c r="AF60" s="322">
        <f t="shared" si="60"/>
        <v>0</v>
      </c>
      <c r="AG60" s="322">
        <f t="shared" si="60"/>
        <v>0</v>
      </c>
      <c r="AH60" s="322">
        <f t="shared" si="60"/>
        <v>0</v>
      </c>
      <c r="AI60" s="322">
        <f t="shared" si="60"/>
        <v>0</v>
      </c>
      <c r="AJ60" s="142"/>
      <c r="AK60" s="323">
        <f t="shared" ref="AK60:AK66" si="61">SUMPRODUCT(AL$24:AV$24,AL$31:AV$31,AL60:AV60)/1000</f>
        <v>0</v>
      </c>
      <c r="AL60" s="321"/>
      <c r="AM60" s="322">
        <f t="shared" ref="AM60:AU60" si="62">IF(OR(AM$19="",AM$40="",AM$42=""),0,AM$53*MAX(warmtebehoefte_verwarming_ondergrens,
VLOOKUP(AM$42,warmtebehoefte_verwarming_snijpunt,MATCH(AM$21,warmtebehoefte_verwarming_gebruiksfuncties,0),FALSE)+
VLOOKUP(AM$42,warmtebehoefte_verwarming_C,MATCH(AM$21,warmtebehoefte_verwarming_gebruiksfuncties,0),FALSE)*
AM$52*AM$34^VLOOKUP(AM$42,warmtebehoefte_verwarming_n,MATCH(AM$21,warmtebehoefte_verwarming_gebruiksfuncties,0),FALSE)))</f>
        <v>0</v>
      </c>
      <c r="AN60" s="322">
        <f t="shared" si="62"/>
        <v>0</v>
      </c>
      <c r="AO60" s="322">
        <f t="shared" si="62"/>
        <v>0</v>
      </c>
      <c r="AP60" s="322">
        <f t="shared" si="62"/>
        <v>0</v>
      </c>
      <c r="AQ60" s="322">
        <f t="shared" si="62"/>
        <v>0</v>
      </c>
      <c r="AR60" s="322">
        <f t="shared" si="62"/>
        <v>0</v>
      </c>
      <c r="AS60" s="322">
        <f t="shared" si="62"/>
        <v>0</v>
      </c>
      <c r="AT60" s="322">
        <f t="shared" si="62"/>
        <v>0</v>
      </c>
      <c r="AU60" s="322">
        <f t="shared" si="62"/>
        <v>0</v>
      </c>
      <c r="AV60" s="142"/>
      <c r="AW60" s="323">
        <f t="shared" ref="AW60:AW66" si="63">SUMPRODUCT(AX$24:BH$24,AX$31:BH$31,AX60:BH60)/1000</f>
        <v>0</v>
      </c>
      <c r="AX60" s="321"/>
      <c r="AY60" s="322">
        <f t="shared" ref="AY60:BG60" si="64">IF(OR(AY$19="",AY$40="",AY$42=""),0,AY$53*MAX(warmtebehoefte_verwarming_ondergrens,
VLOOKUP(AY$42,warmtebehoefte_verwarming_snijpunt,MATCH(AY$21,warmtebehoefte_verwarming_gebruiksfuncties,0),FALSE)+
VLOOKUP(AY$42,warmtebehoefte_verwarming_C,MATCH(AY$21,warmtebehoefte_verwarming_gebruiksfuncties,0),FALSE)*
AY$52*AY$34^VLOOKUP(AY$42,warmtebehoefte_verwarming_n,MATCH(AY$21,warmtebehoefte_verwarming_gebruiksfuncties,0),FALSE)))</f>
        <v>0</v>
      </c>
      <c r="AZ60" s="322">
        <f t="shared" si="64"/>
        <v>0</v>
      </c>
      <c r="BA60" s="322">
        <f t="shared" si="64"/>
        <v>0</v>
      </c>
      <c r="BB60" s="322">
        <f t="shared" si="64"/>
        <v>0</v>
      </c>
      <c r="BC60" s="322">
        <f t="shared" si="64"/>
        <v>0</v>
      </c>
      <c r="BD60" s="322">
        <f t="shared" si="64"/>
        <v>0</v>
      </c>
      <c r="BE60" s="322">
        <f t="shared" si="64"/>
        <v>0</v>
      </c>
      <c r="BF60" s="322">
        <f t="shared" si="64"/>
        <v>0</v>
      </c>
      <c r="BG60" s="322">
        <f t="shared" si="64"/>
        <v>0</v>
      </c>
      <c r="BH60" s="255"/>
    </row>
    <row r="61" spans="1:60" x14ac:dyDescent="0.2">
      <c r="A61" s="653"/>
      <c r="B61" s="492" t="s">
        <v>158</v>
      </c>
      <c r="C61" s="656" t="s">
        <v>113</v>
      </c>
      <c r="D61" s="750" t="s">
        <v>50</v>
      </c>
      <c r="E61" s="358" t="str">
        <f>$P$10</f>
        <v>koeling</v>
      </c>
      <c r="F61" s="359"/>
      <c r="G61" s="359"/>
      <c r="H61" s="358" t="s">
        <v>169</v>
      </c>
      <c r="I61" s="321"/>
      <c r="J61" s="323">
        <f t="shared" si="56"/>
        <v>0</v>
      </c>
      <c r="K61" s="142"/>
      <c r="L61" s="142"/>
      <c r="M61" s="323">
        <f t="shared" si="57"/>
        <v>0</v>
      </c>
      <c r="N61" s="321"/>
      <c r="O61" s="322">
        <f t="shared" ref="O61:W61" si="65">IF(OR(O$19="",O$40="",O$42=""),0,MAX(koudebehoefte_koeling_ondergrens,
VLOOKUP(O$42,koudebehoefte_snijpunt,MATCH(O$21,warmtebehoefte_verwarming_gebruiksfuncties,0),FALSE)
+VLOOKUP(O$42,koudebehoefte_C1,MATCH(O$21,warmtebehoefte_verwarming_gebruiksfuncties,0),FALSE)
*O$31^VLOOKUP(O$42,koudebehoefte_n1,MATCH(O$21,warmtebehoefte_verwarming_gebruiksfuncties,0),FALSE)
+VLOOKUP(O$42,koudebehoefte_C2,MATCH(O$21,warmtebehoefte_verwarming_gebruiksfuncties,0),FALSE)
*O$34^VLOOKUP(O$42,koudebehoefte_n2,MATCH(O$21,warmtebehoefte_verwarming_gebruiksfuncties,0),FALSE)
+VLOOKUP(O$42,koudebehoefte_C3,MATCH(O$21,warmtebehoefte_verwarming_gebruiksfuncties,0),FALSE)
*O$52^VLOOKUP(O$42,koudebehoefte_n3,MATCH(O$21,warmtebehoefte_verwarming_gebruiksfuncties,0),FALSE)
+VLOOKUP(O$42,koudebehoefte_C4,MATCH(O$21,warmtebehoefte_verwarming_gebruiksfuncties,0),FALSE)
*O$35^VLOOKUP(O$42,koudebehoefte_n4,MATCH(O$21,warmtebehoefte_verwarming_gebruiksfuncties,0),FALSE)))</f>
        <v>0</v>
      </c>
      <c r="P61" s="322">
        <f t="shared" si="65"/>
        <v>0</v>
      </c>
      <c r="Q61" s="322">
        <f t="shared" si="65"/>
        <v>0</v>
      </c>
      <c r="R61" s="322">
        <f t="shared" si="65"/>
        <v>0</v>
      </c>
      <c r="S61" s="322">
        <f t="shared" si="65"/>
        <v>0</v>
      </c>
      <c r="T61" s="322">
        <f t="shared" si="65"/>
        <v>0</v>
      </c>
      <c r="U61" s="322">
        <f t="shared" si="65"/>
        <v>0</v>
      </c>
      <c r="V61" s="322">
        <f t="shared" si="65"/>
        <v>0</v>
      </c>
      <c r="W61" s="322">
        <f t="shared" si="65"/>
        <v>0</v>
      </c>
      <c r="X61" s="142"/>
      <c r="Y61" s="323">
        <f t="shared" si="59"/>
        <v>0</v>
      </c>
      <c r="Z61" s="321"/>
      <c r="AA61" s="322">
        <f t="shared" ref="AA61:AI61" si="66">IF(OR(AA$19="",AA$40="",AA$42=""),0,MAX(koudebehoefte_koeling_ondergrens,
VLOOKUP(AA$42,koudebehoefte_snijpunt,MATCH(AA$21,warmtebehoefte_verwarming_gebruiksfuncties,0),FALSE)
+VLOOKUP(AA$42,koudebehoefte_C1,MATCH(AA$21,warmtebehoefte_verwarming_gebruiksfuncties,0),FALSE)
*AA$31^VLOOKUP(AA$42,koudebehoefte_n1,MATCH(AA$21,warmtebehoefte_verwarming_gebruiksfuncties,0),FALSE)
+VLOOKUP(AA$42,koudebehoefte_C2,MATCH(AA$21,warmtebehoefte_verwarming_gebruiksfuncties,0),FALSE)
*AA$34^VLOOKUP(AA$42,koudebehoefte_n2,MATCH(AA$21,warmtebehoefte_verwarming_gebruiksfuncties,0),FALSE)
+VLOOKUP(AA$42,koudebehoefte_C3,MATCH(AA$21,warmtebehoefte_verwarming_gebruiksfuncties,0),FALSE)
*AA$52^VLOOKUP(AA$42,koudebehoefte_n3,MATCH(AA$21,warmtebehoefte_verwarming_gebruiksfuncties,0),FALSE)
+VLOOKUP(AA$42,koudebehoefte_C4,MATCH(AA$21,warmtebehoefte_verwarming_gebruiksfuncties,0),FALSE)
*AA$35^VLOOKUP(AA$42,koudebehoefte_n4,MATCH(AA$21,warmtebehoefte_verwarming_gebruiksfuncties,0),FALSE)))</f>
        <v>0</v>
      </c>
      <c r="AB61" s="322">
        <f t="shared" si="66"/>
        <v>0</v>
      </c>
      <c r="AC61" s="322">
        <f t="shared" si="66"/>
        <v>0</v>
      </c>
      <c r="AD61" s="322">
        <f t="shared" si="66"/>
        <v>0</v>
      </c>
      <c r="AE61" s="322">
        <f t="shared" si="66"/>
        <v>0</v>
      </c>
      <c r="AF61" s="322">
        <f t="shared" si="66"/>
        <v>0</v>
      </c>
      <c r="AG61" s="322">
        <f t="shared" si="66"/>
        <v>0</v>
      </c>
      <c r="AH61" s="322">
        <f t="shared" si="66"/>
        <v>0</v>
      </c>
      <c r="AI61" s="322">
        <f t="shared" si="66"/>
        <v>0</v>
      </c>
      <c r="AJ61" s="142"/>
      <c r="AK61" s="323">
        <f t="shared" si="61"/>
        <v>0</v>
      </c>
      <c r="AL61" s="321"/>
      <c r="AM61" s="322">
        <f t="shared" ref="AM61:AU61" si="67">IF(OR(AM$19="",AM$40="",AM$42=""),0,MAX(koudebehoefte_koeling_ondergrens,
VLOOKUP(AM$42,koudebehoefte_snijpunt,MATCH(AM$21,warmtebehoefte_verwarming_gebruiksfuncties,0),FALSE)
+VLOOKUP(AM$42,koudebehoefte_C1,MATCH(AM$21,warmtebehoefte_verwarming_gebruiksfuncties,0),FALSE)
*AM$31^VLOOKUP(AM$42,koudebehoefte_n1,MATCH(AM$21,warmtebehoefte_verwarming_gebruiksfuncties,0),FALSE)
+VLOOKUP(AM$42,koudebehoefte_C2,MATCH(AM$21,warmtebehoefte_verwarming_gebruiksfuncties,0),FALSE)
*AM$34^VLOOKUP(AM$42,koudebehoefte_n2,MATCH(AM$21,warmtebehoefte_verwarming_gebruiksfuncties,0),FALSE)
+VLOOKUP(AM$42,koudebehoefte_C3,MATCH(AM$21,warmtebehoefte_verwarming_gebruiksfuncties,0),FALSE)
*AM$52^VLOOKUP(AM$42,koudebehoefte_n3,MATCH(AM$21,warmtebehoefte_verwarming_gebruiksfuncties,0),FALSE)
+VLOOKUP(AM$42,koudebehoefte_C4,MATCH(AM$21,warmtebehoefte_verwarming_gebruiksfuncties,0),FALSE)
*AM$35^VLOOKUP(AM$42,koudebehoefte_n4,MATCH(AM$21,warmtebehoefte_verwarming_gebruiksfuncties,0),FALSE)))</f>
        <v>0</v>
      </c>
      <c r="AN61" s="322">
        <f t="shared" si="67"/>
        <v>0</v>
      </c>
      <c r="AO61" s="322">
        <f t="shared" si="67"/>
        <v>0</v>
      </c>
      <c r="AP61" s="322">
        <f t="shared" si="67"/>
        <v>0</v>
      </c>
      <c r="AQ61" s="322">
        <f t="shared" si="67"/>
        <v>0</v>
      </c>
      <c r="AR61" s="322">
        <f t="shared" si="67"/>
        <v>0</v>
      </c>
      <c r="AS61" s="322">
        <f t="shared" si="67"/>
        <v>0</v>
      </c>
      <c r="AT61" s="322">
        <f t="shared" si="67"/>
        <v>0</v>
      </c>
      <c r="AU61" s="322">
        <f t="shared" si="67"/>
        <v>0</v>
      </c>
      <c r="AV61" s="142"/>
      <c r="AW61" s="323">
        <f t="shared" si="63"/>
        <v>0</v>
      </c>
      <c r="AX61" s="321"/>
      <c r="AY61" s="322">
        <f t="shared" ref="AY61:BG61" si="68">IF(OR(AY$19="",AY$40="",AY$42=""),0,MAX(koudebehoefte_koeling_ondergrens,
VLOOKUP(AY$42,koudebehoefte_snijpunt,MATCH(AY$21,warmtebehoefte_verwarming_gebruiksfuncties,0),FALSE)
+VLOOKUP(AY$42,koudebehoefte_C1,MATCH(AY$21,warmtebehoefte_verwarming_gebruiksfuncties,0),FALSE)
*AY$31^VLOOKUP(AY$42,koudebehoefte_n1,MATCH(AY$21,warmtebehoefte_verwarming_gebruiksfuncties,0),FALSE)
+VLOOKUP(AY$42,koudebehoefte_C2,MATCH(AY$21,warmtebehoefte_verwarming_gebruiksfuncties,0),FALSE)
*AY$34^VLOOKUP(AY$42,koudebehoefte_n2,MATCH(AY$21,warmtebehoefte_verwarming_gebruiksfuncties,0),FALSE)
+VLOOKUP(AY$42,koudebehoefte_C3,MATCH(AY$21,warmtebehoefte_verwarming_gebruiksfuncties,0),FALSE)
*AY$52^VLOOKUP(AY$42,koudebehoefte_n3,MATCH(AY$21,warmtebehoefte_verwarming_gebruiksfuncties,0),FALSE)
+VLOOKUP(AY$42,koudebehoefte_C4,MATCH(AY$21,warmtebehoefte_verwarming_gebruiksfuncties,0),FALSE)
*AY$35^VLOOKUP(AY$42,koudebehoefte_n4,MATCH(AY$21,warmtebehoefte_verwarming_gebruiksfuncties,0),FALSE)))</f>
        <v>0</v>
      </c>
      <c r="AZ61" s="322">
        <f t="shared" si="68"/>
        <v>0</v>
      </c>
      <c r="BA61" s="322">
        <f t="shared" si="68"/>
        <v>0</v>
      </c>
      <c r="BB61" s="322">
        <f t="shared" si="68"/>
        <v>0</v>
      </c>
      <c r="BC61" s="322">
        <f t="shared" si="68"/>
        <v>0</v>
      </c>
      <c r="BD61" s="322">
        <f t="shared" si="68"/>
        <v>0</v>
      </c>
      <c r="BE61" s="322">
        <f t="shared" si="68"/>
        <v>0</v>
      </c>
      <c r="BF61" s="322">
        <f t="shared" si="68"/>
        <v>0</v>
      </c>
      <c r="BG61" s="322">
        <f t="shared" si="68"/>
        <v>0</v>
      </c>
      <c r="BH61" s="255"/>
    </row>
    <row r="62" spans="1:60" x14ac:dyDescent="0.2">
      <c r="A62" s="653"/>
      <c r="B62" s="492" t="s">
        <v>158</v>
      </c>
      <c r="C62" s="656" t="s">
        <v>113</v>
      </c>
      <c r="D62" s="750" t="s">
        <v>50</v>
      </c>
      <c r="E62" s="358" t="str">
        <f>$Q$10</f>
        <v>tapwater</v>
      </c>
      <c r="F62" s="359"/>
      <c r="G62" s="359"/>
      <c r="H62" s="358" t="s">
        <v>169</v>
      </c>
      <c r="I62" s="321"/>
      <c r="J62" s="323">
        <f t="shared" si="56"/>
        <v>0</v>
      </c>
      <c r="K62" s="142"/>
      <c r="L62" s="142"/>
      <c r="M62" s="323">
        <f t="shared" si="57"/>
        <v>0</v>
      </c>
      <c r="N62" s="321"/>
      <c r="O62" s="322">
        <f t="shared" ref="O62:W62" si="69">IF(OR(O$19="",O$31=0),0,
IF(OR(O$21=woning,O$21=woongebouw),IF(O$31&gt;100,1.28+0.01*O$31,MAX(1,2.28-1.28/70*(100-O$31)))*856/O$31,
INDEX(warmtapwater_specifieke_warmtebehoefte_waarden,MATCH(O$21,warmtapwater_specifieke_warmtebehoefte_gebruiksfuncties,0)))*O$44)</f>
        <v>0</v>
      </c>
      <c r="P62" s="322">
        <f t="shared" si="69"/>
        <v>0</v>
      </c>
      <c r="Q62" s="322">
        <f t="shared" si="69"/>
        <v>0</v>
      </c>
      <c r="R62" s="322">
        <f t="shared" si="69"/>
        <v>0</v>
      </c>
      <c r="S62" s="322">
        <f t="shared" si="69"/>
        <v>0</v>
      </c>
      <c r="T62" s="322">
        <f t="shared" si="69"/>
        <v>0</v>
      </c>
      <c r="U62" s="322">
        <f t="shared" si="69"/>
        <v>0</v>
      </c>
      <c r="V62" s="322">
        <f t="shared" si="69"/>
        <v>0</v>
      </c>
      <c r="W62" s="322">
        <f t="shared" si="69"/>
        <v>0</v>
      </c>
      <c r="X62" s="142"/>
      <c r="Y62" s="323">
        <f t="shared" si="59"/>
        <v>0</v>
      </c>
      <c r="Z62" s="321"/>
      <c r="AA62" s="322">
        <f t="shared" ref="AA62:AI62" si="70">IF(OR(AA$19="",AA$31=0),0,
IF(OR(AA$21=woning,AA$21=woongebouw),IF(AA$31&gt;100,1.28+0.01*AA$31,MAX(1,2.28-1.28/70*(100-AA$31)))*856/AA$31,
INDEX(warmtapwater_specifieke_warmtebehoefte_waarden,MATCH(AA$21,warmtapwater_specifieke_warmtebehoefte_gebruiksfuncties,0)))*AA$44)</f>
        <v>0</v>
      </c>
      <c r="AB62" s="322">
        <f t="shared" si="70"/>
        <v>0</v>
      </c>
      <c r="AC62" s="322">
        <f t="shared" si="70"/>
        <v>0</v>
      </c>
      <c r="AD62" s="322">
        <f t="shared" si="70"/>
        <v>0</v>
      </c>
      <c r="AE62" s="322">
        <f t="shared" si="70"/>
        <v>0</v>
      </c>
      <c r="AF62" s="322">
        <f t="shared" si="70"/>
        <v>0</v>
      </c>
      <c r="AG62" s="322">
        <f t="shared" si="70"/>
        <v>0</v>
      </c>
      <c r="AH62" s="322">
        <f t="shared" si="70"/>
        <v>0</v>
      </c>
      <c r="AI62" s="322">
        <f t="shared" si="70"/>
        <v>0</v>
      </c>
      <c r="AJ62" s="142"/>
      <c r="AK62" s="323">
        <f t="shared" si="61"/>
        <v>0</v>
      </c>
      <c r="AL62" s="321"/>
      <c r="AM62" s="322">
        <f t="shared" ref="AM62:AU62" si="71">IF(OR(AM$19="",AM$31=0),0,
IF(OR(AM$21=woning,AM$21=woongebouw),IF(AM$31&gt;100,1.28+0.01*AM$31,MAX(1,2.28-1.28/70*(100-AM$31)))*856/AM$31,
INDEX(warmtapwater_specifieke_warmtebehoefte_waarden,MATCH(AM$21,warmtapwater_specifieke_warmtebehoefte_gebruiksfuncties,0)))*AM$44)</f>
        <v>0</v>
      </c>
      <c r="AN62" s="322">
        <f t="shared" si="71"/>
        <v>0</v>
      </c>
      <c r="AO62" s="322">
        <f t="shared" si="71"/>
        <v>0</v>
      </c>
      <c r="AP62" s="322">
        <f t="shared" si="71"/>
        <v>0</v>
      </c>
      <c r="AQ62" s="322">
        <f t="shared" si="71"/>
        <v>0</v>
      </c>
      <c r="AR62" s="322">
        <f t="shared" si="71"/>
        <v>0</v>
      </c>
      <c r="AS62" s="322">
        <f t="shared" si="71"/>
        <v>0</v>
      </c>
      <c r="AT62" s="322">
        <f t="shared" si="71"/>
        <v>0</v>
      </c>
      <c r="AU62" s="322">
        <f t="shared" si="71"/>
        <v>0</v>
      </c>
      <c r="AV62" s="142"/>
      <c r="AW62" s="323">
        <f t="shared" si="63"/>
        <v>0</v>
      </c>
      <c r="AX62" s="321"/>
      <c r="AY62" s="322">
        <f t="shared" ref="AY62:BG62" si="72">IF(OR(AY$19="",AY$31=0),0,
IF(OR(AY$21=woning,AY$21=woongebouw),IF(AY$31&gt;100,1.28+0.01*AY$31,MAX(1,2.28-1.28/70*(100-AY$31)))*856/AY$31,
INDEX(warmtapwater_specifieke_warmtebehoefte_waarden,MATCH(AY$21,warmtapwater_specifieke_warmtebehoefte_gebruiksfuncties,0)))*AY$44)</f>
        <v>0</v>
      </c>
      <c r="AZ62" s="322">
        <f t="shared" si="72"/>
        <v>0</v>
      </c>
      <c r="BA62" s="322">
        <f t="shared" si="72"/>
        <v>0</v>
      </c>
      <c r="BB62" s="322">
        <f t="shared" si="72"/>
        <v>0</v>
      </c>
      <c r="BC62" s="322">
        <f t="shared" si="72"/>
        <v>0</v>
      </c>
      <c r="BD62" s="322">
        <f t="shared" si="72"/>
        <v>0</v>
      </c>
      <c r="BE62" s="322">
        <f t="shared" si="72"/>
        <v>0</v>
      </c>
      <c r="BF62" s="322">
        <f t="shared" si="72"/>
        <v>0</v>
      </c>
      <c r="BG62" s="322">
        <f t="shared" si="72"/>
        <v>0</v>
      </c>
      <c r="BH62" s="255"/>
    </row>
    <row r="63" spans="1:60" x14ac:dyDescent="0.2">
      <c r="A63" s="653"/>
      <c r="B63" s="492" t="s">
        <v>158</v>
      </c>
      <c r="C63" s="656" t="s">
        <v>113</v>
      </c>
      <c r="D63" s="750" t="s">
        <v>50</v>
      </c>
      <c r="E63" s="358" t="str">
        <f>$R$10</f>
        <v>verlichting</v>
      </c>
      <c r="F63" s="359"/>
      <c r="G63" s="359"/>
      <c r="H63" s="358" t="s">
        <v>169</v>
      </c>
      <c r="I63" s="321"/>
      <c r="J63" s="323">
        <f t="shared" si="56"/>
        <v>0</v>
      </c>
      <c r="K63" s="142"/>
      <c r="L63" s="142"/>
      <c r="M63" s="323">
        <f t="shared" si="57"/>
        <v>0</v>
      </c>
      <c r="N63" s="321"/>
      <c r="O63" s="322">
        <f t="shared" ref="O63:W63" si="73">IF(OR(O$19="",AND(O$21&lt;&gt;woning,O$21&lt;&gt;woongebouw,O$46="")),0,
(INDEX(verlichting_parameters_a,MATCH(O$21,verlichting_parameters_gebruiksfuncties,0))+
INDEX(verlichting_parameters_b,MATCH(O$21,verlichting_parameters_gebruiksfuncties,0))*IF(O$45="",INDEX(verlichting_vermogen_forfaitair,MATCH(O$21,verlichting_parameters_gebruiksfuncties,0)),O$45))*
IF(OR(O$21=woning,O$21=woongebouw),1,INDEX(verlichtingsregeling_waarden,MATCH(O$46,verlichtingsregeling_kopregel,0))))</f>
        <v>0</v>
      </c>
      <c r="P63" s="322">
        <f t="shared" si="73"/>
        <v>0</v>
      </c>
      <c r="Q63" s="322">
        <f t="shared" si="73"/>
        <v>0</v>
      </c>
      <c r="R63" s="322">
        <f t="shared" si="73"/>
        <v>0</v>
      </c>
      <c r="S63" s="322">
        <f t="shared" si="73"/>
        <v>0</v>
      </c>
      <c r="T63" s="322">
        <f t="shared" si="73"/>
        <v>0</v>
      </c>
      <c r="U63" s="322">
        <f t="shared" si="73"/>
        <v>0</v>
      </c>
      <c r="V63" s="322">
        <f t="shared" si="73"/>
        <v>0</v>
      </c>
      <c r="W63" s="322">
        <f t="shared" si="73"/>
        <v>0</v>
      </c>
      <c r="X63" s="142"/>
      <c r="Y63" s="323">
        <f t="shared" si="59"/>
        <v>0</v>
      </c>
      <c r="Z63" s="321"/>
      <c r="AA63" s="322">
        <f t="shared" ref="AA63:AI63" si="74">IF(OR(AA$19="",AND(AA$21&lt;&gt;woning,AA$21&lt;&gt;woongebouw,AA$46="")),0,
(INDEX(verlichting_parameters_a,MATCH(AA$21,verlichting_parameters_gebruiksfuncties,0))+
INDEX(verlichting_parameters_b,MATCH(AA$21,verlichting_parameters_gebruiksfuncties,0))*IF(AA$45="",INDEX(verlichting_vermogen_forfaitair,MATCH(AA$21,verlichting_parameters_gebruiksfuncties,0)),AA$45))*
IF(OR(AA$21=woning,AA$21=woongebouw),1,INDEX(verlichtingsregeling_waarden,MATCH(AA$46,verlichtingsregeling_kopregel,0))))</f>
        <v>0</v>
      </c>
      <c r="AB63" s="322">
        <f t="shared" si="74"/>
        <v>0</v>
      </c>
      <c r="AC63" s="322">
        <f t="shared" si="74"/>
        <v>0</v>
      </c>
      <c r="AD63" s="322">
        <f t="shared" si="74"/>
        <v>0</v>
      </c>
      <c r="AE63" s="322">
        <f t="shared" si="74"/>
        <v>0</v>
      </c>
      <c r="AF63" s="322">
        <f t="shared" si="74"/>
        <v>0</v>
      </c>
      <c r="AG63" s="322">
        <f t="shared" si="74"/>
        <v>0</v>
      </c>
      <c r="AH63" s="322">
        <f t="shared" si="74"/>
        <v>0</v>
      </c>
      <c r="AI63" s="322">
        <f t="shared" si="74"/>
        <v>0</v>
      </c>
      <c r="AJ63" s="142"/>
      <c r="AK63" s="323">
        <f t="shared" si="61"/>
        <v>0</v>
      </c>
      <c r="AL63" s="321"/>
      <c r="AM63" s="322">
        <f t="shared" ref="AM63:AU63" si="75">IF(OR(AM$19="",AND(AM$21&lt;&gt;woning,AM$21&lt;&gt;woongebouw,AM$46="")),0,
(INDEX(verlichting_parameters_a,MATCH(AM$21,verlichting_parameters_gebruiksfuncties,0))+
INDEX(verlichting_parameters_b,MATCH(AM$21,verlichting_parameters_gebruiksfuncties,0))*IF(AM$45="",INDEX(verlichting_vermogen_forfaitair,MATCH(AM$21,verlichting_parameters_gebruiksfuncties,0)),AM$45))*
IF(OR(AM$21=woning,AM$21=woongebouw),1,INDEX(verlichtingsregeling_waarden,MATCH(AM$46,verlichtingsregeling_kopregel,0))))</f>
        <v>0</v>
      </c>
      <c r="AN63" s="322">
        <f t="shared" si="75"/>
        <v>0</v>
      </c>
      <c r="AO63" s="322">
        <f t="shared" si="75"/>
        <v>0</v>
      </c>
      <c r="AP63" s="322">
        <f t="shared" si="75"/>
        <v>0</v>
      </c>
      <c r="AQ63" s="322">
        <f t="shared" si="75"/>
        <v>0</v>
      </c>
      <c r="AR63" s="322">
        <f t="shared" si="75"/>
        <v>0</v>
      </c>
      <c r="AS63" s="322">
        <f t="shared" si="75"/>
        <v>0</v>
      </c>
      <c r="AT63" s="322">
        <f t="shared" si="75"/>
        <v>0</v>
      </c>
      <c r="AU63" s="322">
        <f t="shared" si="75"/>
        <v>0</v>
      </c>
      <c r="AV63" s="142"/>
      <c r="AW63" s="323">
        <f t="shared" si="63"/>
        <v>0</v>
      </c>
      <c r="AX63" s="321"/>
      <c r="AY63" s="322">
        <f t="shared" ref="AY63:BG63" si="76">IF(OR(AY$19="",AND(AY$21&lt;&gt;woning,AY$21&lt;&gt;woongebouw,AY$46="")),0,
(INDEX(verlichting_parameters_a,MATCH(AY$21,verlichting_parameters_gebruiksfuncties,0))+
INDEX(verlichting_parameters_b,MATCH(AY$21,verlichting_parameters_gebruiksfuncties,0))*IF(AY$45="",INDEX(verlichting_vermogen_forfaitair,MATCH(AY$21,verlichting_parameters_gebruiksfuncties,0)),AY$45))*
IF(OR(AY$21=woning,AY$21=woongebouw),1,INDEX(verlichtingsregeling_waarden,MATCH(AY$46,verlichtingsregeling_kopregel,0))))</f>
        <v>0</v>
      </c>
      <c r="AZ63" s="322">
        <f t="shared" si="76"/>
        <v>0</v>
      </c>
      <c r="BA63" s="322">
        <f t="shared" si="76"/>
        <v>0</v>
      </c>
      <c r="BB63" s="322">
        <f t="shared" si="76"/>
        <v>0</v>
      </c>
      <c r="BC63" s="322">
        <f t="shared" si="76"/>
        <v>0</v>
      </c>
      <c r="BD63" s="322">
        <f t="shared" si="76"/>
        <v>0</v>
      </c>
      <c r="BE63" s="322">
        <f t="shared" si="76"/>
        <v>0</v>
      </c>
      <c r="BF63" s="322">
        <f t="shared" si="76"/>
        <v>0</v>
      </c>
      <c r="BG63" s="322">
        <f t="shared" si="76"/>
        <v>0</v>
      </c>
      <c r="BH63" s="255"/>
    </row>
    <row r="64" spans="1:60" x14ac:dyDescent="0.2">
      <c r="A64" s="653"/>
      <c r="B64" s="492" t="s">
        <v>158</v>
      </c>
      <c r="C64" s="656" t="s">
        <v>113</v>
      </c>
      <c r="D64" s="750" t="s">
        <v>50</v>
      </c>
      <c r="E64" s="358" t="str">
        <f>$S$10</f>
        <v>ventilatoren</v>
      </c>
      <c r="F64" s="359"/>
      <c r="G64" s="359"/>
      <c r="H64" s="358" t="s">
        <v>169</v>
      </c>
      <c r="I64" s="321"/>
      <c r="J64" s="323">
        <f t="shared" si="56"/>
        <v>0</v>
      </c>
      <c r="K64" s="142"/>
      <c r="L64" s="142"/>
      <c r="M64" s="323">
        <f t="shared" si="57"/>
        <v>0</v>
      </c>
      <c r="N64" s="321"/>
      <c r="O64" s="322">
        <f t="shared" ref="O64:W64" si="77">IFERROR(IF(OR(O$19="",O$42=""),0,
IF(INDEX(ventilatiesystemen_code_eenvoudig,MATCH(O$42,ventilatiesystemen_namen,0))="A",0,
IF(INDEX(ventilatiesystemen_code_eenvoudig,MATCH(O$42,ventilatiesystemen_namen,0))="C",VLOOKUP(O$43,ventilatorenergie_ventilatiesysteem_B_C,MATCH(O$21,ventilatorenergie_ventilatiesysteem_B_C_kopregel,0),FALSE),
VLOOKUP(O$43,ventilatorenergie_ventilatiesysteem_D,MATCH(O$21,ventilatorenergie_ventilatiesysteem_D_kopregel,0),FALSE)  ))),0)</f>
        <v>0</v>
      </c>
      <c r="P64" s="322">
        <f t="shared" si="77"/>
        <v>0</v>
      </c>
      <c r="Q64" s="322">
        <f t="shared" si="77"/>
        <v>0</v>
      </c>
      <c r="R64" s="322">
        <f t="shared" si="77"/>
        <v>0</v>
      </c>
      <c r="S64" s="322">
        <f t="shared" si="77"/>
        <v>0</v>
      </c>
      <c r="T64" s="322">
        <f t="shared" si="77"/>
        <v>0</v>
      </c>
      <c r="U64" s="322">
        <f t="shared" si="77"/>
        <v>0</v>
      </c>
      <c r="V64" s="322">
        <f t="shared" si="77"/>
        <v>0</v>
      </c>
      <c r="W64" s="322">
        <f t="shared" si="77"/>
        <v>0</v>
      </c>
      <c r="X64" s="142"/>
      <c r="Y64" s="323">
        <f t="shared" si="59"/>
        <v>0</v>
      </c>
      <c r="Z64" s="321"/>
      <c r="AA64" s="322">
        <f t="shared" ref="AA64:AI64" si="78">IFERROR(IF(OR(AA$19="",AA$42=""),0,
IF(INDEX(ventilatiesystemen_code_eenvoudig,MATCH(AA$42,ventilatiesystemen_namen,0))="A",0,
IF(INDEX(ventilatiesystemen_code_eenvoudig,MATCH(AA$42,ventilatiesystemen_namen,0))="C",VLOOKUP(AA$43,ventilatorenergie_ventilatiesysteem_B_C,MATCH(AA$21,ventilatorenergie_ventilatiesysteem_B_C_kopregel,0),FALSE),
VLOOKUP(AA$43,ventilatorenergie_ventilatiesysteem_D,MATCH(AA$21,ventilatorenergie_ventilatiesysteem_D_kopregel,0),FALSE)  ))),0)</f>
        <v>0</v>
      </c>
      <c r="AB64" s="322">
        <f t="shared" si="78"/>
        <v>0</v>
      </c>
      <c r="AC64" s="322">
        <f t="shared" si="78"/>
        <v>0</v>
      </c>
      <c r="AD64" s="322">
        <f t="shared" si="78"/>
        <v>0</v>
      </c>
      <c r="AE64" s="322">
        <f t="shared" si="78"/>
        <v>0</v>
      </c>
      <c r="AF64" s="322">
        <f t="shared" si="78"/>
        <v>0</v>
      </c>
      <c r="AG64" s="322">
        <f t="shared" si="78"/>
        <v>0</v>
      </c>
      <c r="AH64" s="322">
        <f t="shared" si="78"/>
        <v>0</v>
      </c>
      <c r="AI64" s="322">
        <f t="shared" si="78"/>
        <v>0</v>
      </c>
      <c r="AJ64" s="142"/>
      <c r="AK64" s="323">
        <f t="shared" si="61"/>
        <v>0</v>
      </c>
      <c r="AL64" s="321"/>
      <c r="AM64" s="322">
        <f t="shared" ref="AM64:AU64" si="79">IFERROR(IF(OR(AM$19="",AM$42=""),0,
IF(INDEX(ventilatiesystemen_code_eenvoudig,MATCH(AM$42,ventilatiesystemen_namen,0))="A",0,
IF(INDEX(ventilatiesystemen_code_eenvoudig,MATCH(AM$42,ventilatiesystemen_namen,0))="C",VLOOKUP(AM$43,ventilatorenergie_ventilatiesysteem_B_C,MATCH(AM$21,ventilatorenergie_ventilatiesysteem_B_C_kopregel,0),FALSE),
VLOOKUP(AM$43,ventilatorenergie_ventilatiesysteem_D,MATCH(AM$21,ventilatorenergie_ventilatiesysteem_D_kopregel,0),FALSE)  ))),0)</f>
        <v>0</v>
      </c>
      <c r="AN64" s="322">
        <f t="shared" si="79"/>
        <v>0</v>
      </c>
      <c r="AO64" s="322">
        <f t="shared" si="79"/>
        <v>0</v>
      </c>
      <c r="AP64" s="322">
        <f t="shared" si="79"/>
        <v>0</v>
      </c>
      <c r="AQ64" s="322">
        <f t="shared" si="79"/>
        <v>0</v>
      </c>
      <c r="AR64" s="322">
        <f t="shared" si="79"/>
        <v>0</v>
      </c>
      <c r="AS64" s="322">
        <f t="shared" si="79"/>
        <v>0</v>
      </c>
      <c r="AT64" s="322">
        <f t="shared" si="79"/>
        <v>0</v>
      </c>
      <c r="AU64" s="322">
        <f t="shared" si="79"/>
        <v>0</v>
      </c>
      <c r="AV64" s="142"/>
      <c r="AW64" s="323">
        <f t="shared" si="63"/>
        <v>0</v>
      </c>
      <c r="AX64" s="321"/>
      <c r="AY64" s="322">
        <f t="shared" ref="AY64:BG64" si="80">IFERROR(IF(OR(AY$19="",AY$42=""),0,
IF(INDEX(ventilatiesystemen_code_eenvoudig,MATCH(AY$42,ventilatiesystemen_namen,0))="A",0,
IF(INDEX(ventilatiesystemen_code_eenvoudig,MATCH(AY$42,ventilatiesystemen_namen,0))="C",VLOOKUP(AY$43,ventilatorenergie_ventilatiesysteem_B_C,MATCH(AY$21,ventilatorenergie_ventilatiesysteem_B_C_kopregel,0),FALSE),
VLOOKUP(AY$43,ventilatorenergie_ventilatiesysteem_D,MATCH(AY$21,ventilatorenergie_ventilatiesysteem_D_kopregel,0),FALSE)  ))),0)</f>
        <v>0</v>
      </c>
      <c r="AZ64" s="322">
        <f t="shared" si="80"/>
        <v>0</v>
      </c>
      <c r="BA64" s="322">
        <f t="shared" si="80"/>
        <v>0</v>
      </c>
      <c r="BB64" s="322">
        <f t="shared" si="80"/>
        <v>0</v>
      </c>
      <c r="BC64" s="322">
        <f t="shared" si="80"/>
        <v>0</v>
      </c>
      <c r="BD64" s="322">
        <f t="shared" si="80"/>
        <v>0</v>
      </c>
      <c r="BE64" s="322">
        <f t="shared" si="80"/>
        <v>0</v>
      </c>
      <c r="BF64" s="322">
        <f t="shared" si="80"/>
        <v>0</v>
      </c>
      <c r="BG64" s="322">
        <f t="shared" si="80"/>
        <v>0</v>
      </c>
      <c r="BH64" s="255"/>
    </row>
    <row r="65" spans="1:60" x14ac:dyDescent="0.2">
      <c r="A65" s="653"/>
      <c r="B65" s="492" t="s">
        <v>158</v>
      </c>
      <c r="C65" s="656" t="s">
        <v>113</v>
      </c>
      <c r="D65" s="750" t="s">
        <v>50</v>
      </c>
      <c r="E65" s="482" t="str">
        <f>$T$10</f>
        <v>kookgas</v>
      </c>
      <c r="F65" s="359"/>
      <c r="G65" s="359"/>
      <c r="H65" s="358" t="s">
        <v>169</v>
      </c>
      <c r="I65" s="321"/>
      <c r="J65" s="323">
        <f t="shared" si="56"/>
        <v>0</v>
      </c>
      <c r="K65" s="142"/>
      <c r="L65" s="142"/>
      <c r="M65" s="323">
        <f t="shared" si="57"/>
        <v>0</v>
      </c>
      <c r="N65" s="321"/>
      <c r="O65" s="322">
        <f t="shared" ref="O65:W65" si="81">IF(OR(O$19="",O$31=0,O$47=elektriciteit,AND(O$21&lt;&gt;woning,O$21&lt;&gt;woongebouw)),0,koken_gas/O$31)</f>
        <v>0</v>
      </c>
      <c r="P65" s="322">
        <f t="shared" si="81"/>
        <v>0</v>
      </c>
      <c r="Q65" s="322">
        <f t="shared" si="81"/>
        <v>0</v>
      </c>
      <c r="R65" s="322">
        <f t="shared" si="81"/>
        <v>0</v>
      </c>
      <c r="S65" s="322">
        <f t="shared" si="81"/>
        <v>0</v>
      </c>
      <c r="T65" s="322">
        <f t="shared" si="81"/>
        <v>0</v>
      </c>
      <c r="U65" s="322">
        <f t="shared" si="81"/>
        <v>0</v>
      </c>
      <c r="V65" s="322">
        <f t="shared" si="81"/>
        <v>0</v>
      </c>
      <c r="W65" s="322">
        <f t="shared" si="81"/>
        <v>0</v>
      </c>
      <c r="X65" s="142"/>
      <c r="Y65" s="323">
        <f t="shared" si="59"/>
        <v>0</v>
      </c>
      <c r="Z65" s="321"/>
      <c r="AA65" s="322">
        <f t="shared" ref="AA65:AI65" si="82">IF(OR(AA$19="",AA$31=0,AA$47=elektriciteit,AND(AA$21&lt;&gt;woning,AA$21&lt;&gt;woongebouw)),0,koken_gas/AA$31)</f>
        <v>0</v>
      </c>
      <c r="AB65" s="322">
        <f t="shared" si="82"/>
        <v>0</v>
      </c>
      <c r="AC65" s="322">
        <f t="shared" si="82"/>
        <v>0</v>
      </c>
      <c r="AD65" s="322">
        <f t="shared" si="82"/>
        <v>0</v>
      </c>
      <c r="AE65" s="322">
        <f t="shared" si="82"/>
        <v>0</v>
      </c>
      <c r="AF65" s="322">
        <f t="shared" si="82"/>
        <v>0</v>
      </c>
      <c r="AG65" s="322">
        <f t="shared" si="82"/>
        <v>0</v>
      </c>
      <c r="AH65" s="322">
        <f t="shared" si="82"/>
        <v>0</v>
      </c>
      <c r="AI65" s="322">
        <f t="shared" si="82"/>
        <v>0</v>
      </c>
      <c r="AJ65" s="142"/>
      <c r="AK65" s="323">
        <f t="shared" si="61"/>
        <v>0</v>
      </c>
      <c r="AL65" s="321"/>
      <c r="AM65" s="322">
        <f t="shared" ref="AM65:AU65" si="83">IF(OR(AM$19="",AM$31=0,AM$47=elektriciteit,AND(AM$21&lt;&gt;woning,AM$21&lt;&gt;woongebouw)),0,koken_gas/AM$31)</f>
        <v>0</v>
      </c>
      <c r="AN65" s="322">
        <f t="shared" si="83"/>
        <v>0</v>
      </c>
      <c r="AO65" s="322">
        <f t="shared" si="83"/>
        <v>0</v>
      </c>
      <c r="AP65" s="322">
        <f t="shared" si="83"/>
        <v>0</v>
      </c>
      <c r="AQ65" s="322">
        <f t="shared" si="83"/>
        <v>0</v>
      </c>
      <c r="AR65" s="322">
        <f t="shared" si="83"/>
        <v>0</v>
      </c>
      <c r="AS65" s="322">
        <f t="shared" si="83"/>
        <v>0</v>
      </c>
      <c r="AT65" s="322">
        <f t="shared" si="83"/>
        <v>0</v>
      </c>
      <c r="AU65" s="322">
        <f t="shared" si="83"/>
        <v>0</v>
      </c>
      <c r="AV65" s="142"/>
      <c r="AW65" s="323">
        <f t="shared" si="63"/>
        <v>0</v>
      </c>
      <c r="AX65" s="321"/>
      <c r="AY65" s="322">
        <f t="shared" ref="AY65:BG65" si="84">IF(OR(AY$19="",AY$31=0,AY$47=elektriciteit,AND(AY$21&lt;&gt;woning,AY$21&lt;&gt;woongebouw)),0,koken_gas/AY$31)</f>
        <v>0</v>
      </c>
      <c r="AZ65" s="322">
        <f t="shared" si="84"/>
        <v>0</v>
      </c>
      <c r="BA65" s="322">
        <f t="shared" si="84"/>
        <v>0</v>
      </c>
      <c r="BB65" s="322">
        <f t="shared" si="84"/>
        <v>0</v>
      </c>
      <c r="BC65" s="322">
        <f t="shared" si="84"/>
        <v>0</v>
      </c>
      <c r="BD65" s="322">
        <f t="shared" si="84"/>
        <v>0</v>
      </c>
      <c r="BE65" s="322">
        <f t="shared" si="84"/>
        <v>0</v>
      </c>
      <c r="BF65" s="322">
        <f t="shared" si="84"/>
        <v>0</v>
      </c>
      <c r="BG65" s="322">
        <f t="shared" si="84"/>
        <v>0</v>
      </c>
      <c r="BH65" s="255"/>
    </row>
    <row r="66" spans="1:60" x14ac:dyDescent="0.2">
      <c r="A66" s="653"/>
      <c r="B66" s="492" t="s">
        <v>158</v>
      </c>
      <c r="C66" s="656" t="s">
        <v>113</v>
      </c>
      <c r="D66" s="750" t="s">
        <v>50</v>
      </c>
      <c r="E66" s="358" t="str">
        <f>$U$10</f>
        <v>overig elektra</v>
      </c>
      <c r="F66" s="359"/>
      <c r="G66" s="359"/>
      <c r="H66" s="358" t="s">
        <v>169</v>
      </c>
      <c r="I66" s="321"/>
      <c r="J66" s="323">
        <f t="shared" si="56"/>
        <v>0</v>
      </c>
      <c r="K66" s="142"/>
      <c r="L66" s="142"/>
      <c r="M66" s="323">
        <f t="shared" si="57"/>
        <v>0</v>
      </c>
      <c r="N66" s="321"/>
      <c r="O66" s="322">
        <f t="shared" ref="O66:W66" si="85">IF(O$19="",0,
IF(OR(O$21=woning,O$21=woongebouw),(1-O$48)*niet_gebouwgebonden_elektriciteitgebruik_woningen_per_m2+IF(O$47=elektriciteit,koken_elektriciteit/O$31,0),
(1-O$48)*INDEX(specifiek_niet_gebouwgebonden_elektriciteitsgebruik_waarden,MATCH(O$21,specifiek_niet_gebouwgebonden_elektriciteitsgebruik_gebruiksfuncties,0))))</f>
        <v>0</v>
      </c>
      <c r="P66" s="322">
        <f t="shared" si="85"/>
        <v>0</v>
      </c>
      <c r="Q66" s="322">
        <f t="shared" si="85"/>
        <v>0</v>
      </c>
      <c r="R66" s="322">
        <f t="shared" si="85"/>
        <v>0</v>
      </c>
      <c r="S66" s="322">
        <f t="shared" si="85"/>
        <v>0</v>
      </c>
      <c r="T66" s="322">
        <f t="shared" si="85"/>
        <v>0</v>
      </c>
      <c r="U66" s="322">
        <f t="shared" si="85"/>
        <v>0</v>
      </c>
      <c r="V66" s="322">
        <f t="shared" si="85"/>
        <v>0</v>
      </c>
      <c r="W66" s="322">
        <f t="shared" si="85"/>
        <v>0</v>
      </c>
      <c r="X66" s="142"/>
      <c r="Y66" s="323">
        <f t="shared" si="59"/>
        <v>0</v>
      </c>
      <c r="Z66" s="321"/>
      <c r="AA66" s="322">
        <f t="shared" ref="AA66:AI66" si="86">IF(AA$19="",0,
IF(OR(AA$21=woning,AA$21=woongebouw),(1-AA$48)*niet_gebouwgebonden_elektriciteitgebruik_woningen_per_m2+IF(AA$47=elektriciteit,koken_elektriciteit/AA$31,0),
(1-AA$48)*INDEX(specifiek_niet_gebouwgebonden_elektriciteitsgebruik_waarden,MATCH(AA$21,specifiek_niet_gebouwgebonden_elektriciteitsgebruik_gebruiksfuncties,0))))</f>
        <v>0</v>
      </c>
      <c r="AB66" s="322">
        <f t="shared" si="86"/>
        <v>0</v>
      </c>
      <c r="AC66" s="322">
        <f t="shared" si="86"/>
        <v>0</v>
      </c>
      <c r="AD66" s="322">
        <f t="shared" si="86"/>
        <v>0</v>
      </c>
      <c r="AE66" s="322">
        <f t="shared" si="86"/>
        <v>0</v>
      </c>
      <c r="AF66" s="322">
        <f t="shared" si="86"/>
        <v>0</v>
      </c>
      <c r="AG66" s="322">
        <f t="shared" si="86"/>
        <v>0</v>
      </c>
      <c r="AH66" s="322">
        <f t="shared" si="86"/>
        <v>0</v>
      </c>
      <c r="AI66" s="322">
        <f t="shared" si="86"/>
        <v>0</v>
      </c>
      <c r="AJ66" s="142"/>
      <c r="AK66" s="323">
        <f t="shared" si="61"/>
        <v>0</v>
      </c>
      <c r="AL66" s="321"/>
      <c r="AM66" s="322">
        <f t="shared" ref="AM66:AU66" si="87">IF(AM$19="",0,
IF(OR(AM$21=woning,AM$21=woongebouw),(1-AM$48)*niet_gebouwgebonden_elektriciteitgebruik_woningen_per_m2+IF(AM$47=elektriciteit,koken_elektriciteit/AM$31,0),
(1-AM$48)*INDEX(specifiek_niet_gebouwgebonden_elektriciteitsgebruik_waarden,MATCH(AM$21,specifiek_niet_gebouwgebonden_elektriciteitsgebruik_gebruiksfuncties,0))))</f>
        <v>0</v>
      </c>
      <c r="AN66" s="322">
        <f t="shared" si="87"/>
        <v>0</v>
      </c>
      <c r="AO66" s="322">
        <f t="shared" si="87"/>
        <v>0</v>
      </c>
      <c r="AP66" s="322">
        <f t="shared" si="87"/>
        <v>0</v>
      </c>
      <c r="AQ66" s="322">
        <f t="shared" si="87"/>
        <v>0</v>
      </c>
      <c r="AR66" s="322">
        <f t="shared" si="87"/>
        <v>0</v>
      </c>
      <c r="AS66" s="322">
        <f t="shared" si="87"/>
        <v>0</v>
      </c>
      <c r="AT66" s="322">
        <f t="shared" si="87"/>
        <v>0</v>
      </c>
      <c r="AU66" s="322">
        <f t="shared" si="87"/>
        <v>0</v>
      </c>
      <c r="AV66" s="142"/>
      <c r="AW66" s="323">
        <f t="shared" si="63"/>
        <v>0</v>
      </c>
      <c r="AX66" s="321"/>
      <c r="AY66" s="322">
        <f t="shared" ref="AY66:BG66" si="88">IF(AY$19="",0,
IF(OR(AY$21=woning,AY$21=woongebouw),(1-AY$48)*niet_gebouwgebonden_elektriciteitgebruik_woningen_per_m2+IF(AY$47=elektriciteit,koken_elektriciteit/AY$31,0),
(1-AY$48)*INDEX(specifiek_niet_gebouwgebonden_elektriciteitsgebruik_waarden,MATCH(AY$21,specifiek_niet_gebouwgebonden_elektriciteitsgebruik_gebruiksfuncties,0))))</f>
        <v>0</v>
      </c>
      <c r="AZ66" s="322">
        <f t="shared" si="88"/>
        <v>0</v>
      </c>
      <c r="BA66" s="322">
        <f t="shared" si="88"/>
        <v>0</v>
      </c>
      <c r="BB66" s="322">
        <f t="shared" si="88"/>
        <v>0</v>
      </c>
      <c r="BC66" s="322">
        <f t="shared" si="88"/>
        <v>0</v>
      </c>
      <c r="BD66" s="322">
        <f t="shared" si="88"/>
        <v>0</v>
      </c>
      <c r="BE66" s="322">
        <f t="shared" si="88"/>
        <v>0</v>
      </c>
      <c r="BF66" s="322">
        <f t="shared" si="88"/>
        <v>0</v>
      </c>
      <c r="BG66" s="322">
        <f t="shared" si="88"/>
        <v>0</v>
      </c>
      <c r="BH66" s="255"/>
    </row>
    <row r="67" spans="1:60" ht="18.75" x14ac:dyDescent="0.2">
      <c r="A67" s="653"/>
      <c r="B67" s="492" t="s">
        <v>158</v>
      </c>
      <c r="C67" s="739" t="s">
        <v>104</v>
      </c>
      <c r="D67" s="750"/>
      <c r="E67" s="166" t="s">
        <v>170</v>
      </c>
      <c r="F67" s="167"/>
      <c r="G67" s="167"/>
      <c r="H67" s="168"/>
      <c r="I67" s="169"/>
      <c r="J67" s="170"/>
      <c r="K67" s="142"/>
      <c r="L67" s="142"/>
      <c r="M67" s="172"/>
      <c r="N67" s="172"/>
      <c r="O67" s="172"/>
      <c r="P67" s="172"/>
      <c r="Q67" s="172"/>
      <c r="R67" s="172"/>
      <c r="S67" s="172"/>
      <c r="T67" s="172"/>
      <c r="U67" s="172"/>
      <c r="V67" s="172"/>
      <c r="W67" s="172"/>
      <c r="X67" s="173"/>
      <c r="Y67" s="172"/>
      <c r="Z67" s="172"/>
      <c r="AA67" s="172"/>
      <c r="AB67" s="172"/>
      <c r="AC67" s="172"/>
      <c r="AD67" s="172"/>
      <c r="AE67" s="172"/>
      <c r="AF67" s="172"/>
      <c r="AG67" s="172"/>
      <c r="AH67" s="172"/>
      <c r="AI67" s="172"/>
      <c r="AJ67" s="173"/>
      <c r="AK67" s="172"/>
      <c r="AL67" s="172"/>
      <c r="AM67" s="172"/>
      <c r="AN67" s="172"/>
      <c r="AO67" s="172"/>
      <c r="AP67" s="172"/>
      <c r="AQ67" s="172"/>
      <c r="AR67" s="172"/>
      <c r="AS67" s="172"/>
      <c r="AT67" s="172"/>
      <c r="AU67" s="172"/>
      <c r="AV67" s="173"/>
      <c r="AW67" s="172"/>
      <c r="AX67" s="172"/>
      <c r="AY67" s="172"/>
      <c r="AZ67" s="172"/>
      <c r="BA67" s="172"/>
      <c r="BB67" s="172"/>
      <c r="BC67" s="172"/>
      <c r="BD67" s="172"/>
      <c r="BE67" s="172"/>
      <c r="BF67" s="172"/>
      <c r="BG67" s="172"/>
      <c r="BH67" s="263"/>
    </row>
    <row r="68" spans="1:60" x14ac:dyDescent="0.2">
      <c r="A68" s="653"/>
      <c r="B68" s="492" t="s">
        <v>158</v>
      </c>
      <c r="C68" s="656" t="s">
        <v>127</v>
      </c>
      <c r="D68" s="750" t="s">
        <v>50</v>
      </c>
      <c r="E68" s="358" t="str">
        <f>$V$10</f>
        <v>mobiliteit</v>
      </c>
      <c r="F68" s="359"/>
      <c r="G68" s="359"/>
      <c r="H68" s="358" t="s">
        <v>171</v>
      </c>
      <c r="I68" s="321"/>
      <c r="J68" s="323">
        <f>M68+Y68+AK68+AW68</f>
        <v>0</v>
      </c>
      <c r="K68" s="142"/>
      <c r="L68" s="142"/>
      <c r="M68" s="323">
        <f>SUMPRODUCT(N$24:X$24,N68:X68)/1000</f>
        <v>0</v>
      </c>
      <c r="N68" s="321"/>
      <c r="O68" s="449"/>
      <c r="P68" s="449"/>
      <c r="Q68" s="449"/>
      <c r="R68" s="449"/>
      <c r="S68" s="449"/>
      <c r="T68" s="449"/>
      <c r="U68" s="449"/>
      <c r="V68" s="449"/>
      <c r="W68" s="449"/>
      <c r="X68" s="142"/>
      <c r="Y68" s="323">
        <f>SUMPRODUCT(Z$24:AJ$24,Z68:AJ68)/1000</f>
        <v>0</v>
      </c>
      <c r="Z68" s="321"/>
      <c r="AA68" s="449"/>
      <c r="AB68" s="449"/>
      <c r="AC68" s="449"/>
      <c r="AD68" s="449"/>
      <c r="AE68" s="449"/>
      <c r="AF68" s="449"/>
      <c r="AG68" s="449"/>
      <c r="AH68" s="449"/>
      <c r="AI68" s="449"/>
      <c r="AJ68" s="142"/>
      <c r="AK68" s="323">
        <f>SUMPRODUCT(AL$24:AV$24,AL68:AV68)/1000</f>
        <v>0</v>
      </c>
      <c r="AL68" s="321"/>
      <c r="AM68" s="449"/>
      <c r="AN68" s="449"/>
      <c r="AO68" s="449"/>
      <c r="AP68" s="449"/>
      <c r="AQ68" s="449"/>
      <c r="AR68" s="449"/>
      <c r="AS68" s="449"/>
      <c r="AT68" s="449"/>
      <c r="AU68" s="449"/>
      <c r="AV68" s="142"/>
      <c r="AW68" s="323">
        <f>SUMPRODUCT(AX$24:BH$24,AX68:BH68)/1000</f>
        <v>0</v>
      </c>
      <c r="AX68" s="321"/>
      <c r="AY68" s="449"/>
      <c r="AZ68" s="449"/>
      <c r="BA68" s="449"/>
      <c r="BB68" s="449"/>
      <c r="BC68" s="449"/>
      <c r="BD68" s="449"/>
      <c r="BE68" s="449"/>
      <c r="BF68" s="449"/>
      <c r="BG68" s="449"/>
      <c r="BH68" s="255"/>
    </row>
    <row r="69" spans="1:60" ht="18.75" x14ac:dyDescent="0.2">
      <c r="A69" s="648"/>
      <c r="B69" s="492" t="s">
        <v>158</v>
      </c>
      <c r="C69" s="739" t="s">
        <v>104</v>
      </c>
      <c r="D69" s="750"/>
      <c r="E69" s="915" t="s">
        <v>172</v>
      </c>
      <c r="F69" s="916"/>
      <c r="G69" s="916"/>
      <c r="H69" s="168"/>
      <c r="I69" s="169"/>
      <c r="J69" s="170"/>
      <c r="K69" s="171"/>
      <c r="L69" s="171"/>
      <c r="M69" s="172"/>
      <c r="N69" s="172"/>
      <c r="O69" s="172"/>
      <c r="P69" s="172"/>
      <c r="Q69" s="172"/>
      <c r="R69" s="172"/>
      <c r="S69" s="172"/>
      <c r="T69" s="172"/>
      <c r="U69" s="172"/>
      <c r="V69" s="172"/>
      <c r="W69" s="172"/>
      <c r="X69" s="173"/>
      <c r="Y69" s="172"/>
      <c r="Z69" s="172"/>
      <c r="AA69" s="172"/>
      <c r="AB69" s="172"/>
      <c r="AC69" s="172"/>
      <c r="AD69" s="172"/>
      <c r="AE69" s="172"/>
      <c r="AF69" s="172"/>
      <c r="AG69" s="172"/>
      <c r="AH69" s="172"/>
      <c r="AI69" s="172"/>
      <c r="AJ69" s="173"/>
      <c r="AK69" s="172"/>
      <c r="AL69" s="172"/>
      <c r="AM69" s="172"/>
      <c r="AN69" s="172"/>
      <c r="AO69" s="172"/>
      <c r="AP69" s="172"/>
      <c r="AQ69" s="172"/>
      <c r="AR69" s="172"/>
      <c r="AS69" s="172"/>
      <c r="AT69" s="172"/>
      <c r="AU69" s="172"/>
      <c r="AV69" s="173"/>
      <c r="AW69" s="172"/>
      <c r="AX69" s="172"/>
      <c r="AY69" s="172"/>
      <c r="AZ69" s="172"/>
      <c r="BA69" s="172"/>
      <c r="BB69" s="172"/>
      <c r="BC69" s="172"/>
      <c r="BD69" s="172"/>
      <c r="BE69" s="172"/>
      <c r="BF69" s="172"/>
      <c r="BG69" s="172"/>
      <c r="BH69" s="263"/>
    </row>
    <row r="70" spans="1:60" x14ac:dyDescent="0.2">
      <c r="A70" s="648"/>
      <c r="B70" s="492" t="s">
        <v>158</v>
      </c>
      <c r="C70" s="656" t="s">
        <v>127</v>
      </c>
      <c r="D70" s="750" t="s">
        <v>50</v>
      </c>
      <c r="E70" s="358" t="s">
        <v>173</v>
      </c>
      <c r="F70" s="359"/>
      <c r="G70" s="359"/>
      <c r="H70" s="358" t="s">
        <v>171</v>
      </c>
      <c r="I70" s="321"/>
      <c r="J70" s="323">
        <f>M70+Y70+AK70+AW70</f>
        <v>0</v>
      </c>
      <c r="K70" s="142"/>
      <c r="L70" s="142"/>
      <c r="M70" s="323">
        <f>SUMPRODUCT(N$24:X$24,N70:X70)/1000</f>
        <v>0</v>
      </c>
      <c r="N70" s="321"/>
      <c r="O70" s="449"/>
      <c r="P70" s="449"/>
      <c r="Q70" s="449"/>
      <c r="R70" s="449"/>
      <c r="S70" s="449"/>
      <c r="T70" s="449"/>
      <c r="U70" s="449"/>
      <c r="V70" s="449"/>
      <c r="W70" s="449"/>
      <c r="X70" s="142"/>
      <c r="Y70" s="323">
        <f>SUMPRODUCT(Z$24:AJ$24,Z70:AJ70)/1000</f>
        <v>0</v>
      </c>
      <c r="Z70" s="321"/>
      <c r="AA70" s="449"/>
      <c r="AB70" s="449"/>
      <c r="AC70" s="449"/>
      <c r="AD70" s="449"/>
      <c r="AE70" s="449"/>
      <c r="AF70" s="449"/>
      <c r="AG70" s="449"/>
      <c r="AH70" s="449"/>
      <c r="AI70" s="449"/>
      <c r="AJ70" s="142"/>
      <c r="AK70" s="323">
        <f>SUMPRODUCT(AL$24:AV$24,AL70:AV70)/1000</f>
        <v>0</v>
      </c>
      <c r="AL70" s="321"/>
      <c r="AM70" s="449"/>
      <c r="AN70" s="449"/>
      <c r="AO70" s="449"/>
      <c r="AP70" s="449"/>
      <c r="AQ70" s="449"/>
      <c r="AR70" s="449"/>
      <c r="AS70" s="449"/>
      <c r="AT70" s="449"/>
      <c r="AU70" s="449"/>
      <c r="AV70" s="142"/>
      <c r="AW70" s="323">
        <f>SUMPRODUCT(AX$24:BH$24,AX70:BH70)/1000</f>
        <v>0</v>
      </c>
      <c r="AX70" s="321"/>
      <c r="AY70" s="449"/>
      <c r="AZ70" s="449"/>
      <c r="BA70" s="449"/>
      <c r="BB70" s="449"/>
      <c r="BC70" s="449"/>
      <c r="BD70" s="449"/>
      <c r="BE70" s="449"/>
      <c r="BF70" s="449"/>
      <c r="BG70" s="449"/>
      <c r="BH70" s="255"/>
    </row>
    <row r="71" spans="1:60" x14ac:dyDescent="0.2">
      <c r="A71" s="648"/>
      <c r="B71" s="492" t="s">
        <v>158</v>
      </c>
      <c r="C71" s="656" t="s">
        <v>127</v>
      </c>
      <c r="D71" s="747"/>
      <c r="E71" s="90"/>
      <c r="F71" s="90"/>
      <c r="G71" s="90"/>
      <c r="H71" s="96"/>
      <c r="I71" s="90"/>
      <c r="J71" s="93"/>
      <c r="K71" s="90"/>
      <c r="L71" s="90"/>
      <c r="M71" s="93"/>
      <c r="N71" s="90"/>
      <c r="O71" s="117"/>
      <c r="P71" s="93"/>
      <c r="Q71" s="117"/>
      <c r="R71" s="117"/>
      <c r="S71" s="117"/>
      <c r="T71" s="117"/>
      <c r="U71" s="117"/>
      <c r="V71" s="117"/>
      <c r="W71" s="117"/>
      <c r="X71" s="93"/>
      <c r="Y71" s="93"/>
      <c r="Z71" s="90"/>
      <c r="AA71" s="117"/>
      <c r="AB71" s="93"/>
      <c r="AC71" s="117"/>
      <c r="AD71" s="117"/>
      <c r="AE71" s="117"/>
      <c r="AF71" s="117"/>
      <c r="AG71" s="117"/>
      <c r="AH71" s="117"/>
      <c r="AI71" s="117"/>
      <c r="AJ71" s="93"/>
      <c r="AK71" s="93"/>
      <c r="AL71" s="90"/>
      <c r="AM71" s="117"/>
      <c r="AN71" s="93"/>
      <c r="AO71" s="117"/>
      <c r="AP71" s="117"/>
      <c r="AQ71" s="117"/>
      <c r="AR71" s="117"/>
      <c r="AS71" s="117"/>
      <c r="AT71" s="117"/>
      <c r="AU71" s="117"/>
      <c r="AV71" s="93"/>
      <c r="AW71" s="93"/>
      <c r="AX71" s="90"/>
      <c r="AY71" s="93"/>
      <c r="AZ71" s="93"/>
      <c r="BA71" s="93"/>
      <c r="BB71" s="93"/>
      <c r="BC71" s="93"/>
      <c r="BD71" s="93"/>
      <c r="BE71" s="93"/>
      <c r="BF71" s="93"/>
      <c r="BG71" s="93"/>
      <c r="BH71" s="1"/>
    </row>
    <row r="72" spans="1:60" x14ac:dyDescent="0.2">
      <c r="A72" s="648"/>
      <c r="B72" s="492" t="s">
        <v>158</v>
      </c>
      <c r="C72" s="656" t="s">
        <v>104</v>
      </c>
      <c r="D72" s="747"/>
      <c r="E72" s="90"/>
      <c r="F72" s="90"/>
      <c r="G72" s="90"/>
      <c r="H72" s="96"/>
      <c r="I72" s="90"/>
      <c r="J72" s="93"/>
      <c r="K72" s="90"/>
      <c r="L72" s="90"/>
      <c r="M72" s="93"/>
      <c r="N72" s="90"/>
      <c r="O72" s="117"/>
      <c r="P72" s="93"/>
      <c r="Q72" s="117"/>
      <c r="R72" s="117"/>
      <c r="S72" s="117"/>
      <c r="T72" s="117"/>
      <c r="U72" s="117"/>
      <c r="V72" s="117"/>
      <c r="W72" s="117"/>
      <c r="X72" s="93"/>
      <c r="Y72" s="93"/>
      <c r="Z72" s="90"/>
      <c r="AA72" s="117"/>
      <c r="AB72" s="93"/>
      <c r="AC72" s="117"/>
      <c r="AD72" s="117"/>
      <c r="AE72" s="117"/>
      <c r="AF72" s="117"/>
      <c r="AG72" s="117"/>
      <c r="AH72" s="117"/>
      <c r="AI72" s="117"/>
      <c r="AJ72" s="93"/>
      <c r="AK72" s="93"/>
      <c r="AL72" s="90"/>
      <c r="AM72" s="117"/>
      <c r="AN72" s="93"/>
      <c r="AO72" s="117"/>
      <c r="AP72" s="117"/>
      <c r="AQ72" s="117"/>
      <c r="AR72" s="117"/>
      <c r="AS72" s="117"/>
      <c r="AT72" s="117"/>
      <c r="AU72" s="117"/>
      <c r="AV72" s="93"/>
      <c r="AW72" s="93"/>
      <c r="AX72" s="90"/>
      <c r="AY72" s="93"/>
      <c r="AZ72" s="93"/>
      <c r="BA72" s="93"/>
      <c r="BB72" s="93"/>
      <c r="BC72" s="93"/>
      <c r="BD72" s="93"/>
      <c r="BE72" s="93"/>
      <c r="BF72" s="93"/>
      <c r="BG72" s="93"/>
      <c r="BH72" s="1"/>
    </row>
    <row r="73" spans="1:60" ht="21" x14ac:dyDescent="0.2">
      <c r="A73" s="648"/>
      <c r="B73" s="492" t="s">
        <v>158</v>
      </c>
      <c r="C73" s="739" t="s">
        <v>104</v>
      </c>
      <c r="D73" s="752"/>
      <c r="E73" s="240" t="s">
        <v>174</v>
      </c>
      <c r="F73" s="240"/>
      <c r="G73" s="240"/>
      <c r="H73" s="240"/>
      <c r="I73" s="88"/>
      <c r="J73" s="241" t="str">
        <f>J$10&amp;" MWh"</f>
        <v>totaal MWh</v>
      </c>
      <c r="K73" s="142"/>
      <c r="L73" s="142"/>
      <c r="M73" s="216" t="str">
        <f>M$10&amp;" MWh"</f>
        <v>totaal MWh</v>
      </c>
      <c r="N73" s="222"/>
      <c r="O73" s="217" t="str">
        <f t="shared" ref="O73:W73" si="89">O$10</f>
        <v>verwarming</v>
      </c>
      <c r="P73" s="217" t="str">
        <f t="shared" si="89"/>
        <v>koeling</v>
      </c>
      <c r="Q73" s="217" t="str">
        <f t="shared" si="89"/>
        <v>tapwater</v>
      </c>
      <c r="R73" s="217" t="str">
        <f t="shared" si="89"/>
        <v>verlichting</v>
      </c>
      <c r="S73" s="217" t="str">
        <f t="shared" si="89"/>
        <v>ventilatoren</v>
      </c>
      <c r="T73" s="217" t="str">
        <f t="shared" si="89"/>
        <v>kookgas</v>
      </c>
      <c r="U73" s="217" t="str">
        <f t="shared" si="89"/>
        <v>overig elektra</v>
      </c>
      <c r="V73" s="217" t="str">
        <f t="shared" si="89"/>
        <v>mobiliteit</v>
      </c>
      <c r="W73" s="217" t="str">
        <f t="shared" si="89"/>
        <v>zonnepanelen</v>
      </c>
      <c r="X73" s="214"/>
      <c r="Y73" s="216" t="str">
        <f>Y$10&amp;" MWh"</f>
        <v>totaal MWh</v>
      </c>
      <c r="Z73" s="222"/>
      <c r="AA73" s="217" t="str">
        <f t="shared" ref="AA73:AI73" si="90">AA$10</f>
        <v>verwarming</v>
      </c>
      <c r="AB73" s="217" t="str">
        <f t="shared" si="90"/>
        <v>koeling</v>
      </c>
      <c r="AC73" s="217" t="str">
        <f t="shared" si="90"/>
        <v>tapwater</v>
      </c>
      <c r="AD73" s="217" t="str">
        <f t="shared" si="90"/>
        <v>verlichting</v>
      </c>
      <c r="AE73" s="217" t="str">
        <f t="shared" si="90"/>
        <v>ventilatoren</v>
      </c>
      <c r="AF73" s="217" t="str">
        <f t="shared" si="90"/>
        <v>kookgas</v>
      </c>
      <c r="AG73" s="217" t="str">
        <f t="shared" si="90"/>
        <v>overig elektra</v>
      </c>
      <c r="AH73" s="217" t="str">
        <f t="shared" si="90"/>
        <v>mobiliteit</v>
      </c>
      <c r="AI73" s="217" t="str">
        <f t="shared" si="90"/>
        <v>zonnepanelen</v>
      </c>
      <c r="AJ73" s="214"/>
      <c r="AK73" s="216" t="str">
        <f>AK$10&amp;" MWh"</f>
        <v>totaal MWh</v>
      </c>
      <c r="AL73" s="222"/>
      <c r="AM73" s="217" t="str">
        <f>AM$10</f>
        <v>verwarming</v>
      </c>
      <c r="AN73" s="217" t="str">
        <f t="shared" ref="AN73:AU73" si="91">AN$10</f>
        <v>koeling</v>
      </c>
      <c r="AO73" s="217" t="str">
        <f t="shared" si="91"/>
        <v>tapwater</v>
      </c>
      <c r="AP73" s="217" t="str">
        <f t="shared" si="91"/>
        <v>verlichting</v>
      </c>
      <c r="AQ73" s="217" t="str">
        <f t="shared" si="91"/>
        <v>ventilatoren</v>
      </c>
      <c r="AR73" s="217" t="str">
        <f t="shared" si="91"/>
        <v>kookgas</v>
      </c>
      <c r="AS73" s="217" t="str">
        <f t="shared" si="91"/>
        <v>overig elektra</v>
      </c>
      <c r="AT73" s="217" t="str">
        <f t="shared" si="91"/>
        <v>mobiliteit</v>
      </c>
      <c r="AU73" s="217" t="str">
        <f t="shared" si="91"/>
        <v>zonnepanelen</v>
      </c>
      <c r="AV73" s="214"/>
      <c r="AW73" s="216" t="str">
        <f>AW$10&amp;" MWh"</f>
        <v>totaal MWh</v>
      </c>
      <c r="AX73" s="222"/>
      <c r="AY73" s="217" t="str">
        <f>AY$10</f>
        <v>verwarming</v>
      </c>
      <c r="AZ73" s="217" t="str">
        <f t="shared" ref="AZ73:BG73" si="92">AZ$10</f>
        <v>koeling</v>
      </c>
      <c r="BA73" s="217" t="str">
        <f t="shared" si="92"/>
        <v>tapwater</v>
      </c>
      <c r="BB73" s="217" t="str">
        <f t="shared" si="92"/>
        <v>verlichting</v>
      </c>
      <c r="BC73" s="217" t="str">
        <f t="shared" si="92"/>
        <v>ventilatoren</v>
      </c>
      <c r="BD73" s="217" t="str">
        <f t="shared" si="92"/>
        <v>kookgas</v>
      </c>
      <c r="BE73" s="217" t="str">
        <f t="shared" si="92"/>
        <v>overig elektra</v>
      </c>
      <c r="BF73" s="217" t="str">
        <f t="shared" si="92"/>
        <v>mobiliteit</v>
      </c>
      <c r="BG73" s="217" t="str">
        <f t="shared" si="92"/>
        <v>zonnepanelen</v>
      </c>
      <c r="BH73" s="1"/>
    </row>
    <row r="74" spans="1:60" ht="18.75" x14ac:dyDescent="0.2">
      <c r="A74" s="648"/>
      <c r="B74" s="492" t="s">
        <v>158</v>
      </c>
      <c r="C74" s="739" t="s">
        <v>104</v>
      </c>
      <c r="D74" s="750"/>
      <c r="E74" s="174" t="s">
        <v>175</v>
      </c>
      <c r="F74" s="175"/>
      <c r="G74" s="175"/>
      <c r="H74" s="176"/>
      <c r="I74" s="177"/>
      <c r="J74" s="141"/>
      <c r="K74" s="178"/>
      <c r="L74" s="178"/>
      <c r="M74" s="141"/>
      <c r="N74" s="141"/>
      <c r="O74" s="141"/>
      <c r="P74" s="141"/>
      <c r="Q74" s="141"/>
      <c r="R74" s="141"/>
      <c r="S74" s="141"/>
      <c r="T74" s="141"/>
      <c r="U74" s="141"/>
      <c r="V74" s="141"/>
      <c r="W74" s="141"/>
      <c r="X74" s="179"/>
      <c r="Y74" s="141"/>
      <c r="Z74" s="141"/>
      <c r="AA74" s="141"/>
      <c r="AB74" s="141"/>
      <c r="AC74" s="141"/>
      <c r="AD74" s="141"/>
      <c r="AE74" s="141"/>
      <c r="AF74" s="141"/>
      <c r="AG74" s="141"/>
      <c r="AH74" s="141"/>
      <c r="AI74" s="141"/>
      <c r="AJ74" s="179"/>
      <c r="AK74" s="141"/>
      <c r="AL74" s="141"/>
      <c r="AM74" s="141"/>
      <c r="AN74" s="141"/>
      <c r="AO74" s="141"/>
      <c r="AP74" s="141"/>
      <c r="AQ74" s="141"/>
      <c r="AR74" s="141"/>
      <c r="AS74" s="141"/>
      <c r="AT74" s="141"/>
      <c r="AU74" s="141"/>
      <c r="AV74" s="179"/>
      <c r="AW74" s="141"/>
      <c r="AX74" s="141"/>
      <c r="AY74" s="141"/>
      <c r="AZ74" s="141"/>
      <c r="BA74" s="141"/>
      <c r="BB74" s="141"/>
      <c r="BC74" s="141"/>
      <c r="BD74" s="141"/>
      <c r="BE74" s="141"/>
      <c r="BF74" s="141"/>
      <c r="BG74" s="141"/>
      <c r="BH74" s="263"/>
    </row>
    <row r="75" spans="1:60" x14ac:dyDescent="0.2">
      <c r="A75" s="648"/>
      <c r="B75" s="492" t="s">
        <v>158</v>
      </c>
      <c r="C75" s="656" t="s">
        <v>113</v>
      </c>
      <c r="D75" s="750" t="s">
        <v>50</v>
      </c>
      <c r="E75" s="358" t="s">
        <v>176</v>
      </c>
      <c r="F75" s="359"/>
      <c r="G75" s="359"/>
      <c r="H75" s="358" t="s">
        <v>177</v>
      </c>
      <c r="I75" s="321"/>
      <c r="J75" s="323">
        <f>M75+Y75+AK75+AW75</f>
        <v>0</v>
      </c>
      <c r="K75" s="142"/>
      <c r="L75" s="142"/>
      <c r="M75" s="323">
        <f>SUM(N75:X75)</f>
        <v>0</v>
      </c>
      <c r="N75" s="321"/>
      <c r="O75" s="322">
        <f>SUMPRODUCT(N24:X24,N31:X31,N60:X60)/1000</f>
        <v>0</v>
      </c>
      <c r="P75" s="322">
        <f>SUMPRODUCT(N24:X24,N31:X31,N61:X61)/1000</f>
        <v>0</v>
      </c>
      <c r="Q75" s="322">
        <f>SUMPRODUCT(N24:X24,N31:X31,N62:X62)/1000</f>
        <v>0</v>
      </c>
      <c r="R75" s="322">
        <f>SUMPRODUCT(N24:X24,N31:X31,N63:X63)/1000</f>
        <v>0</v>
      </c>
      <c r="S75" s="322">
        <f>SUMPRODUCT(N24:X24,N31:X31,N64:X64)/1000</f>
        <v>0</v>
      </c>
      <c r="T75" s="322">
        <f>SUMPRODUCT(N24:X24,N31:X31,N65:X65)/1000</f>
        <v>0</v>
      </c>
      <c r="U75" s="322">
        <f>SUMPRODUCT(N24:X24,N31:X31,N66:X66)/1000</f>
        <v>0</v>
      </c>
      <c r="V75" s="322">
        <f>SUMPRODUCT(N24:X24,N68:X68)/1000</f>
        <v>0</v>
      </c>
      <c r="W75" s="322">
        <f>-SUMPRODUCT(N24:X24,N70:X70)/1000</f>
        <v>0</v>
      </c>
      <c r="X75" s="142"/>
      <c r="Y75" s="323">
        <f>SUM(Z75:AJ75)</f>
        <v>0</v>
      </c>
      <c r="Z75" s="321"/>
      <c r="AA75" s="322">
        <f>SUMPRODUCT(Z24:AJ24,Z31:AJ31,Z60:AJ60)/1000</f>
        <v>0</v>
      </c>
      <c r="AB75" s="322">
        <f>SUMPRODUCT(Z24:AJ24,Z31:AJ31,Z61:AJ61)/1000</f>
        <v>0</v>
      </c>
      <c r="AC75" s="322">
        <f>SUMPRODUCT(Z24:AJ24,Z31:AJ31,Z62:AJ62)/1000</f>
        <v>0</v>
      </c>
      <c r="AD75" s="322">
        <f>SUMPRODUCT(Z24:AJ24,Z31:AJ31,Z63:AJ63)/1000</f>
        <v>0</v>
      </c>
      <c r="AE75" s="322">
        <f>SUMPRODUCT(Z24:AJ24,Z31:AJ31,Z64:AJ64)/1000</f>
        <v>0</v>
      </c>
      <c r="AF75" s="322">
        <f>SUMPRODUCT(Z24:AJ24,Z31:AJ31,Z65:AJ65)/1000</f>
        <v>0</v>
      </c>
      <c r="AG75" s="322">
        <f>SUMPRODUCT(Z24:AJ24,Z31:AJ31,Z66:AJ66)/1000</f>
        <v>0</v>
      </c>
      <c r="AH75" s="322">
        <f>SUMPRODUCT(Z24:AJ24,Z68:AJ68)/1000</f>
        <v>0</v>
      </c>
      <c r="AI75" s="322">
        <f>-SUMPRODUCT(Z24:AJ24,Z70:AJ70)/1000</f>
        <v>0</v>
      </c>
      <c r="AJ75" s="142"/>
      <c r="AK75" s="323">
        <f>SUM(AL75:AV75)</f>
        <v>0</v>
      </c>
      <c r="AL75" s="321"/>
      <c r="AM75" s="322">
        <f>SUMPRODUCT(AL24:AV24,AL31:AV31,AL60:AV60)/1000</f>
        <v>0</v>
      </c>
      <c r="AN75" s="322">
        <f>SUMPRODUCT(AL24:AV24,AL31:AV31,AL61:AV61)/1000</f>
        <v>0</v>
      </c>
      <c r="AO75" s="322">
        <f>SUMPRODUCT(AL24:AV24,AL31:AV31,AL62:AV62)/1000</f>
        <v>0</v>
      </c>
      <c r="AP75" s="322">
        <f>SUMPRODUCT(AL24:AV24,AL31:AV31,AL63:AV63)/1000</f>
        <v>0</v>
      </c>
      <c r="AQ75" s="322">
        <f>SUMPRODUCT(AL24:AV24,AL31:AV31,AL64:AV64)/1000</f>
        <v>0</v>
      </c>
      <c r="AR75" s="322">
        <f>SUMPRODUCT(AL24:AV24,AL31:AV31,AL65:AV65)/1000</f>
        <v>0</v>
      </c>
      <c r="AS75" s="322">
        <f>SUMPRODUCT(AL24:AV24,AL31:AV31,AL66:AV66)/1000</f>
        <v>0</v>
      </c>
      <c r="AT75" s="322">
        <f>SUMPRODUCT(AL24:AV24,AL68:AV68)/1000</f>
        <v>0</v>
      </c>
      <c r="AU75" s="322">
        <f>-SUMPRODUCT(AL24:AV24,AL70:AV70)/1000</f>
        <v>0</v>
      </c>
      <c r="AV75" s="142"/>
      <c r="AW75" s="323">
        <f>SUM(AX75:BH75)</f>
        <v>0</v>
      </c>
      <c r="AX75" s="321"/>
      <c r="AY75" s="322">
        <f>SUMPRODUCT(AX24:BH24,AX31:BH31,AX60:BH60)/1000</f>
        <v>0</v>
      </c>
      <c r="AZ75" s="322">
        <f>SUMPRODUCT(AX24:BH24,AX31:BH31,AX61:BH61)/1000</f>
        <v>0</v>
      </c>
      <c r="BA75" s="322">
        <f>SUMPRODUCT(AX24:BH24,AX31:BH31,AX62:BH62)/1000</f>
        <v>0</v>
      </c>
      <c r="BB75" s="322">
        <f>SUMPRODUCT(AX24:BH24,AX31:BH31,AX63:BH63)/1000</f>
        <v>0</v>
      </c>
      <c r="BC75" s="322">
        <f>SUMPRODUCT(AX24:BH24,AX31:BH31,AX64:BH64)/1000</f>
        <v>0</v>
      </c>
      <c r="BD75" s="322">
        <f>SUMPRODUCT(AX24:BH24,AX31:BH31,AX65:BH65)/1000</f>
        <v>0</v>
      </c>
      <c r="BE75" s="322">
        <f>SUMPRODUCT(AX24:BH24,AX31:BH31,AX66:BH66)/1000</f>
        <v>0</v>
      </c>
      <c r="BF75" s="322">
        <f>SUMPRODUCT(AX24:BH24,AX68:BH68)/1000</f>
        <v>0</v>
      </c>
      <c r="BG75" s="322">
        <f>-SUMPRODUCT(AX24:BH24,AX70:BH70)/1000</f>
        <v>0</v>
      </c>
      <c r="BH75" s="255"/>
    </row>
    <row r="76" spans="1:60" x14ac:dyDescent="0.2">
      <c r="A76" s="648"/>
      <c r="B76" s="492" t="s">
        <v>158</v>
      </c>
      <c r="C76" s="739" t="s">
        <v>104</v>
      </c>
      <c r="D76" s="747"/>
      <c r="E76" s="90"/>
      <c r="F76" s="90"/>
      <c r="G76" s="90"/>
      <c r="H76" s="96"/>
      <c r="I76" s="90"/>
      <c r="J76" s="93"/>
      <c r="K76" s="90"/>
      <c r="L76" s="90"/>
      <c r="M76" s="93"/>
      <c r="N76" s="90"/>
      <c r="O76" s="93"/>
      <c r="P76" s="93"/>
      <c r="Q76" s="93"/>
      <c r="R76" s="93"/>
      <c r="S76" s="93"/>
      <c r="T76" s="93"/>
      <c r="U76" s="93"/>
      <c r="V76" s="93"/>
      <c r="W76" s="93"/>
      <c r="X76" s="93"/>
      <c r="Y76" s="93"/>
      <c r="Z76" s="90"/>
      <c r="AA76" s="122"/>
      <c r="AB76" s="93"/>
      <c r="AC76" s="122"/>
      <c r="AD76" s="93"/>
      <c r="AE76" s="93"/>
      <c r="AF76" s="93"/>
      <c r="AG76" s="93"/>
      <c r="AH76" s="93"/>
      <c r="AI76" s="93"/>
      <c r="AJ76" s="93"/>
      <c r="AK76" s="93"/>
      <c r="AL76" s="90"/>
      <c r="AM76" s="93"/>
      <c r="AN76" s="93"/>
      <c r="AO76" s="93"/>
      <c r="AP76" s="93"/>
      <c r="AQ76" s="93"/>
      <c r="AR76" s="93"/>
      <c r="AS76" s="93"/>
      <c r="AT76" s="93"/>
      <c r="AU76" s="93"/>
      <c r="AV76" s="93"/>
      <c r="AW76" s="93"/>
      <c r="AX76" s="90"/>
      <c r="AY76" s="93"/>
      <c r="AZ76" s="93"/>
      <c r="BA76" s="93"/>
      <c r="BB76" s="93"/>
      <c r="BC76" s="93"/>
      <c r="BD76" s="93"/>
      <c r="BE76" s="93"/>
      <c r="BF76" s="93"/>
      <c r="BG76" s="93"/>
      <c r="BH76" s="1"/>
    </row>
    <row r="77" spans="1:60" x14ac:dyDescent="0.2">
      <c r="A77" s="648"/>
      <c r="B77" s="492" t="s">
        <v>178</v>
      </c>
      <c r="C77" s="656" t="s">
        <v>104</v>
      </c>
      <c r="D77" s="747"/>
      <c r="E77" s="90"/>
      <c r="F77" s="90"/>
      <c r="G77" s="90"/>
      <c r="H77" s="96"/>
      <c r="I77" s="90"/>
      <c r="J77" s="93"/>
      <c r="K77" s="90"/>
      <c r="L77" s="90"/>
      <c r="M77" s="93"/>
      <c r="N77" s="90"/>
      <c r="O77" s="93"/>
      <c r="P77" s="93"/>
      <c r="Q77" s="93"/>
      <c r="R77" s="93"/>
      <c r="S77" s="93"/>
      <c r="T77" s="93"/>
      <c r="U77" s="93"/>
      <c r="V77" s="93"/>
      <c r="W77" s="93"/>
      <c r="X77" s="93"/>
      <c r="Y77" s="93"/>
      <c r="Z77" s="90"/>
      <c r="AA77" s="122"/>
      <c r="AB77" s="122"/>
      <c r="AC77" s="93"/>
      <c r="AD77" s="93"/>
      <c r="AE77" s="93"/>
      <c r="AF77" s="93"/>
      <c r="AG77" s="93"/>
      <c r="AH77" s="93"/>
      <c r="AI77" s="93"/>
      <c r="AJ77" s="93"/>
      <c r="AK77" s="93"/>
      <c r="AL77" s="90"/>
      <c r="AM77" s="93"/>
      <c r="AN77" s="93"/>
      <c r="AO77" s="93"/>
      <c r="AP77" s="93"/>
      <c r="AQ77" s="93"/>
      <c r="AR77" s="93"/>
      <c r="AS77" s="93"/>
      <c r="AT77" s="93"/>
      <c r="AU77" s="93"/>
      <c r="AV77" s="93"/>
      <c r="AW77" s="93"/>
      <c r="AX77" s="90"/>
      <c r="AY77" s="93"/>
      <c r="AZ77" s="93"/>
      <c r="BA77" s="93"/>
      <c r="BB77" s="93"/>
      <c r="BC77" s="93"/>
      <c r="BD77" s="93"/>
      <c r="BE77" s="93"/>
      <c r="BF77" s="93"/>
      <c r="BG77" s="93"/>
      <c r="BH77" s="1"/>
    </row>
    <row r="78" spans="1:60" ht="21" x14ac:dyDescent="0.2">
      <c r="A78" s="648"/>
      <c r="B78" s="492" t="s">
        <v>178</v>
      </c>
      <c r="C78" s="739" t="s">
        <v>104</v>
      </c>
      <c r="D78" s="750" t="s">
        <v>50</v>
      </c>
      <c r="E78" s="240" t="s">
        <v>179</v>
      </c>
      <c r="F78" s="240"/>
      <c r="G78" s="240"/>
      <c r="H78" s="240"/>
      <c r="I78" s="88"/>
      <c r="J78" s="241"/>
      <c r="K78" s="142"/>
      <c r="L78" s="142"/>
      <c r="M78" s="216"/>
      <c r="N78" s="222"/>
      <c r="O78" s="217"/>
      <c r="P78" s="217"/>
      <c r="Q78" s="217"/>
      <c r="R78" s="217"/>
      <c r="S78" s="217"/>
      <c r="T78" s="217"/>
      <c r="U78" s="217"/>
      <c r="V78" s="217"/>
      <c r="W78" s="217"/>
      <c r="X78" s="214"/>
      <c r="Y78" s="216"/>
      <c r="Z78" s="222"/>
      <c r="AA78" s="217"/>
      <c r="AB78" s="217"/>
      <c r="AC78" s="217"/>
      <c r="AD78" s="217"/>
      <c r="AE78" s="217"/>
      <c r="AF78" s="217"/>
      <c r="AG78" s="217"/>
      <c r="AH78" s="217"/>
      <c r="AI78" s="217"/>
      <c r="AJ78" s="214"/>
      <c r="AK78" s="216"/>
      <c r="AL78" s="222"/>
      <c r="AM78" s="217"/>
      <c r="AN78" s="217"/>
      <c r="AO78" s="217"/>
      <c r="AP78" s="217"/>
      <c r="AQ78" s="217"/>
      <c r="AR78" s="217"/>
      <c r="AS78" s="217"/>
      <c r="AT78" s="217"/>
      <c r="AU78" s="217"/>
      <c r="AV78" s="214"/>
      <c r="AW78" s="216"/>
      <c r="AX78" s="222"/>
      <c r="AY78" s="217"/>
      <c r="AZ78" s="217"/>
      <c r="BA78" s="217"/>
      <c r="BB78" s="217"/>
      <c r="BC78" s="217"/>
      <c r="BD78" s="217"/>
      <c r="BE78" s="217"/>
      <c r="BF78" s="217"/>
      <c r="BG78" s="217"/>
      <c r="BH78" s="1"/>
    </row>
    <row r="79" spans="1:60" ht="18.75" x14ac:dyDescent="0.2">
      <c r="A79" s="648"/>
      <c r="B79" s="492" t="s">
        <v>178</v>
      </c>
      <c r="C79" s="739" t="s">
        <v>104</v>
      </c>
      <c r="D79" s="750" t="s">
        <v>50</v>
      </c>
      <c r="E79" s="174" t="s">
        <v>180</v>
      </c>
      <c r="F79" s="175"/>
      <c r="G79" s="175"/>
      <c r="H79" s="176"/>
      <c r="I79" s="177"/>
      <c r="J79" s="141"/>
      <c r="K79" s="178"/>
      <c r="L79" s="178"/>
      <c r="M79" s="141"/>
      <c r="N79" s="141"/>
      <c r="O79" s="141"/>
      <c r="P79" s="141"/>
      <c r="Q79" s="141"/>
      <c r="R79" s="141">
        <v>1</v>
      </c>
      <c r="S79" s="141">
        <v>1</v>
      </c>
      <c r="T79" s="141"/>
      <c r="U79" s="141"/>
      <c r="V79" s="141"/>
      <c r="W79" s="141"/>
      <c r="X79" s="179"/>
      <c r="Y79" s="141"/>
      <c r="Z79" s="141"/>
      <c r="AA79" s="141"/>
      <c r="AB79" s="141"/>
      <c r="AC79" s="141"/>
      <c r="AD79" s="141"/>
      <c r="AE79" s="141"/>
      <c r="AF79" s="141"/>
      <c r="AG79" s="141"/>
      <c r="AH79" s="141"/>
      <c r="AI79" s="141"/>
      <c r="AJ79" s="179"/>
      <c r="AK79" s="141"/>
      <c r="AL79" s="141"/>
      <c r="AM79" s="141"/>
      <c r="AN79" s="141"/>
      <c r="AO79" s="141"/>
      <c r="AP79" s="141"/>
      <c r="AQ79" s="141"/>
      <c r="AR79" s="141"/>
      <c r="AS79" s="141"/>
      <c r="AT79" s="141"/>
      <c r="AU79" s="141"/>
      <c r="AV79" s="179"/>
      <c r="AW79" s="141"/>
      <c r="AX79" s="141"/>
      <c r="AY79" s="141"/>
      <c r="AZ79" s="141"/>
      <c r="BA79" s="141"/>
      <c r="BB79" s="141"/>
      <c r="BC79" s="141"/>
      <c r="BD79" s="141"/>
      <c r="BE79" s="141"/>
      <c r="BF79" s="141"/>
      <c r="BG79" s="141"/>
      <c r="BH79" s="263"/>
    </row>
    <row r="80" spans="1:60" ht="38.25" x14ac:dyDescent="0.2">
      <c r="A80" s="648"/>
      <c r="B80" s="492" t="s">
        <v>178</v>
      </c>
      <c r="C80" s="656" t="s">
        <v>127</v>
      </c>
      <c r="D80" s="747"/>
      <c r="E80" s="183" t="s">
        <v>181</v>
      </c>
      <c r="F80" s="357"/>
      <c r="G80" s="357"/>
      <c r="H80" s="183" t="s">
        <v>70</v>
      </c>
      <c r="I80" s="188"/>
      <c r="J80" s="330" t="str">
        <f>IF(AND(M$31&gt;0,COUNTBLANK(O80:Q80)&gt;0),"kies installatie locatie 1",
IF(AND(Y$31&gt;0,COUNTBLANK(AA80:AC80)&gt;0),"kies installatie locatie 2",
IF(AND(AK$31&gt;0,COUNTBLANK(AM80:AO80)&gt;0),"kies installatie locatie 3",
IF(AND(AW$31&gt;0,COUNTBLANK(AY80:BA80)&gt;0),"kies installatie locatie 4",
"OK"))))</f>
        <v>OK</v>
      </c>
      <c r="K80" s="820"/>
      <c r="L80" s="820"/>
      <c r="M80" s="330"/>
      <c r="N80" s="136"/>
      <c r="O80" s="1038" t="s">
        <v>561</v>
      </c>
      <c r="P80" s="1038" t="s">
        <v>183</v>
      </c>
      <c r="Q80" s="1038" t="s">
        <v>561</v>
      </c>
      <c r="R80" s="190"/>
      <c r="S80" s="190"/>
      <c r="T80" s="190"/>
      <c r="U80" s="190"/>
      <c r="V80" s="190"/>
      <c r="W80" s="190"/>
      <c r="X80" s="179"/>
      <c r="Y80" s="189"/>
      <c r="Z80" s="136"/>
      <c r="AA80" s="1038" t="s">
        <v>561</v>
      </c>
      <c r="AB80" s="1038" t="s">
        <v>183</v>
      </c>
      <c r="AC80" s="1038" t="s">
        <v>561</v>
      </c>
      <c r="AD80" s="190"/>
      <c r="AE80" s="190"/>
      <c r="AF80" s="190"/>
      <c r="AG80" s="190"/>
      <c r="AH80" s="190"/>
      <c r="AI80" s="190"/>
      <c r="AJ80" s="179"/>
      <c r="AK80" s="189"/>
      <c r="AL80" s="136"/>
      <c r="AM80" s="1038" t="s">
        <v>561</v>
      </c>
      <c r="AN80" s="1038" t="s">
        <v>183</v>
      </c>
      <c r="AO80" s="1038" t="s">
        <v>561</v>
      </c>
      <c r="AP80" s="190"/>
      <c r="AQ80" s="190"/>
      <c r="AR80" s="190"/>
      <c r="AS80" s="190"/>
      <c r="AT80" s="190"/>
      <c r="AU80" s="190"/>
      <c r="AV80" s="179"/>
      <c r="AW80" s="189"/>
      <c r="AX80" s="141"/>
      <c r="AY80" s="1038" t="s">
        <v>561</v>
      </c>
      <c r="AZ80" s="1038" t="s">
        <v>183</v>
      </c>
      <c r="BA80" s="1038" t="s">
        <v>561</v>
      </c>
      <c r="BB80" s="190"/>
      <c r="BC80" s="190"/>
      <c r="BD80" s="190"/>
      <c r="BE80" s="190"/>
      <c r="BF80" s="190"/>
      <c r="BG80" s="190"/>
      <c r="BH80" s="263"/>
    </row>
    <row r="81" spans="1:60" x14ac:dyDescent="0.2">
      <c r="A81" s="648"/>
      <c r="B81" s="492" t="s">
        <v>178</v>
      </c>
      <c r="C81" s="656" t="s">
        <v>127</v>
      </c>
      <c r="D81" s="747"/>
      <c r="E81" s="221" t="str">
        <f>bibliotheek!$E$81</f>
        <v>geografisch niveau installatie [keuzelijst]</v>
      </c>
      <c r="F81" s="220"/>
      <c r="G81" s="220"/>
      <c r="H81" s="221" t="s">
        <v>70</v>
      </c>
      <c r="I81" s="146"/>
      <c r="J81" s="230"/>
      <c r="K81" s="121"/>
      <c r="L81" s="121"/>
      <c r="M81" s="230"/>
      <c r="N81" s="129"/>
      <c r="O81" s="348" t="str">
        <f>HLOOKUP(IF(O$80="",referentie_verwarming,O$80),toestellen_RV,ROWS(bibliotheek!$E$79:$E$81),FALSE)</f>
        <v>gebouw</v>
      </c>
      <c r="P81" s="348" t="str">
        <f>HLOOKUP(IF(P$80="",referentie_koeling,P$80),toestellen_KOEL,ROWS(bibliotheek!$E$170:$E$172),FALSE)</f>
        <v>gebouw</v>
      </c>
      <c r="Q81" s="348" t="str">
        <f>HLOOKUP(IF(Q$80="",referentie_warmtapwater,Q$80),toestellen_TAP,ROWS(bibliotheek!$E$136:$E$138),FALSE)</f>
        <v>gebouw</v>
      </c>
      <c r="R81" s="193"/>
      <c r="S81" s="193"/>
      <c r="T81" s="193"/>
      <c r="U81" s="193"/>
      <c r="V81" s="193"/>
      <c r="W81" s="193"/>
      <c r="X81" s="179"/>
      <c r="Y81" s="145"/>
      <c r="Z81" s="129"/>
      <c r="AA81" s="348" t="str">
        <f>HLOOKUP(IF(AA$80="",referentie_verwarming,AA$80),toestellen_RV,ROWS(bibliotheek!$E$79:$E$81),FALSE)</f>
        <v>gebouw</v>
      </c>
      <c r="AB81" s="348" t="str">
        <f>HLOOKUP(IF(AB$80="",referentie_koeling,AB$80),toestellen_KOEL,ROWS(bibliotheek!$E$170:$E$172),FALSE)</f>
        <v>gebouw</v>
      </c>
      <c r="AC81" s="348" t="str">
        <f>HLOOKUP(IF(AC$80="",referentie_warmtapwater,AC$80),toestellen_TAP,ROWS(bibliotheek!$E$136:$E$138),FALSE)</f>
        <v>gebouw</v>
      </c>
      <c r="AD81" s="193"/>
      <c r="AE81" s="193"/>
      <c r="AF81" s="193"/>
      <c r="AG81" s="193"/>
      <c r="AH81" s="193"/>
      <c r="AI81" s="193"/>
      <c r="AJ81" s="179"/>
      <c r="AK81" s="145"/>
      <c r="AL81" s="136"/>
      <c r="AM81" s="348" t="str">
        <f>HLOOKUP(IF(AM$80="",referentie_verwarming,AM$80),toestellen_RV,ROWS(bibliotheek!$E$79:$E$81),FALSE)</f>
        <v>gebouw</v>
      </c>
      <c r="AN81" s="348" t="str">
        <f>HLOOKUP(IF(AN$80="",referentie_koeling,AN$80),toestellen_KOEL,ROWS(bibliotheek!$E$170:$E$172),FALSE)</f>
        <v>gebouw</v>
      </c>
      <c r="AO81" s="348" t="str">
        <f>HLOOKUP(IF(AO$80="",referentie_warmtapwater,AO$80),toestellen_TAP,ROWS(bibliotheek!$E$136:$E$138),FALSE)</f>
        <v>gebouw</v>
      </c>
      <c r="AP81" s="193"/>
      <c r="AQ81" s="193"/>
      <c r="AR81" s="193"/>
      <c r="AS81" s="193"/>
      <c r="AT81" s="193"/>
      <c r="AU81" s="193"/>
      <c r="AV81" s="179"/>
      <c r="AW81" s="145"/>
      <c r="AX81" s="141"/>
      <c r="AY81" s="348" t="str">
        <f>HLOOKUP(IF(AY$80="",referentie_verwarming,AY$80),toestellen_RV,ROWS(bibliotheek!$E$79:$E$81),FALSE)</f>
        <v>gebouw</v>
      </c>
      <c r="AZ81" s="348" t="str">
        <f>HLOOKUP(IF(AZ$80="",referentie_koeling,AZ$80),toestellen_KOEL,ROWS(bibliotheek!$E$170:$E$172),FALSE)</f>
        <v>gebouw</v>
      </c>
      <c r="BA81" s="348" t="str">
        <f>HLOOKUP(IF(BA$80="",referentie_warmtapwater,BA$80),toestellen_TAP,ROWS(bibliotheek!$E$136:$E$138),FALSE)</f>
        <v>gebouw</v>
      </c>
      <c r="BB81" s="193"/>
      <c r="BC81" s="193"/>
      <c r="BD81" s="193"/>
      <c r="BE81" s="193"/>
      <c r="BF81" s="193"/>
      <c r="BG81" s="193"/>
      <c r="BH81" s="214"/>
    </row>
    <row r="82" spans="1:60" ht="18.75" x14ac:dyDescent="0.2">
      <c r="A82" s="648"/>
      <c r="B82" s="492" t="s">
        <v>178</v>
      </c>
      <c r="C82" s="739" t="s">
        <v>104</v>
      </c>
      <c r="D82" s="750" t="s">
        <v>50</v>
      </c>
      <c r="E82" s="194" t="s">
        <v>186</v>
      </c>
      <c r="F82" s="202"/>
      <c r="G82" s="202"/>
      <c r="H82" s="203"/>
      <c r="I82" s="204"/>
      <c r="J82" s="205"/>
      <c r="K82" s="138"/>
      <c r="L82" s="138"/>
      <c r="M82" s="205"/>
      <c r="N82" s="205"/>
      <c r="O82" s="205"/>
      <c r="P82" s="205"/>
      <c r="Q82" s="205"/>
      <c r="R82" s="205"/>
      <c r="S82" s="205"/>
      <c r="T82" s="205"/>
      <c r="U82" s="205"/>
      <c r="V82" s="205"/>
      <c r="W82" s="205"/>
      <c r="X82" s="179"/>
      <c r="Y82" s="205"/>
      <c r="Z82" s="205"/>
      <c r="AA82" s="214"/>
      <c r="AB82" s="214"/>
      <c r="AC82" s="214"/>
      <c r="AD82" s="205"/>
      <c r="AE82" s="205"/>
      <c r="AF82" s="205"/>
      <c r="AG82" s="205"/>
      <c r="AH82" s="205"/>
      <c r="AI82" s="205"/>
      <c r="AJ82" s="179"/>
      <c r="AK82" s="205"/>
      <c r="AL82" s="205"/>
      <c r="AM82" s="205"/>
      <c r="AN82" s="205"/>
      <c r="AO82" s="205"/>
      <c r="AP82" s="205"/>
      <c r="AQ82" s="205"/>
      <c r="AR82" s="205"/>
      <c r="AS82" s="205"/>
      <c r="AT82" s="205"/>
      <c r="AU82" s="205"/>
      <c r="AV82" s="179"/>
      <c r="AW82" s="205"/>
      <c r="AX82" s="141"/>
      <c r="AY82" s="205"/>
      <c r="AZ82" s="205"/>
      <c r="BA82" s="205"/>
      <c r="BB82" s="205"/>
      <c r="BC82" s="205"/>
      <c r="BD82" s="205"/>
      <c r="BE82" s="205"/>
      <c r="BF82" s="205"/>
      <c r="BG82" s="205"/>
      <c r="BH82" s="214"/>
    </row>
    <row r="83" spans="1:60" x14ac:dyDescent="0.2">
      <c r="A83" s="648"/>
      <c r="B83" s="492" t="s">
        <v>178</v>
      </c>
      <c r="C83" s="739" t="s">
        <v>127</v>
      </c>
      <c r="D83" s="747"/>
      <c r="E83" s="354" t="s">
        <v>187</v>
      </c>
      <c r="F83" s="316"/>
      <c r="G83" s="316"/>
      <c r="H83" s="354" t="s">
        <v>70</v>
      </c>
      <c r="I83" s="151"/>
      <c r="J83" s="229"/>
      <c r="K83" s="121"/>
      <c r="L83" s="121"/>
      <c r="M83" s="229"/>
      <c r="N83" s="131"/>
      <c r="O83" s="452">
        <f>IF(O84&lt;&gt;"",O84,HLOOKUP(IF(O$80="",referentie_verwarming,O$80),toestellen_RV,ROWS(bibliotheek!$E$79:$E$86),FALSE))</f>
        <v>1</v>
      </c>
      <c r="P83" s="155">
        <v>1</v>
      </c>
      <c r="Q83" s="452">
        <f>IF(Q84&lt;&gt;"",Q84,HLOOKUP(IF(Q$80="",referentie_warmtapwater,Q$80),toestellen_TAP,ROWS(bibliotheek!$E$136:$E$143),FALSE))</f>
        <v>0.85</v>
      </c>
      <c r="R83" s="156"/>
      <c r="S83" s="156"/>
      <c r="T83" s="156"/>
      <c r="U83" s="156"/>
      <c r="V83" s="156"/>
      <c r="W83" s="156"/>
      <c r="X83" s="87"/>
      <c r="Y83" s="150"/>
      <c r="Z83" s="151"/>
      <c r="AA83" s="452">
        <f>IF(AA84&lt;&gt;"",AA84,HLOOKUP(IF(AA$80="",referentie_verwarming,AA$80),toestellen_RV,ROWS(bibliotheek!$E$79:$E$86),FALSE))</f>
        <v>1</v>
      </c>
      <c r="AB83" s="155">
        <f>1</f>
        <v>1</v>
      </c>
      <c r="AC83" s="452">
        <f>IF(AC84&lt;&gt;"",AC84,HLOOKUP(IF(AC$80="",referentie_warmtapwater,AC$80),toestellen_TAP,ROWS(bibliotheek!$E$136:$E$143),FALSE))</f>
        <v>0.85</v>
      </c>
      <c r="AD83" s="156"/>
      <c r="AE83" s="156"/>
      <c r="AF83" s="156"/>
      <c r="AG83" s="156"/>
      <c r="AH83" s="156"/>
      <c r="AI83" s="156"/>
      <c r="AJ83" s="87"/>
      <c r="AK83" s="150"/>
      <c r="AL83" s="151"/>
      <c r="AM83" s="452">
        <f>IF(AM84&lt;&gt;"",AM84,HLOOKUP(IF(AM$80="",referentie_verwarming,AM$80),toestellen_RV,ROWS(bibliotheek!$E$79:$E$86),FALSE))</f>
        <v>1</v>
      </c>
      <c r="AN83" s="155">
        <f>1</f>
        <v>1</v>
      </c>
      <c r="AO83" s="452">
        <f>IF(AO84&lt;&gt;"",AO84,HLOOKUP(IF(AO$80="",referentie_warmtapwater,AO$80),toestellen_TAP,ROWS(bibliotheek!$E$136:$E$143),FALSE))</f>
        <v>0.85</v>
      </c>
      <c r="AP83" s="156"/>
      <c r="AQ83" s="156"/>
      <c r="AR83" s="156"/>
      <c r="AS83" s="156"/>
      <c r="AT83" s="156"/>
      <c r="AU83" s="156"/>
      <c r="AV83" s="87"/>
      <c r="AW83" s="150"/>
      <c r="AX83" s="151"/>
      <c r="AY83" s="452">
        <f>IF(AY84&lt;&gt;"",AY84,HLOOKUP(IF(AY$80="",referentie_verwarming,AY$80),toestellen_RV,ROWS(bibliotheek!$E$79:$E$86),FALSE))</f>
        <v>1</v>
      </c>
      <c r="AZ83" s="155">
        <f>1</f>
        <v>1</v>
      </c>
      <c r="BA83" s="452">
        <f>IF(BA84&lt;&gt;"",BA84,HLOOKUP(IF(BA$80="",referentie_warmtapwater,BA$80),toestellen_TAP,ROWS(bibliotheek!$E$136:$E$143),FALSE))</f>
        <v>0.85</v>
      </c>
      <c r="BB83" s="195"/>
      <c r="BC83" s="195"/>
      <c r="BD83" s="195"/>
      <c r="BE83" s="195"/>
      <c r="BF83" s="195"/>
      <c r="BG83" s="195"/>
      <c r="BH83" s="255"/>
    </row>
    <row r="84" spans="1:60" x14ac:dyDescent="0.2">
      <c r="A84" s="648"/>
      <c r="B84" s="492" t="s">
        <v>178</v>
      </c>
      <c r="C84" s="739" t="s">
        <v>127</v>
      </c>
      <c r="D84" s="747"/>
      <c r="E84" s="412" t="s">
        <v>188</v>
      </c>
      <c r="F84" s="317"/>
      <c r="G84" s="317"/>
      <c r="H84" s="355" t="s">
        <v>70</v>
      </c>
      <c r="I84" s="153"/>
      <c r="J84" s="362"/>
      <c r="K84" s="121"/>
      <c r="L84" s="121"/>
      <c r="M84" s="239"/>
      <c r="N84" s="196"/>
      <c r="O84" s="337"/>
      <c r="P84" s="343"/>
      <c r="Q84" s="337"/>
      <c r="R84" s="197"/>
      <c r="S84" s="197"/>
      <c r="T84" s="197"/>
      <c r="U84" s="197"/>
      <c r="V84" s="197"/>
      <c r="W84" s="197"/>
      <c r="X84" s="125"/>
      <c r="Y84" s="349"/>
      <c r="Z84" s="196"/>
      <c r="AA84" s="337"/>
      <c r="AB84" s="343"/>
      <c r="AC84" s="337"/>
      <c r="AD84" s="197"/>
      <c r="AE84" s="197"/>
      <c r="AF84" s="197"/>
      <c r="AG84" s="197"/>
      <c r="AH84" s="197"/>
      <c r="AI84" s="197"/>
      <c r="AJ84" s="125"/>
      <c r="AK84" s="349"/>
      <c r="AL84" s="196"/>
      <c r="AM84" s="337"/>
      <c r="AN84" s="343"/>
      <c r="AO84" s="337"/>
      <c r="AP84" s="197"/>
      <c r="AQ84" s="197"/>
      <c r="AR84" s="197"/>
      <c r="AS84" s="197"/>
      <c r="AT84" s="197"/>
      <c r="AU84" s="197"/>
      <c r="AV84" s="125"/>
      <c r="AW84" s="349"/>
      <c r="AX84" s="196"/>
      <c r="AY84" s="337"/>
      <c r="AZ84" s="343"/>
      <c r="BA84" s="337"/>
      <c r="BB84" s="197"/>
      <c r="BC84" s="197"/>
      <c r="BD84" s="197"/>
      <c r="BE84" s="197"/>
      <c r="BF84" s="197"/>
      <c r="BG84" s="197"/>
      <c r="BH84" s="255"/>
    </row>
    <row r="85" spans="1:60" x14ac:dyDescent="0.2">
      <c r="A85" s="648"/>
      <c r="B85" s="492" t="s">
        <v>178</v>
      </c>
      <c r="C85" s="739" t="s">
        <v>127</v>
      </c>
      <c r="D85" s="750"/>
      <c r="E85" s="221" t="s">
        <v>189</v>
      </c>
      <c r="F85" s="220"/>
      <c r="G85" s="220"/>
      <c r="H85" s="221" t="s">
        <v>177</v>
      </c>
      <c r="I85" s="146"/>
      <c r="J85" s="230"/>
      <c r="K85" s="121"/>
      <c r="L85" s="121"/>
      <c r="M85" s="230"/>
      <c r="N85" s="129"/>
      <c r="O85" s="251">
        <f>IF(O$75=0,0,O$75/O$83-O$75)</f>
        <v>0</v>
      </c>
      <c r="P85" s="251">
        <f>IF(P$75=0,0,P$75/P$83-P$75)</f>
        <v>0</v>
      </c>
      <c r="Q85" s="251">
        <f>IF(Q$75=0,0,Q$75/Q$83-Q$75)</f>
        <v>0</v>
      </c>
      <c r="R85" s="147"/>
      <c r="S85" s="147"/>
      <c r="T85" s="147"/>
      <c r="U85" s="147"/>
      <c r="V85" s="147"/>
      <c r="W85" s="147"/>
      <c r="X85" s="125"/>
      <c r="Y85" s="149"/>
      <c r="Z85" s="129"/>
      <c r="AA85" s="251">
        <f>IF(AA$75=0,0,AA$75/AA$83-AA$75)</f>
        <v>0</v>
      </c>
      <c r="AB85" s="251">
        <f>IF(AB$75=0,0,AB$75/AB$83-AB$75)</f>
        <v>0</v>
      </c>
      <c r="AC85" s="251">
        <f>IF(AC$75=0,0,AC$75/AC$83-AC$75)</f>
        <v>0</v>
      </c>
      <c r="AD85" s="147"/>
      <c r="AE85" s="147"/>
      <c r="AF85" s="147"/>
      <c r="AG85" s="147"/>
      <c r="AH85" s="147"/>
      <c r="AI85" s="147"/>
      <c r="AJ85" s="125"/>
      <c r="AK85" s="149"/>
      <c r="AL85" s="129"/>
      <c r="AM85" s="251">
        <f>IF(AM$75=0,0,AM$75/AM$83-AM$75)</f>
        <v>0</v>
      </c>
      <c r="AN85" s="251">
        <f>IF(AN$75=0,0,AN$75/AN$83-AN$75)</f>
        <v>0</v>
      </c>
      <c r="AO85" s="251">
        <f>IF(AO$75=0,0,AO$75/AO$83-AO$75)</f>
        <v>0</v>
      </c>
      <c r="AP85" s="147"/>
      <c r="AQ85" s="147"/>
      <c r="AR85" s="147"/>
      <c r="AS85" s="147"/>
      <c r="AT85" s="147"/>
      <c r="AU85" s="147"/>
      <c r="AV85" s="125"/>
      <c r="AW85" s="149"/>
      <c r="AX85" s="129"/>
      <c r="AY85" s="251">
        <f>IF(AY$75=0,0,AY$75/AY$83-AY$75)</f>
        <v>0</v>
      </c>
      <c r="AZ85" s="251">
        <f>IF(AZ$75=0,0,AZ$75/AZ$83-AZ$75)</f>
        <v>0</v>
      </c>
      <c r="BA85" s="251">
        <f>IF(BA$75=0,0,BA$75/BA$83-BA$75)</f>
        <v>0</v>
      </c>
      <c r="BB85" s="147"/>
      <c r="BC85" s="147"/>
      <c r="BD85" s="147"/>
      <c r="BE85" s="147"/>
      <c r="BF85" s="147"/>
      <c r="BG85" s="147"/>
      <c r="BH85" s="255"/>
    </row>
    <row r="86" spans="1:60" ht="18.75" x14ac:dyDescent="0.2">
      <c r="A86" s="648"/>
      <c r="B86" s="492" t="s">
        <v>178</v>
      </c>
      <c r="C86" s="739" t="s">
        <v>104</v>
      </c>
      <c r="D86" s="750" t="s">
        <v>50</v>
      </c>
      <c r="E86" s="194" t="s">
        <v>190</v>
      </c>
      <c r="F86" s="202"/>
      <c r="G86" s="202"/>
      <c r="H86" s="203"/>
      <c r="I86" s="204"/>
      <c r="J86" s="205"/>
      <c r="K86" s="138"/>
      <c r="L86" s="138"/>
      <c r="M86" s="205"/>
      <c r="N86" s="205"/>
      <c r="O86" s="205"/>
      <c r="P86" s="205"/>
      <c r="Q86" s="205"/>
      <c r="R86" s="205"/>
      <c r="S86" s="205"/>
      <c r="T86" s="205"/>
      <c r="U86" s="205"/>
      <c r="V86" s="205"/>
      <c r="W86" s="205"/>
      <c r="X86" s="163"/>
      <c r="Y86" s="205"/>
      <c r="Z86" s="205"/>
      <c r="AA86" s="205"/>
      <c r="AB86" s="205"/>
      <c r="AC86" s="205"/>
      <c r="AD86" s="205"/>
      <c r="AE86" s="205"/>
      <c r="AF86" s="205"/>
      <c r="AG86" s="205"/>
      <c r="AH86" s="205"/>
      <c r="AI86" s="205"/>
      <c r="AJ86" s="163"/>
      <c r="AK86" s="205"/>
      <c r="AL86" s="205"/>
      <c r="AM86" s="205"/>
      <c r="AN86" s="205"/>
      <c r="AO86" s="205"/>
      <c r="AP86" s="205"/>
      <c r="AQ86" s="205"/>
      <c r="AR86" s="205"/>
      <c r="AS86" s="205"/>
      <c r="AT86" s="205"/>
      <c r="AU86" s="205"/>
      <c r="AV86" s="163"/>
      <c r="AW86" s="205"/>
      <c r="AX86" s="205"/>
      <c r="AY86" s="205"/>
      <c r="AZ86" s="205"/>
      <c r="BA86" s="205"/>
      <c r="BB86" s="205"/>
      <c r="BC86" s="205"/>
      <c r="BD86" s="205"/>
      <c r="BE86" s="205"/>
      <c r="BF86" s="205"/>
      <c r="BG86" s="205"/>
      <c r="BH86" s="214"/>
    </row>
    <row r="87" spans="1:60" x14ac:dyDescent="0.2">
      <c r="A87" s="648"/>
      <c r="B87" s="492" t="s">
        <v>178</v>
      </c>
      <c r="C87" s="739" t="s">
        <v>127</v>
      </c>
      <c r="D87" s="747"/>
      <c r="E87" s="221" t="s">
        <v>190</v>
      </c>
      <c r="F87" s="220"/>
      <c r="G87" s="220"/>
      <c r="H87" s="221" t="s">
        <v>70</v>
      </c>
      <c r="I87" s="146"/>
      <c r="J87" s="230"/>
      <c r="K87" s="121"/>
      <c r="L87" s="121"/>
      <c r="M87" s="230"/>
      <c r="N87" s="129"/>
      <c r="O87" s="1039" t="s">
        <v>191</v>
      </c>
      <c r="P87" s="192"/>
      <c r="Q87" s="1039" t="s">
        <v>191</v>
      </c>
      <c r="R87" s="193"/>
      <c r="S87" s="193"/>
      <c r="T87" s="193"/>
      <c r="U87" s="193"/>
      <c r="V87" s="193"/>
      <c r="W87" s="193"/>
      <c r="X87" s="87"/>
      <c r="Y87" s="145"/>
      <c r="Z87" s="129"/>
      <c r="AA87" s="1039" t="s">
        <v>191</v>
      </c>
      <c r="AB87" s="192"/>
      <c r="AC87" s="1039" t="s">
        <v>191</v>
      </c>
      <c r="AD87" s="193"/>
      <c r="AE87" s="193"/>
      <c r="AF87" s="193"/>
      <c r="AG87" s="193"/>
      <c r="AH87" s="193"/>
      <c r="AI87" s="193"/>
      <c r="AJ87" s="87"/>
      <c r="AK87" s="145"/>
      <c r="AL87" s="129"/>
      <c r="AM87" s="1039" t="s">
        <v>191</v>
      </c>
      <c r="AN87" s="192"/>
      <c r="AO87" s="1039" t="s">
        <v>191</v>
      </c>
      <c r="AP87" s="193"/>
      <c r="AQ87" s="193"/>
      <c r="AR87" s="193"/>
      <c r="AS87" s="193"/>
      <c r="AT87" s="193"/>
      <c r="AU87" s="193"/>
      <c r="AV87" s="87"/>
      <c r="AW87" s="145"/>
      <c r="AX87" s="129"/>
      <c r="AY87" s="1039" t="s">
        <v>191</v>
      </c>
      <c r="AZ87" s="192"/>
      <c r="BA87" s="1039" t="s">
        <v>191</v>
      </c>
      <c r="BB87" s="193"/>
      <c r="BC87" s="193"/>
      <c r="BD87" s="193"/>
      <c r="BE87" s="193"/>
      <c r="BF87" s="193"/>
      <c r="BG87" s="193"/>
      <c r="BH87" s="214"/>
    </row>
    <row r="88" spans="1:60" x14ac:dyDescent="0.2">
      <c r="A88" s="648"/>
      <c r="B88" s="492" t="s">
        <v>178</v>
      </c>
      <c r="C88" s="739" t="s">
        <v>127</v>
      </c>
      <c r="D88" s="750" t="s">
        <v>50</v>
      </c>
      <c r="E88" s="221" t="s">
        <v>192</v>
      </c>
      <c r="F88" s="220"/>
      <c r="G88" s="220"/>
      <c r="H88" s="221" t="s">
        <v>177</v>
      </c>
      <c r="I88" s="146"/>
      <c r="J88" s="230"/>
      <c r="K88" s="121"/>
      <c r="L88" s="121"/>
      <c r="M88" s="230"/>
      <c r="N88" s="129"/>
      <c r="O88" s="207">
        <f>IF(O87="nee",0,(O75+O85)*bijdrage_thermische_zonne_energie_RV)</f>
        <v>0</v>
      </c>
      <c r="P88" s="207"/>
      <c r="Q88" s="207">
        <f>IF(Q87="nee",0,(Q75+Q85)*bijdrage_thermische_zonne_energie_TAP)</f>
        <v>0</v>
      </c>
      <c r="R88" s="147"/>
      <c r="S88" s="147"/>
      <c r="T88" s="147"/>
      <c r="U88" s="147"/>
      <c r="V88" s="147"/>
      <c r="W88" s="147"/>
      <c r="X88" s="684"/>
      <c r="Y88" s="147"/>
      <c r="Z88" s="100"/>
      <c r="AA88" s="207">
        <f>IF(AA87="nee",0,(AA75+AA85)*bijdrage_thermische_zonne_energie_RV)</f>
        <v>0</v>
      </c>
      <c r="AB88" s="207"/>
      <c r="AC88" s="207">
        <f>IF(AC87="nee",0,(AC75+AC85)*bijdrage_thermische_zonne_energie_TAP)</f>
        <v>0</v>
      </c>
      <c r="AD88" s="147"/>
      <c r="AE88" s="147"/>
      <c r="AF88" s="147"/>
      <c r="AG88" s="147"/>
      <c r="AH88" s="147"/>
      <c r="AI88" s="147"/>
      <c r="AJ88" s="684"/>
      <c r="AK88" s="147"/>
      <c r="AL88" s="685"/>
      <c r="AM88" s="207">
        <f>IF(AM87="nee",0,(AM75+AM85)*bijdrage_thermische_zonne_energie_RV)</f>
        <v>0</v>
      </c>
      <c r="AN88" s="207"/>
      <c r="AO88" s="207">
        <f>IF(AO87="nee",0,(AO75+AO85)*bijdrage_thermische_zonne_energie_TAP)</f>
        <v>0</v>
      </c>
      <c r="AP88" s="147"/>
      <c r="AQ88" s="147"/>
      <c r="AR88" s="147"/>
      <c r="AS88" s="147"/>
      <c r="AT88" s="147"/>
      <c r="AU88" s="147"/>
      <c r="AV88" s="684"/>
      <c r="AW88" s="147"/>
      <c r="AX88" s="686"/>
      <c r="AY88" s="207">
        <f>IF(AY87="nee",0,(AY75+AY85)*bijdrage_thermische_zonne_energie_RV)</f>
        <v>0</v>
      </c>
      <c r="AZ88" s="207"/>
      <c r="BA88" s="207">
        <f>IF(BA87="nee",0,(BA75+BA85)*bijdrage_thermische_zonne_energie_TAP)</f>
        <v>0</v>
      </c>
      <c r="BB88" s="193"/>
      <c r="BC88" s="193"/>
      <c r="BD88" s="193"/>
      <c r="BE88" s="193"/>
      <c r="BF88" s="193"/>
      <c r="BG88" s="193"/>
      <c r="BH88" s="214"/>
    </row>
    <row r="89" spans="1:60" ht="18.75" x14ac:dyDescent="0.2">
      <c r="A89" s="648"/>
      <c r="B89" s="492" t="s">
        <v>178</v>
      </c>
      <c r="C89" s="739" t="s">
        <v>104</v>
      </c>
      <c r="D89" s="750" t="s">
        <v>50</v>
      </c>
      <c r="E89" s="194" t="s">
        <v>193</v>
      </c>
      <c r="F89" s="202"/>
      <c r="G89" s="202"/>
      <c r="H89" s="203"/>
      <c r="I89" s="204"/>
      <c r="J89" s="205"/>
      <c r="K89" s="138"/>
      <c r="L89" s="138"/>
      <c r="M89" s="205"/>
      <c r="N89" s="205"/>
      <c r="O89" s="710"/>
      <c r="P89" s="710"/>
      <c r="Q89" s="710"/>
      <c r="R89" s="205"/>
      <c r="S89" s="205"/>
      <c r="T89" s="205"/>
      <c r="U89" s="205"/>
      <c r="V89" s="205"/>
      <c r="W89" s="205"/>
      <c r="X89" s="206"/>
      <c r="Y89" s="205"/>
      <c r="Z89" s="205"/>
      <c r="AA89" s="339"/>
      <c r="AB89" s="339"/>
      <c r="AC89" s="339"/>
      <c r="AD89" s="205"/>
      <c r="AE89" s="205"/>
      <c r="AF89" s="205"/>
      <c r="AG89" s="205"/>
      <c r="AH89" s="205"/>
      <c r="AI89" s="205"/>
      <c r="AJ89" s="206"/>
      <c r="AK89" s="205"/>
      <c r="AL89" s="205"/>
      <c r="AM89" s="339"/>
      <c r="AN89" s="339"/>
      <c r="AO89" s="339"/>
      <c r="AP89" s="205"/>
      <c r="AQ89" s="205"/>
      <c r="AR89" s="205"/>
      <c r="AS89" s="205"/>
      <c r="AT89" s="205"/>
      <c r="AU89" s="205"/>
      <c r="AV89" s="206"/>
      <c r="AW89" s="205"/>
      <c r="AX89" s="205"/>
      <c r="AY89" s="339"/>
      <c r="AZ89" s="339"/>
      <c r="BA89" s="339"/>
      <c r="BB89" s="205"/>
      <c r="BC89" s="205"/>
      <c r="BD89" s="205"/>
      <c r="BE89" s="205"/>
      <c r="BF89" s="205"/>
      <c r="BG89" s="205"/>
      <c r="BH89" s="214"/>
    </row>
    <row r="90" spans="1:60" x14ac:dyDescent="0.2">
      <c r="A90" s="648"/>
      <c r="B90" s="492" t="s">
        <v>178</v>
      </c>
      <c r="C90" s="739" t="s">
        <v>127</v>
      </c>
      <c r="D90" s="747"/>
      <c r="E90" s="354" t="s">
        <v>194</v>
      </c>
      <c r="F90" s="316"/>
      <c r="G90" s="316"/>
      <c r="H90" s="354" t="s">
        <v>195</v>
      </c>
      <c r="I90" s="151"/>
      <c r="J90" s="229"/>
      <c r="K90" s="121"/>
      <c r="L90" s="121"/>
      <c r="M90" s="229"/>
      <c r="N90" s="131"/>
      <c r="O90" s="621">
        <f>IF(M24=0,0,IF(O91&lt;&gt;"",O91,
(HLOOKUP(O80,toestellen_RV,ROWS(bibliotheek!$E$79:$E$88),FALSE)*M26+
HLOOKUP(O80,toestellen_RV,ROWS(bibliotheek!$E$79:$E$89),FALSE)*M27+
HLOOKUP(O80,toestellen_RV,ROWS(bibliotheek!$E$79:$E$90),FALSE)*M28)/M24))</f>
        <v>0</v>
      </c>
      <c r="P90" s="484"/>
      <c r="Q90" s="621">
        <f>IF(M24=0,0,IF(Q91&lt;&gt;"",Q91,
(HLOOKUP(Q80,toestellen_TAP,ROWS(bibliotheek!$E$136:$E$145),FALSE)*M26+
HLOOKUP(Q80,toestellen_TAP,ROWS(bibliotheek!$E$136:$E$146),FALSE)*M27+
HLOOKUP(Q80,toestellen_TAP,ROWS(bibliotheek!$E$136:$E$147),FALSE)*M28)/M24))</f>
        <v>0</v>
      </c>
      <c r="R90" s="195"/>
      <c r="S90" s="195"/>
      <c r="T90" s="195"/>
      <c r="U90" s="195"/>
      <c r="V90" s="195"/>
      <c r="W90" s="195"/>
      <c r="X90" s="127"/>
      <c r="Y90" s="195"/>
      <c r="Z90" s="485"/>
      <c r="AA90" s="621">
        <f>IF(Y24=0,0,IF(AA91&lt;&gt;"",AA91,
(HLOOKUP(AA80,toestellen_RV,ROWS(bibliotheek!$E$79:$E$88),FALSE)*Y26+
HLOOKUP(AA80,toestellen_RV,ROWS(bibliotheek!$E$79:$E$89),FALSE)*Y27+
HLOOKUP(AA80,toestellen_RV,ROWS(bibliotheek!$E$79:$E$90),FALSE)*Y28)/Y24))</f>
        <v>0</v>
      </c>
      <c r="AB90" s="484"/>
      <c r="AC90" s="621">
        <f>IF(Y24=0,0,IF(AC91&lt;&gt;"",AC91,
(HLOOKUP(AC80,toestellen_TAP,ROWS(bibliotheek!$E$136:$E$145),FALSE)*Y26+
HLOOKUP(AC80,toestellen_TAP,ROWS(bibliotheek!$E$136:$E$146),FALSE)*Y27+
HLOOKUP(AC80,toestellen_TAP,ROWS(bibliotheek!$E$136:$E$147),FALSE)*Y28)/Y24))</f>
        <v>0</v>
      </c>
      <c r="AD90" s="195"/>
      <c r="AE90" s="195"/>
      <c r="AF90" s="195"/>
      <c r="AG90" s="195"/>
      <c r="AH90" s="195"/>
      <c r="AI90" s="195"/>
      <c r="AJ90" s="127"/>
      <c r="AK90" s="195"/>
      <c r="AL90" s="485"/>
      <c r="AM90" s="621">
        <f>IF(AK24=0,0,IF(AM91&lt;&gt;"",AM91,
(HLOOKUP(AM80,toestellen_RV,ROWS(bibliotheek!$E$79:$E$88),FALSE)*AK26+
HLOOKUP(AM80,toestellen_RV,ROWS(bibliotheek!$E$79:$E$89),FALSE)*AK27+
HLOOKUP(AM80,toestellen_RV,ROWS(bibliotheek!$E$79:$E$90),FALSE)*AK28)/AK24))</f>
        <v>0</v>
      </c>
      <c r="AN90" s="484"/>
      <c r="AO90" s="621">
        <f>IF(AK24=0,0,IF(AO91&lt;&gt;"",AO91,
(HLOOKUP(AO80,toestellen_TAP,ROWS(bibliotheek!$E$136:$E$145),FALSE)*AK26+
HLOOKUP(AO80,toestellen_TAP,ROWS(bibliotheek!$E$136:$E$146),FALSE)*AK27+
HLOOKUP(AO80,toestellen_TAP,ROWS(bibliotheek!$E$136:$E$147),FALSE)*AK28)/AK24))</f>
        <v>0</v>
      </c>
      <c r="AP90" s="195"/>
      <c r="AQ90" s="195"/>
      <c r="AR90" s="195"/>
      <c r="AS90" s="195"/>
      <c r="AT90" s="195"/>
      <c r="AU90" s="195"/>
      <c r="AV90" s="127"/>
      <c r="AW90" s="195"/>
      <c r="AX90" s="485"/>
      <c r="AY90" s="621">
        <f>IF(AW24=0,0,IF(AY91&lt;&gt;"",AY91,
(HLOOKUP(AY80,toestellen_RV,ROWS(bibliotheek!$E$79:$E$88),FALSE)*AW26+
HLOOKUP(AY80,toestellen_RV,ROWS(bibliotheek!$E$79:$E$89),FALSE)*AW27+
HLOOKUP(AY80,toestellen_RV,ROWS(bibliotheek!$E$79:$E$90),FALSE)*AW28)/AW24))</f>
        <v>0</v>
      </c>
      <c r="AZ90" s="484"/>
      <c r="BA90" s="621">
        <f>IF(AW24=0,0,IF(BA91&lt;&gt;"",BA91,
(HLOOKUP(BA80,toestellen_TAP,ROWS(bibliotheek!$E$136:$E$145),FALSE)*AW26+
HLOOKUP(BA80,toestellen_TAP,ROWS(bibliotheek!$E$136:$E$146),FALSE)*AW27+
HLOOKUP(BA80,toestellen_TAP,ROWS(bibliotheek!$E$136:$E$147),FALSE)*AW28)/AW24))</f>
        <v>0</v>
      </c>
      <c r="BB90" s="195"/>
      <c r="BC90" s="195"/>
      <c r="BD90" s="195"/>
      <c r="BE90" s="195"/>
      <c r="BF90" s="195"/>
      <c r="BG90" s="195"/>
      <c r="BH90" s="255"/>
    </row>
    <row r="91" spans="1:60" x14ac:dyDescent="0.2">
      <c r="A91" s="648"/>
      <c r="B91" s="492" t="s">
        <v>178</v>
      </c>
      <c r="C91" s="739" t="s">
        <v>127</v>
      </c>
      <c r="D91" s="747"/>
      <c r="E91" s="412" t="s">
        <v>196</v>
      </c>
      <c r="F91" s="317"/>
      <c r="G91" s="317"/>
      <c r="H91" s="355" t="s">
        <v>195</v>
      </c>
      <c r="I91" s="153"/>
      <c r="J91" s="362"/>
      <c r="K91" s="121"/>
      <c r="L91" s="121"/>
      <c r="M91" s="239"/>
      <c r="N91" s="196"/>
      <c r="O91" s="338"/>
      <c r="P91" s="344"/>
      <c r="Q91" s="338"/>
      <c r="R91" s="198"/>
      <c r="S91" s="198"/>
      <c r="T91" s="198"/>
      <c r="U91" s="198"/>
      <c r="V91" s="198"/>
      <c r="W91" s="198"/>
      <c r="X91" s="125"/>
      <c r="Y91" s="454"/>
      <c r="Z91" s="371"/>
      <c r="AA91" s="338"/>
      <c r="AB91" s="344"/>
      <c r="AC91" s="338"/>
      <c r="AD91" s="198"/>
      <c r="AE91" s="198"/>
      <c r="AF91" s="198"/>
      <c r="AG91" s="198"/>
      <c r="AH91" s="198"/>
      <c r="AI91" s="198"/>
      <c r="AJ91" s="125"/>
      <c r="AK91" s="454"/>
      <c r="AL91" s="371"/>
      <c r="AM91" s="338"/>
      <c r="AN91" s="344"/>
      <c r="AO91" s="338"/>
      <c r="AP91" s="198"/>
      <c r="AQ91" s="198"/>
      <c r="AR91" s="198"/>
      <c r="AS91" s="198"/>
      <c r="AT91" s="198"/>
      <c r="AU91" s="198"/>
      <c r="AV91" s="125"/>
      <c r="AW91" s="454"/>
      <c r="AX91" s="371"/>
      <c r="AY91" s="338"/>
      <c r="AZ91" s="344"/>
      <c r="BA91" s="338"/>
      <c r="BB91" s="199"/>
      <c r="BC91" s="199"/>
      <c r="BD91" s="199"/>
      <c r="BE91" s="199"/>
      <c r="BF91" s="199"/>
      <c r="BG91" s="199"/>
      <c r="BH91" s="255"/>
    </row>
    <row r="92" spans="1:60" x14ac:dyDescent="0.2">
      <c r="A92" s="648"/>
      <c r="B92" s="492" t="s">
        <v>178</v>
      </c>
      <c r="C92" s="739" t="s">
        <v>127</v>
      </c>
      <c r="D92" s="747"/>
      <c r="E92" s="221" t="s">
        <v>197</v>
      </c>
      <c r="F92" s="220"/>
      <c r="G92" s="220"/>
      <c r="H92" s="221" t="s">
        <v>177</v>
      </c>
      <c r="I92" s="146"/>
      <c r="J92" s="230"/>
      <c r="K92" s="121"/>
      <c r="L92" s="121"/>
      <c r="M92" s="230"/>
      <c r="N92" s="100"/>
      <c r="O92" s="251">
        <f>O$90*M$24</f>
        <v>0</v>
      </c>
      <c r="P92" s="147"/>
      <c r="Q92" s="251">
        <f>Q$90*M$24</f>
        <v>0</v>
      </c>
      <c r="R92" s="147"/>
      <c r="S92" s="147"/>
      <c r="T92" s="147"/>
      <c r="U92" s="147"/>
      <c r="V92" s="147"/>
      <c r="W92" s="147"/>
      <c r="X92" s="125"/>
      <c r="Y92" s="149"/>
      <c r="Z92" s="129"/>
      <c r="AA92" s="251">
        <f>AA$90*Y$24</f>
        <v>0</v>
      </c>
      <c r="AB92" s="147"/>
      <c r="AC92" s="251">
        <f>AC$90*Y$24</f>
        <v>0</v>
      </c>
      <c r="AD92" s="147"/>
      <c r="AE92" s="147"/>
      <c r="AF92" s="147"/>
      <c r="AG92" s="147"/>
      <c r="AH92" s="147"/>
      <c r="AI92" s="147"/>
      <c r="AJ92" s="125"/>
      <c r="AK92" s="149"/>
      <c r="AL92" s="129"/>
      <c r="AM92" s="251">
        <f>AM$90*AK$24</f>
        <v>0</v>
      </c>
      <c r="AN92" s="147"/>
      <c r="AO92" s="251">
        <f>AO$90*AK$24</f>
        <v>0</v>
      </c>
      <c r="AP92" s="147"/>
      <c r="AQ92" s="147"/>
      <c r="AR92" s="147"/>
      <c r="AS92" s="147"/>
      <c r="AT92" s="147"/>
      <c r="AU92" s="147"/>
      <c r="AV92" s="125"/>
      <c r="AW92" s="149"/>
      <c r="AX92" s="129"/>
      <c r="AY92" s="251">
        <f>AY$90*AW$24</f>
        <v>0</v>
      </c>
      <c r="AZ92" s="147"/>
      <c r="BA92" s="251">
        <f>BA$90*AW$24</f>
        <v>0</v>
      </c>
      <c r="BB92" s="147"/>
      <c r="BC92" s="147"/>
      <c r="BD92" s="147"/>
      <c r="BE92" s="147"/>
      <c r="BF92" s="147"/>
      <c r="BG92" s="147"/>
      <c r="BH92" s="255"/>
    </row>
    <row r="93" spans="1:60" ht="18.75" x14ac:dyDescent="0.2">
      <c r="A93" s="648"/>
      <c r="B93" s="492" t="s">
        <v>178</v>
      </c>
      <c r="C93" s="739" t="s">
        <v>104</v>
      </c>
      <c r="D93" s="750" t="s">
        <v>50</v>
      </c>
      <c r="E93" s="194" t="s">
        <v>198</v>
      </c>
      <c r="F93" s="202"/>
      <c r="G93" s="202"/>
      <c r="H93" s="203"/>
      <c r="I93" s="204"/>
      <c r="J93" s="205"/>
      <c r="K93" s="138"/>
      <c r="L93" s="138"/>
      <c r="M93" s="205"/>
      <c r="N93" s="205"/>
      <c r="O93" s="205"/>
      <c r="P93" s="205"/>
      <c r="Q93" s="205"/>
      <c r="R93" s="205"/>
      <c r="S93" s="205"/>
      <c r="T93" s="205"/>
      <c r="U93" s="205"/>
      <c r="V93" s="205"/>
      <c r="W93" s="205"/>
      <c r="X93" s="206"/>
      <c r="Y93" s="205"/>
      <c r="Z93" s="205"/>
      <c r="AA93" s="205"/>
      <c r="AB93" s="205"/>
      <c r="AC93" s="205"/>
      <c r="AD93" s="205"/>
      <c r="AE93" s="205"/>
      <c r="AF93" s="205"/>
      <c r="AG93" s="205"/>
      <c r="AH93" s="205"/>
      <c r="AI93" s="205"/>
      <c r="AJ93" s="206"/>
      <c r="AK93" s="205"/>
      <c r="AL93" s="205"/>
      <c r="AM93" s="205"/>
      <c r="AN93" s="205"/>
      <c r="AO93" s="205"/>
      <c r="AP93" s="205"/>
      <c r="AQ93" s="205"/>
      <c r="AR93" s="205"/>
      <c r="AS93" s="205"/>
      <c r="AT93" s="205"/>
      <c r="AU93" s="205"/>
      <c r="AV93" s="206"/>
      <c r="AW93" s="205"/>
      <c r="AX93" s="205"/>
      <c r="AY93" s="205"/>
      <c r="AZ93" s="205"/>
      <c r="BA93" s="205"/>
      <c r="BB93" s="205"/>
      <c r="BC93" s="205"/>
      <c r="BD93" s="205"/>
      <c r="BE93" s="205"/>
      <c r="BF93" s="205"/>
      <c r="BG93" s="205"/>
      <c r="BH93" s="214"/>
    </row>
    <row r="94" spans="1:60" hidden="1" x14ac:dyDescent="0.2">
      <c r="A94" s="648"/>
      <c r="B94" s="492" t="s">
        <v>178</v>
      </c>
      <c r="C94" s="739" t="s">
        <v>199</v>
      </c>
      <c r="D94" s="747"/>
      <c r="E94" s="221" t="s">
        <v>200</v>
      </c>
      <c r="F94" s="220"/>
      <c r="G94" s="220"/>
      <c r="H94" s="221" t="s">
        <v>177</v>
      </c>
      <c r="I94" s="146"/>
      <c r="J94" s="230"/>
      <c r="K94" s="121"/>
      <c r="L94" s="121"/>
      <c r="M94" s="230"/>
      <c r="N94" s="129"/>
      <c r="O94" s="251">
        <f>IF(O$80="geen",0,O75+O85-O88+O92)</f>
        <v>0</v>
      </c>
      <c r="P94" s="251">
        <f>IF(P$80="geen",0,P75+P85-P88+P92)</f>
        <v>0</v>
      </c>
      <c r="Q94" s="251">
        <f>IF(Q$80="geen",0,Q75+Q85-Q88+Q92)</f>
        <v>0</v>
      </c>
      <c r="R94" s="147"/>
      <c r="S94" s="147"/>
      <c r="T94" s="147"/>
      <c r="U94" s="147"/>
      <c r="V94" s="147"/>
      <c r="W94" s="147"/>
      <c r="X94" s="125"/>
      <c r="Y94" s="149"/>
      <c r="Z94" s="129"/>
      <c r="AA94" s="251">
        <f>IF(AA$80="geen",0,AA75+AA85-AA88+AA92)</f>
        <v>0</v>
      </c>
      <c r="AB94" s="251">
        <f>IF(AB$80="geen",0,AB75+AB85-AB88+AB92)</f>
        <v>0</v>
      </c>
      <c r="AC94" s="251">
        <f>IF(AC$80="geen",0,AC75+AC85-AC88+AC92)</f>
        <v>0</v>
      </c>
      <c r="AD94" s="147"/>
      <c r="AE94" s="147"/>
      <c r="AF94" s="147"/>
      <c r="AG94" s="147"/>
      <c r="AH94" s="147"/>
      <c r="AI94" s="147"/>
      <c r="AJ94" s="125"/>
      <c r="AK94" s="149"/>
      <c r="AL94" s="129"/>
      <c r="AM94" s="251">
        <f>IF(AM$80="geen",0,AM75+AM85-AM88+AM92)</f>
        <v>0</v>
      </c>
      <c r="AN94" s="251">
        <f>IF(AN$80="geen",0,AN75+AN85-AN88+AN92)</f>
        <v>0</v>
      </c>
      <c r="AO94" s="251">
        <f>IF(AO$80="geen",0,AO75+AO85-AO88+AO92)</f>
        <v>0</v>
      </c>
      <c r="AP94" s="147"/>
      <c r="AQ94" s="147"/>
      <c r="AR94" s="147"/>
      <c r="AS94" s="147"/>
      <c r="AT94" s="147"/>
      <c r="AU94" s="147"/>
      <c r="AV94" s="125"/>
      <c r="AW94" s="149"/>
      <c r="AX94" s="129"/>
      <c r="AY94" s="251">
        <f>IF(AY$80="geen",0,AY75+AY85-AY88+AY92)</f>
        <v>0</v>
      </c>
      <c r="AZ94" s="251">
        <f>IF(AZ$80="geen",0,AZ75+AZ85-AZ88+AZ92)</f>
        <v>0</v>
      </c>
      <c r="BA94" s="251">
        <f>IF(BA$80="geen",0,BA75+BA85-BA88+BA92)</f>
        <v>0</v>
      </c>
      <c r="BB94" s="147"/>
      <c r="BC94" s="147"/>
      <c r="BD94" s="147"/>
      <c r="BE94" s="147"/>
      <c r="BF94" s="147"/>
      <c r="BG94" s="147"/>
      <c r="BH94" s="255"/>
    </row>
    <row r="95" spans="1:60" hidden="1" x14ac:dyDescent="0.2">
      <c r="A95" s="648"/>
      <c r="B95" s="492" t="s">
        <v>178</v>
      </c>
      <c r="C95" s="739" t="s">
        <v>199</v>
      </c>
      <c r="D95" s="750" t="s">
        <v>50</v>
      </c>
      <c r="E95" s="221" t="s">
        <v>201</v>
      </c>
      <c r="F95" s="220"/>
      <c r="G95" s="220"/>
      <c r="H95" s="221" t="s">
        <v>202</v>
      </c>
      <c r="I95" s="146"/>
      <c r="J95" s="230"/>
      <c r="K95" s="121"/>
      <c r="L95" s="121"/>
      <c r="M95" s="230"/>
      <c r="N95" s="129"/>
      <c r="O95" s="622">
        <f>IF(OR(O80="geen",O94=0),0,IF(O81=gebouw,O$29,1))</f>
        <v>0</v>
      </c>
      <c r="P95" s="622">
        <f>IF(OR(P80="geen",P94=0),0,IF(P81=gebouw,P$29,1))</f>
        <v>0</v>
      </c>
      <c r="Q95" s="622" t="s">
        <v>70</v>
      </c>
      <c r="R95" s="145"/>
      <c r="S95" s="145"/>
      <c r="T95" s="145"/>
      <c r="U95" s="145"/>
      <c r="V95" s="145"/>
      <c r="W95" s="145"/>
      <c r="X95" s="486"/>
      <c r="Y95" s="149"/>
      <c r="Z95" s="135"/>
      <c r="AA95" s="622">
        <f>IF(OR(AA80="geen",AA94=0),0,IF(AA81=gebouw,AA$29,1))</f>
        <v>0</v>
      </c>
      <c r="AB95" s="622">
        <f>IF(OR(AB80="geen",AB94=0),0,IF(AB81=gebouw,AB$29,1))</f>
        <v>0</v>
      </c>
      <c r="AC95" s="622" t="s">
        <v>70</v>
      </c>
      <c r="AD95" s="145"/>
      <c r="AE95" s="145"/>
      <c r="AF95" s="145"/>
      <c r="AG95" s="145"/>
      <c r="AH95" s="145"/>
      <c r="AI95" s="145"/>
      <c r="AJ95" s="486"/>
      <c r="AK95" s="149"/>
      <c r="AL95" s="135"/>
      <c r="AM95" s="622">
        <f>IF(OR(AM80="geen",AM94=0),0,IF(AM81=gebouw,AM$29,1))</f>
        <v>0</v>
      </c>
      <c r="AN95" s="622">
        <f>IF(OR(AN80="geen",AN94=0),0,IF(AN81=gebouw,AN$29,1))</f>
        <v>0</v>
      </c>
      <c r="AO95" s="622" t="s">
        <v>70</v>
      </c>
      <c r="AP95" s="145"/>
      <c r="AQ95" s="145"/>
      <c r="AR95" s="145"/>
      <c r="AS95" s="145"/>
      <c r="AT95" s="145"/>
      <c r="AU95" s="145"/>
      <c r="AV95" s="486"/>
      <c r="AW95" s="149"/>
      <c r="AX95" s="135"/>
      <c r="AY95" s="622">
        <f>IF(OR(AY80="geen",AY94=0),0,IF(AY81=gebouw,AY$29,1))</f>
        <v>0</v>
      </c>
      <c r="AZ95" s="622">
        <f>IF(OR(AZ80="geen",AZ94=0),0,IF(AZ81=gebouw,AZ$29,1))</f>
        <v>0</v>
      </c>
      <c r="BA95" s="622" t="s">
        <v>70</v>
      </c>
      <c r="BB95" s="147"/>
      <c r="BC95" s="147"/>
      <c r="BD95" s="147"/>
      <c r="BE95" s="147"/>
      <c r="BF95" s="147"/>
      <c r="BG95" s="147"/>
      <c r="BH95" s="255"/>
    </row>
    <row r="96" spans="1:60" hidden="1" x14ac:dyDescent="0.2">
      <c r="A96" s="648"/>
      <c r="B96" s="492" t="s">
        <v>178</v>
      </c>
      <c r="C96" s="739" t="s">
        <v>199</v>
      </c>
      <c r="D96" s="750" t="s">
        <v>50</v>
      </c>
      <c r="E96" s="221" t="s">
        <v>203</v>
      </c>
      <c r="F96" s="220"/>
      <c r="G96" s="220"/>
      <c r="H96" s="221" t="s">
        <v>204</v>
      </c>
      <c r="I96" s="146"/>
      <c r="J96" s="230"/>
      <c r="K96" s="121"/>
      <c r="L96" s="121"/>
      <c r="M96" s="230"/>
      <c r="N96" s="129"/>
      <c r="O96" s="622">
        <f>MROUND(((bibliotheek!$I$121*(O94*1000))/(0.001*bibliotheek!$I$122)*((bibliotheek!$I$123-bibliotheek!$I$125)/(bibliotheek!$I$123-bibliotheek!$I$124))+(O31^0.5*4*3+O31)*bibliotheek!$I$126)/1000,50)</f>
        <v>0</v>
      </c>
      <c r="P96" s="622">
        <f>IF(P80="geen",0,MROUND((P94*1000)*bibliotheek!$I$196,1))</f>
        <v>0</v>
      </c>
      <c r="Q96" s="622" t="s">
        <v>70</v>
      </c>
      <c r="R96" s="145"/>
      <c r="S96" s="145"/>
      <c r="T96" s="145"/>
      <c r="U96" s="145"/>
      <c r="V96" s="145"/>
      <c r="W96" s="145"/>
      <c r="X96" s="486"/>
      <c r="Y96" s="149"/>
      <c r="Z96" s="135"/>
      <c r="AA96" s="622">
        <f>MROUND(((bibliotheek!$I$121*(AA94*1000))/(0.001*bibliotheek!$I$122)*((bibliotheek!$I$123-bibliotheek!$I$125)/(bibliotheek!$I$123-bibliotheek!$I$124))+(AA31^0.5*4*3+AA31)*bibliotheek!$I$126)/1000,50)</f>
        <v>0</v>
      </c>
      <c r="AB96" s="622">
        <f>IF(AB80="geen",0,MROUND((AB94*1000)*bibliotheek!$I$196,1))</f>
        <v>0</v>
      </c>
      <c r="AC96" s="622" t="s">
        <v>70</v>
      </c>
      <c r="AD96" s="145"/>
      <c r="AE96" s="145"/>
      <c r="AF96" s="145"/>
      <c r="AG96" s="145"/>
      <c r="AH96" s="145"/>
      <c r="AI96" s="145"/>
      <c r="AJ96" s="486"/>
      <c r="AK96" s="149"/>
      <c r="AL96" s="135"/>
      <c r="AM96" s="622">
        <f>MROUND(((bibliotheek!$I$121*(AM94*1000))/(0.001*bibliotheek!$I$122)*((bibliotheek!$I$123-bibliotheek!$I$125)/(bibliotheek!$I$123-bibliotheek!$I$124))+(AM31^0.5*4*3+AM31)*bibliotheek!$I$126)/1000,50)</f>
        <v>0</v>
      </c>
      <c r="AN96" s="622">
        <f>IF(AN80="geen",0,MROUND((AN94*1000)*bibliotheek!$I$196,1))</f>
        <v>0</v>
      </c>
      <c r="AO96" s="622" t="s">
        <v>70</v>
      </c>
      <c r="AP96" s="145"/>
      <c r="AQ96" s="145"/>
      <c r="AR96" s="145"/>
      <c r="AS96" s="145"/>
      <c r="AT96" s="145"/>
      <c r="AU96" s="145"/>
      <c r="AV96" s="486"/>
      <c r="AW96" s="149"/>
      <c r="AX96" s="135"/>
      <c r="AY96" s="622">
        <f>MROUND(((bibliotheek!$I$121*(AY94*1000))/(0.001*bibliotheek!$I$122)*((bibliotheek!$I$123-bibliotheek!$I$125)/(bibliotheek!$I$123-bibliotheek!$I$124))+(AY31^0.5*4*3+AY31)*bibliotheek!$I$126)/1000,50)</f>
        <v>0</v>
      </c>
      <c r="AZ96" s="622">
        <f>IF(AZ80="geen",0,MROUND((AZ94*1000)*bibliotheek!$I$196,1))</f>
        <v>0</v>
      </c>
      <c r="BA96" s="622" t="s">
        <v>70</v>
      </c>
      <c r="BB96" s="147"/>
      <c r="BC96" s="147"/>
      <c r="BD96" s="147"/>
      <c r="BE96" s="147"/>
      <c r="BF96" s="147"/>
      <c r="BG96" s="147"/>
      <c r="BH96" s="255"/>
    </row>
    <row r="97" spans="1:60" hidden="1" x14ac:dyDescent="0.2">
      <c r="A97" s="648"/>
      <c r="B97" s="492" t="s">
        <v>178</v>
      </c>
      <c r="C97" s="656" t="s">
        <v>199</v>
      </c>
      <c r="D97" s="747"/>
      <c r="E97" s="90"/>
      <c r="F97" s="90"/>
      <c r="G97" s="90"/>
      <c r="H97" s="96"/>
      <c r="I97" s="90"/>
      <c r="J97" s="93"/>
      <c r="K97" s="90"/>
      <c r="L97" s="90"/>
      <c r="M97" s="93"/>
      <c r="N97" s="90"/>
      <c r="O97" s="93"/>
      <c r="P97" s="93"/>
      <c r="Q97" s="93"/>
      <c r="R97" s="93"/>
      <c r="S97" s="93"/>
      <c r="T97" s="93"/>
      <c r="U97" s="93"/>
      <c r="V97" s="93"/>
      <c r="W97" s="93"/>
      <c r="X97" s="93"/>
      <c r="Y97" s="93"/>
      <c r="Z97" s="90"/>
      <c r="AA97" s="122"/>
      <c r="AB97" s="117"/>
      <c r="AC97" s="122"/>
      <c r="AD97" s="93"/>
      <c r="AE97" s="93"/>
      <c r="AF97" s="93"/>
      <c r="AG97" s="93"/>
      <c r="AH97" s="93"/>
      <c r="AI97" s="93"/>
      <c r="AJ97" s="93"/>
      <c r="AK97" s="93"/>
      <c r="AL97" s="90"/>
      <c r="AM97" s="93"/>
      <c r="AN97" s="117"/>
      <c r="AO97" s="93"/>
      <c r="AP97" s="93"/>
      <c r="AQ97" s="93"/>
      <c r="AR97" s="93"/>
      <c r="AS97" s="93"/>
      <c r="AT97" s="93"/>
      <c r="AU97" s="93"/>
      <c r="AV97" s="93"/>
      <c r="AW97" s="93"/>
      <c r="AX97" s="90"/>
      <c r="AY97" s="93"/>
      <c r="AZ97" s="117"/>
      <c r="BA97" s="93"/>
      <c r="BB97" s="93"/>
      <c r="BC97" s="93"/>
      <c r="BD97" s="93"/>
      <c r="BE97" s="93"/>
      <c r="BF97" s="93"/>
      <c r="BG97" s="93"/>
      <c r="BH97" s="1"/>
    </row>
    <row r="98" spans="1:60" x14ac:dyDescent="0.2">
      <c r="A98" s="648"/>
      <c r="B98" s="492" t="s">
        <v>205</v>
      </c>
      <c r="C98" s="656" t="s">
        <v>104</v>
      </c>
      <c r="D98" s="747"/>
      <c r="E98" s="90"/>
      <c r="F98" s="90"/>
      <c r="G98" s="90"/>
      <c r="H98" s="96"/>
      <c r="I98" s="90"/>
      <c r="J98" s="93"/>
      <c r="K98" s="90"/>
      <c r="L98" s="90"/>
      <c r="M98" s="93"/>
      <c r="N98" s="90"/>
      <c r="O98" s="489"/>
      <c r="P98" s="93"/>
      <c r="Q98" s="93"/>
      <c r="R98" s="93"/>
      <c r="S98" s="93"/>
      <c r="T98" s="93"/>
      <c r="U98" s="93"/>
      <c r="V98" s="93"/>
      <c r="W98" s="93"/>
      <c r="X98" s="93"/>
      <c r="Y98" s="93"/>
      <c r="Z98" s="90"/>
      <c r="AA98" s="93"/>
      <c r="AB98" s="93"/>
      <c r="AC98" s="93"/>
      <c r="AD98" s="93"/>
      <c r="AE98" s="93"/>
      <c r="AF98" s="93"/>
      <c r="AG98" s="93"/>
      <c r="AH98" s="93"/>
      <c r="AI98" s="93"/>
      <c r="AJ98" s="93"/>
      <c r="AK98" s="93"/>
      <c r="AL98" s="90"/>
      <c r="AM98" s="93"/>
      <c r="AN98" s="93"/>
      <c r="AO98" s="93"/>
      <c r="AP98" s="93"/>
      <c r="AQ98" s="93"/>
      <c r="AR98" s="93"/>
      <c r="AS98" s="93"/>
      <c r="AT98" s="93"/>
      <c r="AU98" s="93"/>
      <c r="AV98" s="93"/>
      <c r="AW98" s="93"/>
      <c r="AX98" s="90"/>
      <c r="AY98" s="93"/>
      <c r="AZ98" s="93"/>
      <c r="BA98" s="93"/>
      <c r="BB98" s="93"/>
      <c r="BC98" s="93"/>
      <c r="BD98" s="93"/>
      <c r="BE98" s="93"/>
      <c r="BF98" s="93"/>
      <c r="BG98" s="93"/>
      <c r="BH98" s="1"/>
    </row>
    <row r="99" spans="1:60" ht="21" x14ac:dyDescent="0.2">
      <c r="A99" s="648"/>
      <c r="B99" s="492" t="s">
        <v>205</v>
      </c>
      <c r="C99" s="739" t="s">
        <v>104</v>
      </c>
      <c r="D99" s="750" t="s">
        <v>50</v>
      </c>
      <c r="E99" s="240" t="s">
        <v>206</v>
      </c>
      <c r="F99" s="240"/>
      <c r="G99" s="240"/>
      <c r="H99" s="240"/>
      <c r="I99" s="88"/>
      <c r="J99" s="241" t="str">
        <f>J$10</f>
        <v>totaal</v>
      </c>
      <c r="K99" s="142"/>
      <c r="L99" s="142"/>
      <c r="M99" s="216" t="str">
        <f>M$10</f>
        <v>totaal</v>
      </c>
      <c r="N99" s="222"/>
      <c r="O99" s="217" t="str">
        <f>O$10</f>
        <v>verwarming</v>
      </c>
      <c r="P99" s="217" t="str">
        <f>P$10</f>
        <v>koeling</v>
      </c>
      <c r="Q99" s="217" t="str">
        <f>Q$10</f>
        <v>tapwater</v>
      </c>
      <c r="R99" s="217"/>
      <c r="S99" s="217"/>
      <c r="T99" s="217"/>
      <c r="U99" s="217"/>
      <c r="V99" s="217"/>
      <c r="W99" s="217"/>
      <c r="X99" s="214"/>
      <c r="Y99" s="216" t="str">
        <f>Y$10</f>
        <v>totaal</v>
      </c>
      <c r="Z99" s="222"/>
      <c r="AA99" s="217" t="str">
        <f>AA$10</f>
        <v>verwarming</v>
      </c>
      <c r="AB99" s="217" t="str">
        <f>AB$10</f>
        <v>koeling</v>
      </c>
      <c r="AC99" s="217" t="str">
        <f>AC$10</f>
        <v>tapwater</v>
      </c>
      <c r="AD99" s="217"/>
      <c r="AE99" s="217"/>
      <c r="AF99" s="217"/>
      <c r="AG99" s="217"/>
      <c r="AH99" s="217"/>
      <c r="AI99" s="217"/>
      <c r="AJ99" s="214"/>
      <c r="AK99" s="216" t="str">
        <f>AK$10</f>
        <v>totaal</v>
      </c>
      <c r="AL99" s="222"/>
      <c r="AM99" s="217" t="str">
        <f>AM$10</f>
        <v>verwarming</v>
      </c>
      <c r="AN99" s="217" t="str">
        <f>AN$10</f>
        <v>koeling</v>
      </c>
      <c r="AO99" s="217" t="str">
        <f>AO$10</f>
        <v>tapwater</v>
      </c>
      <c r="AP99" s="217"/>
      <c r="AQ99" s="217"/>
      <c r="AR99" s="217"/>
      <c r="AS99" s="217"/>
      <c r="AT99" s="217"/>
      <c r="AU99" s="217"/>
      <c r="AV99" s="214"/>
      <c r="AW99" s="216" t="str">
        <f>AW$10</f>
        <v>totaal</v>
      </c>
      <c r="AX99" s="222"/>
      <c r="AY99" s="217" t="str">
        <f>AY$10</f>
        <v>verwarming</v>
      </c>
      <c r="AZ99" s="217" t="str">
        <f>AZ$10</f>
        <v>koeling</v>
      </c>
      <c r="BA99" s="217" t="str">
        <f>BA$10</f>
        <v>tapwater</v>
      </c>
      <c r="BB99" s="217"/>
      <c r="BC99" s="217"/>
      <c r="BD99" s="217"/>
      <c r="BE99" s="217"/>
      <c r="BF99" s="217"/>
      <c r="BG99" s="217"/>
      <c r="BH99" s="1"/>
    </row>
    <row r="100" spans="1:60" ht="18.75" x14ac:dyDescent="0.2">
      <c r="A100" s="648"/>
      <c r="B100" s="492" t="s">
        <v>205</v>
      </c>
      <c r="C100" s="739" t="s">
        <v>104</v>
      </c>
      <c r="D100" s="750"/>
      <c r="E100" s="315" t="s">
        <v>207</v>
      </c>
      <c r="F100" s="175"/>
      <c r="G100" s="175"/>
      <c r="H100" s="176"/>
      <c r="I100" s="177"/>
      <c r="J100" s="141"/>
      <c r="K100" s="178"/>
      <c r="L100" s="178"/>
      <c r="M100" s="141"/>
      <c r="N100" s="141"/>
      <c r="O100" s="141"/>
      <c r="P100" s="141"/>
      <c r="Q100" s="141"/>
      <c r="R100" s="141">
        <v>1</v>
      </c>
      <c r="S100" s="141">
        <v>1</v>
      </c>
      <c r="T100" s="141"/>
      <c r="U100" s="141"/>
      <c r="V100" s="141"/>
      <c r="W100" s="141"/>
      <c r="X100" s="179"/>
      <c r="Y100" s="141"/>
      <c r="Z100" s="141"/>
      <c r="AA100" s="141"/>
      <c r="AB100" s="141"/>
      <c r="AC100" s="141"/>
      <c r="AD100" s="141"/>
      <c r="AE100" s="141"/>
      <c r="AF100" s="141"/>
      <c r="AG100" s="141"/>
      <c r="AH100" s="141"/>
      <c r="AI100" s="141"/>
      <c r="AJ100" s="179"/>
      <c r="AK100" s="141"/>
      <c r="AL100" s="141"/>
      <c r="AM100" s="141"/>
      <c r="AN100" s="141"/>
      <c r="AO100" s="141"/>
      <c r="AP100" s="141"/>
      <c r="AQ100" s="141"/>
      <c r="AR100" s="141"/>
      <c r="AS100" s="141"/>
      <c r="AT100" s="141"/>
      <c r="AU100" s="141"/>
      <c r="AV100" s="179"/>
      <c r="AW100" s="141"/>
      <c r="AX100" s="141"/>
      <c r="AY100" s="141"/>
      <c r="AZ100" s="141"/>
      <c r="BA100" s="141"/>
      <c r="BB100" s="141"/>
      <c r="BC100" s="141"/>
      <c r="BD100" s="141"/>
      <c r="BE100" s="141"/>
      <c r="BF100" s="141"/>
      <c r="BG100" s="141"/>
      <c r="BH100" s="263"/>
    </row>
    <row r="101" spans="1:60" ht="38.25" x14ac:dyDescent="0.2">
      <c r="A101" s="648"/>
      <c r="B101" s="492" t="s">
        <v>205</v>
      </c>
      <c r="C101" s="656" t="s">
        <v>127</v>
      </c>
      <c r="D101" s="747"/>
      <c r="E101" s="183" t="s">
        <v>181</v>
      </c>
      <c r="F101" s="357"/>
      <c r="G101" s="357"/>
      <c r="H101" s="183" t="s">
        <v>70</v>
      </c>
      <c r="I101" s="188"/>
      <c r="J101" s="330"/>
      <c r="K101" s="820"/>
      <c r="L101" s="820"/>
      <c r="M101" s="330"/>
      <c r="N101" s="136"/>
      <c r="O101" s="390" t="str">
        <f>O80</f>
        <v>ind WP, ind bodem, elek bijstook</v>
      </c>
      <c r="P101" s="390" t="str">
        <f>P80</f>
        <v>geen</v>
      </c>
      <c r="Q101" s="390" t="str">
        <f>Q80</f>
        <v>ind WP, ind bodem, elek bijstook</v>
      </c>
      <c r="R101" s="190"/>
      <c r="S101" s="190"/>
      <c r="T101" s="190"/>
      <c r="U101" s="190"/>
      <c r="V101" s="190"/>
      <c r="W101" s="190"/>
      <c r="X101" s="191"/>
      <c r="Y101" s="330"/>
      <c r="Z101" s="136"/>
      <c r="AA101" s="390" t="str">
        <f>AA80</f>
        <v>ind WP, ind bodem, elek bijstook</v>
      </c>
      <c r="AB101" s="390" t="str">
        <f>AB80</f>
        <v>geen</v>
      </c>
      <c r="AC101" s="390" t="str">
        <f>AC80</f>
        <v>ind WP, ind bodem, elek bijstook</v>
      </c>
      <c r="AD101" s="190"/>
      <c r="AE101" s="190"/>
      <c r="AF101" s="190"/>
      <c r="AG101" s="190"/>
      <c r="AH101" s="190"/>
      <c r="AI101" s="190"/>
      <c r="AJ101" s="191"/>
      <c r="AK101" s="330"/>
      <c r="AL101" s="136"/>
      <c r="AM101" s="390" t="str">
        <f>AM80</f>
        <v>ind WP, ind bodem, elek bijstook</v>
      </c>
      <c r="AN101" s="390" t="str">
        <f>AN80</f>
        <v>geen</v>
      </c>
      <c r="AO101" s="390" t="str">
        <f>AO80</f>
        <v>ind WP, ind bodem, elek bijstook</v>
      </c>
      <c r="AP101" s="190"/>
      <c r="AQ101" s="190"/>
      <c r="AR101" s="190"/>
      <c r="AS101" s="190"/>
      <c r="AT101" s="190"/>
      <c r="AU101" s="190"/>
      <c r="AV101" s="191"/>
      <c r="AW101" s="330"/>
      <c r="AX101" s="136"/>
      <c r="AY101" s="390" t="str">
        <f>AY80</f>
        <v>ind WP, ind bodem, elek bijstook</v>
      </c>
      <c r="AZ101" s="390" t="str">
        <f>AZ80</f>
        <v>geen</v>
      </c>
      <c r="BA101" s="390" t="str">
        <f>BA80</f>
        <v>ind WP, ind bodem, elek bijstook</v>
      </c>
      <c r="BB101" s="190"/>
      <c r="BC101" s="190"/>
      <c r="BD101" s="190"/>
      <c r="BE101" s="190"/>
      <c r="BF101" s="190"/>
      <c r="BG101" s="190"/>
      <c r="BH101" s="263"/>
    </row>
    <row r="102" spans="1:60" s="38" customFormat="1" hidden="1" x14ac:dyDescent="0.2">
      <c r="A102" s="648"/>
      <c r="B102" s="492" t="s">
        <v>205</v>
      </c>
      <c r="C102" s="656" t="s">
        <v>199</v>
      </c>
      <c r="D102" s="747"/>
      <c r="E102" s="183" t="s">
        <v>208</v>
      </c>
      <c r="F102" s="182"/>
      <c r="G102" s="182"/>
      <c r="H102" s="183" t="s">
        <v>70</v>
      </c>
      <c r="I102" s="340"/>
      <c r="J102" s="350"/>
      <c r="K102" s="821"/>
      <c r="L102" s="821"/>
      <c r="M102" s="350"/>
      <c r="N102" s="235"/>
      <c r="O102" s="390" t="str">
        <f>HLOOKUP(IF(O$80="",referentie_verwarming,O$80),toestellen_RV,ROWS(bibliotheek!$E$79:$E$92),FALSE)</f>
        <v>elektriciteit</v>
      </c>
      <c r="P102" s="390" t="str">
        <f>HLOOKUP(IF(P$80="",referentie_koeling,P$80),toestellen_KOEL,ROWS(bibliotheek!$E$170:$E$177),FALSE)</f>
        <v>nvt</v>
      </c>
      <c r="Q102" s="390" t="str">
        <f>HLOOKUP(IF(Q$80="",referentie_warmtapwater,Q$80),toestellen_TAP,ROWS(bibliotheek!$E$136:$E$149),FALSE)</f>
        <v>elektriciteit</v>
      </c>
      <c r="R102" s="341"/>
      <c r="S102" s="341"/>
      <c r="T102" s="341"/>
      <c r="U102" s="341"/>
      <c r="V102" s="341"/>
      <c r="W102" s="341"/>
      <c r="X102" s="342"/>
      <c r="Y102" s="350"/>
      <c r="Z102" s="235"/>
      <c r="AA102" s="390" t="str">
        <f>HLOOKUP(IF(AA$80="",referentie_verwarming,AA$80),toestellen_RV,ROWS(bibliotheek!$E$79:$E$92),FALSE)</f>
        <v>elektriciteit</v>
      </c>
      <c r="AB102" s="390" t="str">
        <f>HLOOKUP(IF(AB$80="",referentie_koeling,AB$80),toestellen_KOEL,ROWS(bibliotheek!$E$170:$E$177),FALSE)</f>
        <v>nvt</v>
      </c>
      <c r="AC102" s="390" t="str">
        <f>HLOOKUP(IF(AC$80="",referentie_warmtapwater,AC$80),toestellen_TAP,ROWS(bibliotheek!$E$136:$E$149),FALSE)</f>
        <v>elektriciteit</v>
      </c>
      <c r="AD102" s="341"/>
      <c r="AE102" s="341"/>
      <c r="AF102" s="341"/>
      <c r="AG102" s="341"/>
      <c r="AH102" s="341"/>
      <c r="AI102" s="341"/>
      <c r="AJ102" s="342"/>
      <c r="AK102" s="350"/>
      <c r="AL102" s="235"/>
      <c r="AM102" s="390" t="str">
        <f>HLOOKUP(IF(AM$80="",referentie_verwarming,AM$80),toestellen_RV,ROWS(bibliotheek!$E$79:$E$92),FALSE)</f>
        <v>elektriciteit</v>
      </c>
      <c r="AN102" s="390" t="str">
        <f>HLOOKUP(IF(AN$80="",referentie_koeling,AN$80),toestellen_KOEL,ROWS(bibliotheek!$E$170:$E$177),FALSE)</f>
        <v>nvt</v>
      </c>
      <c r="AO102" s="390" t="str">
        <f>HLOOKUP(IF(AO$80="",referentie_warmtapwater,AO$80),toestellen_TAP,ROWS(bibliotheek!$E$136:$E$149),FALSE)</f>
        <v>elektriciteit</v>
      </c>
      <c r="AP102" s="341"/>
      <c r="AQ102" s="341"/>
      <c r="AR102" s="341"/>
      <c r="AS102" s="341"/>
      <c r="AT102" s="341"/>
      <c r="AU102" s="341"/>
      <c r="AV102" s="342"/>
      <c r="AW102" s="350"/>
      <c r="AX102" s="235"/>
      <c r="AY102" s="390" t="str">
        <f>HLOOKUP(IF(AY$80="",referentie_verwarming,AY$80),toestellen_RV,ROWS(bibliotheek!$E$79:$E$92),FALSE)</f>
        <v>elektriciteit</v>
      </c>
      <c r="AZ102" s="390" t="str">
        <f>HLOOKUP(IF(AZ$80="",referentie_koeling,AZ$80),toestellen_KOEL,ROWS(bibliotheek!$E$170:$E$177),FALSE)</f>
        <v>nvt</v>
      </c>
      <c r="BA102" s="390" t="str">
        <f>HLOOKUP(IF(BA$80="",referentie_warmtapwater,BA$80),toestellen_TAP,ROWS(bibliotheek!$E$136:$E$149),FALSE)</f>
        <v>elektriciteit</v>
      </c>
      <c r="BB102" s="341"/>
      <c r="BC102" s="341"/>
      <c r="BD102" s="341"/>
      <c r="BE102" s="341"/>
      <c r="BF102" s="341"/>
      <c r="BG102" s="341"/>
      <c r="BH102" s="268"/>
    </row>
    <row r="103" spans="1:60" hidden="1" x14ac:dyDescent="0.2">
      <c r="A103" s="648"/>
      <c r="B103" s="492" t="s">
        <v>205</v>
      </c>
      <c r="C103" s="739" t="s">
        <v>199</v>
      </c>
      <c r="D103" s="747"/>
      <c r="E103" s="221" t="s">
        <v>209</v>
      </c>
      <c r="F103" s="220"/>
      <c r="G103" s="220"/>
      <c r="H103" s="221" t="s">
        <v>70</v>
      </c>
      <c r="I103" s="146"/>
      <c r="J103" s="230"/>
      <c r="K103" s="822"/>
      <c r="L103" s="822"/>
      <c r="M103" s="230"/>
      <c r="N103" s="129"/>
      <c r="O103" s="623" t="str">
        <f>INDEX(energiedragers_index_fPren,MATCH(O102,energiedragers_namen,0))</f>
        <v>nren</v>
      </c>
      <c r="P103" s="623" t="str">
        <f>INDEX(energiedragers_index_fPren,MATCH(P102,energiedragers_namen,0))</f>
        <v>nren</v>
      </c>
      <c r="Q103" s="623" t="str">
        <f>INDEX(energiedragers_index_fPren,MATCH(Q102,energiedragers_namen,0))</f>
        <v>nren</v>
      </c>
      <c r="R103" s="200"/>
      <c r="S103" s="200"/>
      <c r="T103" s="200"/>
      <c r="U103" s="200"/>
      <c r="V103" s="200"/>
      <c r="W103" s="200"/>
      <c r="X103" s="201"/>
      <c r="Y103" s="230"/>
      <c r="Z103" s="129"/>
      <c r="AA103" s="623" t="str">
        <f>INDEX(energiedragers_index_fPren,MATCH(AA102,energiedragers_namen,0))</f>
        <v>nren</v>
      </c>
      <c r="AB103" s="623" t="str">
        <f>INDEX(energiedragers_index_fPren,MATCH(AB102,energiedragers_namen,0))</f>
        <v>nren</v>
      </c>
      <c r="AC103" s="623" t="str">
        <f>INDEX(energiedragers_index_fPren,MATCH(AC102,energiedragers_namen,0))</f>
        <v>nren</v>
      </c>
      <c r="AD103" s="200"/>
      <c r="AE103" s="200"/>
      <c r="AF103" s="200"/>
      <c r="AG103" s="200"/>
      <c r="AH103" s="200"/>
      <c r="AI103" s="200"/>
      <c r="AJ103" s="201"/>
      <c r="AK103" s="230"/>
      <c r="AL103" s="129"/>
      <c r="AM103" s="623" t="str">
        <f>INDEX(energiedragers_index_fPren,MATCH(AM102,energiedragers_namen,0))</f>
        <v>nren</v>
      </c>
      <c r="AN103" s="623" t="str">
        <f>INDEX(energiedragers_index_fPren,MATCH(AN102,energiedragers_namen,0))</f>
        <v>nren</v>
      </c>
      <c r="AO103" s="623" t="str">
        <f>INDEX(energiedragers_index_fPren,MATCH(AO102,energiedragers_namen,0))</f>
        <v>nren</v>
      </c>
      <c r="AP103" s="200"/>
      <c r="AQ103" s="200"/>
      <c r="AR103" s="200"/>
      <c r="AS103" s="200"/>
      <c r="AT103" s="200"/>
      <c r="AU103" s="200"/>
      <c r="AV103" s="201"/>
      <c r="AW103" s="230"/>
      <c r="AX103" s="129"/>
      <c r="AY103" s="623" t="str">
        <f>INDEX(energiedragers_index_fPren,MATCH(AY102,energiedragers_namen,0))</f>
        <v>nren</v>
      </c>
      <c r="AZ103" s="623" t="str">
        <f>INDEX(energiedragers_index_fPren,MATCH(AZ102,energiedragers_namen,0))</f>
        <v>nren</v>
      </c>
      <c r="BA103" s="623" t="str">
        <f>INDEX(energiedragers_index_fPren,MATCH(BA102,energiedragers_namen,0))</f>
        <v>nren</v>
      </c>
      <c r="BB103" s="200"/>
      <c r="BC103" s="200"/>
      <c r="BD103" s="200"/>
      <c r="BE103" s="200"/>
      <c r="BF103" s="200"/>
      <c r="BG103" s="200"/>
      <c r="BH103" s="264"/>
    </row>
    <row r="104" spans="1:60" ht="18.75" x14ac:dyDescent="0.2">
      <c r="A104" s="648"/>
      <c r="B104" s="492" t="s">
        <v>205</v>
      </c>
      <c r="C104" s="739" t="s">
        <v>104</v>
      </c>
      <c r="D104" s="747"/>
      <c r="E104" s="144" t="s">
        <v>210</v>
      </c>
      <c r="F104" s="119"/>
      <c r="G104" s="119"/>
      <c r="H104" s="89"/>
      <c r="I104" s="120"/>
      <c r="J104" s="141"/>
      <c r="K104" s="124"/>
      <c r="L104" s="124"/>
      <c r="M104" s="141"/>
      <c r="N104" s="141"/>
      <c r="O104" s="141"/>
      <c r="P104" s="141"/>
      <c r="Q104" s="141"/>
      <c r="R104" s="141"/>
      <c r="S104" s="141"/>
      <c r="T104" s="141"/>
      <c r="U104" s="141"/>
      <c r="V104" s="141"/>
      <c r="W104" s="141"/>
      <c r="X104" s="143"/>
      <c r="Y104" s="141"/>
      <c r="Z104" s="141"/>
      <c r="AA104" s="141"/>
      <c r="AB104" s="141"/>
      <c r="AC104" s="141"/>
      <c r="AD104" s="141"/>
      <c r="AE104" s="141"/>
      <c r="AF104" s="141"/>
      <c r="AG104" s="141"/>
      <c r="AH104" s="141"/>
      <c r="AI104" s="141"/>
      <c r="AJ104" s="143"/>
      <c r="AK104" s="141"/>
      <c r="AL104" s="141"/>
      <c r="AM104" s="141"/>
      <c r="AN104" s="141"/>
      <c r="AO104" s="141"/>
      <c r="AP104" s="141"/>
      <c r="AQ104" s="141"/>
      <c r="AR104" s="141"/>
      <c r="AS104" s="141"/>
      <c r="AT104" s="141"/>
      <c r="AU104" s="141"/>
      <c r="AV104" s="143"/>
      <c r="AW104" s="141"/>
      <c r="AX104" s="141"/>
      <c r="AY104" s="141"/>
      <c r="AZ104" s="141"/>
      <c r="BA104" s="141"/>
      <c r="BB104" s="141"/>
      <c r="BC104" s="141"/>
      <c r="BD104" s="141"/>
      <c r="BE104" s="141"/>
      <c r="BF104" s="141"/>
      <c r="BG104" s="141"/>
      <c r="BH104" s="263"/>
    </row>
    <row r="105" spans="1:60" x14ac:dyDescent="0.2">
      <c r="A105" s="648"/>
      <c r="B105" s="492" t="s">
        <v>205</v>
      </c>
      <c r="C105" s="656" t="s">
        <v>127</v>
      </c>
      <c r="D105" s="747"/>
      <c r="E105" s="354" t="s">
        <v>211</v>
      </c>
      <c r="F105" s="316"/>
      <c r="G105" s="316"/>
      <c r="H105" s="354" t="s">
        <v>150</v>
      </c>
      <c r="I105" s="88"/>
      <c r="J105" s="229"/>
      <c r="K105" s="121"/>
      <c r="L105" s="121"/>
      <c r="M105" s="229"/>
      <c r="N105" s="90"/>
      <c r="O105" s="624">
        <f>IF(HLOOKUP(IF(O$80="",referentie_verwarming,O$80),toestellen_RV,ROWS(bibliotheek!$E$79:$E$94),FALSE)=1,1,IF(O106&lt;&gt;"",O106,HLOOKUP(IF(O$80="",referentie_verwarming,O$80),toestellen_RV,ROWS(bibliotheek!$E$79:$E$94),FALSE)))</f>
        <v>0.9</v>
      </c>
      <c r="P105" s="624">
        <f>IF(HLOOKUP(IF(P$80="",referentie_koeling,P$80),toestellen_KOEL,ROWS(bibliotheek!$E$170:$E$179),FALSE)=1,1,IF(P106&lt;&gt;"",P106,HLOOKUP(IF(P$80="",referentie_koeling,P$80),toestellen_KOEL,ROWS(bibliotheek!$E$170:$E$179),FALSE)))</f>
        <v>1</v>
      </c>
      <c r="Q105" s="624">
        <f>IF(HLOOKUP(IF(Q$80="",referentie_warmtapwater,Q$80),toestellen_TAP,ROWS(bibliotheek!$E$136:$E$151),FALSE)=1,1,IF(Q106&lt;&gt;"",Q106,HLOOKUP(IF(Q$80="",referentie_warmtapwater,Q$80),toestellen_TAP,ROWS(bibliotheek!$E$136:$E$151),FALSE)))</f>
        <v>0.9</v>
      </c>
      <c r="R105" s="152"/>
      <c r="S105" s="152"/>
      <c r="T105" s="152"/>
      <c r="U105" s="152"/>
      <c r="V105" s="152"/>
      <c r="W105" s="152"/>
      <c r="X105" s="87"/>
      <c r="Y105" s="229"/>
      <c r="Z105" s="90"/>
      <c r="AA105" s="624">
        <f>IF(HLOOKUP(IF(AA$80="",referentie_verwarming,AA$80),toestellen_RV,ROWS(bibliotheek!$E$79:$E$94),FALSE)=1,1,IF(AA106&lt;&gt;"",AA106,HLOOKUP(IF(AA$80="",referentie_verwarming,AA$80),toestellen_RV,ROWS(bibliotheek!$E$79:$E$94),FALSE)))</f>
        <v>0.9</v>
      </c>
      <c r="AB105" s="624">
        <f>IF(HLOOKUP(IF(AB$80="",referentie_koeling,AB$80),toestellen_KOEL,ROWS(bibliotheek!$E$170:$E$179),FALSE)=1,1,IF(AB106&lt;&gt;"",AB106,HLOOKUP(IF(AB$80="",referentie_koeling,AB$80),toestellen_KOEL,ROWS(bibliotheek!$E$170:$E$179),FALSE)))</f>
        <v>1</v>
      </c>
      <c r="AC105" s="624">
        <f>IF(HLOOKUP(IF(AC$80="",referentie_warmtapwater,AC$80),toestellen_TAP,ROWS(bibliotheek!$E$136:$E$151),FALSE)=1,1,IF(AC106&lt;&gt;"",AC106,HLOOKUP(IF(AC$80="",referentie_warmtapwater,AC$80),toestellen_TAP,ROWS(bibliotheek!$E$136:$E$151),FALSE)))</f>
        <v>0.9</v>
      </c>
      <c r="AD105" s="152"/>
      <c r="AE105" s="152"/>
      <c r="AF105" s="152"/>
      <c r="AG105" s="152"/>
      <c r="AH105" s="152"/>
      <c r="AI105" s="152"/>
      <c r="AJ105" s="87"/>
      <c r="AK105" s="229"/>
      <c r="AL105" s="90"/>
      <c r="AM105" s="624">
        <f>IF(HLOOKUP(IF(AM$80="",referentie_verwarming,AM$80),toestellen_RV,ROWS(bibliotheek!$E$79:$E$94),FALSE)=1,1,IF(AM106&lt;&gt;"",AM106,HLOOKUP(IF(AM$80="",referentie_verwarming,AM$80),toestellen_RV,ROWS(bibliotheek!$E$79:$E$94),FALSE)))</f>
        <v>0.9</v>
      </c>
      <c r="AN105" s="624">
        <f>IF(HLOOKUP(IF(AN$80="",referentie_koeling,AN$80),toestellen_KOEL,ROWS(bibliotheek!$E$170:$E$179),FALSE)=1,1,IF(AN106&lt;&gt;"",AN106,HLOOKUP(IF(AN$80="",referentie_koeling,AN$80),toestellen_KOEL,ROWS(bibliotheek!$E$170:$E$179),FALSE)))</f>
        <v>1</v>
      </c>
      <c r="AO105" s="624">
        <f>IF(HLOOKUP(IF(AO$80="",referentie_warmtapwater,AO$80),toestellen_TAP,ROWS(bibliotheek!$E$136:$E$151),FALSE)=1,1,IF(AO106&lt;&gt;"",AO106,HLOOKUP(IF(AO$80="",referentie_warmtapwater,AO$80),toestellen_TAP,ROWS(bibliotheek!$E$136:$E$151),FALSE)))</f>
        <v>0.9</v>
      </c>
      <c r="AP105" s="152"/>
      <c r="AQ105" s="152"/>
      <c r="AR105" s="152"/>
      <c r="AS105" s="152"/>
      <c r="AT105" s="152"/>
      <c r="AU105" s="152"/>
      <c r="AV105" s="87"/>
      <c r="AW105" s="229"/>
      <c r="AX105" s="90"/>
      <c r="AY105" s="624">
        <f>IF(HLOOKUP(IF(AY$80="",referentie_verwarming,AY$80),toestellen_RV,ROWS(bibliotheek!$E$79:$E$94),FALSE)=1,1,IF(AY106&lt;&gt;"",AY106,HLOOKUP(IF(AY$80="",referentie_verwarming,AY$80),toestellen_RV,ROWS(bibliotheek!$E$79:$E$94),FALSE)))</f>
        <v>0.9</v>
      </c>
      <c r="AZ105" s="624">
        <f>IF(HLOOKUP(IF(AZ$80="",referentie_koeling,AZ$80),toestellen_KOEL,ROWS(bibliotheek!$E$170:$E$179),FALSE)=1,1,IF(AZ106&lt;&gt;"",AZ106,HLOOKUP(IF(AZ$80="",referentie_koeling,AZ$80),toestellen_KOEL,ROWS(bibliotheek!$E$170:$E$179),FALSE)))</f>
        <v>1</v>
      </c>
      <c r="BA105" s="624">
        <f>IF(HLOOKUP(IF(BA$80="",referentie_warmtapwater,BA$80),toestellen_TAP,ROWS(bibliotheek!$E$136:$E$151),FALSE)=1,1,IF(BA106&lt;&gt;"",BA106,HLOOKUP(IF(BA$80="",referentie_warmtapwater,BA$80),toestellen_TAP,ROWS(bibliotheek!$E$136:$E$151),FALSE)))</f>
        <v>0.9</v>
      </c>
      <c r="BB105" s="152"/>
      <c r="BC105" s="152"/>
      <c r="BD105" s="152"/>
      <c r="BE105" s="152"/>
      <c r="BF105" s="152"/>
      <c r="BG105" s="152"/>
      <c r="BH105" s="214"/>
    </row>
    <row r="106" spans="1:60" x14ac:dyDescent="0.2">
      <c r="A106" s="648"/>
      <c r="B106" s="492" t="s">
        <v>205</v>
      </c>
      <c r="C106" s="656" t="s">
        <v>127</v>
      </c>
      <c r="D106" s="747"/>
      <c r="E106" s="412" t="s">
        <v>212</v>
      </c>
      <c r="F106" s="317"/>
      <c r="G106" s="317"/>
      <c r="H106" s="355"/>
      <c r="I106" s="88"/>
      <c r="J106" s="362"/>
      <c r="K106" s="121"/>
      <c r="L106" s="121"/>
      <c r="M106" s="239"/>
      <c r="N106" s="90"/>
      <c r="O106" s="345"/>
      <c r="P106" s="345"/>
      <c r="Q106" s="345"/>
      <c r="R106" s="154"/>
      <c r="S106" s="154"/>
      <c r="T106" s="154"/>
      <c r="U106" s="154"/>
      <c r="V106" s="154"/>
      <c r="W106" s="154"/>
      <c r="X106" s="87"/>
      <c r="Y106" s="239"/>
      <c r="Z106" s="90"/>
      <c r="AA106" s="345"/>
      <c r="AB106" s="345"/>
      <c r="AC106" s="345"/>
      <c r="AD106" s="154"/>
      <c r="AE106" s="154"/>
      <c r="AF106" s="154"/>
      <c r="AG106" s="154"/>
      <c r="AH106" s="154"/>
      <c r="AI106" s="154"/>
      <c r="AJ106" s="87"/>
      <c r="AK106" s="239"/>
      <c r="AL106" s="90"/>
      <c r="AM106" s="345"/>
      <c r="AN106" s="345"/>
      <c r="AO106" s="345"/>
      <c r="AP106" s="154"/>
      <c r="AQ106" s="154"/>
      <c r="AR106" s="154"/>
      <c r="AS106" s="154"/>
      <c r="AT106" s="154"/>
      <c r="AU106" s="154"/>
      <c r="AV106" s="87"/>
      <c r="AW106" s="239"/>
      <c r="AX106" s="90"/>
      <c r="AY106" s="345"/>
      <c r="AZ106" s="345"/>
      <c r="BA106" s="345"/>
      <c r="BB106" s="154"/>
      <c r="BC106" s="154"/>
      <c r="BD106" s="154"/>
      <c r="BE106" s="154"/>
      <c r="BF106" s="154"/>
      <c r="BG106" s="154"/>
      <c r="BH106" s="265"/>
    </row>
    <row r="107" spans="1:60" hidden="1" x14ac:dyDescent="0.2">
      <c r="A107" s="650"/>
      <c r="B107" s="492" t="s">
        <v>205</v>
      </c>
      <c r="C107" s="740" t="s">
        <v>199</v>
      </c>
      <c r="D107" s="752"/>
      <c r="E107" s="242" t="s">
        <v>213</v>
      </c>
      <c r="F107" s="298"/>
      <c r="G107" s="298"/>
      <c r="H107" s="242" t="s">
        <v>177</v>
      </c>
      <c r="I107" s="121"/>
      <c r="J107" s="243">
        <f>M107+Y107+AK107+AW107</f>
        <v>0</v>
      </c>
      <c r="K107" s="293"/>
      <c r="L107" s="293"/>
      <c r="M107" s="243">
        <f>SUM(O107:X107)</f>
        <v>0</v>
      </c>
      <c r="N107" s="294"/>
      <c r="O107" s="207">
        <f>O$94*O105</f>
        <v>0</v>
      </c>
      <c r="P107" s="207">
        <f>P$94*P105</f>
        <v>0</v>
      </c>
      <c r="Q107" s="207">
        <f>Q$94*Q105</f>
        <v>0</v>
      </c>
      <c r="R107" s="147"/>
      <c r="S107" s="147"/>
      <c r="T107" s="147"/>
      <c r="U107" s="147"/>
      <c r="V107" s="147"/>
      <c r="W107" s="147"/>
      <c r="X107" s="125"/>
      <c r="Y107" s="243">
        <f>SUM(AA107:AJ107)</f>
        <v>0</v>
      </c>
      <c r="Z107" s="294"/>
      <c r="AA107" s="207">
        <f>AA$94*AA105</f>
        <v>0</v>
      </c>
      <c r="AB107" s="207">
        <f>AB$94*AB105</f>
        <v>0</v>
      </c>
      <c r="AC107" s="207">
        <f>AC$94*AC105</f>
        <v>0</v>
      </c>
      <c r="AD107" s="147"/>
      <c r="AE107" s="147"/>
      <c r="AF107" s="147"/>
      <c r="AG107" s="147"/>
      <c r="AH107" s="147"/>
      <c r="AI107" s="147"/>
      <c r="AJ107" s="125"/>
      <c r="AK107" s="243">
        <f>SUM(AM107:AV107)</f>
        <v>0</v>
      </c>
      <c r="AL107" s="294"/>
      <c r="AM107" s="207">
        <f>AM$94*AM105</f>
        <v>0</v>
      </c>
      <c r="AN107" s="207">
        <f>AN$94*AN105</f>
        <v>0</v>
      </c>
      <c r="AO107" s="207">
        <f>AO$94*AO105</f>
        <v>0</v>
      </c>
      <c r="AP107" s="147"/>
      <c r="AQ107" s="147"/>
      <c r="AR107" s="147"/>
      <c r="AS107" s="147"/>
      <c r="AT107" s="147"/>
      <c r="AU107" s="147"/>
      <c r="AV107" s="125"/>
      <c r="AW107" s="243">
        <f>SUM(AY107:BH107)</f>
        <v>0</v>
      </c>
      <c r="AX107" s="294"/>
      <c r="AY107" s="207">
        <f>AY$94*AY105</f>
        <v>0</v>
      </c>
      <c r="AZ107" s="207">
        <f>AZ$94*AZ105</f>
        <v>0</v>
      </c>
      <c r="BA107" s="207">
        <f>BA$94*BA105</f>
        <v>0</v>
      </c>
      <c r="BB107" s="147"/>
      <c r="BC107" s="147"/>
      <c r="BD107" s="147"/>
      <c r="BE107" s="147"/>
      <c r="BF107" s="147"/>
      <c r="BG107" s="147"/>
      <c r="BH107" s="214"/>
    </row>
    <row r="108" spans="1:60" x14ac:dyDescent="0.2">
      <c r="A108" s="648"/>
      <c r="B108" s="492" t="s">
        <v>205</v>
      </c>
      <c r="C108" s="656" t="s">
        <v>127</v>
      </c>
      <c r="D108" s="750" t="s">
        <v>50</v>
      </c>
      <c r="E108" s="354" t="s">
        <v>214</v>
      </c>
      <c r="F108" s="316"/>
      <c r="G108" s="316"/>
      <c r="H108" s="354" t="s">
        <v>70</v>
      </c>
      <c r="I108" s="88"/>
      <c r="J108" s="351"/>
      <c r="K108" s="296"/>
      <c r="L108" s="296"/>
      <c r="M108" s="351"/>
      <c r="N108" s="297"/>
      <c r="O108" s="445">
        <f>IF(O109&lt;&gt;"",O109,HLOOKUP(IF(O$80="",referentie_verwarming,O$80),toestellen_RV,ROWS(bibliotheek!$E$79:$E$95),FALSE))</f>
        <v>4.55</v>
      </c>
      <c r="P108" s="445">
        <f>IF(P109&lt;&gt;"",P109,HLOOKUP(IF(P$80="",referentie_koeling,P$80),toestellen_KOEL,ROWS(bibliotheek!$E$170:$E$180),FALSE))</f>
        <v>0</v>
      </c>
      <c r="Q108" s="445">
        <f>IF(Q109&lt;&gt;"",Q109,HLOOKUP(IF(Q$80="",referentie_warmtapwater,Q$80),toestellen_TAP,ROWS(bibliotheek!$E$136:$E$152),FALSE))</f>
        <v>2.4</v>
      </c>
      <c r="R108" s="158"/>
      <c r="S108" s="158"/>
      <c r="T108" s="158"/>
      <c r="U108" s="158"/>
      <c r="V108" s="158"/>
      <c r="W108" s="158"/>
      <c r="X108" s="414"/>
      <c r="Y108" s="351"/>
      <c r="Z108" s="297"/>
      <c r="AA108" s="445">
        <f>IF(AA109&lt;&gt;"",AA109,HLOOKUP(IF(AA$80="",referentie_verwarming,AA$80),toestellen_RV,ROWS(bibliotheek!$E$79:$E$95),FALSE))</f>
        <v>4.55</v>
      </c>
      <c r="AB108" s="445">
        <f>IF(AB109&lt;&gt;"",AB109,HLOOKUP(IF(AB$80="",referentie_koeling,AB$80),toestellen_KOEL,ROWS(bibliotheek!$E$170:$E$180),FALSE))</f>
        <v>0</v>
      </c>
      <c r="AC108" s="445">
        <f>IF(AC109&lt;&gt;"",AC109,HLOOKUP(IF(AC$80="",referentie_warmtapwater,AC$80),toestellen_TAP,ROWS(bibliotheek!$E$136:$E$152),FALSE))</f>
        <v>2.4</v>
      </c>
      <c r="AD108" s="158"/>
      <c r="AE108" s="158"/>
      <c r="AF108" s="158"/>
      <c r="AG108" s="158"/>
      <c r="AH108" s="158"/>
      <c r="AI108" s="158"/>
      <c r="AJ108" s="414"/>
      <c r="AK108" s="351"/>
      <c r="AL108" s="297"/>
      <c r="AM108" s="445">
        <f>IF(AM109&lt;&gt;"",AM109,HLOOKUP(IF(AM$80="",referentie_verwarming,AM$80),toestellen_RV,ROWS(bibliotheek!$E$79:$E$95),FALSE))</f>
        <v>4.55</v>
      </c>
      <c r="AN108" s="445">
        <f>IF(AN109&lt;&gt;"",AN109,HLOOKUP(IF(AN$80="",referentie_koeling,AN$80),toestellen_KOEL,ROWS(bibliotheek!$E$170:$E$180),FALSE))</f>
        <v>0</v>
      </c>
      <c r="AO108" s="445">
        <f>IF(AO109&lt;&gt;"",AO109,HLOOKUP(IF(AO$80="",referentie_warmtapwater,AO$80),toestellen_TAP,ROWS(bibliotheek!$E$136:$E$152),FALSE))</f>
        <v>2.4</v>
      </c>
      <c r="AP108" s="158"/>
      <c r="AQ108" s="158"/>
      <c r="AR108" s="158"/>
      <c r="AS108" s="158"/>
      <c r="AT108" s="158"/>
      <c r="AU108" s="158"/>
      <c r="AV108" s="414"/>
      <c r="AW108" s="351"/>
      <c r="AX108" s="297"/>
      <c r="AY108" s="445">
        <f>IF(AY109&lt;&gt;"",AY109,HLOOKUP(IF(AY$80="",referentie_verwarming,AY$80),toestellen_RV,ROWS(bibliotheek!$E$79:$E$95),FALSE))</f>
        <v>4.55</v>
      </c>
      <c r="AZ108" s="445">
        <f>IF(AZ109&lt;&gt;"",AZ109,HLOOKUP(IF(AZ$80="",referentie_koeling,AZ$80),toestellen_KOEL,ROWS(bibliotheek!$E$170:$E$180),FALSE))</f>
        <v>0</v>
      </c>
      <c r="BA108" s="445">
        <f>IF(BA109&lt;&gt;"",BA109,HLOOKUP(IF(BA$80="",referentie_warmtapwater,BA$80),toestellen_TAP,ROWS(bibliotheek!$E$136:$E$152),FALSE))</f>
        <v>2.4</v>
      </c>
      <c r="BB108" s="158"/>
      <c r="BC108" s="158"/>
      <c r="BD108" s="158"/>
      <c r="BE108" s="158"/>
      <c r="BF108" s="158"/>
      <c r="BG108" s="158"/>
      <c r="BH108" s="214"/>
    </row>
    <row r="109" spans="1:60" x14ac:dyDescent="0.2">
      <c r="A109" s="648"/>
      <c r="B109" s="492" t="s">
        <v>205</v>
      </c>
      <c r="C109" s="656" t="s">
        <v>127</v>
      </c>
      <c r="D109" s="747"/>
      <c r="E109" s="412" t="s">
        <v>215</v>
      </c>
      <c r="F109" s="355"/>
      <c r="G109" s="355"/>
      <c r="H109" s="355"/>
      <c r="I109" s="88"/>
      <c r="J109" s="362"/>
      <c r="K109" s="296"/>
      <c r="L109" s="296"/>
      <c r="M109" s="239"/>
      <c r="N109" s="297"/>
      <c r="O109" s="420"/>
      <c r="P109" s="420"/>
      <c r="Q109" s="420"/>
      <c r="R109" s="483"/>
      <c r="S109" s="483"/>
      <c r="T109" s="483"/>
      <c r="U109" s="483"/>
      <c r="V109" s="483"/>
      <c r="W109" s="483"/>
      <c r="X109" s="448"/>
      <c r="Y109" s="239"/>
      <c r="Z109" s="297"/>
      <c r="AA109" s="420"/>
      <c r="AB109" s="420"/>
      <c r="AC109" s="420"/>
      <c r="AD109" s="483"/>
      <c r="AE109" s="483"/>
      <c r="AF109" s="483"/>
      <c r="AG109" s="483"/>
      <c r="AH109" s="483"/>
      <c r="AI109" s="483"/>
      <c r="AJ109" s="448"/>
      <c r="AK109" s="239"/>
      <c r="AL109" s="297"/>
      <c r="AM109" s="420"/>
      <c r="AN109" s="420"/>
      <c r="AO109" s="420"/>
      <c r="AP109" s="483"/>
      <c r="AQ109" s="483"/>
      <c r="AR109" s="483"/>
      <c r="AS109" s="483"/>
      <c r="AT109" s="483"/>
      <c r="AU109" s="483"/>
      <c r="AV109" s="448"/>
      <c r="AW109" s="239"/>
      <c r="AX109" s="297"/>
      <c r="AY109" s="420"/>
      <c r="AZ109" s="420"/>
      <c r="BA109" s="420"/>
      <c r="BB109" s="483"/>
      <c r="BC109" s="483"/>
      <c r="BD109" s="483"/>
      <c r="BE109" s="483"/>
      <c r="BF109" s="483"/>
      <c r="BG109" s="483"/>
      <c r="BH109" s="265"/>
    </row>
    <row r="110" spans="1:60" hidden="1" x14ac:dyDescent="0.2">
      <c r="A110" s="648"/>
      <c r="B110" s="492" t="s">
        <v>205</v>
      </c>
      <c r="C110" s="656" t="s">
        <v>199</v>
      </c>
      <c r="D110" s="750" t="s">
        <v>50</v>
      </c>
      <c r="E110" s="221" t="s">
        <v>216</v>
      </c>
      <c r="F110" s="220"/>
      <c r="G110" s="220"/>
      <c r="H110" s="221" t="s">
        <v>70</v>
      </c>
      <c r="I110" s="88"/>
      <c r="J110" s="230"/>
      <c r="K110" s="121"/>
      <c r="L110" s="121"/>
      <c r="M110" s="230"/>
      <c r="N110" s="90"/>
      <c r="O110" s="273">
        <f>INDEX(installaties_RV_verlies_elek_prod_aftapwarmte,MATCH(IF(O101="",referentie_verwarming,O101),toestellen_RV_kopregel,0))</f>
        <v>0</v>
      </c>
      <c r="P110" s="720"/>
      <c r="Q110" s="273">
        <f>INDEX(installaties_TAP_verlies_elek_prod_aftapwarmte,MATCH(IF(Q101="",referentie_verwarming,Q101),toestellen_TAP_kopregel,0))</f>
        <v>0</v>
      </c>
      <c r="R110" s="720"/>
      <c r="S110" s="720"/>
      <c r="T110" s="720"/>
      <c r="U110" s="720"/>
      <c r="V110" s="720"/>
      <c r="W110" s="720"/>
      <c r="X110" s="721"/>
      <c r="Y110" s="423"/>
      <c r="Z110" s="722"/>
      <c r="AA110" s="273">
        <f>INDEX(installaties_RV_verlies_elek_prod_aftapwarmte,MATCH(IF(AA101="",referentie_verwarming,AA101),toestellen_RV_kopregel,0))</f>
        <v>0</v>
      </c>
      <c r="AB110" s="720"/>
      <c r="AC110" s="273">
        <f>INDEX(installaties_TAP_verlies_elek_prod_aftapwarmte,MATCH(IF(AC101="",referentie_verwarming,AC101),toestellen_TAP_kopregel,0))</f>
        <v>0</v>
      </c>
      <c r="AD110" s="720"/>
      <c r="AE110" s="720"/>
      <c r="AF110" s="720"/>
      <c r="AG110" s="720"/>
      <c r="AH110" s="720"/>
      <c r="AI110" s="720"/>
      <c r="AJ110" s="721"/>
      <c r="AK110" s="423"/>
      <c r="AL110" s="722"/>
      <c r="AM110" s="273">
        <f>INDEX(installaties_RV_verlies_elek_prod_aftapwarmte,MATCH(IF(AM101="",referentie_verwarming,AM101),toestellen_RV_kopregel,0))</f>
        <v>0</v>
      </c>
      <c r="AN110" s="720"/>
      <c r="AO110" s="273">
        <f>INDEX(installaties_TAP_verlies_elek_prod_aftapwarmte,MATCH(IF(AO101="",referentie_verwarming,AO101),toestellen_TAP_kopregel,0))</f>
        <v>0</v>
      </c>
      <c r="AP110" s="720"/>
      <c r="AQ110" s="720"/>
      <c r="AR110" s="720"/>
      <c r="AS110" s="720"/>
      <c r="AT110" s="720"/>
      <c r="AU110" s="720"/>
      <c r="AV110" s="721"/>
      <c r="AW110" s="423"/>
      <c r="AX110" s="722"/>
      <c r="AY110" s="273">
        <f>INDEX(installaties_RV_verlies_elek_prod_aftapwarmte,MATCH(IF(AY101="",referentie_verwarming,AY101),toestellen_RV_kopregel,0))</f>
        <v>0</v>
      </c>
      <c r="AZ110" s="720"/>
      <c r="BA110" s="273">
        <f>INDEX(installaties_TAP_verlies_elek_prod_aftapwarmte,MATCH(IF(BA101="",referentie_verwarming,BA101),toestellen_TAP_kopregel,0))</f>
        <v>0</v>
      </c>
      <c r="BB110" s="148"/>
      <c r="BC110" s="148"/>
      <c r="BD110" s="148"/>
      <c r="BE110" s="148"/>
      <c r="BF110" s="148"/>
      <c r="BG110" s="148"/>
      <c r="BH110" s="255"/>
    </row>
    <row r="111" spans="1:60" hidden="1" x14ac:dyDescent="0.2">
      <c r="A111" s="648"/>
      <c r="B111" s="492" t="s">
        <v>205</v>
      </c>
      <c r="C111" s="656" t="s">
        <v>199</v>
      </c>
      <c r="D111" s="747"/>
      <c r="E111" s="221" t="s">
        <v>217</v>
      </c>
      <c r="F111" s="220"/>
      <c r="G111" s="220"/>
      <c r="H111" s="221" t="s">
        <v>70</v>
      </c>
      <c r="I111" s="88"/>
      <c r="J111" s="230"/>
      <c r="K111" s="121"/>
      <c r="L111" s="121"/>
      <c r="M111" s="230"/>
      <c r="N111" s="90"/>
      <c r="O111" s="273">
        <f>HLOOKUP(IF(O$80="",referentie_verwarming,O$80),toestellen_RV,ROWS(bibliotheek!$E$79:$E$96),FALSE)</f>
        <v>0</v>
      </c>
      <c r="P111" s="720"/>
      <c r="Q111" s="273">
        <f>HLOOKUP(IF(Q$80="",referentie_warmtapwater,Q$80),toestellen_TAP,ROWS(bibliotheek!$E$136:$E$153),FALSE)</f>
        <v>0</v>
      </c>
      <c r="R111" s="720"/>
      <c r="S111" s="720"/>
      <c r="T111" s="720"/>
      <c r="U111" s="720"/>
      <c r="V111" s="720"/>
      <c r="W111" s="720"/>
      <c r="X111" s="721"/>
      <c r="Y111" s="423"/>
      <c r="Z111" s="722"/>
      <c r="AA111" s="273">
        <f>HLOOKUP(IF(AA$80="",referentie_verwarming,AA$80),toestellen_RV,ROWS(bibliotheek!$E$79:$E$96),FALSE)</f>
        <v>0</v>
      </c>
      <c r="AB111" s="720"/>
      <c r="AC111" s="273">
        <f>HLOOKUP(IF(AC$80="",referentie_warmtapwater,AC$80),toestellen_TAP,ROWS(bibliotheek!$E$136:$E$153),FALSE)</f>
        <v>0</v>
      </c>
      <c r="AD111" s="720"/>
      <c r="AE111" s="720"/>
      <c r="AF111" s="720"/>
      <c r="AG111" s="720"/>
      <c r="AH111" s="720"/>
      <c r="AI111" s="720"/>
      <c r="AJ111" s="721"/>
      <c r="AK111" s="423"/>
      <c r="AL111" s="722"/>
      <c r="AM111" s="273">
        <f>HLOOKUP(IF(AM$80="",referentie_verwarming,AM$80),toestellen_RV,ROWS(bibliotheek!$E$79:$E$96),FALSE)</f>
        <v>0</v>
      </c>
      <c r="AN111" s="720"/>
      <c r="AO111" s="273">
        <f>HLOOKUP(IF(AO$80="",referentie_warmtapwater,AO$80),toestellen_TAP,ROWS(bibliotheek!$E$136:$E$153),FALSE)</f>
        <v>0</v>
      </c>
      <c r="AP111" s="720"/>
      <c r="AQ111" s="720"/>
      <c r="AR111" s="720"/>
      <c r="AS111" s="720"/>
      <c r="AT111" s="720"/>
      <c r="AU111" s="720"/>
      <c r="AV111" s="721"/>
      <c r="AW111" s="423"/>
      <c r="AX111" s="722"/>
      <c r="AY111" s="273">
        <f>HLOOKUP(IF(AY$80="",referentie_verwarming,AY$80),toestellen_RV,ROWS(bibliotheek!$E$79:$E$96),FALSE)</f>
        <v>0</v>
      </c>
      <c r="AZ111" s="720"/>
      <c r="BA111" s="273">
        <f>HLOOKUP(IF(BA$80="",referentie_warmtapwater,BA$80),toestellen_TAP,ROWS(bibliotheek!$E$136:$E$153),FALSE)</f>
        <v>0</v>
      </c>
      <c r="BB111" s="148"/>
      <c r="BC111" s="148"/>
      <c r="BD111" s="148"/>
      <c r="BE111" s="148"/>
      <c r="BF111" s="148"/>
      <c r="BG111" s="148"/>
      <c r="BH111" s="255"/>
    </row>
    <row r="112" spans="1:60" hidden="1" x14ac:dyDescent="0.2">
      <c r="A112" s="648"/>
      <c r="B112" s="492" t="s">
        <v>205</v>
      </c>
      <c r="C112" s="656" t="s">
        <v>199</v>
      </c>
      <c r="D112" s="747"/>
      <c r="E112" s="221" t="s">
        <v>218</v>
      </c>
      <c r="F112" s="220"/>
      <c r="G112" s="220"/>
      <c r="H112" s="221" t="s">
        <v>177</v>
      </c>
      <c r="I112" s="88"/>
      <c r="J112" s="243">
        <f>M112+Y112+AK112+AW112</f>
        <v>0</v>
      </c>
      <c r="K112" s="293"/>
      <c r="L112" s="293"/>
      <c r="M112" s="243">
        <f>SUM(O112:X112)</f>
        <v>0</v>
      </c>
      <c r="N112" s="294"/>
      <c r="O112" s="207">
        <f>IF(HLOOKUP(IF(O$80="",referentie_verwarming,O$80),toestellen_RV,ROWS(bibliotheek!$E$79:$E$84),FALSE)=1,O$94*O$105*((O$108-1)/O$108),0)</f>
        <v>0</v>
      </c>
      <c r="P112" s="207">
        <f>IF(HLOOKUP(IF(P$80="",referentie_koeling,P$80),toestellen_KOEL,ROWS(bibliotheek!$E$170:$E$174),FALSE)=1,P$94*P$105*((P$108-1)/P$108),0)</f>
        <v>0</v>
      </c>
      <c r="Q112" s="207">
        <f>IF(HLOOKUP(IF(Q$80="",referentie_warmtapwater,Q$80),toestellen_TAP,ROWS(bibliotheek!$E$136:$E$141),FALSE)=1,Q$94*Q$105*((Q$108-1)/Q$108),0)</f>
        <v>0</v>
      </c>
      <c r="R112" s="147"/>
      <c r="S112" s="147"/>
      <c r="T112" s="147"/>
      <c r="U112" s="147"/>
      <c r="V112" s="147"/>
      <c r="W112" s="147"/>
      <c r="X112" s="125"/>
      <c r="Y112" s="243">
        <f>SUM(AA112:AJ112)</f>
        <v>0</v>
      </c>
      <c r="Z112" s="294"/>
      <c r="AA112" s="207">
        <f>IF(HLOOKUP(IF(AA$80="",referentie_verwarming,AA$80),toestellen_RV,ROWS(bibliotheek!$E$79:$E$84),FALSE)=1,AA$94*AA$105*((AA$108-1)/AA$108),0)</f>
        <v>0</v>
      </c>
      <c r="AB112" s="207">
        <f>IF(HLOOKUP(IF(AB$80="",referentie_koeling,AB$80),toestellen_KOEL,ROWS(bibliotheek!$E$170:$E$174),FALSE)=1,AB$94*AB$105*((AB$108-1)/AB$108),0)</f>
        <v>0</v>
      </c>
      <c r="AC112" s="207">
        <f>IF(HLOOKUP(IF(AC$80="",referentie_warmtapwater,AC$80),toestellen_TAP,ROWS(bibliotheek!$E$136:$E$141),FALSE)=1,AC$94*AC$105*((AC$108-1)/AC$108),0)</f>
        <v>0</v>
      </c>
      <c r="AD112" s="147"/>
      <c r="AE112" s="147"/>
      <c r="AF112" s="147"/>
      <c r="AG112" s="147"/>
      <c r="AH112" s="147"/>
      <c r="AI112" s="147"/>
      <c r="AJ112" s="125"/>
      <c r="AK112" s="243">
        <f>SUM(AM112:AV112)</f>
        <v>0</v>
      </c>
      <c r="AL112" s="294"/>
      <c r="AM112" s="207">
        <f>IF(HLOOKUP(IF(AM$80="",referentie_verwarming,AM$80),toestellen_RV,ROWS(bibliotheek!$E$79:$E$84),FALSE)=1,AM$94*AM$105*((AM$108-1)/AM$108),0)</f>
        <v>0</v>
      </c>
      <c r="AN112" s="207">
        <f>IF(HLOOKUP(IF(AN$80="",referentie_koeling,AN$80),toestellen_KOEL,ROWS(bibliotheek!$E$170:$E$174),FALSE)=1,AN$94*AN$105*((AN$108-1)/AN$108),0)</f>
        <v>0</v>
      </c>
      <c r="AO112" s="207">
        <f>IF(HLOOKUP(IF(AO$80="",referentie_warmtapwater,AO$80),toestellen_TAP,ROWS(bibliotheek!$E$136:$E$141),FALSE)=1,AO$94*AO$105*((AO$108-1)/AO$108),0)</f>
        <v>0</v>
      </c>
      <c r="AP112" s="147"/>
      <c r="AQ112" s="147"/>
      <c r="AR112" s="147"/>
      <c r="AS112" s="147"/>
      <c r="AT112" s="147"/>
      <c r="AU112" s="147"/>
      <c r="AV112" s="125"/>
      <c r="AW112" s="243">
        <f>SUM(AY112:BH112)</f>
        <v>0</v>
      </c>
      <c r="AX112" s="294"/>
      <c r="AY112" s="207">
        <f>IF(HLOOKUP(IF(AY$80="",referentie_verwarming,AY$80),toestellen_RV,ROWS(bibliotheek!$E$79:$E$84),FALSE)=1,AY$94*AY$105*((AY$108-1)/AY$108),0)</f>
        <v>0</v>
      </c>
      <c r="AZ112" s="207">
        <f>IF(HLOOKUP(IF(AZ$80="",referentie_koeling,AZ$80),toestellen_KOEL,ROWS(bibliotheek!$E$170:$E$174),FALSE)=1,AZ$94*AZ$105*((AZ$108-1)/AZ$108),0)</f>
        <v>0</v>
      </c>
      <c r="BA112" s="207">
        <f>IF(HLOOKUP(IF(BA$80="",referentie_warmtapwater,BA$80),toestellen_TAP,ROWS(bibliotheek!$E$136:$E$141),FALSE)=1,BA$94*BA$105*((BA$108-1)/BA$108),0)</f>
        <v>0</v>
      </c>
      <c r="BB112" s="147"/>
      <c r="BC112" s="147"/>
      <c r="BD112" s="147"/>
      <c r="BE112" s="147"/>
      <c r="BF112" s="147"/>
      <c r="BG112" s="147"/>
      <c r="BH112" s="255"/>
    </row>
    <row r="113" spans="1:60" hidden="1" x14ac:dyDescent="0.2">
      <c r="A113" s="648"/>
      <c r="B113" s="492" t="s">
        <v>205</v>
      </c>
      <c r="C113" s="656" t="s">
        <v>199</v>
      </c>
      <c r="D113" s="747"/>
      <c r="E113" s="221" t="s">
        <v>219</v>
      </c>
      <c r="F113" s="220"/>
      <c r="G113" s="220"/>
      <c r="H113" s="221" t="s">
        <v>220</v>
      </c>
      <c r="I113" s="88"/>
      <c r="J113" s="243">
        <f>M113+Y113+AK113+AW113</f>
        <v>0</v>
      </c>
      <c r="K113" s="293"/>
      <c r="L113" s="293"/>
      <c r="M113" s="243">
        <f>SUM(O113:X113)</f>
        <v>0</v>
      </c>
      <c r="N113" s="294"/>
      <c r="O113" s="207">
        <f>IF(O$108=0,0,O$107/O$108)</f>
        <v>0</v>
      </c>
      <c r="P113" s="207">
        <f>IF(P$108=0,0,P$107/P$108)</f>
        <v>0</v>
      </c>
      <c r="Q113" s="207">
        <f>IF(Q$108=0,0,Q$107/Q$108)</f>
        <v>0</v>
      </c>
      <c r="R113" s="147"/>
      <c r="S113" s="147"/>
      <c r="T113" s="147"/>
      <c r="U113" s="147"/>
      <c r="V113" s="147"/>
      <c r="W113" s="147"/>
      <c r="X113" s="125"/>
      <c r="Y113" s="243">
        <f>SUM(AA113:AJ113)</f>
        <v>0</v>
      </c>
      <c r="Z113" s="294"/>
      <c r="AA113" s="207">
        <f>IF(AA$108=0,0,AA$107/AA$108)</f>
        <v>0</v>
      </c>
      <c r="AB113" s="207">
        <f>IF(AB$108=0,0,AB$107/AB$108)</f>
        <v>0</v>
      </c>
      <c r="AC113" s="207">
        <f>IF(AC$108=0,0,AC$107/AC$108)</f>
        <v>0</v>
      </c>
      <c r="AD113" s="147"/>
      <c r="AE113" s="147"/>
      <c r="AF113" s="147"/>
      <c r="AG113" s="147"/>
      <c r="AH113" s="147"/>
      <c r="AI113" s="147"/>
      <c r="AJ113" s="125"/>
      <c r="AK113" s="243">
        <f>SUM(AM113:AV113)</f>
        <v>0</v>
      </c>
      <c r="AL113" s="294"/>
      <c r="AM113" s="207">
        <f>IF(AM$108=0,0,AM$107/AM$108)</f>
        <v>0</v>
      </c>
      <c r="AN113" s="207">
        <f>IF(AN$108=0,0,AN$107/AN$108)</f>
        <v>0</v>
      </c>
      <c r="AO113" s="207">
        <f>IF(AO$108=0,0,AO$107/AO$108)</f>
        <v>0</v>
      </c>
      <c r="AP113" s="147"/>
      <c r="AQ113" s="147"/>
      <c r="AR113" s="147"/>
      <c r="AS113" s="147"/>
      <c r="AT113" s="147"/>
      <c r="AU113" s="147"/>
      <c r="AV113" s="125"/>
      <c r="AW113" s="243">
        <f>SUM(AY113:BH113)</f>
        <v>0</v>
      </c>
      <c r="AX113" s="294"/>
      <c r="AY113" s="207">
        <f>IF(AY$108=0,0,AY$107/AY$108)</f>
        <v>0</v>
      </c>
      <c r="AZ113" s="207">
        <f>IF(AZ$108=0,0,AZ$107/AZ$108)</f>
        <v>0</v>
      </c>
      <c r="BA113" s="207">
        <f>IF(BA$108=0,0,BA$107/BA$108)</f>
        <v>0</v>
      </c>
      <c r="BB113" s="147"/>
      <c r="BC113" s="147"/>
      <c r="BD113" s="147"/>
      <c r="BE113" s="147"/>
      <c r="BF113" s="147"/>
      <c r="BG113" s="147"/>
      <c r="BH113" s="255"/>
    </row>
    <row r="114" spans="1:60" ht="18.75" x14ac:dyDescent="0.2">
      <c r="A114" s="648"/>
      <c r="B114" s="492" t="s">
        <v>205</v>
      </c>
      <c r="C114" s="739" t="s">
        <v>104</v>
      </c>
      <c r="D114" s="750"/>
      <c r="E114" s="144" t="s">
        <v>114</v>
      </c>
      <c r="F114" s="160"/>
      <c r="G114" s="160"/>
      <c r="H114" s="161"/>
      <c r="I114" s="162"/>
      <c r="J114" s="163"/>
      <c r="K114" s="164"/>
      <c r="L114" s="164"/>
      <c r="M114" s="163"/>
      <c r="N114" s="163"/>
      <c r="O114" s="836"/>
      <c r="P114" s="163"/>
      <c r="Q114" s="163"/>
      <c r="R114" s="163"/>
      <c r="S114" s="163"/>
      <c r="T114" s="163"/>
      <c r="U114" s="163"/>
      <c r="V114" s="163"/>
      <c r="W114" s="163"/>
      <c r="X114" s="165"/>
      <c r="Y114" s="163"/>
      <c r="Z114" s="163"/>
      <c r="AA114" s="836"/>
      <c r="AB114" s="163"/>
      <c r="AC114" s="163"/>
      <c r="AD114" s="163"/>
      <c r="AE114" s="163"/>
      <c r="AF114" s="163"/>
      <c r="AG114" s="163"/>
      <c r="AH114" s="163"/>
      <c r="AI114" s="163"/>
      <c r="AJ114" s="165"/>
      <c r="AK114" s="163"/>
      <c r="AL114" s="163"/>
      <c r="AM114" s="836"/>
      <c r="AN114" s="163"/>
      <c r="AO114" s="163"/>
      <c r="AP114" s="163"/>
      <c r="AQ114" s="163"/>
      <c r="AR114" s="163"/>
      <c r="AS114" s="163"/>
      <c r="AT114" s="163"/>
      <c r="AU114" s="163"/>
      <c r="AV114" s="165"/>
      <c r="AW114" s="163"/>
      <c r="AX114" s="163"/>
      <c r="AY114" s="163"/>
      <c r="AZ114" s="163"/>
      <c r="BA114" s="163"/>
      <c r="BB114" s="163"/>
      <c r="BC114" s="163"/>
      <c r="BD114" s="163"/>
      <c r="BE114" s="163"/>
      <c r="BF114" s="163"/>
      <c r="BG114" s="163"/>
      <c r="BH114" s="263"/>
    </row>
    <row r="115" spans="1:60" hidden="1" x14ac:dyDescent="0.2">
      <c r="A115" s="648"/>
      <c r="B115" s="492" t="s">
        <v>205</v>
      </c>
      <c r="C115" s="656" t="s">
        <v>221</v>
      </c>
      <c r="D115" s="750" t="s">
        <v>50</v>
      </c>
      <c r="E115" s="356" t="s">
        <v>222</v>
      </c>
      <c r="F115" s="316"/>
      <c r="G115" s="316"/>
      <c r="H115" s="354" t="s">
        <v>223</v>
      </c>
      <c r="I115" s="88"/>
      <c r="J115" s="229"/>
      <c r="K115" s="121"/>
      <c r="L115" s="121"/>
      <c r="M115" s="229"/>
      <c r="N115" s="90"/>
      <c r="O115" s="445">
        <f>IF(O116&lt;&gt;"",O116,
IF(O$102=elektriciteit,$G$5,
INDEX(energiedragers_primaire_energiefactor,MATCH(O102,energiedragers_kopregel,0))
*IF(O110=0,1,
$G$5*INDEX(installaties_RV_verlies_elek_prod_aftapwarmte,MATCH(O101,toestellen_RV_kopregel,0)))))</f>
        <v>1.45</v>
      </c>
      <c r="P115" s="445">
        <f>IF(P116&lt;&gt;"",P116,IF(HLOOKUP(P102,ENERGIEDRAGERS,ROWS(bibliotheek!$E$221:$E$222),FALSE)=0,$G$5,HLOOKUP(P102,ENERGIEDRAGERS,ROWS(bibliotheek!$E$221:$E$223),FALSE)))</f>
        <v>1.45</v>
      </c>
      <c r="Q115" s="445">
        <f>IF(Q116&lt;&gt;"",Q116,
IF(Q$102=elektriciteit,$G$5,
INDEX(energiedragers_primaire_energiefactor,MATCH(Q102,energiedragers_kopregel,0))
*IF(Q110=0,1,
$G$5*INDEX(installaties_TAP_verlies_elek_prod_aftapwarmte,MATCH(Q101,toestellen_TAP_kopregel,0)))))</f>
        <v>1.45</v>
      </c>
      <c r="R115" s="158"/>
      <c r="S115" s="158"/>
      <c r="T115" s="158"/>
      <c r="U115" s="158"/>
      <c r="V115" s="158"/>
      <c r="W115" s="158"/>
      <c r="X115" s="414"/>
      <c r="Y115" s="352"/>
      <c r="Z115" s="722"/>
      <c r="AA115" s="445">
        <f>IF(AA116&lt;&gt;"",AA116,
IF(AA$102=elektriciteit,$G$5,
INDEX(energiedragers_primaire_energiefactor,MATCH(AA102,energiedragers_kopregel,0))
*IF(AA110=0,1,
$G$5*INDEX(installaties_RV_verlies_elek_prod_aftapwarmte,MATCH(AA101,toestellen_RV_kopregel,0)))))</f>
        <v>1.45</v>
      </c>
      <c r="AB115" s="445">
        <f>IF(AB116&lt;&gt;"",AB116,IF(HLOOKUP(AB102,ENERGIEDRAGERS,ROWS(bibliotheek!$E$221:$E$222),FALSE)=0,$G$5,HLOOKUP(AB102,ENERGIEDRAGERS,ROWS(bibliotheek!$E$221:$E$223),FALSE)))</f>
        <v>1.45</v>
      </c>
      <c r="AC115" s="445">
        <f>IF(AC116&lt;&gt;"",AC116,
IF(AC$102=elektriciteit,$G$5,
INDEX(energiedragers_primaire_energiefactor,MATCH(AC102,energiedragers_kopregel,0))
*IF(AC110=0,1,
$G$5*INDEX(installaties_TAP_verlies_elek_prod_aftapwarmte,MATCH(AC101,toestellen_TAP_kopregel,0)))))</f>
        <v>1.45</v>
      </c>
      <c r="AD115" s="158"/>
      <c r="AE115" s="158"/>
      <c r="AF115" s="158"/>
      <c r="AG115" s="158"/>
      <c r="AH115" s="158"/>
      <c r="AI115" s="158"/>
      <c r="AJ115" s="414"/>
      <c r="AK115" s="352"/>
      <c r="AL115" s="722"/>
      <c r="AM115" s="445">
        <f>IF(AM116&lt;&gt;"",AM116,
IF(AM$102=elektriciteit,$G$5,
INDEX(energiedragers_primaire_energiefactor,MATCH(AM102,energiedragers_kopregel,0))
*IF(AM110=0,1,
$G$5*INDEX(installaties_RV_verlies_elek_prod_aftapwarmte,MATCH(AM101,toestellen_RV_kopregel,0)))))</f>
        <v>1.45</v>
      </c>
      <c r="AN115" s="445">
        <f>IF(AN116&lt;&gt;"",AN116,IF(HLOOKUP(AN102,ENERGIEDRAGERS,ROWS(bibliotheek!$E$221:$E$222),FALSE)=0,$G$5,HLOOKUP(AN102,ENERGIEDRAGERS,ROWS(bibliotheek!$E$221:$E$223),FALSE)))</f>
        <v>1.45</v>
      </c>
      <c r="AO115" s="445">
        <f>IF(AO116&lt;&gt;"",AO116,
IF(AO$102=elektriciteit,$G$5,
INDEX(energiedragers_primaire_energiefactor,MATCH(AO102,energiedragers_kopregel,0))
*IF(AO110=0,1,
$G$5*INDEX(installaties_TAP_verlies_elek_prod_aftapwarmte,MATCH(AO101,toestellen_TAP_kopregel,0)))))</f>
        <v>1.45</v>
      </c>
      <c r="AP115" s="158"/>
      <c r="AQ115" s="158"/>
      <c r="AR115" s="158"/>
      <c r="AS115" s="158"/>
      <c r="AT115" s="158"/>
      <c r="AU115" s="158"/>
      <c r="AV115" s="414"/>
      <c r="AW115" s="352"/>
      <c r="AX115" s="722"/>
      <c r="AY115" s="445">
        <f>IF(AY116&lt;&gt;"",AY116,
IF(AY$102=elektriciteit,$G$5,
INDEX(energiedragers_primaire_energiefactor,MATCH(AY102,energiedragers_kopregel,0))
*IF(AY110=0,1,
$G$5*INDEX(installaties_RV_verlies_elek_prod_aftapwarmte,MATCH(AY101,toestellen_RV_kopregel,0)))))</f>
        <v>1.45</v>
      </c>
      <c r="AZ115" s="445">
        <f>IF(AZ116&lt;&gt;"",AZ116,IF(HLOOKUP(AZ102,ENERGIEDRAGERS,ROWS(bibliotheek!$E$221:$E$222),FALSE)=0,$G$5,HLOOKUP(AZ102,ENERGIEDRAGERS,ROWS(bibliotheek!$E$221:$E$223),FALSE)))</f>
        <v>1.45</v>
      </c>
      <c r="BA115" s="445">
        <f>IF(BA116&lt;&gt;"",BA116,
IF(BA$102=elektriciteit,$G$5,
INDEX(energiedragers_primaire_energiefactor,MATCH(BA102,energiedragers_kopregel,0))
*IF(BA110=0,1,
$G$5*INDEX(installaties_TAP_verlies_elek_prod_aftapwarmte,MATCH(BA101,toestellen_TAP_kopregel,0)))))</f>
        <v>1.45</v>
      </c>
      <c r="BB115" s="156"/>
      <c r="BC115" s="156"/>
      <c r="BD115" s="156"/>
      <c r="BE115" s="156"/>
      <c r="BF115" s="156"/>
      <c r="BG115" s="156"/>
      <c r="BH115" s="214"/>
    </row>
    <row r="116" spans="1:60" hidden="1" x14ac:dyDescent="0.2">
      <c r="A116" s="648"/>
      <c r="B116" s="492" t="s">
        <v>205</v>
      </c>
      <c r="C116" s="656" t="s">
        <v>221</v>
      </c>
      <c r="D116" s="750"/>
      <c r="E116" s="412" t="s">
        <v>224</v>
      </c>
      <c r="F116" s="317"/>
      <c r="G116" s="317"/>
      <c r="H116" s="355"/>
      <c r="I116" s="88"/>
      <c r="J116" s="362"/>
      <c r="K116" s="121"/>
      <c r="L116" s="121"/>
      <c r="M116" s="239"/>
      <c r="N116" s="90"/>
      <c r="O116" s="337"/>
      <c r="P116" s="712"/>
      <c r="Q116" s="337"/>
      <c r="R116" s="157"/>
      <c r="S116" s="157"/>
      <c r="T116" s="157"/>
      <c r="U116" s="157"/>
      <c r="V116" s="157"/>
      <c r="W116" s="157"/>
      <c r="X116" s="87"/>
      <c r="Y116" s="239"/>
      <c r="Z116" s="90"/>
      <c r="AA116" s="337"/>
      <c r="AB116" s="712"/>
      <c r="AC116" s="337"/>
      <c r="AD116" s="157"/>
      <c r="AE116" s="157"/>
      <c r="AF116" s="157"/>
      <c r="AG116" s="157"/>
      <c r="AH116" s="157"/>
      <c r="AI116" s="157"/>
      <c r="AJ116" s="87"/>
      <c r="AK116" s="239"/>
      <c r="AL116" s="90"/>
      <c r="AM116" s="337"/>
      <c r="AN116" s="712"/>
      <c r="AO116" s="337"/>
      <c r="AP116" s="157"/>
      <c r="AQ116" s="157"/>
      <c r="AR116" s="157"/>
      <c r="AS116" s="157"/>
      <c r="AT116" s="157"/>
      <c r="AU116" s="157"/>
      <c r="AV116" s="87"/>
      <c r="AW116" s="239"/>
      <c r="AX116" s="90"/>
      <c r="AY116" s="337"/>
      <c r="AZ116" s="712"/>
      <c r="BA116" s="337"/>
      <c r="BB116" s="157"/>
      <c r="BC116" s="157"/>
      <c r="BD116" s="157"/>
      <c r="BE116" s="157"/>
      <c r="BF116" s="157"/>
      <c r="BG116" s="157"/>
      <c r="BH116" s="214"/>
    </row>
    <row r="117" spans="1:60" x14ac:dyDescent="0.2">
      <c r="A117" s="648"/>
      <c r="B117" s="492" t="s">
        <v>205</v>
      </c>
      <c r="C117" s="656" t="s">
        <v>113</v>
      </c>
      <c r="D117" s="750"/>
      <c r="E117" s="221" t="s">
        <v>114</v>
      </c>
      <c r="F117" s="221"/>
      <c r="G117" s="221"/>
      <c r="H117" s="221" t="s">
        <v>115</v>
      </c>
      <c r="I117" s="88"/>
      <c r="J117" s="243">
        <f>M117+Y117+AK117+AW117</f>
        <v>0</v>
      </c>
      <c r="K117" s="295"/>
      <c r="L117" s="295"/>
      <c r="M117" s="243">
        <f>SUM(O117:X117)</f>
        <v>0</v>
      </c>
      <c r="N117" s="294"/>
      <c r="O117" s="207">
        <f>O$113*O$115</f>
        <v>0</v>
      </c>
      <c r="P117" s="207">
        <f>P$113*P$115</f>
        <v>0</v>
      </c>
      <c r="Q117" s="207">
        <f>Q$113*Q$115</f>
        <v>0</v>
      </c>
      <c r="R117" s="147"/>
      <c r="S117" s="147"/>
      <c r="T117" s="147"/>
      <c r="U117" s="147"/>
      <c r="V117" s="147"/>
      <c r="W117" s="147"/>
      <c r="X117" s="125"/>
      <c r="Y117" s="243">
        <f>SUM(AA117:AJ117)</f>
        <v>0</v>
      </c>
      <c r="Z117" s="294"/>
      <c r="AA117" s="207">
        <f>AA$113*AA$115</f>
        <v>0</v>
      </c>
      <c r="AB117" s="207">
        <f>AB$113*AB$115</f>
        <v>0</v>
      </c>
      <c r="AC117" s="207">
        <f>AC$113*AC$115</f>
        <v>0</v>
      </c>
      <c r="AD117" s="147"/>
      <c r="AE117" s="147"/>
      <c r="AF117" s="147"/>
      <c r="AG117" s="147"/>
      <c r="AH117" s="147"/>
      <c r="AI117" s="147"/>
      <c r="AJ117" s="125"/>
      <c r="AK117" s="243">
        <f>SUM(AM117:AV117)</f>
        <v>0</v>
      </c>
      <c r="AL117" s="294"/>
      <c r="AM117" s="207">
        <f>AM$113*AM$115</f>
        <v>0</v>
      </c>
      <c r="AN117" s="207">
        <f>AN$113*AN$115</f>
        <v>0</v>
      </c>
      <c r="AO117" s="207">
        <f>AO$113*AO$115</f>
        <v>0</v>
      </c>
      <c r="AP117" s="147"/>
      <c r="AQ117" s="147"/>
      <c r="AR117" s="147"/>
      <c r="AS117" s="147"/>
      <c r="AT117" s="147"/>
      <c r="AU117" s="147"/>
      <c r="AV117" s="125"/>
      <c r="AW117" s="243">
        <f>SUM(AY117:BH117)</f>
        <v>0</v>
      </c>
      <c r="AX117" s="294"/>
      <c r="AY117" s="207">
        <f>AY$113*AY$115</f>
        <v>0</v>
      </c>
      <c r="AZ117" s="207">
        <f>AZ$113*AZ$115</f>
        <v>0</v>
      </c>
      <c r="BA117" s="207">
        <f>BA$113*BA$115</f>
        <v>0</v>
      </c>
      <c r="BB117" s="147"/>
      <c r="BC117" s="147"/>
      <c r="BD117" s="147"/>
      <c r="BE117" s="147"/>
      <c r="BF117" s="147"/>
      <c r="BG117" s="147"/>
      <c r="BH117" s="255"/>
    </row>
    <row r="118" spans="1:60" ht="18.75" x14ac:dyDescent="0.2">
      <c r="A118" s="648"/>
      <c r="B118" s="492" t="s">
        <v>205</v>
      </c>
      <c r="C118" s="739" t="s">
        <v>104</v>
      </c>
      <c r="D118" s="750"/>
      <c r="E118" s="144" t="s">
        <v>116</v>
      </c>
      <c r="F118" s="160"/>
      <c r="G118" s="160"/>
      <c r="H118" s="161"/>
      <c r="I118" s="161"/>
      <c r="J118" s="161"/>
      <c r="K118" s="164"/>
      <c r="L118" s="164"/>
      <c r="M118" s="163"/>
      <c r="N118" s="163"/>
      <c r="P118" s="163"/>
      <c r="Q118" s="163"/>
      <c r="R118" s="163"/>
      <c r="S118" s="163"/>
      <c r="T118" s="163"/>
      <c r="U118" s="163"/>
      <c r="V118" s="163"/>
      <c r="W118" s="163"/>
      <c r="X118" s="165"/>
      <c r="Y118" s="163"/>
      <c r="Z118" s="163"/>
      <c r="AA118" s="836"/>
      <c r="AB118" s="163"/>
      <c r="AC118" s="163"/>
      <c r="AD118" s="163"/>
      <c r="AE118" s="163"/>
      <c r="AF118" s="163"/>
      <c r="AG118" s="163"/>
      <c r="AH118" s="163"/>
      <c r="AI118" s="163"/>
      <c r="AJ118" s="165"/>
      <c r="AK118" s="163"/>
      <c r="AL118" s="163"/>
      <c r="AM118" s="163"/>
      <c r="AN118" s="163"/>
      <c r="AO118" s="163"/>
      <c r="AP118" s="163"/>
      <c r="AQ118" s="163"/>
      <c r="AR118" s="163"/>
      <c r="AS118" s="163"/>
      <c r="AT118" s="163"/>
      <c r="AU118" s="163"/>
      <c r="AV118" s="165"/>
      <c r="AW118" s="163"/>
      <c r="AX118" s="163"/>
      <c r="AY118" s="163"/>
      <c r="AZ118" s="163"/>
      <c r="BA118" s="163"/>
      <c r="BB118" s="163"/>
      <c r="BC118" s="163"/>
      <c r="BD118" s="163"/>
      <c r="BE118" s="163"/>
      <c r="BF118" s="163"/>
      <c r="BG118" s="163"/>
      <c r="BH118" s="263"/>
    </row>
    <row r="119" spans="1:60" hidden="1" x14ac:dyDescent="0.2">
      <c r="A119" s="648"/>
      <c r="B119" s="492" t="s">
        <v>205</v>
      </c>
      <c r="C119" s="656" t="s">
        <v>221</v>
      </c>
      <c r="D119" s="750" t="s">
        <v>50</v>
      </c>
      <c r="E119" s="356" t="s">
        <v>225</v>
      </c>
      <c r="F119" s="316"/>
      <c r="G119" s="316"/>
      <c r="H119" s="354" t="s">
        <v>226</v>
      </c>
      <c r="I119" s="88"/>
      <c r="J119" s="229"/>
      <c r="K119" s="121"/>
      <c r="L119" s="121"/>
      <c r="M119" s="229"/>
      <c r="N119" s="90"/>
      <c r="O119" s="445">
        <f>IF(O120&lt;&gt;"",O120,
IF(O$102=elektriciteit,$H$5,
INDEX(energiedragers_CO2_emissiefactor,MATCH(O102,energiedragers_kopregel,0))
*IF(O110=0,1,
$G$5*INDEX(installaties_RV_verlies_elek_prod_aftapwarmte,MATCH(O101,toestellen_RV_kopregel,0)))))</f>
        <v>0.34</v>
      </c>
      <c r="P119" s="445">
        <f>IF(P120&lt;&gt;"",P120,
IF(P102=elektriciteit,$H$5,
HLOOKUP(P102,ENERGIEDRAGERS,ROWS(bibliotheek!$E$221:$E$224),FALSE)))</f>
        <v>0</v>
      </c>
      <c r="Q119" s="445">
        <f>IF(Q116&lt;&gt;"",Q116,
IF(Q$102=elektriciteit,$H$5,
INDEX(energiedragers_CO2_emissiefactor,MATCH(Q102,energiedragers_kopregel,0))
*IF(Q110=0,1,
$G$5*INDEX(installaties_TAP_verlies_elek_prod_aftapwarmte,MATCH(Q101,toestellen_TAP_kopregel,0)))))</f>
        <v>0.34</v>
      </c>
      <c r="R119" s="158"/>
      <c r="S119" s="158"/>
      <c r="T119" s="158"/>
      <c r="U119" s="158"/>
      <c r="V119" s="158"/>
      <c r="W119" s="158"/>
      <c r="X119" s="414"/>
      <c r="Y119" s="229"/>
      <c r="Z119" s="90"/>
      <c r="AA119" s="445">
        <f>IF(AA120&lt;&gt;"",AA120,
IF(AA$102=elektriciteit,$H$5,
INDEX(energiedragers_CO2_emissiefactor,MATCH(AA102,energiedragers_kopregel,0))
*IF(AA110=0,1,
$G$5*INDEX(installaties_RV_verlies_elek_prod_aftapwarmte,MATCH(AA101,toestellen_RV_kopregel,0)))))</f>
        <v>0.34</v>
      </c>
      <c r="AB119" s="445">
        <f>IF(AB120&lt;&gt;"",AB120,
IF(AB102=elektriciteit,$H$5,
HLOOKUP(AB102,ENERGIEDRAGERS,ROWS(bibliotheek!$E$221:$E$224),FALSE)))</f>
        <v>0</v>
      </c>
      <c r="AC119" s="445">
        <f>IF(AC116&lt;&gt;"",AC116,
IF(AC$102=elektriciteit,$H$5,
INDEX(energiedragers_CO2_emissiefactor,MATCH(AC102,energiedragers_kopregel,0))
*IF(AC110=0,1,
$G$5*INDEX(installaties_TAP_verlies_elek_prod_aftapwarmte,MATCH(AC101,toestellen_TAP_kopregel,0)))))</f>
        <v>0.34</v>
      </c>
      <c r="AD119" s="158"/>
      <c r="AE119" s="158"/>
      <c r="AF119" s="158"/>
      <c r="AG119" s="158"/>
      <c r="AH119" s="158"/>
      <c r="AI119" s="158"/>
      <c r="AJ119" s="414"/>
      <c r="AK119" s="229"/>
      <c r="AL119" s="90"/>
      <c r="AM119" s="445">
        <f>IF(AM120&lt;&gt;"",AM120,
IF(AM$102=elektriciteit,$H$5,
INDEX(energiedragers_CO2_emissiefactor,MATCH(AM102,energiedragers_kopregel,0))
*IF(AM110=0,1,
$G$5*INDEX(installaties_RV_verlies_elek_prod_aftapwarmte,MATCH(AM101,toestellen_RV_kopregel,0)))))</f>
        <v>0.34</v>
      </c>
      <c r="AN119" s="445">
        <f>IF(AN120&lt;&gt;"",AN120,
IF(AN102=elektriciteit,$H$5,
HLOOKUP(AN102,ENERGIEDRAGERS,ROWS(bibliotheek!$E$221:$E$224),FALSE)))</f>
        <v>0</v>
      </c>
      <c r="AO119" s="445">
        <f>IF(AO116&lt;&gt;"",AO116,
IF(AO$102=elektriciteit,$H$5,
INDEX(energiedragers_CO2_emissiefactor,MATCH(AO102,energiedragers_kopregel,0))
*IF(AO110=0,1,
$G$5*INDEX(installaties_TAP_verlies_elek_prod_aftapwarmte,MATCH(AO101,toestellen_TAP_kopregel,0)))))</f>
        <v>0.34</v>
      </c>
      <c r="AP119" s="158"/>
      <c r="AQ119" s="158"/>
      <c r="AR119" s="158"/>
      <c r="AS119" s="158"/>
      <c r="AT119" s="158"/>
      <c r="AU119" s="158"/>
      <c r="AV119" s="414"/>
      <c r="AW119" s="229"/>
      <c r="AX119" s="90"/>
      <c r="AY119" s="445">
        <f>IF(AY120&lt;&gt;"",AY120,
IF(AY$102=elektriciteit,$H$5,
INDEX(energiedragers_CO2_emissiefactor,MATCH(AY102,energiedragers_kopregel,0))
*IF(AY110=0,1,
$G$5*INDEX(installaties_RV_verlies_elek_prod_aftapwarmte,MATCH(AY101,toestellen_RV_kopregel,0)))))</f>
        <v>0.34</v>
      </c>
      <c r="AZ119" s="445">
        <f>IF(AZ120&lt;&gt;"",AZ120,
IF(AZ102=elektriciteit,$H$5,
HLOOKUP(AZ102,ENERGIEDRAGERS,ROWS(bibliotheek!$E$221:$E$224),FALSE)))</f>
        <v>0</v>
      </c>
      <c r="BA119" s="445">
        <f>IF(BA116&lt;&gt;"",BA116,
IF(BA$102=elektriciteit,$H$5,
INDEX(energiedragers_CO2_emissiefactor,MATCH(BA102,energiedragers_kopregel,0))
*IF(BA110=0,1,
$G$5*INDEX(installaties_TAP_verlies_elek_prod_aftapwarmte,MATCH(BA101,toestellen_TAP_kopregel,0)))))</f>
        <v>0.34</v>
      </c>
      <c r="BB119" s="158"/>
      <c r="BC119" s="158"/>
      <c r="BD119" s="158"/>
      <c r="BE119" s="158"/>
      <c r="BF119" s="158"/>
      <c r="BG119" s="158"/>
      <c r="BH119" s="214"/>
    </row>
    <row r="120" spans="1:60" hidden="1" x14ac:dyDescent="0.2">
      <c r="A120" s="648"/>
      <c r="B120" s="492" t="s">
        <v>205</v>
      </c>
      <c r="C120" s="656" t="s">
        <v>221</v>
      </c>
      <c r="D120" s="747"/>
      <c r="E120" s="412" t="s">
        <v>227</v>
      </c>
      <c r="F120" s="355"/>
      <c r="G120" s="355"/>
      <c r="H120" s="355"/>
      <c r="I120" s="88"/>
      <c r="J120" s="362"/>
      <c r="K120" s="121"/>
      <c r="L120" s="121"/>
      <c r="M120" s="239"/>
      <c r="N120" s="90"/>
      <c r="O120" s="337"/>
      <c r="P120" s="420"/>
      <c r="Q120" s="420"/>
      <c r="R120" s="483"/>
      <c r="S120" s="483"/>
      <c r="T120" s="483"/>
      <c r="U120" s="483"/>
      <c r="V120" s="483"/>
      <c r="W120" s="483"/>
      <c r="X120" s="448"/>
      <c r="Y120" s="239"/>
      <c r="Z120" s="90"/>
      <c r="AA120" s="420"/>
      <c r="AB120" s="420"/>
      <c r="AC120" s="420"/>
      <c r="AD120" s="483"/>
      <c r="AE120" s="483"/>
      <c r="AF120" s="483"/>
      <c r="AG120" s="483"/>
      <c r="AH120" s="483"/>
      <c r="AI120" s="483"/>
      <c r="AJ120" s="448"/>
      <c r="AK120" s="239"/>
      <c r="AL120" s="90"/>
      <c r="AM120" s="420"/>
      <c r="AN120" s="420"/>
      <c r="AO120" s="420"/>
      <c r="AP120" s="483"/>
      <c r="AQ120" s="483"/>
      <c r="AR120" s="483"/>
      <c r="AS120" s="483"/>
      <c r="AT120" s="483"/>
      <c r="AU120" s="483"/>
      <c r="AV120" s="448"/>
      <c r="AW120" s="239"/>
      <c r="AX120" s="90"/>
      <c r="AY120" s="420"/>
      <c r="AZ120" s="420"/>
      <c r="BA120" s="420"/>
      <c r="BB120" s="483"/>
      <c r="BC120" s="483"/>
      <c r="BD120" s="483"/>
      <c r="BE120" s="483"/>
      <c r="BF120" s="483"/>
      <c r="BG120" s="483"/>
      <c r="BH120" s="214"/>
    </row>
    <row r="121" spans="1:60" x14ac:dyDescent="0.2">
      <c r="A121" s="648"/>
      <c r="B121" s="492" t="s">
        <v>205</v>
      </c>
      <c r="C121" s="656" t="s">
        <v>113</v>
      </c>
      <c r="D121" s="747"/>
      <c r="E121" s="221" t="s">
        <v>116</v>
      </c>
      <c r="F121" s="221"/>
      <c r="G121" s="221"/>
      <c r="H121" s="221" t="s">
        <v>228</v>
      </c>
      <c r="I121" s="88"/>
      <c r="J121" s="243">
        <f>M121+Y121+AK121+AW121</f>
        <v>0</v>
      </c>
      <c r="K121" s="295"/>
      <c r="L121" s="295"/>
      <c r="M121" s="243">
        <f>SUM(O121:X121)</f>
        <v>0</v>
      </c>
      <c r="N121" s="294"/>
      <c r="O121" s="207">
        <f>O$113*O$119</f>
        <v>0</v>
      </c>
      <c r="P121" s="207">
        <f>P$113*P$119</f>
        <v>0</v>
      </c>
      <c r="Q121" s="207">
        <f>Q$113*Q$119</f>
        <v>0</v>
      </c>
      <c r="R121" s="147"/>
      <c r="S121" s="147"/>
      <c r="T121" s="147"/>
      <c r="U121" s="147"/>
      <c r="V121" s="147"/>
      <c r="W121" s="147"/>
      <c r="X121" s="125"/>
      <c r="Y121" s="243">
        <f>SUM(AA121:AJ121)</f>
        <v>0</v>
      </c>
      <c r="Z121" s="294"/>
      <c r="AA121" s="207">
        <f>AA$113*AA$119</f>
        <v>0</v>
      </c>
      <c r="AB121" s="207">
        <f>AB$113*AB$119</f>
        <v>0</v>
      </c>
      <c r="AC121" s="207">
        <f>AC$113*AC$119</f>
        <v>0</v>
      </c>
      <c r="AD121" s="147"/>
      <c r="AE121" s="147"/>
      <c r="AF121" s="147"/>
      <c r="AG121" s="147"/>
      <c r="AH121" s="147"/>
      <c r="AI121" s="147"/>
      <c r="AJ121" s="125"/>
      <c r="AK121" s="243">
        <f>SUM(AM121:AV121)</f>
        <v>0</v>
      </c>
      <c r="AL121" s="294"/>
      <c r="AM121" s="207">
        <f>AM$113*AM$119</f>
        <v>0</v>
      </c>
      <c r="AN121" s="207">
        <f>AN$113*AN$119</f>
        <v>0</v>
      </c>
      <c r="AO121" s="207">
        <f>AO$113*AO$119</f>
        <v>0</v>
      </c>
      <c r="AP121" s="147"/>
      <c r="AQ121" s="147"/>
      <c r="AR121" s="147"/>
      <c r="AS121" s="147"/>
      <c r="AT121" s="147"/>
      <c r="AU121" s="147"/>
      <c r="AV121" s="125"/>
      <c r="AW121" s="243">
        <f>SUM(AY121:BH121)</f>
        <v>0</v>
      </c>
      <c r="AX121" s="294"/>
      <c r="AY121" s="207">
        <f>AY$113*AY$119</f>
        <v>0</v>
      </c>
      <c r="AZ121" s="207">
        <f>AZ$113*AZ$119</f>
        <v>0</v>
      </c>
      <c r="BA121" s="207">
        <f>BA$113*BA$119</f>
        <v>0</v>
      </c>
      <c r="BB121" s="147"/>
      <c r="BC121" s="147"/>
      <c r="BD121" s="147"/>
      <c r="BE121" s="147"/>
      <c r="BF121" s="147"/>
      <c r="BG121" s="147"/>
      <c r="BH121" s="255"/>
    </row>
    <row r="122" spans="1:60" ht="18.75" x14ac:dyDescent="0.2">
      <c r="A122" s="648"/>
      <c r="B122" s="492" t="s">
        <v>205</v>
      </c>
      <c r="C122" s="739" t="s">
        <v>104</v>
      </c>
      <c r="D122" s="747"/>
      <c r="E122" s="144" t="s">
        <v>229</v>
      </c>
      <c r="F122" s="160"/>
      <c r="G122" s="160"/>
      <c r="H122" s="161"/>
      <c r="I122" s="162"/>
      <c r="J122" s="163"/>
      <c r="K122" s="164"/>
      <c r="L122" s="164"/>
      <c r="M122" s="163"/>
      <c r="N122" s="163"/>
      <c r="O122" s="163"/>
      <c r="P122" s="163"/>
      <c r="Q122" s="163"/>
      <c r="R122" s="163"/>
      <c r="S122" s="163"/>
      <c r="T122" s="163"/>
      <c r="U122" s="163"/>
      <c r="V122" s="163"/>
      <c r="W122" s="163"/>
      <c r="X122" s="165"/>
      <c r="Y122" s="163"/>
      <c r="Z122" s="163"/>
      <c r="AA122" s="163"/>
      <c r="AB122" s="163"/>
      <c r="AC122" s="163"/>
      <c r="AD122" s="163"/>
      <c r="AE122" s="163"/>
      <c r="AF122" s="163"/>
      <c r="AG122" s="163"/>
      <c r="AH122" s="163"/>
      <c r="AI122" s="163"/>
      <c r="AJ122" s="165"/>
      <c r="AK122" s="163"/>
      <c r="AL122" s="163"/>
      <c r="AM122" s="163"/>
      <c r="AN122" s="163"/>
      <c r="AO122" s="163"/>
      <c r="AP122" s="163"/>
      <c r="AQ122" s="163"/>
      <c r="AR122" s="163"/>
      <c r="AS122" s="163"/>
      <c r="AT122" s="163"/>
      <c r="AU122" s="163"/>
      <c r="AV122" s="165"/>
      <c r="AW122" s="163"/>
      <c r="AX122" s="163"/>
      <c r="AY122" s="163"/>
      <c r="AZ122" s="163"/>
      <c r="BA122" s="163"/>
      <c r="BB122" s="163"/>
      <c r="BC122" s="163"/>
      <c r="BD122" s="163"/>
      <c r="BE122" s="163"/>
      <c r="BF122" s="163"/>
      <c r="BG122" s="163"/>
      <c r="BH122" s="263"/>
    </row>
    <row r="123" spans="1:60" x14ac:dyDescent="0.2">
      <c r="A123" s="648"/>
      <c r="B123" s="492" t="s">
        <v>205</v>
      </c>
      <c r="C123" s="656" t="s">
        <v>127</v>
      </c>
      <c r="D123" s="747" t="s">
        <v>50</v>
      </c>
      <c r="E123" s="221" t="s">
        <v>230</v>
      </c>
      <c r="F123" s="221"/>
      <c r="G123" s="221"/>
      <c r="H123" s="221" t="s">
        <v>177</v>
      </c>
      <c r="I123" s="146"/>
      <c r="J123" s="243">
        <f>M123+Y123+AK123+AW123</f>
        <v>0</v>
      </c>
      <c r="K123" s="293"/>
      <c r="L123" s="293"/>
      <c r="M123" s="243">
        <f>SUM(O123:X123)</f>
        <v>0</v>
      </c>
      <c r="N123" s="294"/>
      <c r="O123" s="207">
        <f>IF(   AND(   HLOOKUP(IF(O$80="",referentie_verwarming,O$80),toestellen_RV,ROWS(bibliotheek!$E$79:$E$84),FALSE)=1,   O112+Q112&gt;P112   ),
ABS(O112+Q112-P112)*O$112/(O112+Q112),
0)</f>
        <v>0</v>
      </c>
      <c r="P123" s="207">
        <f>IF(AND(HLOOKUP(IF(P$80="",referentie_koeling,P$80),toestellen_KOEL,ROWS(bibliotheek!$E$170:$E$174),FALSE)=1,O112+Q112&lt;P112),ABS(O112+Q112-P112),0)</f>
        <v>0</v>
      </c>
      <c r="Q123" s="207">
        <f>IF(AND(HLOOKUP(IF(Q$80="",referentie_warmtapwater,Q$80),toestellen_TAP,ROWS(bibliotheek!$E$136:$E$141),FALSE)=1,O112+Q112&gt;P112),ABS(O112+Q112-P112)*Q$112/(O112+Q112),0)</f>
        <v>0</v>
      </c>
      <c r="R123" s="147"/>
      <c r="S123" s="147"/>
      <c r="T123" s="147"/>
      <c r="U123" s="147"/>
      <c r="V123" s="147"/>
      <c r="W123" s="147"/>
      <c r="X123" s="125"/>
      <c r="Y123" s="243">
        <f>SUM(AA123:AJ123)</f>
        <v>0</v>
      </c>
      <c r="Z123" s="294"/>
      <c r="AA123" s="207">
        <f>IF(   AND(   HLOOKUP(IF(AA$80="",referentie_verwarming,AA$80),toestellen_RV,ROWS(bibliotheek!$E$79:$E$84),FALSE)=1,   AA112+AC112&gt;AB112   ),
ABS(AA112+AC112-AB112)*AA$112/(AA112+AC112),
0)</f>
        <v>0</v>
      </c>
      <c r="AB123" s="207">
        <f>IF(AND(HLOOKUP(IF(AB$80="",referentie_koeling,AB$80),toestellen_KOEL,ROWS(bibliotheek!$E$170:$E$174),FALSE)=1,AA112+AC112&lt;AB112),ABS(AA112+AC112-AB112),0)</f>
        <v>0</v>
      </c>
      <c r="AC123" s="207">
        <f>IF(AND(HLOOKUP(IF(AC$80="",referentie_warmtapwater,AC$80),toestellen_TAP,ROWS(bibliotheek!$E$136:$E$141),FALSE)=1,AA112+AC112&gt;AB112),ABS(AA112+AC112-AB112)*AC$112/(AA112+AC112),0)</f>
        <v>0</v>
      </c>
      <c r="AD123" s="147"/>
      <c r="AE123" s="147"/>
      <c r="AF123" s="147"/>
      <c r="AG123" s="147"/>
      <c r="AH123" s="147"/>
      <c r="AI123" s="147"/>
      <c r="AJ123" s="125"/>
      <c r="AK123" s="243">
        <f>SUM(AM123:AV123)</f>
        <v>0</v>
      </c>
      <c r="AL123" s="294"/>
      <c r="AM123" s="207">
        <f>IF(   AND(   HLOOKUP(IF(AM$80="",referentie_verwarming,AM$80),toestellen_RV,ROWS(bibliotheek!$E$79:$E$84),FALSE)=1,   AM112+AO112&gt;AN112   ),
ABS(AM112+AO112-AN112)*AM$112/(AM112+AO112),
0)</f>
        <v>0</v>
      </c>
      <c r="AN123" s="207">
        <f>IF(AND(HLOOKUP(IF(AN$80="",referentie_koeling,AN$80),toestellen_KOEL,ROWS(bibliotheek!$E$170:$E$174),FALSE)=1,AM112+AO112&lt;AN112),ABS(AM112+AO112-AN112),0)</f>
        <v>0</v>
      </c>
      <c r="AO123" s="207">
        <f>IF(AND(HLOOKUP(IF(AO$80="",referentie_warmtapwater,AO$80),toestellen_TAP,ROWS(bibliotheek!$E$136:$E$141),FALSE)=1,AM112+AO112&gt;AN112),ABS(AM112+AO112-AN112)*AO$112/(AM112+AO112),0)</f>
        <v>0</v>
      </c>
      <c r="AP123" s="147"/>
      <c r="AQ123" s="147"/>
      <c r="AR123" s="147"/>
      <c r="AS123" s="147"/>
      <c r="AT123" s="147"/>
      <c r="AU123" s="147"/>
      <c r="AV123" s="125"/>
      <c r="AW123" s="243">
        <f>SUM(AY123:BH123)</f>
        <v>0</v>
      </c>
      <c r="AX123" s="294"/>
      <c r="AY123" s="207">
        <f>IF(   AND(   HLOOKUP(IF(AY$80="",referentie_verwarming,AY$80),toestellen_RV,ROWS(bibliotheek!$E$79:$E$84),FALSE)=1,   AY112+BA112&gt;AZ112   ),
ABS(AY112+BA112-AZ112)*AY$112/(AY112+BA112),
0)</f>
        <v>0</v>
      </c>
      <c r="AZ123" s="207">
        <f>IF(AND(HLOOKUP(IF(AZ$80="",referentie_koeling,AZ$80),toestellen_KOEL,ROWS(bibliotheek!$E$170:$E$174),FALSE)=1,AY112+BA112&lt;AZ112),ABS(AY112+BA112-AZ112),0)</f>
        <v>0</v>
      </c>
      <c r="BA123" s="207">
        <f>IF(AND(HLOOKUP(IF(BA$80="",referentie_warmtapwater,BA$80),toestellen_TAP,ROWS(bibliotheek!$E$136:$E$141),FALSE)=1,AY112+BA112&gt;AZ112),ABS(AY112+BA112-AZ112)*BA$112/(AY112+BA112),0)</f>
        <v>0</v>
      </c>
      <c r="BB123" s="147"/>
      <c r="BC123" s="147"/>
      <c r="BD123" s="147"/>
      <c r="BE123" s="147"/>
      <c r="BF123" s="147"/>
      <c r="BG123" s="147"/>
      <c r="BH123" s="255"/>
    </row>
    <row r="124" spans="1:60" hidden="1" x14ac:dyDescent="0.2">
      <c r="A124" s="648"/>
      <c r="B124" s="492" t="s">
        <v>205</v>
      </c>
      <c r="C124" s="656" t="s">
        <v>199</v>
      </c>
      <c r="D124" s="747"/>
      <c r="E124" s="221" t="s">
        <v>231</v>
      </c>
      <c r="F124" s="220"/>
      <c r="G124" s="220"/>
      <c r="H124" s="221" t="s">
        <v>232</v>
      </c>
      <c r="I124" s="146"/>
      <c r="J124" s="230"/>
      <c r="K124" s="121"/>
      <c r="L124" s="121"/>
      <c r="M124" s="230"/>
      <c r="N124" s="90"/>
      <c r="O124" s="625">
        <f>HLOOKUP(IF(O$80="",referentie_verwarming,O$80),toestellen_RV,ROWS(bibliotheek!$E$79:$E$113),FALSE)</f>
        <v>0</v>
      </c>
      <c r="P124" s="625">
        <f>HLOOKUP(IF(P$80="",referentie_koeling,P$80),toestellen_KOEL,ROWS(bibliotheek!$E$170:$E$188),FALSE)</f>
        <v>0</v>
      </c>
      <c r="Q124" s="625">
        <f>HLOOKUP(IF(Q$80="",referentie_warmtapwater,Q$80),toestellen_TAP,ROWS(bibliotheek!$E$136:$E$162),FALSE)</f>
        <v>0</v>
      </c>
      <c r="R124" s="447"/>
      <c r="S124" s="447"/>
      <c r="T124" s="447"/>
      <c r="U124" s="447"/>
      <c r="V124" s="447"/>
      <c r="W124" s="447"/>
      <c r="X124" s="487"/>
      <c r="Y124" s="230"/>
      <c r="Z124" s="90"/>
      <c r="AA124" s="625">
        <f>HLOOKUP(IF(AA$80="",referentie_verwarming,AA$80),toestellen_RV,ROWS(bibliotheek!$E$79:$E$113),FALSE)</f>
        <v>0</v>
      </c>
      <c r="AB124" s="625">
        <f>HLOOKUP(IF(AB$80="",referentie_koeling,AB$80),toestellen_KOEL,ROWS(bibliotheek!$E$170:$E$188),FALSE)</f>
        <v>0</v>
      </c>
      <c r="AC124" s="625">
        <f>HLOOKUP(IF(AC$80="",referentie_warmtapwater,AC$80),toestellen_TAP,ROWS(bibliotheek!$E$136:$E$162),FALSE)</f>
        <v>0</v>
      </c>
      <c r="AD124" s="447"/>
      <c r="AE124" s="447"/>
      <c r="AF124" s="447"/>
      <c r="AG124" s="447"/>
      <c r="AH124" s="447"/>
      <c r="AI124" s="447"/>
      <c r="AJ124" s="487"/>
      <c r="AK124" s="230"/>
      <c r="AL124" s="90"/>
      <c r="AM124" s="625">
        <f>HLOOKUP(IF(AM$80="",referentie_verwarming,AM$80),toestellen_RV,ROWS(bibliotheek!$E$79:$E$113),FALSE)</f>
        <v>0</v>
      </c>
      <c r="AN124" s="625">
        <f>HLOOKUP(IF(AN$80="",referentie_koeling,AN$80),toestellen_KOEL,ROWS(bibliotheek!$E$170:$E$188),FALSE)</f>
        <v>0</v>
      </c>
      <c r="AO124" s="625">
        <f>HLOOKUP(IF(AO$80="",referentie_warmtapwater,AO$80),toestellen_TAP,ROWS(bibliotheek!$E$136:$E$162),FALSE)</f>
        <v>0</v>
      </c>
      <c r="AP124" s="447"/>
      <c r="AQ124" s="447"/>
      <c r="AR124" s="447"/>
      <c r="AS124" s="447"/>
      <c r="AT124" s="447"/>
      <c r="AU124" s="447"/>
      <c r="AV124" s="487"/>
      <c r="AW124" s="230"/>
      <c r="AX124" s="90"/>
      <c r="AY124" s="625">
        <f>HLOOKUP(IF(AY$80="",referentie_verwarming,AY$80),toestellen_RV,ROWS(bibliotheek!$E$79:$E$113),FALSE)</f>
        <v>0</v>
      </c>
      <c r="AZ124" s="625">
        <f>HLOOKUP(IF(AZ$80="",referentie_koeling,AZ$80),toestellen_KOEL,ROWS(bibliotheek!$E$170:$E$188),FALSE)</f>
        <v>0</v>
      </c>
      <c r="BA124" s="625">
        <f>HLOOKUP(IF(BA$80="",referentie_warmtapwater,BA$80),toestellen_TAP,ROWS(bibliotheek!$E$136:$E$162),FALSE)</f>
        <v>0</v>
      </c>
      <c r="BB124" s="447"/>
      <c r="BC124" s="447"/>
      <c r="BD124" s="447"/>
      <c r="BE124" s="447"/>
      <c r="BF124" s="447"/>
      <c r="BG124" s="447"/>
      <c r="BH124" s="255"/>
    </row>
    <row r="125" spans="1:60" x14ac:dyDescent="0.2">
      <c r="A125" s="648"/>
      <c r="B125" s="492" t="s">
        <v>205</v>
      </c>
      <c r="C125" s="656" t="s">
        <v>127</v>
      </c>
      <c r="D125" s="747"/>
      <c r="E125" s="354" t="s">
        <v>233</v>
      </c>
      <c r="F125" s="316"/>
      <c r="G125" s="316"/>
      <c r="H125" s="354" t="s">
        <v>70</v>
      </c>
      <c r="I125" s="88"/>
      <c r="J125" s="352"/>
      <c r="K125" s="88"/>
      <c r="L125" s="88"/>
      <c r="M125" s="352"/>
      <c r="N125" s="90"/>
      <c r="O125" s="452">
        <f>IF(HLOOKUP(IF(O$80="",referentie_verwarming,O$80),toestellen_RV,ROWS(bibliotheek!$E$79:$E$97),FALSE)=0,0,IF(O126&lt;&gt;"",O126,HLOOKUP(IF(O$80="",referentie_verwarming,O$80),toestellen_RV,ROWS(bibliotheek!$E$79:$E$97),FALSE)))</f>
        <v>0</v>
      </c>
      <c r="P125" s="452">
        <f>IF(HLOOKUP(IF(P$80="",referentie_koeling,P$80),toestellen_KOEL,ROWS(bibliotheek!$E$170:$E$181),FALSE)=0,0,IF(P126&lt;&gt;"",P126,HLOOKUP(IF(P$80="",referentie_koeling,P$80),toestellen_KOEL,ROWS(bibliotheek!$E$170:$E$181),FALSE)))</f>
        <v>0</v>
      </c>
      <c r="Q125" s="452">
        <f>IF(HLOOKUP(IF(Q$80="",referentie_warmtapwater,Q$80),toestellen_TAP,ROWS(bibliotheek!$E$136:$E$154),FALSE)=0,0,IF(Q126&lt;&gt;"",Q126,HLOOKUP(IF(Q$80="",referentie_warmtapwater,Q$80),toestellen_TAP,ROWS(bibliotheek!$E$136:$E$154),FALSE)))</f>
        <v>0</v>
      </c>
      <c r="R125" s="156"/>
      <c r="S125" s="156"/>
      <c r="T125" s="156"/>
      <c r="U125" s="156"/>
      <c r="V125" s="156"/>
      <c r="W125" s="156"/>
      <c r="X125" s="126"/>
      <c r="Y125" s="352"/>
      <c r="Z125" s="90"/>
      <c r="AA125" s="452">
        <f>IF(HLOOKUP(IF(AA$80="",referentie_verwarming,AA$80),toestellen_RV,ROWS(bibliotheek!$E$79:$E$97),FALSE)=0,0,IF(AA126&lt;&gt;"",AA126,HLOOKUP(IF(AA$80="",referentie_verwarming,AA$80),toestellen_RV,ROWS(bibliotheek!$E$79:$E$97),FALSE)))</f>
        <v>0</v>
      </c>
      <c r="AB125" s="452">
        <f>IF(HLOOKUP(IF(AB$80="",referentie_koeling,AB$80),toestellen_KOEL,ROWS(bibliotheek!$E$170:$E$181),FALSE)=0,0,IF(AB126&lt;&gt;"",AB126,HLOOKUP(IF(AB$80="",referentie_koeling,AB$80),toestellen_KOEL,ROWS(bibliotheek!$E$170:$E$181),FALSE)))</f>
        <v>0</v>
      </c>
      <c r="AC125" s="452">
        <f>IF(HLOOKUP(IF(AC$80="",referentie_warmtapwater,AC$80),toestellen_TAP,ROWS(bibliotheek!$E$136:$E$154),FALSE)=0,0,IF(AC126&lt;&gt;"",AC126,HLOOKUP(IF(AC$80="",referentie_warmtapwater,AC$80),toestellen_TAP,ROWS(bibliotheek!$E$136:$E$154),FALSE)))</f>
        <v>0</v>
      </c>
      <c r="AD125" s="156"/>
      <c r="AE125" s="156"/>
      <c r="AF125" s="156"/>
      <c r="AG125" s="156"/>
      <c r="AH125" s="156"/>
      <c r="AI125" s="156"/>
      <c r="AJ125" s="126"/>
      <c r="AK125" s="352"/>
      <c r="AL125" s="90"/>
      <c r="AM125" s="452">
        <f>IF(HLOOKUP(IF(AM$80="",referentie_verwarming,AM$80),toestellen_RV,ROWS(bibliotheek!$E$79:$E$97),FALSE)=0,0,IF(AM126&lt;&gt;"",AM126,HLOOKUP(IF(AM$80="",referentie_verwarming,AM$80),toestellen_RV,ROWS(bibliotheek!$E$79:$E$97),FALSE)))</f>
        <v>0</v>
      </c>
      <c r="AN125" s="452">
        <f>IF(HLOOKUP(IF(AN$80="",referentie_koeling,AN$80),toestellen_KOEL,ROWS(bibliotheek!$E$170:$E$181),FALSE)=0,0,IF(AN126&lt;&gt;"",AN126,HLOOKUP(IF(AN$80="",referentie_koeling,AN$80),toestellen_KOEL,ROWS(bibliotheek!$E$170:$E$181),FALSE)))</f>
        <v>0</v>
      </c>
      <c r="AO125" s="452">
        <f>IF(HLOOKUP(IF(AO$80="",referentie_warmtapwater,AO$80),toestellen_TAP,ROWS(bibliotheek!$E$136:$E$154),FALSE)=0,0,IF(AO126&lt;&gt;"",AO126,HLOOKUP(IF(AO$80="",referentie_warmtapwater,AO$80),toestellen_TAP,ROWS(bibliotheek!$E$136:$E$154),FALSE)))</f>
        <v>0</v>
      </c>
      <c r="AP125" s="156"/>
      <c r="AQ125" s="156"/>
      <c r="AR125" s="156"/>
      <c r="AS125" s="156"/>
      <c r="AT125" s="156"/>
      <c r="AU125" s="156"/>
      <c r="AV125" s="126"/>
      <c r="AW125" s="352"/>
      <c r="AX125" s="90"/>
      <c r="AY125" s="452">
        <f>IF(HLOOKUP(IF(AY$80="",referentie_verwarming,AY$80),toestellen_RV,ROWS(bibliotheek!$E$79:$E$97),FALSE)=0,0,IF(AY126&lt;&gt;"",AY126,HLOOKUP(IF(AY$80="",referentie_verwarming,AY$80),toestellen_RV,ROWS(bibliotheek!$E$79:$E$97),FALSE)))</f>
        <v>0</v>
      </c>
      <c r="AZ125" s="452">
        <f>IF(HLOOKUP(IF(AZ$80="",referentie_koeling,AZ$80),toestellen_KOEL,ROWS(bibliotheek!$E$170:$E$181),FALSE)=0,0,IF(AZ126&lt;&gt;"",AZ126,HLOOKUP(IF(AZ$80="",referentie_koeling,AZ$80),toestellen_KOEL,ROWS(bibliotheek!$E$170:$E$181),FALSE)))</f>
        <v>0</v>
      </c>
      <c r="BA125" s="452">
        <f>IF(HLOOKUP(IF(BA$80="",referentie_warmtapwater,BA$80),toestellen_TAP,ROWS(bibliotheek!$E$136:$E$154),FALSE)=0,0,IF(BA126&lt;&gt;"",BA126,HLOOKUP(IF(BA$80="",referentie_warmtapwater,BA$80),toestellen_TAP,ROWS(bibliotheek!$E$136:$E$154),FALSE)))</f>
        <v>0</v>
      </c>
      <c r="BB125" s="156"/>
      <c r="BC125" s="156"/>
      <c r="BD125" s="156"/>
      <c r="BE125" s="156"/>
      <c r="BF125" s="156"/>
      <c r="BG125" s="156"/>
      <c r="BH125" s="214"/>
    </row>
    <row r="126" spans="1:60" x14ac:dyDescent="0.2">
      <c r="A126" s="648"/>
      <c r="B126" s="492" t="s">
        <v>205</v>
      </c>
      <c r="C126" s="656" t="s">
        <v>127</v>
      </c>
      <c r="D126" s="747"/>
      <c r="E126" s="412" t="s">
        <v>234</v>
      </c>
      <c r="F126" s="317"/>
      <c r="G126" s="317"/>
      <c r="H126" s="355"/>
      <c r="I126" s="88"/>
      <c r="J126" s="362"/>
      <c r="K126" s="88"/>
      <c r="L126" s="88"/>
      <c r="M126" s="239"/>
      <c r="N126" s="90"/>
      <c r="O126" s="337"/>
      <c r="P126" s="712"/>
      <c r="Q126" s="337"/>
      <c r="R126" s="157"/>
      <c r="S126" s="157"/>
      <c r="T126" s="157"/>
      <c r="U126" s="157"/>
      <c r="V126" s="157"/>
      <c r="W126" s="157"/>
      <c r="X126" s="87"/>
      <c r="Y126" s="239"/>
      <c r="Z126" s="90"/>
      <c r="AA126" s="337"/>
      <c r="AB126" s="712"/>
      <c r="AC126" s="337"/>
      <c r="AD126" s="157"/>
      <c r="AE126" s="157"/>
      <c r="AF126" s="157"/>
      <c r="AG126" s="157"/>
      <c r="AH126" s="157"/>
      <c r="AI126" s="157"/>
      <c r="AJ126" s="87"/>
      <c r="AK126" s="239"/>
      <c r="AL126" s="90"/>
      <c r="AM126" s="337"/>
      <c r="AN126" s="712"/>
      <c r="AO126" s="337"/>
      <c r="AP126" s="157"/>
      <c r="AQ126" s="157"/>
      <c r="AR126" s="157"/>
      <c r="AS126" s="157"/>
      <c r="AT126" s="157"/>
      <c r="AU126" s="157"/>
      <c r="AV126" s="87"/>
      <c r="AW126" s="239"/>
      <c r="AX126" s="90"/>
      <c r="AY126" s="337"/>
      <c r="AZ126" s="712"/>
      <c r="BA126" s="337"/>
      <c r="BB126" s="157"/>
      <c r="BC126" s="157"/>
      <c r="BD126" s="157"/>
      <c r="BE126" s="157"/>
      <c r="BF126" s="157"/>
      <c r="BG126" s="157"/>
      <c r="BH126" s="214"/>
    </row>
    <row r="127" spans="1:60" x14ac:dyDescent="0.2">
      <c r="A127" s="648"/>
      <c r="B127" s="492" t="s">
        <v>205</v>
      </c>
      <c r="C127" s="656" t="s">
        <v>104</v>
      </c>
      <c r="D127" s="747"/>
      <c r="E127" s="90"/>
      <c r="F127" s="90"/>
      <c r="G127" s="90"/>
      <c r="H127" s="96"/>
      <c r="I127" s="90"/>
      <c r="J127" s="93"/>
      <c r="K127" s="90"/>
      <c r="L127" s="90"/>
      <c r="M127" s="93"/>
      <c r="N127" s="93"/>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3"/>
      <c r="AN127" s="93"/>
      <c r="AO127" s="93"/>
      <c r="AP127" s="93"/>
      <c r="AQ127" s="93"/>
      <c r="AR127" s="93"/>
      <c r="AS127" s="93"/>
      <c r="AT127" s="93"/>
      <c r="AU127" s="93"/>
      <c r="AV127" s="93"/>
      <c r="AW127" s="93"/>
      <c r="AX127" s="93"/>
      <c r="AY127" s="93"/>
      <c r="AZ127" s="93"/>
      <c r="BA127" s="93"/>
      <c r="BB127" s="93"/>
      <c r="BC127" s="93"/>
      <c r="BD127" s="93"/>
      <c r="BE127" s="93"/>
      <c r="BF127" s="93"/>
      <c r="BG127" s="93"/>
      <c r="BH127" s="1"/>
    </row>
    <row r="128" spans="1:60" x14ac:dyDescent="0.2">
      <c r="A128" s="648"/>
      <c r="B128" s="492" t="s">
        <v>235</v>
      </c>
      <c r="C128" s="656" t="s">
        <v>104</v>
      </c>
      <c r="D128" s="747"/>
      <c r="E128" s="90"/>
      <c r="F128" s="90"/>
      <c r="G128" s="90"/>
      <c r="H128" s="96"/>
      <c r="I128" s="90"/>
      <c r="J128" s="93"/>
      <c r="K128" s="90"/>
      <c r="L128" s="90"/>
      <c r="M128" s="93"/>
      <c r="N128" s="93"/>
      <c r="O128" s="93"/>
      <c r="P128" s="93"/>
      <c r="Q128" s="93"/>
      <c r="R128" s="93"/>
      <c r="S128" s="93"/>
      <c r="T128" s="93"/>
      <c r="U128" s="93"/>
      <c r="V128" s="93"/>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1"/>
    </row>
    <row r="129" spans="1:60" ht="21" x14ac:dyDescent="0.2">
      <c r="A129" s="648"/>
      <c r="B129" s="492" t="s">
        <v>235</v>
      </c>
      <c r="C129" s="739" t="s">
        <v>104</v>
      </c>
      <c r="D129" s="750" t="s">
        <v>50</v>
      </c>
      <c r="E129" s="240" t="s">
        <v>236</v>
      </c>
      <c r="F129" s="240"/>
      <c r="G129" s="240"/>
      <c r="H129" s="240"/>
      <c r="I129" s="88"/>
      <c r="J129" s="241" t="s">
        <v>58</v>
      </c>
      <c r="K129" s="142"/>
      <c r="L129" s="142"/>
      <c r="M129" s="216" t="s">
        <v>237</v>
      </c>
      <c r="N129" s="222"/>
      <c r="O129" s="217" t="str">
        <f>$O$10</f>
        <v>verwarming</v>
      </c>
      <c r="P129" s="217" t="str">
        <f>$P$10</f>
        <v>koeling</v>
      </c>
      <c r="Q129" s="217" t="str">
        <f>$Q$10</f>
        <v>tapwater</v>
      </c>
      <c r="R129" s="217"/>
      <c r="S129" s="217"/>
      <c r="T129" s="217"/>
      <c r="U129" s="217"/>
      <c r="V129" s="217"/>
      <c r="W129" s="217"/>
      <c r="X129" s="214"/>
      <c r="Y129" s="216" t="s">
        <v>237</v>
      </c>
      <c r="Z129" s="222"/>
      <c r="AA129" s="217" t="str">
        <f>$O$10</f>
        <v>verwarming</v>
      </c>
      <c r="AB129" s="217" t="str">
        <f>$P$10</f>
        <v>koeling</v>
      </c>
      <c r="AC129" s="217" t="str">
        <f>$Q$10</f>
        <v>tapwater</v>
      </c>
      <c r="AD129" s="217"/>
      <c r="AE129" s="217"/>
      <c r="AF129" s="217"/>
      <c r="AG129" s="217"/>
      <c r="AH129" s="217"/>
      <c r="AI129" s="217"/>
      <c r="AJ129" s="214"/>
      <c r="AK129" s="216" t="s">
        <v>237</v>
      </c>
      <c r="AL129" s="222"/>
      <c r="AM129" s="217" t="str">
        <f>$O$10</f>
        <v>verwarming</v>
      </c>
      <c r="AN129" s="217" t="str">
        <f>$P$10</f>
        <v>koeling</v>
      </c>
      <c r="AO129" s="217" t="str">
        <f>$Q$10</f>
        <v>tapwater</v>
      </c>
      <c r="AP129" s="217"/>
      <c r="AQ129" s="217"/>
      <c r="AR129" s="217"/>
      <c r="AS129" s="217"/>
      <c r="AT129" s="217"/>
      <c r="AU129" s="217"/>
      <c r="AV129" s="214"/>
      <c r="AW129" s="216" t="s">
        <v>237</v>
      </c>
      <c r="AX129" s="222"/>
      <c r="AY129" s="217" t="str">
        <f>$O$10</f>
        <v>verwarming</v>
      </c>
      <c r="AZ129" s="217" t="str">
        <f>$P$10</f>
        <v>koeling</v>
      </c>
      <c r="BA129" s="217" t="str">
        <f>$Q$10</f>
        <v>tapwater</v>
      </c>
      <c r="BB129" s="217"/>
      <c r="BC129" s="217"/>
      <c r="BD129" s="217"/>
      <c r="BE129" s="217"/>
      <c r="BF129" s="217"/>
      <c r="BG129" s="217"/>
      <c r="BH129" s="1"/>
    </row>
    <row r="130" spans="1:60" ht="18.75" x14ac:dyDescent="0.2">
      <c r="A130" s="648"/>
      <c r="B130" s="492" t="s">
        <v>235</v>
      </c>
      <c r="C130" s="739" t="s">
        <v>104</v>
      </c>
      <c r="D130" s="747"/>
      <c r="E130" s="144" t="s">
        <v>210</v>
      </c>
      <c r="F130" s="231"/>
      <c r="G130" s="231"/>
      <c r="H130" s="89"/>
      <c r="I130" s="232"/>
      <c r="J130" s="231"/>
      <c r="K130" s="232"/>
      <c r="L130" s="232"/>
      <c r="M130" s="231"/>
      <c r="N130" s="232"/>
      <c r="O130" s="232"/>
      <c r="P130" s="232"/>
      <c r="Q130" s="232"/>
      <c r="R130" s="232"/>
      <c r="S130" s="232"/>
      <c r="T130" s="232"/>
      <c r="U130" s="232"/>
      <c r="V130" s="232"/>
      <c r="W130" s="232"/>
      <c r="X130" s="232"/>
      <c r="Y130" s="232"/>
      <c r="Z130" s="232"/>
      <c r="AA130" s="232"/>
      <c r="AB130" s="232"/>
      <c r="AC130" s="232"/>
      <c r="AD130" s="232"/>
      <c r="AE130" s="232"/>
      <c r="AF130" s="232"/>
      <c r="AG130" s="232"/>
      <c r="AH130" s="232"/>
      <c r="AI130" s="232"/>
      <c r="AJ130" s="232"/>
      <c r="AK130" s="232"/>
      <c r="AL130" s="232"/>
      <c r="AM130" s="232"/>
      <c r="AN130" s="232"/>
      <c r="AO130" s="232"/>
      <c r="AP130" s="232"/>
      <c r="AQ130" s="232"/>
      <c r="AR130" s="232"/>
      <c r="AS130" s="232"/>
      <c r="AT130" s="232"/>
      <c r="AU130" s="232"/>
      <c r="AV130" s="232"/>
      <c r="AW130" s="232"/>
      <c r="AX130" s="232"/>
      <c r="AY130" s="232"/>
      <c r="AZ130" s="232"/>
      <c r="BA130" s="232"/>
      <c r="BB130" s="232"/>
      <c r="BC130" s="232"/>
      <c r="BD130" s="232"/>
      <c r="BE130" s="232"/>
      <c r="BF130" s="232"/>
      <c r="BG130" s="232"/>
      <c r="BH130" s="38"/>
    </row>
    <row r="131" spans="1:60" ht="25.5" x14ac:dyDescent="0.2">
      <c r="A131" s="648"/>
      <c r="B131" s="492" t="s">
        <v>235</v>
      </c>
      <c r="C131" s="656" t="s">
        <v>127</v>
      </c>
      <c r="D131" s="747"/>
      <c r="E131" s="326" t="s">
        <v>238</v>
      </c>
      <c r="F131" s="326"/>
      <c r="G131" s="326"/>
      <c r="H131" s="327" t="s">
        <v>70</v>
      </c>
      <c r="I131" s="115"/>
      <c r="J131" s="330"/>
      <c r="K131" s="115"/>
      <c r="L131" s="115"/>
      <c r="M131" s="330" t="str">
        <f>IF(OR(M$12=0,O134=0),"-","RV: "&amp;O131)</f>
        <v>-</v>
      </c>
      <c r="N131" s="136"/>
      <c r="O131" s="346" t="str">
        <f>IF(O$105=1,geen,HLOOKUP(IF(O$80="",referentie_verwarming,O$80),toestellen_RV,ROWS(bibliotheek!$E$79:$E$100),FALSE))</f>
        <v>elektrisch element</v>
      </c>
      <c r="P131" s="346" t="str">
        <f>IF(OR(P$101=geen,P$105=1),geen,HLOOKUP(IF(P$80="",referentie_koeling,P$80),toestellen_KOEL,ROWS(bibliotheek!$E$170:$E$183),FALSE))</f>
        <v>geen</v>
      </c>
      <c r="Q131" s="346" t="str">
        <f>IF(Q105=1,geen,HLOOKUP(IF(Q$80="",referentie_warmtapwater,Q$80),toestellen_TAP,ROWS(bibliotheek!$E$136:$E$157),FALSE))</f>
        <v>elektrisch element</v>
      </c>
      <c r="R131" s="331"/>
      <c r="S131" s="331"/>
      <c r="T131" s="331"/>
      <c r="U131" s="331"/>
      <c r="V131" s="331"/>
      <c r="W131" s="331"/>
      <c r="X131" s="130"/>
      <c r="Y131" s="330" t="str">
        <f>IF(OR(Y$12=0,AA134=0),"-","RV: "&amp;AA131)</f>
        <v>-</v>
      </c>
      <c r="Z131" s="136"/>
      <c r="AA131" s="346" t="str">
        <f>IF(AA$105=1,geen,HLOOKUP(IF(AA$80="",referentie_verwarming,AA$80),toestellen_RV,ROWS(bibliotheek!$E$79:$E$100),FALSE))</f>
        <v>elektrisch element</v>
      </c>
      <c r="AB131" s="346" t="str">
        <f>IF(OR(AB$101=geen,AB$105=1),geen,HLOOKUP(IF(AB$80="",referentie_koeling,AB$80),toestellen_KOEL,ROWS(bibliotheek!$E$170:$E$183),FALSE))</f>
        <v>geen</v>
      </c>
      <c r="AC131" s="346" t="str">
        <f>IF(AC105=1,geen,HLOOKUP(IF(AC$80="",referentie_warmtapwater,AC$80),toestellen_TAP,ROWS(bibliotheek!$E$136:$E$157),FALSE))</f>
        <v>elektrisch element</v>
      </c>
      <c r="AD131" s="331"/>
      <c r="AE131" s="331"/>
      <c r="AF131" s="331"/>
      <c r="AG131" s="331"/>
      <c r="AH131" s="331"/>
      <c r="AI131" s="331"/>
      <c r="AJ131" s="130"/>
      <c r="AK131" s="330" t="str">
        <f>IF(OR(AK$12=0,AM134=0),"-","RV: "&amp;AM131)</f>
        <v>-</v>
      </c>
      <c r="AL131" s="136"/>
      <c r="AM131" s="346" t="str">
        <f>IF(AM$105=1,geen,HLOOKUP(IF(AM$80="",referentie_verwarming,AM$80),toestellen_RV,ROWS(bibliotheek!$E$79:$E$100),FALSE))</f>
        <v>elektrisch element</v>
      </c>
      <c r="AN131" s="346" t="str">
        <f>IF(OR(AN$101=geen,AN$105=1),geen,HLOOKUP(IF(AN$80="",referentie_koeling,AN$80),toestellen_KOEL,ROWS(bibliotheek!$E$170:$E$183),FALSE))</f>
        <v>geen</v>
      </c>
      <c r="AO131" s="346" t="str">
        <f>IF(AO105=1,geen,HLOOKUP(IF(AO$80="",referentie_warmtapwater,AO$80),toestellen_TAP,ROWS(bibliotheek!$E$136:$E$157),FALSE))</f>
        <v>elektrisch element</v>
      </c>
      <c r="AP131" s="331"/>
      <c r="AQ131" s="331"/>
      <c r="AR131" s="331"/>
      <c r="AS131" s="331"/>
      <c r="AT131" s="331"/>
      <c r="AU131" s="331"/>
      <c r="AV131" s="130"/>
      <c r="AW131" s="330" t="str">
        <f>IF(OR(AW$12=0,AY134=0),"-","RV: "&amp;AY131)</f>
        <v>-</v>
      </c>
      <c r="AX131" s="136"/>
      <c r="AY131" s="346" t="str">
        <f>IF(AY$105=1,geen,HLOOKUP(IF(AY$80="",referentie_verwarming,AY$80),toestellen_RV,ROWS(bibliotheek!$E$79:$E$100),FALSE))</f>
        <v>elektrisch element</v>
      </c>
      <c r="AZ131" s="346" t="str">
        <f>IF(OR(AZ$101=geen,AZ$105=1),geen,HLOOKUP(IF(AZ$80="",referentie_koeling,AZ$80),toestellen_KOEL,ROWS(bibliotheek!$E$170:$E$183),FALSE))</f>
        <v>geen</v>
      </c>
      <c r="BA131" s="346" t="str">
        <f>IF(BA105=1,geen,HLOOKUP(IF(BA$80="",referentie_warmtapwater,BA$80),toestellen_TAP,ROWS(bibliotheek!$E$136:$E$157),FALSE))</f>
        <v>elektrisch element</v>
      </c>
      <c r="BB131" s="331"/>
      <c r="BC131" s="331"/>
      <c r="BD131" s="331"/>
      <c r="BE131" s="331"/>
      <c r="BF131" s="331"/>
      <c r="BG131" s="331"/>
      <c r="BH131" s="266"/>
    </row>
    <row r="132" spans="1:60" hidden="1" x14ac:dyDescent="0.2">
      <c r="A132" s="648"/>
      <c r="B132" s="492" t="s">
        <v>235</v>
      </c>
      <c r="C132" s="656" t="s">
        <v>199</v>
      </c>
      <c r="D132" s="747"/>
      <c r="E132" s="220" t="s">
        <v>208</v>
      </c>
      <c r="F132" s="220"/>
      <c r="G132" s="220"/>
      <c r="H132" s="221" t="s">
        <v>70</v>
      </c>
      <c r="I132" s="90"/>
      <c r="J132" s="230"/>
      <c r="K132" s="90"/>
      <c r="L132" s="90"/>
      <c r="M132" s="230"/>
      <c r="N132" s="129"/>
      <c r="O132" s="347" t="str">
        <f>IF(O131=geen,nvt,HLOOKUP(IF(O$80="",referentie_verwarming,O$80),toestellen_RV,ROWS(bibliotheek!$E$79:$E$101),FALSE))</f>
        <v>elektriciteit</v>
      </c>
      <c r="P132" s="208" t="str">
        <f>IF(P131=geen,nvt,HLOOKUP(IF(P$80="",referentie_koeling,P$80),toestellen_KOEL,ROWS(bibliotheek!$E$170:$E$184),FALSE))</f>
        <v>nvt</v>
      </c>
      <c r="Q132" s="272" t="str">
        <f>IF(Q131=geen,nvt,HLOOKUP(IF(Q$80="",referentie_warmtapwater,Q$80),toestellen_TAP,ROWS(bibliotheek!$E$136:$E$158),FALSE))</f>
        <v>elektriciteit</v>
      </c>
      <c r="R132" s="332"/>
      <c r="S132" s="332"/>
      <c r="T132" s="332"/>
      <c r="U132" s="332"/>
      <c r="V132" s="332"/>
      <c r="W132" s="332"/>
      <c r="X132" s="122"/>
      <c r="Y132" s="230"/>
      <c r="Z132" s="129"/>
      <c r="AA132" s="347" t="str">
        <f>IF(AA131=geen,nvt,HLOOKUP(IF(AA$80="",referentie_verwarming,AA$80),toestellen_RV,ROWS(bibliotheek!$E$79:$E$101),FALSE))</f>
        <v>elektriciteit</v>
      </c>
      <c r="AB132" s="208" t="str">
        <f>IF(AB131=geen,nvt,HLOOKUP(IF(AB$80="",referentie_koeling,AB$80),toestellen_KOEL,ROWS(bibliotheek!$E$170:$E$184),FALSE))</f>
        <v>nvt</v>
      </c>
      <c r="AC132" s="272" t="str">
        <f>IF(AC131=geen,nvt,HLOOKUP(IF(AC$80="",referentie_warmtapwater,AC$80),toestellen_TAP,ROWS(bibliotheek!$E$136:$E$158),FALSE))</f>
        <v>elektriciteit</v>
      </c>
      <c r="AD132" s="332"/>
      <c r="AE132" s="332"/>
      <c r="AF132" s="332"/>
      <c r="AG132" s="332"/>
      <c r="AH132" s="332"/>
      <c r="AI132" s="332"/>
      <c r="AJ132" s="122"/>
      <c r="AK132" s="230"/>
      <c r="AL132" s="129"/>
      <c r="AM132" s="347" t="str">
        <f>IF(AM131=geen,nvt,HLOOKUP(IF(AM$80="",referentie_verwarming,AM$80),toestellen_RV,ROWS(bibliotheek!$E$79:$E$101),FALSE))</f>
        <v>elektriciteit</v>
      </c>
      <c r="AN132" s="208" t="str">
        <f>IF(AN131=geen,nvt,HLOOKUP(IF(AN$80="",referentie_koeling,AN$80),toestellen_KOEL,ROWS(bibliotheek!$E$170:$E$184),FALSE))</f>
        <v>nvt</v>
      </c>
      <c r="AO132" s="272" t="str">
        <f>IF(AO131=geen,nvt,HLOOKUP(IF(AO$80="",referentie_warmtapwater,AO$80),toestellen_TAP,ROWS(bibliotheek!$E$136:$E$158),FALSE))</f>
        <v>elektriciteit</v>
      </c>
      <c r="AP132" s="332"/>
      <c r="AQ132" s="332"/>
      <c r="AR132" s="332"/>
      <c r="AS132" s="332"/>
      <c r="AT132" s="332"/>
      <c r="AU132" s="332"/>
      <c r="AV132" s="122"/>
      <c r="AW132" s="230"/>
      <c r="AX132" s="129"/>
      <c r="AY132" s="347" t="str">
        <f>IF(AY131=geen,nvt,HLOOKUP(IF(AY$80="",referentie_verwarming,AY$80),toestellen_RV,ROWS(bibliotheek!$E$79:$E$101),FALSE))</f>
        <v>elektriciteit</v>
      </c>
      <c r="AZ132" s="208" t="str">
        <f>IF(AZ131=geen,nvt,HLOOKUP(IF(AZ$80="",referentie_koeling,AZ$80),toestellen_KOEL,ROWS(bibliotheek!$E$170:$E$184),FALSE))</f>
        <v>nvt</v>
      </c>
      <c r="BA132" s="272" t="str">
        <f>IF(BA131=geen,nvt,HLOOKUP(IF(BA$80="",referentie_warmtapwater,BA$80),toestellen_TAP,ROWS(bibliotheek!$E$136:$E$158),FALSE))</f>
        <v>elektriciteit</v>
      </c>
      <c r="BB132" s="332"/>
      <c r="BC132" s="332"/>
      <c r="BD132" s="332"/>
      <c r="BE132" s="332"/>
      <c r="BF132" s="332"/>
      <c r="BG132" s="332"/>
      <c r="BH132" s="214"/>
    </row>
    <row r="133" spans="1:60" hidden="1" x14ac:dyDescent="0.2">
      <c r="A133" s="648"/>
      <c r="B133" s="492" t="s">
        <v>235</v>
      </c>
      <c r="C133" s="739" t="s">
        <v>199</v>
      </c>
      <c r="D133" s="747"/>
      <c r="E133" s="221" t="s">
        <v>209</v>
      </c>
      <c r="F133" s="220"/>
      <c r="G133" s="220"/>
      <c r="H133" s="221" t="s">
        <v>70</v>
      </c>
      <c r="I133" s="146"/>
      <c r="J133" s="230"/>
      <c r="K133" s="822"/>
      <c r="L133" s="822"/>
      <c r="M133" s="230"/>
      <c r="N133" s="129"/>
      <c r="O133" s="347" t="str">
        <f>INDEX(energiedragers_index_fPren,MATCH(O132,energiedragers_namen,0))</f>
        <v>nren</v>
      </c>
      <c r="P133" s="208" t="str">
        <f>INDEX(energiedragers_index_fPren,MATCH(P132,energiedragers_namen,0))</f>
        <v>nren</v>
      </c>
      <c r="Q133" s="272" t="str">
        <f>INDEX(energiedragers_index_fPren,MATCH(Q132,energiedragers_namen,0))</f>
        <v>nren</v>
      </c>
      <c r="R133" s="333"/>
      <c r="S133" s="333"/>
      <c r="T133" s="333"/>
      <c r="U133" s="333"/>
      <c r="V133" s="333"/>
      <c r="W133" s="333"/>
      <c r="X133" s="889"/>
      <c r="Y133" s="230"/>
      <c r="Z133" s="129"/>
      <c r="AA133" s="347" t="str">
        <f>INDEX(energiedragers_index_fPren,MATCH(AA132,energiedragers_namen,0))</f>
        <v>nren</v>
      </c>
      <c r="AB133" s="208" t="str">
        <f>INDEX(energiedragers_index_fPren,MATCH(AB132,energiedragers_namen,0))</f>
        <v>nren</v>
      </c>
      <c r="AC133" s="272" t="str">
        <f>INDEX(energiedragers_index_fPren,MATCH(AC132,energiedragers_namen,0))</f>
        <v>nren</v>
      </c>
      <c r="AD133" s="333"/>
      <c r="AE133" s="333"/>
      <c r="AF133" s="333"/>
      <c r="AG133" s="333"/>
      <c r="AH133" s="333"/>
      <c r="AI133" s="333"/>
      <c r="AJ133" s="889"/>
      <c r="AK133" s="230"/>
      <c r="AL133" s="129"/>
      <c r="AM133" s="347" t="str">
        <f>INDEX(energiedragers_index_fPren,MATCH(AM132,energiedragers_namen,0))</f>
        <v>nren</v>
      </c>
      <c r="AN133" s="208" t="str">
        <f>INDEX(energiedragers_index_fPren,MATCH(AN132,energiedragers_namen,0))</f>
        <v>nren</v>
      </c>
      <c r="AO133" s="272" t="str">
        <f>INDEX(energiedragers_index_fPren,MATCH(AO132,energiedragers_namen,0))</f>
        <v>nren</v>
      </c>
      <c r="AP133" s="333"/>
      <c r="AQ133" s="333"/>
      <c r="AR133" s="333"/>
      <c r="AS133" s="333"/>
      <c r="AT133" s="333"/>
      <c r="AU133" s="333"/>
      <c r="AV133" s="889"/>
      <c r="AW133" s="230"/>
      <c r="AX133" s="129"/>
      <c r="AY133" s="347" t="str">
        <f>INDEX(energiedragers_index_fPren,MATCH(AY132,energiedragers_namen,0))</f>
        <v>nren</v>
      </c>
      <c r="AZ133" s="208" t="str">
        <f>INDEX(energiedragers_index_fPren,MATCH(AZ132,energiedragers_namen,0))</f>
        <v>nren</v>
      </c>
      <c r="BA133" s="272" t="str">
        <f>INDEX(energiedragers_index_fPren,MATCH(BA132,energiedragers_namen,0))</f>
        <v>nren</v>
      </c>
      <c r="BB133" s="333"/>
      <c r="BC133" s="333"/>
      <c r="BD133" s="333"/>
      <c r="BE133" s="333"/>
      <c r="BF133" s="333"/>
      <c r="BG133" s="333"/>
      <c r="BH133" s="264"/>
    </row>
    <row r="134" spans="1:60" hidden="1" x14ac:dyDescent="0.2">
      <c r="A134" s="648"/>
      <c r="B134" s="492" t="s">
        <v>235</v>
      </c>
      <c r="C134" s="656" t="s">
        <v>199</v>
      </c>
      <c r="D134" s="747"/>
      <c r="E134" s="220" t="s">
        <v>211</v>
      </c>
      <c r="F134" s="220"/>
      <c r="G134" s="220"/>
      <c r="H134" s="221" t="s">
        <v>70</v>
      </c>
      <c r="I134" s="90"/>
      <c r="J134" s="230"/>
      <c r="K134" s="115"/>
      <c r="L134" s="115"/>
      <c r="M134" s="230"/>
      <c r="N134" s="129"/>
      <c r="O134" s="348">
        <f>1-O105</f>
        <v>9.9999999999999978E-2</v>
      </c>
      <c r="P134" s="348">
        <f>1-P105</f>
        <v>0</v>
      </c>
      <c r="Q134" s="348">
        <f>1-Q105</f>
        <v>9.9999999999999978E-2</v>
      </c>
      <c r="R134" s="334"/>
      <c r="S134" s="334"/>
      <c r="T134" s="334"/>
      <c r="U134" s="334"/>
      <c r="V134" s="334"/>
      <c r="W134" s="334"/>
      <c r="X134" s="122"/>
      <c r="Y134" s="230"/>
      <c r="Z134" s="129"/>
      <c r="AA134" s="348">
        <f>1-AA105</f>
        <v>9.9999999999999978E-2</v>
      </c>
      <c r="AB134" s="348">
        <f>1-AB105</f>
        <v>0</v>
      </c>
      <c r="AC134" s="348">
        <f>1-AC105</f>
        <v>9.9999999999999978E-2</v>
      </c>
      <c r="AD134" s="334"/>
      <c r="AE134" s="334"/>
      <c r="AF134" s="334"/>
      <c r="AG134" s="334"/>
      <c r="AH134" s="334"/>
      <c r="AI134" s="334"/>
      <c r="AJ134" s="122"/>
      <c r="AK134" s="230"/>
      <c r="AL134" s="129"/>
      <c r="AM134" s="348">
        <f>1-AM105</f>
        <v>9.9999999999999978E-2</v>
      </c>
      <c r="AN134" s="348">
        <f>1-AN105</f>
        <v>0</v>
      </c>
      <c r="AO134" s="348">
        <f>1-AO105</f>
        <v>9.9999999999999978E-2</v>
      </c>
      <c r="AP134" s="334"/>
      <c r="AQ134" s="334"/>
      <c r="AR134" s="334"/>
      <c r="AS134" s="334"/>
      <c r="AT134" s="334"/>
      <c r="AU134" s="334"/>
      <c r="AV134" s="122"/>
      <c r="AW134" s="230"/>
      <c r="AX134" s="129"/>
      <c r="AY134" s="348">
        <f>1-AY105</f>
        <v>9.9999999999999978E-2</v>
      </c>
      <c r="AZ134" s="348">
        <f>1-AZ105</f>
        <v>0</v>
      </c>
      <c r="BA134" s="348">
        <f>1-BA105</f>
        <v>9.9999999999999978E-2</v>
      </c>
      <c r="BB134" s="334"/>
      <c r="BC134" s="334"/>
      <c r="BD134" s="334"/>
      <c r="BE134" s="334"/>
      <c r="BF134" s="334"/>
      <c r="BG134" s="334"/>
      <c r="BH134" s="214"/>
    </row>
    <row r="135" spans="1:60" hidden="1" x14ac:dyDescent="0.2">
      <c r="A135" s="648"/>
      <c r="B135" s="492" t="s">
        <v>235</v>
      </c>
      <c r="C135" s="656" t="s">
        <v>199</v>
      </c>
      <c r="D135" s="747"/>
      <c r="E135" s="220" t="s">
        <v>239</v>
      </c>
      <c r="F135" s="220"/>
      <c r="G135" s="220"/>
      <c r="H135" s="221" t="s">
        <v>177</v>
      </c>
      <c r="I135" s="90"/>
      <c r="J135" s="243">
        <f>M135+Y135+AK135+AW135</f>
        <v>0</v>
      </c>
      <c r="K135" s="294"/>
      <c r="L135" s="294"/>
      <c r="M135" s="243">
        <f>SUM(O135:X135)</f>
        <v>0</v>
      </c>
      <c r="N135" s="129"/>
      <c r="O135" s="207">
        <f>O$94*O134</f>
        <v>0</v>
      </c>
      <c r="P135" s="207">
        <f>P$94*P134</f>
        <v>0</v>
      </c>
      <c r="Q135" s="207">
        <f>Q$94*Q134</f>
        <v>0</v>
      </c>
      <c r="R135" s="335"/>
      <c r="S135" s="335"/>
      <c r="T135" s="335"/>
      <c r="U135" s="335"/>
      <c r="V135" s="335"/>
      <c r="W135" s="335"/>
      <c r="X135" s="118"/>
      <c r="Y135" s="243">
        <f>SUM(AA135:AJ135)</f>
        <v>0</v>
      </c>
      <c r="Z135" s="129"/>
      <c r="AA135" s="207">
        <f>AA$94*AA134</f>
        <v>0</v>
      </c>
      <c r="AB135" s="207">
        <f>AB$94*AB134</f>
        <v>0</v>
      </c>
      <c r="AC135" s="207">
        <f>AC$94*AC134</f>
        <v>0</v>
      </c>
      <c r="AD135" s="335"/>
      <c r="AE135" s="335"/>
      <c r="AF135" s="335"/>
      <c r="AG135" s="335"/>
      <c r="AH135" s="335"/>
      <c r="AI135" s="335"/>
      <c r="AJ135" s="118"/>
      <c r="AK135" s="243">
        <f>SUM(AM135:AV135)</f>
        <v>0</v>
      </c>
      <c r="AL135" s="129"/>
      <c r="AM135" s="207">
        <f>AM$94*AM134</f>
        <v>0</v>
      </c>
      <c r="AN135" s="207">
        <f>AN$94*AN134</f>
        <v>0</v>
      </c>
      <c r="AO135" s="207">
        <f>AO$94*AO134</f>
        <v>0</v>
      </c>
      <c r="AP135" s="335"/>
      <c r="AQ135" s="335"/>
      <c r="AR135" s="335"/>
      <c r="AS135" s="335"/>
      <c r="AT135" s="335"/>
      <c r="AU135" s="335"/>
      <c r="AV135" s="118"/>
      <c r="AW135" s="243">
        <f>SUM(AY135:BH135)</f>
        <v>0</v>
      </c>
      <c r="AX135" s="129"/>
      <c r="AY135" s="207">
        <f>AY$94*AY134</f>
        <v>0</v>
      </c>
      <c r="AZ135" s="207">
        <f>AZ$94*AZ134</f>
        <v>0</v>
      </c>
      <c r="BA135" s="207">
        <f>BA$94*BA134</f>
        <v>0</v>
      </c>
      <c r="BB135" s="335"/>
      <c r="BC135" s="335"/>
      <c r="BD135" s="335"/>
      <c r="BE135" s="335"/>
      <c r="BF135" s="335"/>
      <c r="BG135" s="335"/>
      <c r="BH135" s="255"/>
    </row>
    <row r="136" spans="1:60" x14ac:dyDescent="0.2">
      <c r="A136" s="648"/>
      <c r="B136" s="492" t="s">
        <v>235</v>
      </c>
      <c r="C136" s="656" t="s">
        <v>127</v>
      </c>
      <c r="D136" s="747"/>
      <c r="E136" s="316" t="s">
        <v>240</v>
      </c>
      <c r="F136" s="316"/>
      <c r="G136" s="316"/>
      <c r="H136" s="354" t="s">
        <v>70</v>
      </c>
      <c r="I136" s="90"/>
      <c r="J136" s="229"/>
      <c r="K136" s="90"/>
      <c r="L136" s="90"/>
      <c r="M136" s="229"/>
      <c r="N136" s="131"/>
      <c r="O136" s="415">
        <f>IF(O137&lt;&gt;"",O137,HLOOKUP(IF(O$80="",referentie_verwarming,O$80),toestellen_RV,ROWS(bibliotheek!$E$79:$E$103),FALSE))</f>
        <v>1</v>
      </c>
      <c r="P136" s="415">
        <f>IF(P137&lt;&gt;"",P137,HLOOKUP(IF(P$80="",referentie_koeling,P$80),toestellen_KOEL,ROWS(bibliotheek!$E$170:$E$186),FALSE))</f>
        <v>0</v>
      </c>
      <c r="Q136" s="415">
        <f>IF(Q137&lt;&gt;"",Q137,HLOOKUP(IF(Q$80="",referentie_warmtapwater,Q$80),toestellen_TAP,ROWS(bibliotheek!$E$136:$E$160),FALSE))</f>
        <v>1</v>
      </c>
      <c r="R136" s="416"/>
      <c r="S136" s="416"/>
      <c r="T136" s="416"/>
      <c r="U136" s="416"/>
      <c r="V136" s="416"/>
      <c r="W136" s="416"/>
      <c r="X136" s="417"/>
      <c r="Y136" s="418"/>
      <c r="Z136" s="129"/>
      <c r="AA136" s="415">
        <f>IF(AA137&lt;&gt;"",AA137,HLOOKUP(IF(AA$80="",referentie_verwarming,AA$80),toestellen_RV,ROWS(bibliotheek!$E$79:$E$103),FALSE))</f>
        <v>1</v>
      </c>
      <c r="AB136" s="415">
        <f>IF(AB137&lt;&gt;"",AB137,HLOOKUP(IF(AB$80="",referentie_koeling,AB$80),toestellen_KOEL,ROWS(bibliotheek!$E$170:$E$186),FALSE))</f>
        <v>0</v>
      </c>
      <c r="AC136" s="415">
        <f>IF(AC137&lt;&gt;"",AC137,HLOOKUP(IF(AC$80="",referentie_warmtapwater,AC$80),toestellen_TAP,ROWS(bibliotheek!$E$136:$E$160),FALSE))</f>
        <v>1</v>
      </c>
      <c r="AD136" s="416"/>
      <c r="AE136" s="416"/>
      <c r="AF136" s="416"/>
      <c r="AG136" s="416"/>
      <c r="AH136" s="416"/>
      <c r="AI136" s="416"/>
      <c r="AJ136" s="417"/>
      <c r="AK136" s="418"/>
      <c r="AL136" s="129"/>
      <c r="AM136" s="415">
        <f>IF(AM137&lt;&gt;"",AM137,HLOOKUP(IF(AM$80="",referentie_verwarming,AM$80),toestellen_RV,ROWS(bibliotheek!$E$79:$E$103),FALSE))</f>
        <v>1</v>
      </c>
      <c r="AN136" s="415">
        <f>IF(AN137&lt;&gt;"",AN137,HLOOKUP(IF(AN$80="",referentie_koeling,AN$80),toestellen_KOEL,ROWS(bibliotheek!$E$170:$E$186),FALSE))</f>
        <v>0</v>
      </c>
      <c r="AO136" s="415">
        <f>IF(AO137&lt;&gt;"",AO137,HLOOKUP(IF(AO$80="",referentie_warmtapwater,AO$80),toestellen_TAP,ROWS(bibliotheek!$E$136:$E$160),FALSE))</f>
        <v>1</v>
      </c>
      <c r="AP136" s="416"/>
      <c r="AQ136" s="416"/>
      <c r="AR136" s="416"/>
      <c r="AS136" s="416"/>
      <c r="AT136" s="416"/>
      <c r="AU136" s="416"/>
      <c r="AV136" s="417"/>
      <c r="AW136" s="418"/>
      <c r="AX136" s="129"/>
      <c r="AY136" s="415">
        <f>IF(AY137&lt;&gt;"",AY137,HLOOKUP(IF(AY$80="",referentie_verwarming,AY$80),toestellen_RV,ROWS(bibliotheek!$E$79:$E$103),FALSE))</f>
        <v>1</v>
      </c>
      <c r="AZ136" s="415">
        <f>IF(AZ137&lt;&gt;"",AZ137,HLOOKUP(IF(AZ$80="",referentie_koeling,AZ$80),toestellen_KOEL,ROWS(bibliotheek!$E$170:$E$186),FALSE))</f>
        <v>0</v>
      </c>
      <c r="BA136" s="415">
        <f>IF(BA137&lt;&gt;"",BA137,HLOOKUP(IF(BA$80="",referentie_warmtapwater,BA$80),toestellen_TAP,ROWS(bibliotheek!$E$136:$E$160),FALSE))</f>
        <v>1</v>
      </c>
      <c r="BB136" s="363"/>
      <c r="BC136" s="363"/>
      <c r="BD136" s="363"/>
      <c r="BE136" s="363"/>
      <c r="BF136" s="363"/>
      <c r="BG136" s="363"/>
      <c r="BH136" s="214"/>
    </row>
    <row r="137" spans="1:60" x14ac:dyDescent="0.2">
      <c r="A137" s="648"/>
      <c r="B137" s="492" t="s">
        <v>235</v>
      </c>
      <c r="C137" s="656" t="s">
        <v>127</v>
      </c>
      <c r="D137" s="747"/>
      <c r="E137" s="412" t="s">
        <v>215</v>
      </c>
      <c r="F137" s="317"/>
      <c r="G137" s="317"/>
      <c r="H137" s="355"/>
      <c r="I137" s="90"/>
      <c r="J137" s="362"/>
      <c r="K137" s="90"/>
      <c r="L137" s="90"/>
      <c r="M137" s="239"/>
      <c r="N137" s="196"/>
      <c r="O137" s="723"/>
      <c r="P137" s="724"/>
      <c r="Q137" s="723"/>
      <c r="R137" s="725"/>
      <c r="S137" s="725"/>
      <c r="T137" s="725"/>
      <c r="U137" s="725"/>
      <c r="V137" s="725"/>
      <c r="W137" s="725"/>
      <c r="X137" s="414"/>
      <c r="Y137" s="726"/>
      <c r="Z137" s="129"/>
      <c r="AA137" s="723"/>
      <c r="AB137" s="724"/>
      <c r="AC137" s="723"/>
      <c r="AD137" s="725"/>
      <c r="AE137" s="725"/>
      <c r="AF137" s="725"/>
      <c r="AG137" s="725"/>
      <c r="AH137" s="725"/>
      <c r="AI137" s="725"/>
      <c r="AJ137" s="414"/>
      <c r="AK137" s="726"/>
      <c r="AL137" s="129"/>
      <c r="AM137" s="723"/>
      <c r="AN137" s="724"/>
      <c r="AO137" s="723"/>
      <c r="AP137" s="725"/>
      <c r="AQ137" s="725"/>
      <c r="AR137" s="725"/>
      <c r="AS137" s="725"/>
      <c r="AT137" s="725"/>
      <c r="AU137" s="725"/>
      <c r="AV137" s="414"/>
      <c r="AW137" s="726"/>
      <c r="AX137" s="129"/>
      <c r="AY137" s="723"/>
      <c r="AZ137" s="724"/>
      <c r="BA137" s="723"/>
      <c r="BB137" s="364"/>
      <c r="BC137" s="364"/>
      <c r="BD137" s="364"/>
      <c r="BE137" s="364"/>
      <c r="BF137" s="364"/>
      <c r="BG137" s="364"/>
      <c r="BH137" s="214"/>
    </row>
    <row r="138" spans="1:60" hidden="1" x14ac:dyDescent="0.2">
      <c r="A138" s="648"/>
      <c r="B138" s="492" t="s">
        <v>235</v>
      </c>
      <c r="C138" s="656" t="s">
        <v>199</v>
      </c>
      <c r="D138" s="747"/>
      <c r="E138" s="220" t="s">
        <v>241</v>
      </c>
      <c r="F138" s="220"/>
      <c r="G138" s="220"/>
      <c r="H138" s="221" t="s">
        <v>220</v>
      </c>
      <c r="I138" s="90"/>
      <c r="J138" s="243">
        <f>M138+Y138+AK138+AW138</f>
        <v>0</v>
      </c>
      <c r="K138" s="294"/>
      <c r="L138" s="294"/>
      <c r="M138" s="243">
        <f>SUM(O138:X138)</f>
        <v>0</v>
      </c>
      <c r="N138" s="129"/>
      <c r="O138" s="207">
        <f>IF(O$136=0,0,O$135/O$136)</f>
        <v>0</v>
      </c>
      <c r="P138" s="207">
        <f>IF(P$136=0,0,P$135/P$136)</f>
        <v>0</v>
      </c>
      <c r="Q138" s="207">
        <f>IF(Q$136=0,0,Q$135/Q$136)</f>
        <v>0</v>
      </c>
      <c r="R138" s="335"/>
      <c r="S138" s="335"/>
      <c r="T138" s="335"/>
      <c r="U138" s="335"/>
      <c r="V138" s="335"/>
      <c r="W138" s="335"/>
      <c r="X138" s="118"/>
      <c r="Y138" s="243">
        <f>SUM(AA138:AJ138)</f>
        <v>0</v>
      </c>
      <c r="Z138" s="129"/>
      <c r="AA138" s="207">
        <f>IF(AA$136=0,0,AA$135/AA$136)</f>
        <v>0</v>
      </c>
      <c r="AB138" s="207">
        <f>IF(AB$136=0,0,AB$135/AB$136)</f>
        <v>0</v>
      </c>
      <c r="AC138" s="207">
        <f>IF(AC$136=0,0,AC$135/AC$136)</f>
        <v>0</v>
      </c>
      <c r="AD138" s="335"/>
      <c r="AE138" s="335"/>
      <c r="AF138" s="335"/>
      <c r="AG138" s="335"/>
      <c r="AH138" s="335"/>
      <c r="AI138" s="335"/>
      <c r="AJ138" s="118"/>
      <c r="AK138" s="243">
        <f>SUM(AM138:AV138)</f>
        <v>0</v>
      </c>
      <c r="AL138" s="129"/>
      <c r="AM138" s="207">
        <f>IF(AM$136=0,0,AM$135/AM$136)</f>
        <v>0</v>
      </c>
      <c r="AN138" s="207">
        <f>IF(AN$136=0,0,AN$135/AN$136)</f>
        <v>0</v>
      </c>
      <c r="AO138" s="207">
        <f>IF(AO$136=0,0,AO$135/AO$136)</f>
        <v>0</v>
      </c>
      <c r="AP138" s="335"/>
      <c r="AQ138" s="335"/>
      <c r="AR138" s="335"/>
      <c r="AS138" s="335"/>
      <c r="AT138" s="335"/>
      <c r="AU138" s="335"/>
      <c r="AV138" s="118"/>
      <c r="AW138" s="243">
        <f>SUM(AY138:BH138)</f>
        <v>0</v>
      </c>
      <c r="AX138" s="129"/>
      <c r="AY138" s="207">
        <f>IF(AY$136=0,0,AY$135/AY$136)</f>
        <v>0</v>
      </c>
      <c r="AZ138" s="207">
        <f>IF(AZ$136=0,0,AZ$135/AZ$136)</f>
        <v>0</v>
      </c>
      <c r="BA138" s="207">
        <f>IF(BA$136=0,0,BA$135/BA$136)</f>
        <v>0</v>
      </c>
      <c r="BB138" s="335"/>
      <c r="BC138" s="335"/>
      <c r="BD138" s="335"/>
      <c r="BE138" s="335"/>
      <c r="BF138" s="335"/>
      <c r="BG138" s="335"/>
      <c r="BH138" s="255"/>
    </row>
    <row r="139" spans="1:60" ht="18.75" x14ac:dyDescent="0.2">
      <c r="A139" s="648"/>
      <c r="B139" s="492" t="s">
        <v>235</v>
      </c>
      <c r="C139" s="739" t="s">
        <v>104</v>
      </c>
      <c r="D139" s="747"/>
      <c r="E139" s="144" t="s">
        <v>114</v>
      </c>
      <c r="F139" s="231"/>
      <c r="G139" s="231"/>
      <c r="H139" s="89"/>
      <c r="I139" s="232"/>
      <c r="J139" s="231"/>
      <c r="K139" s="232"/>
      <c r="L139" s="232"/>
      <c r="M139" s="231"/>
      <c r="N139" s="232"/>
      <c r="O139" s="232"/>
      <c r="P139" s="232"/>
      <c r="Q139" s="232"/>
      <c r="R139" s="232"/>
      <c r="S139" s="232"/>
      <c r="T139" s="232"/>
      <c r="U139" s="232"/>
      <c r="V139" s="232"/>
      <c r="W139" s="232"/>
      <c r="X139" s="232"/>
      <c r="Y139" s="231"/>
      <c r="Z139" s="232"/>
      <c r="AA139" s="232"/>
      <c r="AB139" s="232"/>
      <c r="AC139" s="232"/>
      <c r="AD139" s="232"/>
      <c r="AE139" s="232"/>
      <c r="AF139" s="232"/>
      <c r="AG139" s="232"/>
      <c r="AH139" s="232"/>
      <c r="AI139" s="232"/>
      <c r="AJ139" s="232"/>
      <c r="AK139" s="231"/>
      <c r="AL139" s="232"/>
      <c r="AM139" s="232"/>
      <c r="AN139" s="232"/>
      <c r="AO139" s="232"/>
      <c r="AP139" s="232"/>
      <c r="AQ139" s="232"/>
      <c r="AR139" s="232"/>
      <c r="AS139" s="232"/>
      <c r="AT139" s="232"/>
      <c r="AU139" s="232"/>
      <c r="AV139" s="232"/>
      <c r="AW139" s="231"/>
      <c r="AX139" s="232"/>
      <c r="AY139" s="232"/>
      <c r="AZ139" s="232"/>
      <c r="BA139" s="232"/>
      <c r="BB139" s="232"/>
      <c r="BC139" s="232"/>
      <c r="BD139" s="232"/>
      <c r="BE139" s="232"/>
      <c r="BF139" s="232"/>
      <c r="BG139" s="232"/>
      <c r="BH139" s="38"/>
    </row>
    <row r="140" spans="1:60" x14ac:dyDescent="0.2">
      <c r="A140" s="648"/>
      <c r="B140" s="492" t="s">
        <v>235</v>
      </c>
      <c r="C140" s="656" t="s">
        <v>127</v>
      </c>
      <c r="D140" s="750" t="s">
        <v>50</v>
      </c>
      <c r="E140" s="316" t="s">
        <v>222</v>
      </c>
      <c r="F140" s="316"/>
      <c r="G140" s="316"/>
      <c r="H140" s="354" t="s">
        <v>223</v>
      </c>
      <c r="I140" s="90"/>
      <c r="J140" s="229"/>
      <c r="K140" s="90"/>
      <c r="L140" s="90"/>
      <c r="M140" s="229"/>
      <c r="N140" s="131"/>
      <c r="O140" s="353">
        <f>IF(O135=0,0,IF(O141&lt;&gt;"",O141,IF(O132=elektriciteit,$G$5,HLOOKUP(O132,ENERGIEDRAGERS,ROWS(bibliotheek!$E$221:$E$223),FALSE))))</f>
        <v>0</v>
      </c>
      <c r="P140" s="353">
        <f>IF(P135=0,0,IF(P141&lt;&gt;"",P141,IF(HLOOKUP(P132,ENERGIEDRAGERS,ROWS(bibliotheek!$E$221:$E$222),FALSE)=0,$G$5,HLOOKUP(P132,ENERGIEDRAGERS,ROWS(bibliotheek!$E$221:$E$223),FALSE))))</f>
        <v>0</v>
      </c>
      <c r="Q140" s="353">
        <f>IF(Q135=0,0,IF(Q141&lt;&gt;"",Q141,IF(Q132=elektriciteit,$G$5,HLOOKUP(Q132,ENERGIEDRAGERS,ROWS(bibliotheek!$E$221:$E$223),FALSE))))</f>
        <v>0</v>
      </c>
      <c r="R140" s="365"/>
      <c r="S140" s="365"/>
      <c r="T140" s="365"/>
      <c r="U140" s="365"/>
      <c r="V140" s="365"/>
      <c r="W140" s="365"/>
      <c r="X140" s="122"/>
      <c r="Y140" s="229"/>
      <c r="Z140" s="131"/>
      <c r="AA140" s="353">
        <f>IF(AA135=0,0,IF(AA141&lt;&gt;"",AA141,IF(AA132=elektriciteit,$G$5,HLOOKUP(AA132,ENERGIEDRAGERS,ROWS(bibliotheek!$E$221:$E$223),FALSE))))</f>
        <v>0</v>
      </c>
      <c r="AB140" s="353">
        <f>IF(AB135=0,0,IF(AB141&lt;&gt;"",AB141,IF(HLOOKUP(AB132,ENERGIEDRAGERS,ROWS(bibliotheek!$E$221:$E$222),FALSE)=0,$G$5,HLOOKUP(AB132,ENERGIEDRAGERS,ROWS(bibliotheek!$E$221:$E$223),FALSE))))</f>
        <v>0</v>
      </c>
      <c r="AC140" s="353">
        <f>IF(AC135=0,0,IF(AC141&lt;&gt;"",AC141,IF(AC132=elektriciteit,$G$5,HLOOKUP(AC132,ENERGIEDRAGERS,ROWS(bibliotheek!$E$221:$E$223),FALSE))))</f>
        <v>0</v>
      </c>
      <c r="AD140" s="365"/>
      <c r="AE140" s="365"/>
      <c r="AF140" s="365"/>
      <c r="AG140" s="365"/>
      <c r="AH140" s="365"/>
      <c r="AI140" s="365"/>
      <c r="AJ140" s="122"/>
      <c r="AK140" s="229"/>
      <c r="AL140" s="131"/>
      <c r="AM140" s="353">
        <f>IF(AM135=0,0,IF(AM141&lt;&gt;"",AM141,IF(AM132=elektriciteit,$G$5,HLOOKUP(AM132,ENERGIEDRAGERS,ROWS(bibliotheek!$E$221:$E$223),FALSE))))</f>
        <v>0</v>
      </c>
      <c r="AN140" s="353">
        <f>IF(AN135=0,0,IF(AN141&lt;&gt;"",AN141,IF(HLOOKUP(AN132,ENERGIEDRAGERS,ROWS(bibliotheek!$E$221:$E$222),FALSE)=0,$G$5,HLOOKUP(AN132,ENERGIEDRAGERS,ROWS(bibliotheek!$E$221:$E$223),FALSE))))</f>
        <v>0</v>
      </c>
      <c r="AO140" s="353">
        <f>IF(AO135=0,0,IF(AO141&lt;&gt;"",AO141,IF(AO132=elektriciteit,$G$5,HLOOKUP(AO132,ENERGIEDRAGERS,ROWS(bibliotheek!$E$221:$E$223),FALSE))))</f>
        <v>0</v>
      </c>
      <c r="AP140" s="365"/>
      <c r="AQ140" s="365"/>
      <c r="AR140" s="365"/>
      <c r="AS140" s="365"/>
      <c r="AT140" s="365"/>
      <c r="AU140" s="365"/>
      <c r="AV140" s="122"/>
      <c r="AW140" s="229"/>
      <c r="AX140" s="131"/>
      <c r="AY140" s="353">
        <f>IF(AY135=0,0,IF(AY141&lt;&gt;"",AY141,IF(AY132=elektriciteit,$G$5,HLOOKUP(AY132,ENERGIEDRAGERS,ROWS(bibliotheek!$E$221:$E$223),FALSE))))</f>
        <v>0</v>
      </c>
      <c r="AZ140" s="353">
        <f>IF(AZ135=0,0,IF(AZ141&lt;&gt;"",AZ141,IF(HLOOKUP(AZ132,ENERGIEDRAGERS,ROWS(bibliotheek!$E$221:$E$222),FALSE)=0,$G$5,HLOOKUP(AZ132,ENERGIEDRAGERS,ROWS(bibliotheek!$E$221:$E$223),FALSE))))</f>
        <v>0</v>
      </c>
      <c r="BA140" s="353">
        <f>IF(BA135=0,0,IF(BA141&lt;&gt;"",BA141,IF(BA132=elektriciteit,$G$5,HLOOKUP(BA132,ENERGIEDRAGERS,ROWS(bibliotheek!$E$221:$E$223),FALSE))))</f>
        <v>0</v>
      </c>
      <c r="BB140" s="365"/>
      <c r="BC140" s="365"/>
      <c r="BD140" s="365"/>
      <c r="BE140" s="365"/>
      <c r="BF140" s="365"/>
      <c r="BG140" s="365"/>
      <c r="BH140" s="214"/>
    </row>
    <row r="141" spans="1:60" x14ac:dyDescent="0.2">
      <c r="A141" s="648"/>
      <c r="B141" s="492" t="s">
        <v>235</v>
      </c>
      <c r="C141" s="656" t="s">
        <v>127</v>
      </c>
      <c r="D141" s="747"/>
      <c r="E141" s="412" t="s">
        <v>224</v>
      </c>
      <c r="F141" s="317"/>
      <c r="G141" s="317"/>
      <c r="H141" s="355"/>
      <c r="I141" s="90"/>
      <c r="J141" s="362"/>
      <c r="K141" s="90"/>
      <c r="L141" s="90"/>
      <c r="M141" s="239"/>
      <c r="N141" s="196"/>
      <c r="O141" s="723"/>
      <c r="P141" s="724"/>
      <c r="Q141" s="723"/>
      <c r="R141" s="725"/>
      <c r="S141" s="725"/>
      <c r="T141" s="725"/>
      <c r="U141" s="725"/>
      <c r="V141" s="725"/>
      <c r="W141" s="725"/>
      <c r="X141" s="414"/>
      <c r="Y141" s="726"/>
      <c r="Z141" s="129"/>
      <c r="AA141" s="723"/>
      <c r="AB141" s="724"/>
      <c r="AC141" s="723"/>
      <c r="AD141" s="725"/>
      <c r="AE141" s="725"/>
      <c r="AF141" s="725"/>
      <c r="AG141" s="725"/>
      <c r="AH141" s="725"/>
      <c r="AI141" s="725"/>
      <c r="AJ141" s="414"/>
      <c r="AK141" s="726"/>
      <c r="AL141" s="129"/>
      <c r="AM141" s="723"/>
      <c r="AN141" s="724"/>
      <c r="AO141" s="723"/>
      <c r="AP141" s="725"/>
      <c r="AQ141" s="725"/>
      <c r="AR141" s="725"/>
      <c r="AS141" s="725"/>
      <c r="AT141" s="725"/>
      <c r="AU141" s="725"/>
      <c r="AV141" s="414"/>
      <c r="AW141" s="726"/>
      <c r="AX141" s="129"/>
      <c r="AY141" s="723"/>
      <c r="AZ141" s="724"/>
      <c r="BA141" s="723"/>
      <c r="BB141" s="364"/>
      <c r="BC141" s="364"/>
      <c r="BD141" s="364"/>
      <c r="BE141" s="364"/>
      <c r="BF141" s="364"/>
      <c r="BG141" s="364"/>
      <c r="BH141" s="214"/>
    </row>
    <row r="142" spans="1:60" x14ac:dyDescent="0.2">
      <c r="A142" s="648"/>
      <c r="B142" s="492" t="s">
        <v>235</v>
      </c>
      <c r="C142" s="656" t="s">
        <v>113</v>
      </c>
      <c r="D142" s="747"/>
      <c r="E142" s="220" t="s">
        <v>114</v>
      </c>
      <c r="F142" s="221"/>
      <c r="G142" s="221"/>
      <c r="H142" s="221" t="s">
        <v>115</v>
      </c>
      <c r="I142" s="90"/>
      <c r="J142" s="243">
        <f>M142+Y142+AK142+AW142</f>
        <v>0</v>
      </c>
      <c r="K142" s="823"/>
      <c r="L142" s="823"/>
      <c r="M142" s="243">
        <f>SUM(O142:X142)</f>
        <v>0</v>
      </c>
      <c r="N142" s="129"/>
      <c r="O142" s="207">
        <f>O$138*O$140</f>
        <v>0</v>
      </c>
      <c r="P142" s="207">
        <f>P$138*P$140</f>
        <v>0</v>
      </c>
      <c r="Q142" s="207">
        <f>Q$138*Q$140</f>
        <v>0</v>
      </c>
      <c r="R142" s="335"/>
      <c r="S142" s="335"/>
      <c r="T142" s="335"/>
      <c r="U142" s="335"/>
      <c r="V142" s="335"/>
      <c r="W142" s="335"/>
      <c r="X142" s="128"/>
      <c r="Y142" s="243">
        <f>SUM(AA142:AJ142)</f>
        <v>0</v>
      </c>
      <c r="Z142" s="129"/>
      <c r="AA142" s="207">
        <f>AA$138*AA$140</f>
        <v>0</v>
      </c>
      <c r="AB142" s="207">
        <f>AB$138*AB$140</f>
        <v>0</v>
      </c>
      <c r="AC142" s="207">
        <f>AC$138*AC$140</f>
        <v>0</v>
      </c>
      <c r="AD142" s="335"/>
      <c r="AE142" s="335"/>
      <c r="AF142" s="335"/>
      <c r="AG142" s="335"/>
      <c r="AH142" s="335"/>
      <c r="AI142" s="335"/>
      <c r="AJ142" s="128"/>
      <c r="AK142" s="243">
        <f>SUM(AM142:AV142)</f>
        <v>0</v>
      </c>
      <c r="AL142" s="129"/>
      <c r="AM142" s="207">
        <f>AM$138*AM$140</f>
        <v>0</v>
      </c>
      <c r="AN142" s="207">
        <f>AN$138*AN$140</f>
        <v>0</v>
      </c>
      <c r="AO142" s="207">
        <f>AO$138*AO$140</f>
        <v>0</v>
      </c>
      <c r="AP142" s="335"/>
      <c r="AQ142" s="335"/>
      <c r="AR142" s="335"/>
      <c r="AS142" s="335"/>
      <c r="AT142" s="335"/>
      <c r="AU142" s="335"/>
      <c r="AV142" s="128"/>
      <c r="AW142" s="243">
        <f>SUM(AY142:BH142)</f>
        <v>0</v>
      </c>
      <c r="AX142" s="129"/>
      <c r="AY142" s="207">
        <f>AY$138*AY$140</f>
        <v>0</v>
      </c>
      <c r="AZ142" s="207">
        <f>AZ$138*AZ$140</f>
        <v>0</v>
      </c>
      <c r="BA142" s="207">
        <f>BA$138*BA$140</f>
        <v>0</v>
      </c>
      <c r="BB142" s="335"/>
      <c r="BC142" s="335"/>
      <c r="BD142" s="335"/>
      <c r="BE142" s="335"/>
      <c r="BF142" s="335"/>
      <c r="BG142" s="335"/>
      <c r="BH142" s="255"/>
    </row>
    <row r="143" spans="1:60" ht="18.75" x14ac:dyDescent="0.2">
      <c r="A143" s="648"/>
      <c r="B143" s="492" t="s">
        <v>235</v>
      </c>
      <c r="C143" s="739" t="s">
        <v>104</v>
      </c>
      <c r="D143" s="747"/>
      <c r="E143" s="231" t="s">
        <v>116</v>
      </c>
      <c r="F143" s="231"/>
      <c r="G143" s="231"/>
      <c r="H143" s="89"/>
      <c r="I143" s="232"/>
      <c r="J143" s="231"/>
      <c r="K143" s="232"/>
      <c r="L143" s="232"/>
      <c r="M143" s="231"/>
      <c r="N143" s="232"/>
      <c r="O143" s="232"/>
      <c r="P143" s="232"/>
      <c r="Q143" s="232"/>
      <c r="R143" s="232"/>
      <c r="S143" s="232"/>
      <c r="T143" s="232"/>
      <c r="U143" s="232"/>
      <c r="V143" s="232"/>
      <c r="W143" s="232"/>
      <c r="X143" s="232"/>
      <c r="Y143" s="231"/>
      <c r="Z143" s="232"/>
      <c r="AA143" s="232"/>
      <c r="AB143" s="232"/>
      <c r="AC143" s="232"/>
      <c r="AD143" s="232"/>
      <c r="AE143" s="232"/>
      <c r="AF143" s="232"/>
      <c r="AG143" s="232"/>
      <c r="AH143" s="232"/>
      <c r="AI143" s="232"/>
      <c r="AJ143" s="232"/>
      <c r="AK143" s="231"/>
      <c r="AL143" s="232"/>
      <c r="AM143" s="232"/>
      <c r="AN143" s="232"/>
      <c r="AO143" s="232"/>
      <c r="AP143" s="232"/>
      <c r="AQ143" s="232"/>
      <c r="AR143" s="232"/>
      <c r="AS143" s="232"/>
      <c r="AT143" s="232"/>
      <c r="AU143" s="232"/>
      <c r="AV143" s="232"/>
      <c r="AW143" s="231"/>
      <c r="AX143" s="232"/>
      <c r="AY143" s="232"/>
      <c r="AZ143" s="232"/>
      <c r="BA143" s="232"/>
      <c r="BB143" s="232"/>
      <c r="BC143" s="232"/>
      <c r="BD143" s="232"/>
      <c r="BE143" s="232"/>
      <c r="BF143" s="232"/>
      <c r="BG143" s="232"/>
      <c r="BH143" s="38"/>
    </row>
    <row r="144" spans="1:60" x14ac:dyDescent="0.2">
      <c r="A144" s="648"/>
      <c r="B144" s="492" t="s">
        <v>235</v>
      </c>
      <c r="C144" s="656" t="s">
        <v>127</v>
      </c>
      <c r="D144" s="747"/>
      <c r="E144" s="366" t="s">
        <v>225</v>
      </c>
      <c r="F144" s="316"/>
      <c r="G144" s="316"/>
      <c r="H144" s="354" t="s">
        <v>226</v>
      </c>
      <c r="I144" s="90"/>
      <c r="J144" s="229"/>
      <c r="K144" s="90"/>
      <c r="L144" s="90"/>
      <c r="M144" s="229"/>
      <c r="N144" s="131"/>
      <c r="O144" s="415">
        <f>IF(O135=0,0,IF(O145&lt;&gt;"",O145,IF(O132=elektriciteit,$H$5,
HLOOKUP(O132,ENERGIEDRAGERS,ROWS(bibliotheek!$E$221:$E$224),FALSE))))</f>
        <v>0</v>
      </c>
      <c r="P144" s="415">
        <f>IF(P135=0,0,IF(P145&lt;&gt;"",P145,IF(P132=elektriciteit,$H$5,
HLOOKUP(P132,ENERGIEDRAGERS,ROWS(bibliotheek!$E$221:$E$224),FALSE))))</f>
        <v>0</v>
      </c>
      <c r="Q144" s="415">
        <f>IF(Q135=0,0,IF(Q145&lt;&gt;"",Q145,IF(Q132=elektriciteit,$H$5,
HLOOKUP(Q132,ENERGIEDRAGERS,ROWS(bibliotheek!$E$221:$E$224),FALSE))))</f>
        <v>0</v>
      </c>
      <c r="R144" s="416"/>
      <c r="S144" s="416"/>
      <c r="T144" s="416"/>
      <c r="U144" s="416"/>
      <c r="V144" s="416"/>
      <c r="W144" s="416"/>
      <c r="X144" s="417"/>
      <c r="Y144" s="229"/>
      <c r="Z144" s="419"/>
      <c r="AA144" s="415">
        <f>IF(AA135=0,0,IF(AA145&lt;&gt;"",AA145,IF(AA132=elektriciteit,$H$5,
HLOOKUP(AA132,ENERGIEDRAGERS,ROWS(bibliotheek!$E$221:$E$224),FALSE))))</f>
        <v>0</v>
      </c>
      <c r="AB144" s="415">
        <f>IF(AB135=0,0,IF(AB145&lt;&gt;"",AB145,IF(AB132=elektriciteit,$H$5,
HLOOKUP(AB132,ENERGIEDRAGERS,ROWS(bibliotheek!$E$221:$E$224),FALSE))))</f>
        <v>0</v>
      </c>
      <c r="AC144" s="415">
        <f>IF(AC135=0,0,IF(AC145&lt;&gt;"",AC145,IF(AC132=elektriciteit,$H$5,
HLOOKUP(AC132,ENERGIEDRAGERS,ROWS(bibliotheek!$E$221:$E$224),FALSE))))</f>
        <v>0</v>
      </c>
      <c r="AD144" s="416"/>
      <c r="AE144" s="416"/>
      <c r="AF144" s="416"/>
      <c r="AG144" s="416"/>
      <c r="AH144" s="416"/>
      <c r="AI144" s="416"/>
      <c r="AJ144" s="417"/>
      <c r="AK144" s="229"/>
      <c r="AL144" s="419"/>
      <c r="AM144" s="415">
        <f>IF(AM135=0,0,IF(AM145&lt;&gt;"",AM145,IF(AM132=elektriciteit,$H$5,
HLOOKUP(AM132,ENERGIEDRAGERS,ROWS(bibliotheek!$E$221:$E$224),FALSE))))</f>
        <v>0</v>
      </c>
      <c r="AN144" s="415">
        <f>IF(AN135=0,0,IF(AN145&lt;&gt;"",AN145,IF(AN132=elektriciteit,$H$5,
HLOOKUP(AN132,ENERGIEDRAGERS,ROWS(bibliotheek!$E$221:$E$224),FALSE))))</f>
        <v>0</v>
      </c>
      <c r="AO144" s="415">
        <f>IF(AO135=0,0,IF(AO145&lt;&gt;"",AO145,IF(AO132=elektriciteit,$H$5,
HLOOKUP(AO132,ENERGIEDRAGERS,ROWS(bibliotheek!$E$221:$E$224),FALSE))))</f>
        <v>0</v>
      </c>
      <c r="AP144" s="416"/>
      <c r="AQ144" s="416"/>
      <c r="AR144" s="416"/>
      <c r="AS144" s="416"/>
      <c r="AT144" s="416"/>
      <c r="AU144" s="416"/>
      <c r="AV144" s="417"/>
      <c r="AW144" s="229"/>
      <c r="AX144" s="419"/>
      <c r="AY144" s="415">
        <f>IF(AY135=0,0,IF(AY145&lt;&gt;"",AY145,IF(AY132=elektriciteit,$H$5,
HLOOKUP(AY132,ENERGIEDRAGERS,ROWS(bibliotheek!$E$221:$E$224),FALSE))))</f>
        <v>0</v>
      </c>
      <c r="AZ144" s="415">
        <f>IF(AZ135=0,0,IF(AZ145&lt;&gt;"",AZ145,IF(AZ132=elektriciteit,$H$5,
HLOOKUP(AZ132,ENERGIEDRAGERS,ROWS(bibliotheek!$E$221:$E$224),FALSE))))</f>
        <v>0</v>
      </c>
      <c r="BA144" s="415">
        <f>IF(BA135=0,0,IF(BA145&lt;&gt;"",BA145,IF(BA132=elektriciteit,$H$5,
HLOOKUP(BA132,ENERGIEDRAGERS,ROWS(bibliotheek!$E$221:$E$224),FALSE))))</f>
        <v>0</v>
      </c>
      <c r="BB144" s="365"/>
      <c r="BC144" s="365"/>
      <c r="BD144" s="365"/>
      <c r="BE144" s="365"/>
      <c r="BF144" s="365"/>
      <c r="BG144" s="365"/>
      <c r="BH144" s="214"/>
    </row>
    <row r="145" spans="1:60" x14ac:dyDescent="0.2">
      <c r="A145" s="648"/>
      <c r="B145" s="492" t="s">
        <v>235</v>
      </c>
      <c r="C145" s="656" t="s">
        <v>127</v>
      </c>
      <c r="D145" s="747"/>
      <c r="E145" s="412" t="s">
        <v>227</v>
      </c>
      <c r="F145" s="317"/>
      <c r="G145" s="317"/>
      <c r="H145" s="355"/>
      <c r="I145" s="90"/>
      <c r="J145" s="362"/>
      <c r="K145" s="90"/>
      <c r="L145" s="90"/>
      <c r="M145" s="239"/>
      <c r="N145" s="196"/>
      <c r="O145" s="723"/>
      <c r="P145" s="724"/>
      <c r="Q145" s="723"/>
      <c r="R145" s="725"/>
      <c r="S145" s="725"/>
      <c r="T145" s="725"/>
      <c r="U145" s="725"/>
      <c r="V145" s="725"/>
      <c r="W145" s="725"/>
      <c r="X145" s="414"/>
      <c r="Y145" s="726"/>
      <c r="Z145" s="129"/>
      <c r="AA145" s="723"/>
      <c r="AB145" s="724"/>
      <c r="AC145" s="723"/>
      <c r="AD145" s="725"/>
      <c r="AE145" s="725"/>
      <c r="AF145" s="725"/>
      <c r="AG145" s="725"/>
      <c r="AH145" s="725"/>
      <c r="AI145" s="725"/>
      <c r="AJ145" s="414"/>
      <c r="AK145" s="726"/>
      <c r="AL145" s="129"/>
      <c r="AM145" s="723"/>
      <c r="AN145" s="724"/>
      <c r="AO145" s="723"/>
      <c r="AP145" s="725"/>
      <c r="AQ145" s="725"/>
      <c r="AR145" s="725"/>
      <c r="AS145" s="725"/>
      <c r="AT145" s="725"/>
      <c r="AU145" s="725"/>
      <c r="AV145" s="414"/>
      <c r="AW145" s="726"/>
      <c r="AX145" s="129"/>
      <c r="AY145" s="723"/>
      <c r="AZ145" s="724"/>
      <c r="BA145" s="723"/>
      <c r="BB145" s="364"/>
      <c r="BC145" s="364"/>
      <c r="BD145" s="364"/>
      <c r="BE145" s="364"/>
      <c r="BF145" s="364"/>
      <c r="BG145" s="364"/>
      <c r="BH145" s="214"/>
    </row>
    <row r="146" spans="1:60" x14ac:dyDescent="0.2">
      <c r="A146" s="648"/>
      <c r="B146" s="492" t="s">
        <v>235</v>
      </c>
      <c r="C146" s="656" t="s">
        <v>113</v>
      </c>
      <c r="D146" s="747"/>
      <c r="E146" s="220" t="s">
        <v>116</v>
      </c>
      <c r="F146" s="221"/>
      <c r="G146" s="221"/>
      <c r="H146" s="221" t="s">
        <v>117</v>
      </c>
      <c r="I146" s="90"/>
      <c r="J146" s="243">
        <f>M146+Y146+AK146+AW146</f>
        <v>0</v>
      </c>
      <c r="K146" s="823"/>
      <c r="L146" s="823"/>
      <c r="M146" s="243">
        <f>SUM(O146:X146)</f>
        <v>0</v>
      </c>
      <c r="N146" s="129"/>
      <c r="O146" s="207">
        <f>O$138*O$144</f>
        <v>0</v>
      </c>
      <c r="P146" s="207">
        <f>P$138*P$144</f>
        <v>0</v>
      </c>
      <c r="Q146" s="207">
        <f>Q$138*Q$144</f>
        <v>0</v>
      </c>
      <c r="R146" s="335"/>
      <c r="S146" s="335"/>
      <c r="T146" s="335"/>
      <c r="U146" s="335"/>
      <c r="V146" s="335"/>
      <c r="W146" s="335"/>
      <c r="X146" s="128"/>
      <c r="Y146" s="243">
        <f>SUM(AA146:AJ146)</f>
        <v>0</v>
      </c>
      <c r="Z146" s="129"/>
      <c r="AA146" s="207">
        <f>AA$138*AA$144</f>
        <v>0</v>
      </c>
      <c r="AB146" s="207">
        <f>AB$138*AB$144</f>
        <v>0</v>
      </c>
      <c r="AC146" s="207">
        <f>AC$138*AC$144</f>
        <v>0</v>
      </c>
      <c r="AD146" s="335"/>
      <c r="AE146" s="335"/>
      <c r="AF146" s="335"/>
      <c r="AG146" s="335"/>
      <c r="AH146" s="335"/>
      <c r="AI146" s="335"/>
      <c r="AJ146" s="128"/>
      <c r="AK146" s="243">
        <f>SUM(AM146:AV146)</f>
        <v>0</v>
      </c>
      <c r="AL146" s="129"/>
      <c r="AM146" s="207">
        <f>AM$138*AM$144</f>
        <v>0</v>
      </c>
      <c r="AN146" s="207">
        <f>AN$138*AN$144</f>
        <v>0</v>
      </c>
      <c r="AO146" s="207">
        <f>AO$138*AO$144</f>
        <v>0</v>
      </c>
      <c r="AP146" s="335"/>
      <c r="AQ146" s="335"/>
      <c r="AR146" s="335"/>
      <c r="AS146" s="335"/>
      <c r="AT146" s="335"/>
      <c r="AU146" s="335"/>
      <c r="AV146" s="128"/>
      <c r="AW146" s="243">
        <f>SUM(AY146:BH146)</f>
        <v>0</v>
      </c>
      <c r="AX146" s="129"/>
      <c r="AY146" s="207">
        <f>AY$138*AY$144</f>
        <v>0</v>
      </c>
      <c r="AZ146" s="207">
        <f>AZ$138*AZ$144</f>
        <v>0</v>
      </c>
      <c r="BA146" s="207">
        <f>BA$138*BA$144</f>
        <v>0</v>
      </c>
      <c r="BB146" s="335"/>
      <c r="BC146" s="335"/>
      <c r="BD146" s="335"/>
      <c r="BE146" s="335"/>
      <c r="BF146" s="335"/>
      <c r="BG146" s="335"/>
      <c r="BH146" s="255"/>
    </row>
    <row r="147" spans="1:60" x14ac:dyDescent="0.2">
      <c r="A147" s="648"/>
      <c r="B147" s="741" t="s">
        <v>242</v>
      </c>
      <c r="C147" s="656" t="s">
        <v>113</v>
      </c>
      <c r="D147" s="747"/>
      <c r="E147" s="90"/>
      <c r="F147" s="90"/>
      <c r="G147" s="90"/>
      <c r="H147" s="96"/>
      <c r="I147" s="90"/>
      <c r="J147" s="93"/>
      <c r="K147" s="90"/>
      <c r="L147" s="90"/>
      <c r="M147" s="93"/>
      <c r="N147" s="90"/>
      <c r="O147" s="90"/>
      <c r="P147" s="90"/>
      <c r="Q147" s="90"/>
      <c r="R147" s="93"/>
      <c r="S147" s="93"/>
      <c r="T147" s="93"/>
      <c r="U147" s="93"/>
      <c r="V147" s="93"/>
      <c r="W147" s="93"/>
      <c r="X147" s="93"/>
      <c r="Y147" s="93"/>
      <c r="Z147" s="90"/>
      <c r="AA147" s="187"/>
      <c r="AB147" s="187"/>
      <c r="AC147" s="187"/>
      <c r="AD147" s="93"/>
      <c r="AE147" s="93"/>
      <c r="AF147" s="93"/>
      <c r="AG147" s="93"/>
      <c r="AH147" s="93"/>
      <c r="AI147" s="93"/>
      <c r="AJ147" s="93"/>
      <c r="AK147" s="93"/>
      <c r="AL147" s="90"/>
      <c r="AM147" s="187"/>
      <c r="AN147" s="187"/>
      <c r="AO147" s="187"/>
      <c r="AP147" s="93"/>
      <c r="AQ147" s="93"/>
      <c r="AR147" s="93"/>
      <c r="AS147" s="93"/>
      <c r="AT147" s="93"/>
      <c r="AU147" s="93"/>
      <c r="AV147" s="93"/>
      <c r="AW147" s="93"/>
      <c r="AX147" s="90"/>
      <c r="AY147" s="187"/>
      <c r="AZ147" s="187"/>
      <c r="BA147" s="187"/>
      <c r="BB147" s="93"/>
      <c r="BC147" s="93"/>
      <c r="BD147" s="93"/>
      <c r="BE147" s="93"/>
      <c r="BF147" s="93"/>
      <c r="BG147" s="93"/>
      <c r="BH147" s="1"/>
    </row>
    <row r="148" spans="1:60" x14ac:dyDescent="0.2">
      <c r="A148" s="648"/>
      <c r="B148" s="492" t="s">
        <v>243</v>
      </c>
      <c r="C148" s="656" t="s">
        <v>104</v>
      </c>
      <c r="D148" s="747"/>
      <c r="E148" s="90"/>
      <c r="F148" s="90"/>
      <c r="G148" s="90"/>
      <c r="H148" s="96"/>
      <c r="I148" s="90"/>
      <c r="J148" s="93"/>
      <c r="K148" s="90"/>
      <c r="L148" s="90"/>
      <c r="M148" s="93"/>
      <c r="N148" s="90"/>
      <c r="O148" s="128"/>
      <c r="P148" s="93"/>
      <c r="Q148" s="93"/>
      <c r="R148" s="93"/>
      <c r="S148" s="93"/>
      <c r="T148" s="93"/>
      <c r="U148" s="93"/>
      <c r="V148" s="93"/>
      <c r="W148" s="93"/>
      <c r="X148" s="93"/>
      <c r="Y148" s="93"/>
      <c r="Z148" s="90"/>
      <c r="AA148" s="128"/>
      <c r="AB148" s="93"/>
      <c r="AC148" s="93"/>
      <c r="AD148" s="93"/>
      <c r="AE148" s="93"/>
      <c r="AF148" s="93"/>
      <c r="AG148" s="93"/>
      <c r="AH148" s="93"/>
      <c r="AI148" s="93"/>
      <c r="AJ148" s="93"/>
      <c r="AK148" s="93"/>
      <c r="AL148" s="90"/>
      <c r="AM148" s="128"/>
      <c r="AN148" s="93"/>
      <c r="AO148" s="93"/>
      <c r="AP148" s="93"/>
      <c r="AQ148" s="93"/>
      <c r="AR148" s="93"/>
      <c r="AS148" s="93"/>
      <c r="AT148" s="93"/>
      <c r="AU148" s="93"/>
      <c r="AV148" s="93"/>
      <c r="AW148" s="93"/>
      <c r="AX148" s="90"/>
      <c r="AY148" s="128"/>
      <c r="AZ148" s="93"/>
      <c r="BA148" s="93"/>
      <c r="BB148" s="93"/>
      <c r="BC148" s="93"/>
      <c r="BD148" s="93"/>
      <c r="BE148" s="93"/>
      <c r="BF148" s="93"/>
      <c r="BG148" s="93"/>
      <c r="BH148" s="1"/>
    </row>
    <row r="149" spans="1:60" ht="21" x14ac:dyDescent="0.2">
      <c r="A149" s="648"/>
      <c r="B149" s="492" t="s">
        <v>243</v>
      </c>
      <c r="C149" s="739" t="s">
        <v>104</v>
      </c>
      <c r="D149" s="750" t="s">
        <v>50</v>
      </c>
      <c r="E149" s="240" t="s">
        <v>244</v>
      </c>
      <c r="F149" s="240"/>
      <c r="G149" s="825"/>
      <c r="H149" s="216"/>
      <c r="I149" s="88"/>
      <c r="J149" s="241" t="s">
        <v>58</v>
      </c>
      <c r="K149" s="142"/>
      <c r="L149" s="142"/>
      <c r="M149" s="216" t="s">
        <v>237</v>
      </c>
      <c r="N149" s="222"/>
      <c r="O149" s="217" t="str">
        <f t="shared" ref="O149:V149" si="93">O$10</f>
        <v>verwarming</v>
      </c>
      <c r="P149" s="217" t="str">
        <f t="shared" si="93"/>
        <v>koeling</v>
      </c>
      <c r="Q149" s="217" t="str">
        <f t="shared" si="93"/>
        <v>tapwater</v>
      </c>
      <c r="R149" s="217" t="str">
        <f t="shared" si="93"/>
        <v>verlichting</v>
      </c>
      <c r="S149" s="217" t="str">
        <f t="shared" si="93"/>
        <v>ventilatoren</v>
      </c>
      <c r="T149" s="217" t="str">
        <f t="shared" si="93"/>
        <v>kookgas</v>
      </c>
      <c r="U149" s="217" t="str">
        <f t="shared" si="93"/>
        <v>overig elektra</v>
      </c>
      <c r="V149" s="217" t="str">
        <f t="shared" si="93"/>
        <v>mobiliteit</v>
      </c>
      <c r="W149" s="217"/>
      <c r="X149" s="214"/>
      <c r="Y149" s="216" t="s">
        <v>237</v>
      </c>
      <c r="Z149" s="222"/>
      <c r="AA149" s="217" t="str">
        <f t="shared" ref="AA149:AH149" si="94">AA$10</f>
        <v>verwarming</v>
      </c>
      <c r="AB149" s="217" t="str">
        <f t="shared" si="94"/>
        <v>koeling</v>
      </c>
      <c r="AC149" s="217" t="str">
        <f t="shared" si="94"/>
        <v>tapwater</v>
      </c>
      <c r="AD149" s="217" t="str">
        <f t="shared" si="94"/>
        <v>verlichting</v>
      </c>
      <c r="AE149" s="217" t="str">
        <f t="shared" si="94"/>
        <v>ventilatoren</v>
      </c>
      <c r="AF149" s="217" t="str">
        <f t="shared" si="94"/>
        <v>kookgas</v>
      </c>
      <c r="AG149" s="217" t="str">
        <f t="shared" si="94"/>
        <v>overig elektra</v>
      </c>
      <c r="AH149" s="217" t="str">
        <f t="shared" si="94"/>
        <v>mobiliteit</v>
      </c>
      <c r="AI149" s="217"/>
      <c r="AJ149" s="214"/>
      <c r="AK149" s="216" t="s">
        <v>237</v>
      </c>
      <c r="AL149" s="222"/>
      <c r="AM149" s="217" t="str">
        <f>AM$10</f>
        <v>verwarming</v>
      </c>
      <c r="AN149" s="217" t="str">
        <f t="shared" ref="AN149:AT149" si="95">AN$10</f>
        <v>koeling</v>
      </c>
      <c r="AO149" s="217" t="str">
        <f t="shared" si="95"/>
        <v>tapwater</v>
      </c>
      <c r="AP149" s="217" t="str">
        <f t="shared" si="95"/>
        <v>verlichting</v>
      </c>
      <c r="AQ149" s="217" t="str">
        <f t="shared" si="95"/>
        <v>ventilatoren</v>
      </c>
      <c r="AR149" s="217" t="str">
        <f t="shared" si="95"/>
        <v>kookgas</v>
      </c>
      <c r="AS149" s="217" t="str">
        <f t="shared" si="95"/>
        <v>overig elektra</v>
      </c>
      <c r="AT149" s="217" t="str">
        <f t="shared" si="95"/>
        <v>mobiliteit</v>
      </c>
      <c r="AU149" s="217"/>
      <c r="AV149" s="214"/>
      <c r="AW149" s="216" t="s">
        <v>237</v>
      </c>
      <c r="AX149" s="222"/>
      <c r="AY149" s="217" t="str">
        <f>AY$10</f>
        <v>verwarming</v>
      </c>
      <c r="AZ149" s="217" t="str">
        <f t="shared" ref="AZ149:BF149" si="96">AZ$10</f>
        <v>koeling</v>
      </c>
      <c r="BA149" s="217" t="str">
        <f t="shared" si="96"/>
        <v>tapwater</v>
      </c>
      <c r="BB149" s="217" t="str">
        <f t="shared" si="96"/>
        <v>verlichting</v>
      </c>
      <c r="BC149" s="217" t="str">
        <f t="shared" si="96"/>
        <v>ventilatoren</v>
      </c>
      <c r="BD149" s="217" t="str">
        <f t="shared" si="96"/>
        <v>kookgas</v>
      </c>
      <c r="BE149" s="217" t="str">
        <f t="shared" si="96"/>
        <v>overig elektra</v>
      </c>
      <c r="BF149" s="217" t="str">
        <f t="shared" si="96"/>
        <v>mobiliteit</v>
      </c>
      <c r="BG149" s="217"/>
      <c r="BH149" s="1"/>
    </row>
    <row r="150" spans="1:60" ht="18.75" x14ac:dyDescent="0.2">
      <c r="A150" s="648"/>
      <c r="B150" s="492" t="s">
        <v>243</v>
      </c>
      <c r="C150" s="739" t="s">
        <v>104</v>
      </c>
      <c r="D150" s="747"/>
      <c r="E150" s="231" t="s">
        <v>245</v>
      </c>
      <c r="F150" s="231"/>
      <c r="G150" s="231"/>
      <c r="H150" s="89"/>
      <c r="I150" s="232"/>
      <c r="J150" s="231"/>
      <c r="K150" s="232"/>
      <c r="L150" s="232"/>
      <c r="M150" s="231"/>
      <c r="N150" s="232"/>
      <c r="O150" s="232"/>
      <c r="P150" s="232"/>
      <c r="Q150" s="232"/>
      <c r="R150" s="232"/>
      <c r="S150" s="232"/>
      <c r="T150" s="232"/>
      <c r="U150" s="232"/>
      <c r="V150" s="232"/>
      <c r="W150" s="232"/>
      <c r="X150" s="232"/>
      <c r="Y150" s="231"/>
      <c r="Z150" s="232"/>
      <c r="AA150" s="232"/>
      <c r="AB150" s="232"/>
      <c r="AC150" s="232"/>
      <c r="AD150" s="232"/>
      <c r="AE150" s="232"/>
      <c r="AF150" s="232"/>
      <c r="AG150" s="232"/>
      <c r="AH150" s="232"/>
      <c r="AI150" s="232"/>
      <c r="AJ150" s="232"/>
      <c r="AK150" s="231"/>
      <c r="AL150" s="232"/>
      <c r="AM150" s="232"/>
      <c r="AN150" s="232"/>
      <c r="AO150" s="232"/>
      <c r="AP150" s="232"/>
      <c r="AQ150" s="232"/>
      <c r="AR150" s="232"/>
      <c r="AS150" s="232"/>
      <c r="AT150" s="232"/>
      <c r="AU150" s="232"/>
      <c r="AV150" s="232"/>
      <c r="AW150" s="231"/>
      <c r="AX150" s="232"/>
      <c r="AY150" s="232"/>
      <c r="AZ150" s="232"/>
      <c r="BA150" s="232"/>
      <c r="BB150" s="232"/>
      <c r="BC150" s="232"/>
      <c r="BD150" s="232"/>
      <c r="BE150" s="232"/>
      <c r="BF150" s="232"/>
      <c r="BG150" s="232"/>
      <c r="BH150" s="38"/>
    </row>
    <row r="151" spans="1:60" x14ac:dyDescent="0.2">
      <c r="A151" s="648"/>
      <c r="B151" s="492" t="s">
        <v>243</v>
      </c>
      <c r="C151" s="656" t="s">
        <v>127</v>
      </c>
      <c r="D151" s="747"/>
      <c r="E151" s="316" t="s">
        <v>246</v>
      </c>
      <c r="F151" s="316"/>
      <c r="G151" s="316"/>
      <c r="H151" s="354" t="s">
        <v>232</v>
      </c>
      <c r="I151" s="232"/>
      <c r="J151" s="368"/>
      <c r="K151" s="294"/>
      <c r="L151" s="294"/>
      <c r="M151" s="368"/>
      <c r="N151" s="444"/>
      <c r="O151" s="445">
        <f>IF(O152&lt;&gt;"",O152,HLOOKUP(IF(O$80="",referentie_verwarming,O$80),toestellen_RV,ROWS(bibliotheek!$E$79:$E$114),FALSE))</f>
        <v>0</v>
      </c>
      <c r="P151" s="445">
        <f>IF(P152&lt;&gt;"",P152,HLOOKUP(IF(P$80="",referentie_koeling,P$80),toestellen_KOEL,ROWS(bibliotheek!$E$170:$E$189),FALSE))</f>
        <v>0</v>
      </c>
      <c r="Q151" s="445">
        <f>IF(Q152&lt;&gt;"",Q152,HLOOKUP(IF(Q$80="",referentie_warmtapwater,Q$80),toestellen_TAP,ROWS(bibliotheek!$E$136:$E$163),FALSE))</f>
        <v>4.4999999999999998E-2</v>
      </c>
      <c r="R151" s="446"/>
      <c r="S151" s="446"/>
      <c r="T151" s="446"/>
      <c r="U151" s="446"/>
      <c r="V151" s="446"/>
      <c r="W151" s="446"/>
      <c r="X151" s="422"/>
      <c r="Y151" s="352"/>
      <c r="Z151" s="444"/>
      <c r="AA151" s="445">
        <f>IF(AA152&lt;&gt;"",AA152,HLOOKUP(IF(AA$80="",referentie_verwarming,AA$80),toestellen_RV,ROWS(bibliotheek!$E$79:$E$114),FALSE))</f>
        <v>0</v>
      </c>
      <c r="AB151" s="445">
        <f>IF(AB152&lt;&gt;"",AB152,HLOOKUP(IF(AB$80="",referentie_koeling,AB$80),toestellen_KOEL,ROWS(bibliotheek!$E$170:$E$189),FALSE))</f>
        <v>0</v>
      </c>
      <c r="AC151" s="445">
        <f>IF(AC152&lt;&gt;"",AC152,HLOOKUP(IF(AC$80="",referentie_warmtapwater,AC$80),toestellen_TAP,ROWS(bibliotheek!$E$136:$E$163),FALSE))</f>
        <v>4.4999999999999998E-2</v>
      </c>
      <c r="AD151" s="446"/>
      <c r="AE151" s="446"/>
      <c r="AF151" s="446"/>
      <c r="AG151" s="446"/>
      <c r="AH151" s="446"/>
      <c r="AI151" s="446"/>
      <c r="AJ151" s="422"/>
      <c r="AK151" s="352"/>
      <c r="AL151" s="444"/>
      <c r="AM151" s="445">
        <f>IF(AM152&lt;&gt;"",AM152,HLOOKUP(IF(AM$80="",referentie_verwarming,AM$80),toestellen_RV,ROWS(bibliotheek!$E$79:$E$114),FALSE))</f>
        <v>0</v>
      </c>
      <c r="AN151" s="445">
        <f>IF(AN152&lt;&gt;"",AN152,HLOOKUP(IF(AN$80="",referentie_koeling,AN$80),toestellen_KOEL,ROWS(bibliotheek!$E$170:$E$189),FALSE))</f>
        <v>0</v>
      </c>
      <c r="AO151" s="445">
        <f>IF(AO152&lt;&gt;"",AO152,HLOOKUP(IF(AO$80="",referentie_warmtapwater,AO$80),toestellen_TAP,ROWS(bibliotheek!$E$136:$E$163),FALSE))</f>
        <v>4.4999999999999998E-2</v>
      </c>
      <c r="AP151" s="446"/>
      <c r="AQ151" s="446"/>
      <c r="AR151" s="446"/>
      <c r="AS151" s="446"/>
      <c r="AT151" s="446"/>
      <c r="AU151" s="446"/>
      <c r="AV151" s="422"/>
      <c r="AW151" s="352"/>
      <c r="AX151" s="444"/>
      <c r="AY151" s="445">
        <f>IF(AY152&lt;&gt;"",AY152,HLOOKUP(IF(AY$80="",referentie_verwarming,AY$80),toestellen_RV,ROWS(bibliotheek!$E$79:$E$114),FALSE))</f>
        <v>0</v>
      </c>
      <c r="AZ151" s="445">
        <f>IF(AZ152&lt;&gt;"",AZ152,HLOOKUP(IF(AZ$80="",referentie_koeling,AZ$80),toestellen_KOEL,ROWS(bibliotheek!$E$170:$E$189),FALSE))</f>
        <v>0</v>
      </c>
      <c r="BA151" s="445">
        <f>IF(BA152&lt;&gt;"",BA152,HLOOKUP(IF(BA$80="",referentie_warmtapwater,BA$80),toestellen_TAP,ROWS(bibliotheek!$E$136:$E$163),FALSE))</f>
        <v>4.4999999999999998E-2</v>
      </c>
      <c r="BB151" s="369"/>
      <c r="BC151" s="369"/>
      <c r="BD151" s="369"/>
      <c r="BE151" s="369"/>
      <c r="BF151" s="369"/>
      <c r="BG151" s="369"/>
      <c r="BH151" s="214"/>
    </row>
    <row r="152" spans="1:60" x14ac:dyDescent="0.2">
      <c r="A152" s="648"/>
      <c r="B152" s="492" t="s">
        <v>243</v>
      </c>
      <c r="C152" s="656" t="s">
        <v>127</v>
      </c>
      <c r="D152" s="747"/>
      <c r="E152" s="412" t="s">
        <v>227</v>
      </c>
      <c r="F152" s="317"/>
      <c r="G152" s="317"/>
      <c r="H152" s="355"/>
      <c r="I152" s="232"/>
      <c r="J152" s="362"/>
      <c r="K152" s="294"/>
      <c r="L152" s="294"/>
      <c r="M152" s="370"/>
      <c r="N152" s="371"/>
      <c r="O152" s="338"/>
      <c r="P152" s="344"/>
      <c r="Q152" s="338"/>
      <c r="R152" s="372"/>
      <c r="S152" s="372"/>
      <c r="T152" s="372"/>
      <c r="U152" s="372"/>
      <c r="V152" s="372"/>
      <c r="W152" s="372"/>
      <c r="X152" s="128"/>
      <c r="Y152" s="370"/>
      <c r="Z152" s="371"/>
      <c r="AA152" s="338"/>
      <c r="AB152" s="344"/>
      <c r="AC152" s="338"/>
      <c r="AD152" s="372"/>
      <c r="AE152" s="372"/>
      <c r="AF152" s="372"/>
      <c r="AG152" s="372"/>
      <c r="AH152" s="372"/>
      <c r="AI152" s="372"/>
      <c r="AJ152" s="128"/>
      <c r="AK152" s="370"/>
      <c r="AL152" s="371"/>
      <c r="AM152" s="338"/>
      <c r="AN152" s="344"/>
      <c r="AO152" s="338"/>
      <c r="AP152" s="372"/>
      <c r="AQ152" s="372"/>
      <c r="AR152" s="372"/>
      <c r="AS152" s="372"/>
      <c r="AT152" s="372"/>
      <c r="AU152" s="372"/>
      <c r="AV152" s="128"/>
      <c r="AW152" s="370"/>
      <c r="AX152" s="371"/>
      <c r="AY152" s="338"/>
      <c r="AZ152" s="344"/>
      <c r="BA152" s="338"/>
      <c r="BB152" s="372"/>
      <c r="BC152" s="372"/>
      <c r="BD152" s="372"/>
      <c r="BE152" s="372"/>
      <c r="BF152" s="372"/>
      <c r="BG152" s="372"/>
      <c r="BH152" s="214"/>
    </row>
    <row r="153" spans="1:60" x14ac:dyDescent="0.2">
      <c r="A153" s="650"/>
      <c r="B153" s="492" t="s">
        <v>243</v>
      </c>
      <c r="C153" s="656" t="s">
        <v>127</v>
      </c>
      <c r="D153" s="752"/>
      <c r="E153" s="298" t="s">
        <v>247</v>
      </c>
      <c r="F153" s="298"/>
      <c r="G153" s="298"/>
      <c r="H153" s="242" t="s">
        <v>220</v>
      </c>
      <c r="I153" s="232"/>
      <c r="J153" s="243">
        <f>M153+Y153+AK153+AW153</f>
        <v>0</v>
      </c>
      <c r="K153" s="294"/>
      <c r="L153" s="294"/>
      <c r="M153" s="243">
        <f>SUM(O153:X153)</f>
        <v>0</v>
      </c>
      <c r="N153" s="100"/>
      <c r="O153" s="207">
        <f>O$123*O$151</f>
        <v>0</v>
      </c>
      <c r="P153" s="207">
        <f>P$123*P$151</f>
        <v>0</v>
      </c>
      <c r="Q153" s="207">
        <f>Q$123*Q$151</f>
        <v>0</v>
      </c>
      <c r="R153" s="335"/>
      <c r="S153" s="335"/>
      <c r="T153" s="335"/>
      <c r="U153" s="335"/>
      <c r="V153" s="335"/>
      <c r="W153" s="335"/>
      <c r="X153" s="118"/>
      <c r="Y153" s="243">
        <f>SUM(AA153:AJ153)</f>
        <v>0</v>
      </c>
      <c r="Z153" s="100"/>
      <c r="AA153" s="207">
        <f>AA$123*AA$151</f>
        <v>0</v>
      </c>
      <c r="AB153" s="207">
        <f>AB$123*AB$151</f>
        <v>0</v>
      </c>
      <c r="AC153" s="207">
        <f>AC$123*AC$151</f>
        <v>0</v>
      </c>
      <c r="AD153" s="335"/>
      <c r="AE153" s="335"/>
      <c r="AF153" s="335"/>
      <c r="AG153" s="335"/>
      <c r="AH153" s="335"/>
      <c r="AI153" s="335"/>
      <c r="AJ153" s="118"/>
      <c r="AK153" s="243">
        <f>SUM(AM153:AV153)</f>
        <v>0</v>
      </c>
      <c r="AL153" s="100"/>
      <c r="AM153" s="207">
        <f>AM$123*AM$151</f>
        <v>0</v>
      </c>
      <c r="AN153" s="207">
        <f>AN$123*AN$151</f>
        <v>0</v>
      </c>
      <c r="AO153" s="207">
        <f>AO$123*AO$151</f>
        <v>0</v>
      </c>
      <c r="AP153" s="335"/>
      <c r="AQ153" s="335"/>
      <c r="AR153" s="335"/>
      <c r="AS153" s="335"/>
      <c r="AT153" s="335"/>
      <c r="AU153" s="335"/>
      <c r="AV153" s="118"/>
      <c r="AW153" s="243">
        <f>SUM(AY153:BH153)</f>
        <v>0</v>
      </c>
      <c r="AX153" s="100"/>
      <c r="AY153" s="207">
        <f>AY$123*AY$151</f>
        <v>0</v>
      </c>
      <c r="AZ153" s="207">
        <f>AZ$123*AZ$151</f>
        <v>0</v>
      </c>
      <c r="BA153" s="207">
        <f>BA$123*BA$151</f>
        <v>0</v>
      </c>
      <c r="BB153" s="335"/>
      <c r="BC153" s="335"/>
      <c r="BD153" s="335"/>
      <c r="BE153" s="335"/>
      <c r="BF153" s="335"/>
      <c r="BG153" s="335"/>
      <c r="BH153" s="214"/>
    </row>
    <row r="154" spans="1:60" hidden="1" x14ac:dyDescent="0.2">
      <c r="A154" s="650"/>
      <c r="B154" s="492" t="s">
        <v>243</v>
      </c>
      <c r="C154" s="740" t="s">
        <v>199</v>
      </c>
      <c r="D154" s="752" t="s">
        <v>50</v>
      </c>
      <c r="E154" s="298" t="s">
        <v>248</v>
      </c>
      <c r="F154" s="298"/>
      <c r="G154" s="298"/>
      <c r="H154" s="242" t="s">
        <v>220</v>
      </c>
      <c r="I154" s="232"/>
      <c r="J154" s="243">
        <f>M154+Y154+AK154+AW154</f>
        <v>0</v>
      </c>
      <c r="K154" s="294"/>
      <c r="L154" s="294"/>
      <c r="M154" s="243">
        <f>SUM(O154:X154)</f>
        <v>0</v>
      </c>
      <c r="N154" s="100"/>
      <c r="O154" s="207">
        <f>IF(O33=0,0,
(O$95*IFERROR((  INDEX(bibliotheek!$E$105:$AT$105,MATCH(O$80,toestellen_RV_kopregel,0)) +
INDEX(bibliotheek!$E$106:$AT$106,MATCH(O$80,toestellen_RV_kopregel,0))  *(O$94*1000/O$95)/
(  INDEX(bibliotheek!$E$107:$AT$107,MATCH(O$80,toestellen_RV_kopregel,0)) *
INDEX(bibliotheek!$E$108:$AT$108,MATCH(O$80,toestellen_RV_kopregel,0)) ) ),0)+
O$95*INDEX(bibliotheek!$E$109:$AT$109,MATCH(O$80,toestellen_RV_kopregel,0))+
O$96*INDEX(bibliotheek!$E$110:$AT$110,MATCH(O$80,toestellen_RV_kopregel,0)))/1000)</f>
        <v>0</v>
      </c>
      <c r="P154" s="335"/>
      <c r="Q154" s="335"/>
      <c r="R154" s="207">
        <f>R$75</f>
        <v>0</v>
      </c>
      <c r="S154" s="207">
        <f>S$75</f>
        <v>0</v>
      </c>
      <c r="T154" s="335"/>
      <c r="U154" s="207">
        <f>U$75</f>
        <v>0</v>
      </c>
      <c r="V154" s="207">
        <f>V$75</f>
        <v>0</v>
      </c>
      <c r="W154" s="335"/>
      <c r="X154" s="118"/>
      <c r="Y154" s="243">
        <f>SUM(AA154:AJ154)</f>
        <v>0</v>
      </c>
      <c r="Z154" s="100"/>
      <c r="AA154" s="207">
        <f>IF(AA33=0,0,
(AA$95*IFERROR((  INDEX(bibliotheek!$E$105:$AT$105,MATCH(AA$80,toestellen_RV_kopregel,0)) +
INDEX(bibliotheek!$E$106:$AT$106,MATCH(AA$80,toestellen_RV_kopregel,0))  *(AA$94*1000/AA$95)/
(  INDEX(bibliotheek!$E$107:$AT$107,MATCH(AA$80,toestellen_RV_kopregel,0)) *
INDEX(bibliotheek!$E$108:$AT$108,MATCH(AA$80,toestellen_RV_kopregel,0)) ) ),0)+
AA$95*INDEX(bibliotheek!$E$109:$AT$109,MATCH(AA$80,toestellen_RV_kopregel,0))+
AA$96*INDEX(bibliotheek!$E$110:$AT$110,MATCH(AA$80,toestellen_RV_kopregel,0)))/1000)</f>
        <v>0</v>
      </c>
      <c r="AB154" s="335"/>
      <c r="AC154" s="335"/>
      <c r="AD154" s="207">
        <f>AD$75</f>
        <v>0</v>
      </c>
      <c r="AE154" s="207">
        <f>AE$75</f>
        <v>0</v>
      </c>
      <c r="AF154" s="335"/>
      <c r="AG154" s="207">
        <f>AG$75</f>
        <v>0</v>
      </c>
      <c r="AH154" s="207">
        <f>AH$75</f>
        <v>0</v>
      </c>
      <c r="AI154" s="335"/>
      <c r="AJ154" s="118"/>
      <c r="AK154" s="243">
        <f>SUM(AM154:AV154)</f>
        <v>0</v>
      </c>
      <c r="AL154" s="100"/>
      <c r="AM154" s="207">
        <f>IF(AM33=0,0,
(AM$95*IFERROR((  INDEX(bibliotheek!$E$105:$AT$105,MATCH(AM$80,toestellen_RV_kopregel,0)) +
INDEX(bibliotheek!$E$106:$AT$106,MATCH(AM$80,toestellen_RV_kopregel,0))  *(AM$94*1000/AM$95)/
(  INDEX(bibliotheek!$E$107:$AT$107,MATCH(AM$80,toestellen_RV_kopregel,0)) *
INDEX(bibliotheek!$E$108:$AT$108,MATCH(AM$80,toestellen_RV_kopregel,0)) ) ),0)+
AM$95*INDEX(bibliotheek!$E$109:$AT$109,MATCH(AM$80,toestellen_RV_kopregel,0))+
AM$96*INDEX(bibliotheek!$E$110:$AT$110,MATCH(AM$80,toestellen_RV_kopregel,0)))/1000)</f>
        <v>0</v>
      </c>
      <c r="AN154" s="335"/>
      <c r="AO154" s="335"/>
      <c r="AP154" s="207">
        <f>AP$75</f>
        <v>0</v>
      </c>
      <c r="AQ154" s="207">
        <f>AQ$75</f>
        <v>0</v>
      </c>
      <c r="AR154" s="335"/>
      <c r="AS154" s="207">
        <f>AS$75</f>
        <v>0</v>
      </c>
      <c r="AT154" s="207">
        <f>AT$75</f>
        <v>0</v>
      </c>
      <c r="AU154" s="335"/>
      <c r="AV154" s="118"/>
      <c r="AW154" s="243">
        <f>SUM(AY154:BH154)</f>
        <v>0</v>
      </c>
      <c r="AX154" s="100"/>
      <c r="AY154" s="207">
        <f>IF(AY33=0,0,
(AY$95*IFERROR((  INDEX(bibliotheek!$E$105:$AT$105,MATCH(AY$80,toestellen_RV_kopregel,0)) +
INDEX(bibliotheek!$E$106:$AT$106,MATCH(AY$80,toestellen_RV_kopregel,0))  *(AY$94*1000/AY$95)/
(  INDEX(bibliotheek!$E$107:$AT$107,MATCH(AY$80,toestellen_RV_kopregel,0)) *
INDEX(bibliotheek!$E$108:$AT$108,MATCH(AY$80,toestellen_RV_kopregel,0)) ) ),0)+
AY$95*INDEX(bibliotheek!$E$109:$AT$109,MATCH(AY$80,toestellen_RV_kopregel,0))+
AY$96*INDEX(bibliotheek!$E$110:$AT$110,MATCH(AY$80,toestellen_RV_kopregel,0)))/1000)</f>
        <v>0</v>
      </c>
      <c r="AZ154" s="335"/>
      <c r="BA154" s="335"/>
      <c r="BB154" s="207">
        <f>BB$75</f>
        <v>0</v>
      </c>
      <c r="BC154" s="207">
        <f>BC$75</f>
        <v>0</v>
      </c>
      <c r="BD154" s="335"/>
      <c r="BE154" s="207">
        <f>BE$75</f>
        <v>0</v>
      </c>
      <c r="BF154" s="207">
        <f>BF$75</f>
        <v>0</v>
      </c>
      <c r="BG154" s="335"/>
      <c r="BH154" s="214"/>
    </row>
    <row r="155" spans="1:60" hidden="1" x14ac:dyDescent="0.2">
      <c r="A155" s="650"/>
      <c r="B155" s="492" t="s">
        <v>243</v>
      </c>
      <c r="C155" s="740" t="s">
        <v>199</v>
      </c>
      <c r="D155" s="752"/>
      <c r="E155" s="298" t="s">
        <v>249</v>
      </c>
      <c r="F155" s="298"/>
      <c r="G155" s="298"/>
      <c r="H155" s="242" t="s">
        <v>220</v>
      </c>
      <c r="I155" s="232"/>
      <c r="J155" s="243">
        <f>M155+Y155+AK155+AW155</f>
        <v>0</v>
      </c>
      <c r="K155" s="294"/>
      <c r="L155" s="294"/>
      <c r="M155" s="243">
        <f>SUM(O155:X155)</f>
        <v>0</v>
      </c>
      <c r="N155" s="100"/>
      <c r="O155" s="207">
        <f>O$94*O$124+IF(O$111=0,0,O112/O$111)</f>
        <v>0</v>
      </c>
      <c r="P155" s="207">
        <f>P$94*P$124+IF(P$111=0,0,P112/P$111)</f>
        <v>0</v>
      </c>
      <c r="Q155" s="207">
        <f>Q$94*Q$124+IF(Q$111=0,0,Q112/Q$111)</f>
        <v>0</v>
      </c>
      <c r="R155" s="335"/>
      <c r="S155" s="335"/>
      <c r="T155" s="335"/>
      <c r="U155" s="335"/>
      <c r="V155" s="335"/>
      <c r="W155" s="335"/>
      <c r="X155" s="118"/>
      <c r="Y155" s="243">
        <f>SUM(AA155:AJ155)</f>
        <v>0</v>
      </c>
      <c r="Z155" s="100"/>
      <c r="AA155" s="207">
        <f>AA$94*AA$124+IF(AA$111=0,0,AA112/AA$111)</f>
        <v>0</v>
      </c>
      <c r="AB155" s="207">
        <f>AB$94*AB$124+IF(AB$111=0,0,AB112/AB$111)</f>
        <v>0</v>
      </c>
      <c r="AC155" s="207">
        <f>AC$94*AC$124+IF(AC$111=0,0,AC112/AC$111)</f>
        <v>0</v>
      </c>
      <c r="AD155" s="335"/>
      <c r="AE155" s="335"/>
      <c r="AF155" s="335"/>
      <c r="AG155" s="335"/>
      <c r="AH155" s="335"/>
      <c r="AI155" s="335"/>
      <c r="AJ155" s="118"/>
      <c r="AK155" s="243">
        <f>SUM(AM155:AV155)</f>
        <v>0</v>
      </c>
      <c r="AL155" s="100"/>
      <c r="AM155" s="207">
        <f>AM$94*AM$124+IF(AM$111=0,0,AM112/AM$111)</f>
        <v>0</v>
      </c>
      <c r="AN155" s="207">
        <f>AN$94*AN$124+IF(AN$111=0,0,AN112/AN$111)</f>
        <v>0</v>
      </c>
      <c r="AO155" s="207">
        <f>AO$94*AO$124+IF(AO$111=0,0,AO112/AO$111)</f>
        <v>0</v>
      </c>
      <c r="AP155" s="335"/>
      <c r="AQ155" s="335"/>
      <c r="AR155" s="335"/>
      <c r="AS155" s="335"/>
      <c r="AT155" s="335"/>
      <c r="AU155" s="335"/>
      <c r="AV155" s="118"/>
      <c r="AW155" s="243">
        <f>SUM(AY155:BH155)</f>
        <v>0</v>
      </c>
      <c r="AX155" s="100"/>
      <c r="AY155" s="207">
        <f>AY$94*AY$124+IF(AY$111=0,0,AY112/AY$111)</f>
        <v>0</v>
      </c>
      <c r="AZ155" s="207">
        <f>AZ$94*AZ$124+IF(AZ$111=0,0,AZ112/AZ$111)</f>
        <v>0</v>
      </c>
      <c r="BA155" s="207">
        <f>BA$94*BA$124+IF(BA$111=0,0,BA112/BA$111)</f>
        <v>0</v>
      </c>
      <c r="BB155" s="335"/>
      <c r="BC155" s="335"/>
      <c r="BD155" s="335"/>
      <c r="BE155" s="335"/>
      <c r="BF155" s="335"/>
      <c r="BG155" s="335"/>
      <c r="BH155" s="214"/>
    </row>
    <row r="156" spans="1:60" hidden="1" x14ac:dyDescent="0.2">
      <c r="A156" s="650"/>
      <c r="B156" s="492" t="s">
        <v>243</v>
      </c>
      <c r="C156" s="740" t="s">
        <v>199</v>
      </c>
      <c r="D156" s="752"/>
      <c r="E156" s="298" t="s">
        <v>109</v>
      </c>
      <c r="F156" s="298"/>
      <c r="G156" s="298"/>
      <c r="H156" s="242" t="s">
        <v>220</v>
      </c>
      <c r="I156" s="232"/>
      <c r="J156" s="243">
        <f>M156+Y156+AK156+AW156</f>
        <v>0</v>
      </c>
      <c r="K156" s="294"/>
      <c r="L156" s="294"/>
      <c r="M156" s="243">
        <f>SUM(O156:X156)</f>
        <v>0</v>
      </c>
      <c r="N156" s="100"/>
      <c r="O156" s="335"/>
      <c r="P156" s="335"/>
      <c r="Q156" s="335"/>
      <c r="R156" s="335"/>
      <c r="S156" s="335"/>
      <c r="T156" s="207">
        <f>T75</f>
        <v>0</v>
      </c>
      <c r="U156" s="335"/>
      <c r="V156" s="335"/>
      <c r="W156" s="335"/>
      <c r="X156" s="118"/>
      <c r="Y156" s="243">
        <f>SUM(AA156:AJ156)</f>
        <v>0</v>
      </c>
      <c r="Z156" s="100"/>
      <c r="AA156" s="207"/>
      <c r="AB156" s="207"/>
      <c r="AC156" s="207"/>
      <c r="AD156" s="335"/>
      <c r="AE156" s="335"/>
      <c r="AF156" s="207">
        <f>AF75</f>
        <v>0</v>
      </c>
      <c r="AG156" s="335"/>
      <c r="AH156" s="335"/>
      <c r="AI156" s="335"/>
      <c r="AJ156" s="118"/>
      <c r="AK156" s="243">
        <f>SUM(AM156:AV156)</f>
        <v>0</v>
      </c>
      <c r="AL156" s="100"/>
      <c r="AM156" s="207"/>
      <c r="AN156" s="207"/>
      <c r="AO156" s="207"/>
      <c r="AP156" s="335"/>
      <c r="AQ156" s="335"/>
      <c r="AR156" s="207">
        <f>AR75</f>
        <v>0</v>
      </c>
      <c r="AS156" s="335"/>
      <c r="AT156" s="335"/>
      <c r="AU156" s="335"/>
      <c r="AV156" s="118"/>
      <c r="AW156" s="243">
        <f>SUM(AY156:BH156)</f>
        <v>0</v>
      </c>
      <c r="AX156" s="100"/>
      <c r="AY156" s="207"/>
      <c r="AZ156" s="207"/>
      <c r="BA156" s="207"/>
      <c r="BB156" s="335"/>
      <c r="BC156" s="335"/>
      <c r="BD156" s="207">
        <f>BD75</f>
        <v>0</v>
      </c>
      <c r="BE156" s="335"/>
      <c r="BF156" s="335"/>
      <c r="BG156" s="335"/>
      <c r="BH156" s="214"/>
    </row>
    <row r="157" spans="1:60" ht="18.75" x14ac:dyDescent="0.2">
      <c r="A157" s="648"/>
      <c r="B157" s="492" t="s">
        <v>243</v>
      </c>
      <c r="C157" s="739" t="s">
        <v>104</v>
      </c>
      <c r="D157" s="747"/>
      <c r="E157" s="303" t="s">
        <v>250</v>
      </c>
      <c r="F157" s="303"/>
      <c r="G157" s="303"/>
      <c r="H157" s="305"/>
      <c r="I157" s="232"/>
      <c r="J157" s="303"/>
      <c r="K157" s="232"/>
      <c r="L157" s="232"/>
      <c r="M157" s="303"/>
      <c r="N157" s="304"/>
      <c r="O157" s="304"/>
      <c r="P157" s="304"/>
      <c r="Q157" s="304"/>
      <c r="R157" s="304"/>
      <c r="S157" s="304"/>
      <c r="T157" s="304"/>
      <c r="U157" s="304"/>
      <c r="V157" s="304"/>
      <c r="W157" s="304"/>
      <c r="X157" s="232"/>
      <c r="Y157" s="303"/>
      <c r="Z157" s="304"/>
      <c r="AA157" s="304"/>
      <c r="AB157" s="304"/>
      <c r="AC157" s="304"/>
      <c r="AD157" s="304"/>
      <c r="AE157" s="304"/>
      <c r="AF157" s="304"/>
      <c r="AG157" s="304"/>
      <c r="AH157" s="304"/>
      <c r="AI157" s="304"/>
      <c r="AJ157" s="232"/>
      <c r="AK157" s="303"/>
      <c r="AL157" s="304"/>
      <c r="AM157" s="304"/>
      <c r="AN157" s="304"/>
      <c r="AO157" s="304"/>
      <c r="AP157" s="304"/>
      <c r="AQ157" s="304"/>
      <c r="AR157" s="304"/>
      <c r="AS157" s="304"/>
      <c r="AT157" s="304"/>
      <c r="AU157" s="304"/>
      <c r="AV157" s="232"/>
      <c r="AW157" s="303"/>
      <c r="AX157" s="304"/>
      <c r="AY157" s="304"/>
      <c r="AZ157" s="304"/>
      <c r="BA157" s="304"/>
      <c r="BB157" s="304"/>
      <c r="BC157" s="304"/>
      <c r="BD157" s="304"/>
      <c r="BE157" s="304"/>
      <c r="BF157" s="304"/>
      <c r="BG157" s="304"/>
      <c r="BH157" s="38"/>
    </row>
    <row r="158" spans="1:60" hidden="1" x14ac:dyDescent="0.2">
      <c r="A158" s="648"/>
      <c r="B158" s="492" t="s">
        <v>243</v>
      </c>
      <c r="C158" s="656" t="s">
        <v>199</v>
      </c>
      <c r="D158" s="747"/>
      <c r="E158" s="316" t="s">
        <v>222</v>
      </c>
      <c r="F158" s="316"/>
      <c r="G158" s="316"/>
      <c r="H158" s="354" t="s">
        <v>223</v>
      </c>
      <c r="I158" s="232"/>
      <c r="J158" s="229"/>
      <c r="K158" s="90"/>
      <c r="L158" s="90"/>
      <c r="M158" s="229"/>
      <c r="N158" s="131"/>
      <c r="O158" s="184">
        <f>$G$5</f>
        <v>1.45</v>
      </c>
      <c r="P158" s="184">
        <f>$G$5</f>
        <v>1.45</v>
      </c>
      <c r="Q158" s="184">
        <f>$G$5</f>
        <v>1.45</v>
      </c>
      <c r="R158" s="184">
        <f>$G$5</f>
        <v>1.45</v>
      </c>
      <c r="S158" s="184">
        <f>$G$5</f>
        <v>1.45</v>
      </c>
      <c r="T158" s="184">
        <f>bibliotheek!$K$223</f>
        <v>1</v>
      </c>
      <c r="U158" s="184">
        <f>$G$5</f>
        <v>1.45</v>
      </c>
      <c r="V158" s="184">
        <f>$G$5</f>
        <v>1.45</v>
      </c>
      <c r="W158" s="452"/>
      <c r="X158" s="139"/>
      <c r="Y158" s="706"/>
      <c r="Z158" s="707"/>
      <c r="AA158" s="184">
        <f>$G$5</f>
        <v>1.45</v>
      </c>
      <c r="AB158" s="184">
        <f>$G$5</f>
        <v>1.45</v>
      </c>
      <c r="AC158" s="184">
        <f>$G$5</f>
        <v>1.45</v>
      </c>
      <c r="AD158" s="184">
        <f>$G$5</f>
        <v>1.45</v>
      </c>
      <c r="AE158" s="184">
        <f>$G$5</f>
        <v>1.45</v>
      </c>
      <c r="AF158" s="272">
        <f>bibliotheek!$K$223</f>
        <v>1</v>
      </c>
      <c r="AG158" s="184">
        <f>$G$5</f>
        <v>1.45</v>
      </c>
      <c r="AH158" s="184">
        <f>$G$5</f>
        <v>1.45</v>
      </c>
      <c r="AI158" s="452"/>
      <c r="AJ158" s="139"/>
      <c r="AK158" s="706"/>
      <c r="AL158" s="707"/>
      <c r="AM158" s="184">
        <f>$G$5</f>
        <v>1.45</v>
      </c>
      <c r="AN158" s="184">
        <f>$G$5</f>
        <v>1.45</v>
      </c>
      <c r="AO158" s="184">
        <f>$G$5</f>
        <v>1.45</v>
      </c>
      <c r="AP158" s="184">
        <f>$G$5</f>
        <v>1.45</v>
      </c>
      <c r="AQ158" s="184">
        <f>$G$5</f>
        <v>1.45</v>
      </c>
      <c r="AR158" s="272">
        <f>bibliotheek!$K$223</f>
        <v>1</v>
      </c>
      <c r="AS158" s="184">
        <f>$G$5</f>
        <v>1.45</v>
      </c>
      <c r="AT158" s="184">
        <f>$G$5</f>
        <v>1.45</v>
      </c>
      <c r="AU158" s="452"/>
      <c r="AV158" s="139"/>
      <c r="AW158" s="706"/>
      <c r="AX158" s="707"/>
      <c r="AY158" s="184">
        <f>$G$5</f>
        <v>1.45</v>
      </c>
      <c r="AZ158" s="184">
        <f>$G$5</f>
        <v>1.45</v>
      </c>
      <c r="BA158" s="184">
        <f>$G$5</f>
        <v>1.45</v>
      </c>
      <c r="BB158" s="184">
        <f>$G$5</f>
        <v>1.45</v>
      </c>
      <c r="BC158" s="184">
        <f>$G$5</f>
        <v>1.45</v>
      </c>
      <c r="BD158" s="272">
        <f>bibliotheek!$K$223</f>
        <v>1</v>
      </c>
      <c r="BE158" s="184">
        <f>$G$5</f>
        <v>1.45</v>
      </c>
      <c r="BF158" s="184">
        <f>$G$5</f>
        <v>1.45</v>
      </c>
      <c r="BG158" s="452"/>
      <c r="BH158" s="214"/>
    </row>
    <row r="159" spans="1:60" x14ac:dyDescent="0.2">
      <c r="A159" s="650"/>
      <c r="B159" s="492" t="s">
        <v>243</v>
      </c>
      <c r="C159" s="740" t="s">
        <v>113</v>
      </c>
      <c r="D159" s="752" t="s">
        <v>50</v>
      </c>
      <c r="E159" s="298" t="s">
        <v>114</v>
      </c>
      <c r="F159" s="242"/>
      <c r="G159" s="242"/>
      <c r="H159" s="242" t="s">
        <v>115</v>
      </c>
      <c r="I159" s="232"/>
      <c r="J159" s="243">
        <f>M159+Y159+AK159+AW159</f>
        <v>0</v>
      </c>
      <c r="K159" s="823"/>
      <c r="L159" s="823"/>
      <c r="M159" s="243">
        <f>SUM(O159:X159)</f>
        <v>0</v>
      </c>
      <c r="N159" s="100"/>
      <c r="O159" s="207">
        <f t="shared" ref="O159:V159" si="97">SUM(O$153:O$156)*O$158</f>
        <v>0</v>
      </c>
      <c r="P159" s="207">
        <f t="shared" si="97"/>
        <v>0</v>
      </c>
      <c r="Q159" s="207">
        <f t="shared" si="97"/>
        <v>0</v>
      </c>
      <c r="R159" s="207">
        <f t="shared" si="97"/>
        <v>0</v>
      </c>
      <c r="S159" s="207">
        <f t="shared" si="97"/>
        <v>0</v>
      </c>
      <c r="T159" s="207">
        <f t="shared" si="97"/>
        <v>0</v>
      </c>
      <c r="U159" s="207">
        <f>SUM(U$153:U$156)*U$158</f>
        <v>0</v>
      </c>
      <c r="V159" s="207">
        <f t="shared" si="97"/>
        <v>0</v>
      </c>
      <c r="W159" s="335"/>
      <c r="X159" s="128"/>
      <c r="Y159" s="243">
        <f>SUM(AA159:AJ159)</f>
        <v>0</v>
      </c>
      <c r="Z159" s="100"/>
      <c r="AA159" s="207">
        <f t="shared" ref="AA159:AH159" si="98">SUM(AA$153:AA$156)*AA$158</f>
        <v>0</v>
      </c>
      <c r="AB159" s="207">
        <f t="shared" si="98"/>
        <v>0</v>
      </c>
      <c r="AC159" s="207">
        <f t="shared" si="98"/>
        <v>0</v>
      </c>
      <c r="AD159" s="207">
        <f t="shared" si="98"/>
        <v>0</v>
      </c>
      <c r="AE159" s="207">
        <f t="shared" si="98"/>
        <v>0</v>
      </c>
      <c r="AF159" s="207">
        <f t="shared" si="98"/>
        <v>0</v>
      </c>
      <c r="AG159" s="207">
        <f t="shared" si="98"/>
        <v>0</v>
      </c>
      <c r="AH159" s="207">
        <f t="shared" si="98"/>
        <v>0</v>
      </c>
      <c r="AI159" s="335"/>
      <c r="AJ159" s="128"/>
      <c r="AK159" s="243">
        <f>SUM(AM159:AV159)</f>
        <v>0</v>
      </c>
      <c r="AL159" s="100"/>
      <c r="AM159" s="207">
        <f>SUM(AM$153:AM$156)*AM$158</f>
        <v>0</v>
      </c>
      <c r="AN159" s="207">
        <f t="shared" ref="AN159:AT159" si="99">SUM(AN$153:AN$156)*AN$158</f>
        <v>0</v>
      </c>
      <c r="AO159" s="207">
        <f t="shared" si="99"/>
        <v>0</v>
      </c>
      <c r="AP159" s="207">
        <f t="shared" si="99"/>
        <v>0</v>
      </c>
      <c r="AQ159" s="207">
        <f t="shared" si="99"/>
        <v>0</v>
      </c>
      <c r="AR159" s="207">
        <f t="shared" si="99"/>
        <v>0</v>
      </c>
      <c r="AS159" s="207">
        <f t="shared" si="99"/>
        <v>0</v>
      </c>
      <c r="AT159" s="207">
        <f t="shared" si="99"/>
        <v>0</v>
      </c>
      <c r="AU159" s="335"/>
      <c r="AV159" s="128"/>
      <c r="AW159" s="243">
        <f>SUM(AY159:BH159)</f>
        <v>0</v>
      </c>
      <c r="AX159" s="100"/>
      <c r="AY159" s="207">
        <f>SUM(AY$153:AY$156)*AY$158</f>
        <v>0</v>
      </c>
      <c r="AZ159" s="207">
        <f t="shared" ref="AZ159:BF159" si="100">SUM(AZ$153:AZ$156)*AZ$158</f>
        <v>0</v>
      </c>
      <c r="BA159" s="207">
        <f t="shared" si="100"/>
        <v>0</v>
      </c>
      <c r="BB159" s="207">
        <f t="shared" si="100"/>
        <v>0</v>
      </c>
      <c r="BC159" s="207">
        <f t="shared" si="100"/>
        <v>0</v>
      </c>
      <c r="BD159" s="207">
        <f t="shared" si="100"/>
        <v>0</v>
      </c>
      <c r="BE159" s="207">
        <f t="shared" si="100"/>
        <v>0</v>
      </c>
      <c r="BF159" s="207">
        <f t="shared" si="100"/>
        <v>0</v>
      </c>
      <c r="BG159" s="335"/>
      <c r="BH159" s="214"/>
    </row>
    <row r="160" spans="1:60" ht="18.75" x14ac:dyDescent="0.2">
      <c r="A160" s="648"/>
      <c r="B160" s="492" t="s">
        <v>243</v>
      </c>
      <c r="C160" s="739" t="s">
        <v>104</v>
      </c>
      <c r="D160" s="747"/>
      <c r="E160" s="303" t="s">
        <v>251</v>
      </c>
      <c r="F160" s="303"/>
      <c r="G160" s="303"/>
      <c r="H160" s="305"/>
      <c r="I160" s="232"/>
      <c r="J160" s="303"/>
      <c r="K160" s="232"/>
      <c r="L160" s="232"/>
      <c r="M160" s="303"/>
      <c r="N160" s="304"/>
      <c r="O160" s="304"/>
      <c r="P160" s="304"/>
      <c r="Q160" s="304"/>
      <c r="R160" s="304"/>
      <c r="S160" s="304"/>
      <c r="T160" s="304"/>
      <c r="U160" s="304"/>
      <c r="V160" s="304"/>
      <c r="W160" s="304"/>
      <c r="X160" s="232"/>
      <c r="Y160" s="303"/>
      <c r="Z160" s="304"/>
      <c r="AA160" s="304"/>
      <c r="AB160" s="304"/>
      <c r="AC160" s="304"/>
      <c r="AD160" s="304"/>
      <c r="AE160" s="304"/>
      <c r="AF160" s="304"/>
      <c r="AG160" s="304"/>
      <c r="AH160" s="304"/>
      <c r="AI160" s="304"/>
      <c r="AJ160" s="232"/>
      <c r="AK160" s="303"/>
      <c r="AL160" s="304"/>
      <c r="AM160" s="304"/>
      <c r="AN160" s="304"/>
      <c r="AO160" s="304"/>
      <c r="AP160" s="304"/>
      <c r="AQ160" s="304"/>
      <c r="AR160" s="304"/>
      <c r="AS160" s="304"/>
      <c r="AT160" s="304"/>
      <c r="AU160" s="304"/>
      <c r="AV160" s="232"/>
      <c r="AW160" s="303"/>
      <c r="AX160" s="304"/>
      <c r="AY160" s="304"/>
      <c r="AZ160" s="304"/>
      <c r="BA160" s="304"/>
      <c r="BB160" s="304"/>
      <c r="BC160" s="304"/>
      <c r="BD160" s="304"/>
      <c r="BE160" s="304"/>
      <c r="BF160" s="304"/>
      <c r="BG160" s="304"/>
      <c r="BH160" s="38"/>
    </row>
    <row r="161" spans="1:60" hidden="1" x14ac:dyDescent="0.2">
      <c r="A161" s="648"/>
      <c r="B161" s="492" t="s">
        <v>243</v>
      </c>
      <c r="C161" s="656" t="s">
        <v>199</v>
      </c>
      <c r="D161" s="747"/>
      <c r="E161" s="220" t="s">
        <v>225</v>
      </c>
      <c r="F161" s="220"/>
      <c r="G161" s="220"/>
      <c r="H161" s="221" t="s">
        <v>226</v>
      </c>
      <c r="I161" s="232"/>
      <c r="J161" s="230"/>
      <c r="K161" s="90"/>
      <c r="L161" s="90"/>
      <c r="M161" s="230"/>
      <c r="N161" s="129"/>
      <c r="O161" s="273">
        <f>$H$5</f>
        <v>0.34</v>
      </c>
      <c r="P161" s="273">
        <f t="shared" ref="P161:V161" si="101">$H$5</f>
        <v>0.34</v>
      </c>
      <c r="Q161" s="273">
        <f t="shared" si="101"/>
        <v>0.34</v>
      </c>
      <c r="R161" s="273">
        <f t="shared" si="101"/>
        <v>0.34</v>
      </c>
      <c r="S161" s="273">
        <f t="shared" si="101"/>
        <v>0.34</v>
      </c>
      <c r="T161" s="273">
        <f t="shared" si="101"/>
        <v>0.34</v>
      </c>
      <c r="U161" s="273">
        <f t="shared" si="101"/>
        <v>0.34</v>
      </c>
      <c r="V161" s="273">
        <f t="shared" si="101"/>
        <v>0.34</v>
      </c>
      <c r="W161" s="421"/>
      <c r="X161" s="422"/>
      <c r="Y161" s="230"/>
      <c r="Z161" s="424"/>
      <c r="AA161" s="273">
        <f>$H$5</f>
        <v>0.34</v>
      </c>
      <c r="AB161" s="273">
        <f t="shared" ref="AB161:AH161" si="102">$H$5</f>
        <v>0.34</v>
      </c>
      <c r="AC161" s="273">
        <f t="shared" si="102"/>
        <v>0.34</v>
      </c>
      <c r="AD161" s="273">
        <f t="shared" si="102"/>
        <v>0.34</v>
      </c>
      <c r="AE161" s="273">
        <f t="shared" si="102"/>
        <v>0.34</v>
      </c>
      <c r="AF161" s="207">
        <f t="shared" si="102"/>
        <v>0.34</v>
      </c>
      <c r="AG161" s="273">
        <f t="shared" si="102"/>
        <v>0.34</v>
      </c>
      <c r="AH161" s="273">
        <f t="shared" si="102"/>
        <v>0.34</v>
      </c>
      <c r="AI161" s="421"/>
      <c r="AJ161" s="422"/>
      <c r="AK161" s="230"/>
      <c r="AL161" s="424"/>
      <c r="AM161" s="273">
        <f>$H$5</f>
        <v>0.34</v>
      </c>
      <c r="AN161" s="273">
        <f t="shared" ref="AN161:AT161" si="103">$H$5</f>
        <v>0.34</v>
      </c>
      <c r="AO161" s="273">
        <f t="shared" si="103"/>
        <v>0.34</v>
      </c>
      <c r="AP161" s="273">
        <f t="shared" si="103"/>
        <v>0.34</v>
      </c>
      <c r="AQ161" s="273">
        <f t="shared" si="103"/>
        <v>0.34</v>
      </c>
      <c r="AR161" s="207">
        <f t="shared" si="103"/>
        <v>0.34</v>
      </c>
      <c r="AS161" s="273">
        <f t="shared" si="103"/>
        <v>0.34</v>
      </c>
      <c r="AT161" s="273">
        <f t="shared" si="103"/>
        <v>0.34</v>
      </c>
      <c r="AU161" s="421"/>
      <c r="AV161" s="422"/>
      <c r="AW161" s="230"/>
      <c r="AX161" s="424"/>
      <c r="AY161" s="273">
        <f>$H$5</f>
        <v>0.34</v>
      </c>
      <c r="AZ161" s="273">
        <f t="shared" ref="AZ161:BF161" si="104">$H$5</f>
        <v>0.34</v>
      </c>
      <c r="BA161" s="273">
        <f t="shared" si="104"/>
        <v>0.34</v>
      </c>
      <c r="BB161" s="273">
        <f t="shared" si="104"/>
        <v>0.34</v>
      </c>
      <c r="BC161" s="273">
        <f t="shared" si="104"/>
        <v>0.34</v>
      </c>
      <c r="BD161" s="207">
        <f t="shared" si="104"/>
        <v>0.34</v>
      </c>
      <c r="BE161" s="273">
        <f t="shared" si="104"/>
        <v>0.34</v>
      </c>
      <c r="BF161" s="273">
        <f t="shared" si="104"/>
        <v>0.34</v>
      </c>
      <c r="BG161" s="336"/>
      <c r="BH161" s="214"/>
    </row>
    <row r="162" spans="1:60" x14ac:dyDescent="0.2">
      <c r="A162" s="650"/>
      <c r="B162" s="492" t="s">
        <v>243</v>
      </c>
      <c r="C162" s="740" t="s">
        <v>113</v>
      </c>
      <c r="D162" s="752"/>
      <c r="E162" s="298" t="s">
        <v>116</v>
      </c>
      <c r="F162" s="242"/>
      <c r="G162" s="242"/>
      <c r="H162" s="242" t="s">
        <v>228</v>
      </c>
      <c r="I162" s="232"/>
      <c r="J162" s="243">
        <f>M162+Y162+AK162+AW162</f>
        <v>0</v>
      </c>
      <c r="K162" s="823"/>
      <c r="L162" s="823"/>
      <c r="M162" s="243">
        <f>SUM(O162:X162)</f>
        <v>0</v>
      </c>
      <c r="N162" s="100"/>
      <c r="O162" s="207">
        <f t="shared" ref="O162:V162" si="105">SUM(O$153:O$156)*O$161</f>
        <v>0</v>
      </c>
      <c r="P162" s="207">
        <f t="shared" si="105"/>
        <v>0</v>
      </c>
      <c r="Q162" s="207">
        <f t="shared" si="105"/>
        <v>0</v>
      </c>
      <c r="R162" s="207">
        <f t="shared" si="105"/>
        <v>0</v>
      </c>
      <c r="S162" s="207">
        <f t="shared" si="105"/>
        <v>0</v>
      </c>
      <c r="T162" s="207">
        <f t="shared" si="105"/>
        <v>0</v>
      </c>
      <c r="U162" s="207">
        <f t="shared" si="105"/>
        <v>0</v>
      </c>
      <c r="V162" s="207">
        <f t="shared" si="105"/>
        <v>0</v>
      </c>
      <c r="W162" s="335"/>
      <c r="X162" s="128"/>
      <c r="Y162" s="243">
        <f>SUM(AA162:AJ162)</f>
        <v>0</v>
      </c>
      <c r="Z162" s="100"/>
      <c r="AA162" s="207">
        <f t="shared" ref="AA162:AH162" si="106">SUM(AA$153:AA$156)*AA$161</f>
        <v>0</v>
      </c>
      <c r="AB162" s="207">
        <f t="shared" si="106"/>
        <v>0</v>
      </c>
      <c r="AC162" s="207">
        <f t="shared" si="106"/>
        <v>0</v>
      </c>
      <c r="AD162" s="207">
        <f t="shared" si="106"/>
        <v>0</v>
      </c>
      <c r="AE162" s="207">
        <f t="shared" si="106"/>
        <v>0</v>
      </c>
      <c r="AF162" s="207">
        <f t="shared" si="106"/>
        <v>0</v>
      </c>
      <c r="AG162" s="207">
        <f t="shared" si="106"/>
        <v>0</v>
      </c>
      <c r="AH162" s="207">
        <f t="shared" si="106"/>
        <v>0</v>
      </c>
      <c r="AI162" s="335"/>
      <c r="AJ162" s="128"/>
      <c r="AK162" s="243">
        <f>SUM(AM162:AV162)</f>
        <v>0</v>
      </c>
      <c r="AL162" s="100"/>
      <c r="AM162" s="207">
        <f>SUM(AM$153:AM$156)*AM$161</f>
        <v>0</v>
      </c>
      <c r="AN162" s="207">
        <f t="shared" ref="AN162:AT162" si="107">SUM(AN$153:AN$156)*AN$161</f>
        <v>0</v>
      </c>
      <c r="AO162" s="207">
        <f t="shared" si="107"/>
        <v>0</v>
      </c>
      <c r="AP162" s="207">
        <f t="shared" si="107"/>
        <v>0</v>
      </c>
      <c r="AQ162" s="207">
        <f t="shared" si="107"/>
        <v>0</v>
      </c>
      <c r="AR162" s="207">
        <f t="shared" si="107"/>
        <v>0</v>
      </c>
      <c r="AS162" s="207">
        <f t="shared" si="107"/>
        <v>0</v>
      </c>
      <c r="AT162" s="207">
        <f t="shared" si="107"/>
        <v>0</v>
      </c>
      <c r="AU162" s="335"/>
      <c r="AV162" s="128"/>
      <c r="AW162" s="243">
        <f>SUM(AY162:BH162)</f>
        <v>0</v>
      </c>
      <c r="AX162" s="100"/>
      <c r="AY162" s="207">
        <f>SUM(AY$153:AY$156)*AY$161</f>
        <v>0</v>
      </c>
      <c r="AZ162" s="207">
        <f t="shared" ref="AZ162:BF162" si="108">SUM(AZ$153:AZ$156)*AZ$161</f>
        <v>0</v>
      </c>
      <c r="BA162" s="207">
        <f t="shared" si="108"/>
        <v>0</v>
      </c>
      <c r="BB162" s="207">
        <f t="shared" si="108"/>
        <v>0</v>
      </c>
      <c r="BC162" s="207">
        <f t="shared" si="108"/>
        <v>0</v>
      </c>
      <c r="BD162" s="207">
        <f t="shared" si="108"/>
        <v>0</v>
      </c>
      <c r="BE162" s="207">
        <f t="shared" si="108"/>
        <v>0</v>
      </c>
      <c r="BF162" s="207">
        <f t="shared" si="108"/>
        <v>0</v>
      </c>
      <c r="BG162" s="335"/>
      <c r="BH162" s="214"/>
    </row>
    <row r="163" spans="1:60" x14ac:dyDescent="0.2">
      <c r="A163" s="648"/>
      <c r="B163" s="492" t="s">
        <v>243</v>
      </c>
      <c r="C163" s="739" t="s">
        <v>104</v>
      </c>
      <c r="D163" s="747"/>
      <c r="E163" s="90"/>
      <c r="F163" s="90"/>
      <c r="G163" s="90"/>
      <c r="H163" s="96"/>
      <c r="I163" s="232"/>
      <c r="J163" s="93"/>
      <c r="K163" s="90"/>
      <c r="L163" s="90"/>
      <c r="M163" s="93"/>
      <c r="N163" s="90"/>
      <c r="O163" s="132"/>
      <c r="P163" s="93"/>
      <c r="Q163" s="132"/>
      <c r="R163" s="93"/>
      <c r="S163" s="93"/>
      <c r="T163" s="93"/>
      <c r="U163" s="93"/>
      <c r="V163" s="93"/>
      <c r="W163" s="93"/>
      <c r="X163" s="93"/>
      <c r="Y163" s="93"/>
      <c r="Z163" s="90"/>
      <c r="AA163" s="132"/>
      <c r="AB163" s="93"/>
      <c r="AC163" s="132"/>
      <c r="AD163" s="93"/>
      <c r="AE163" s="93"/>
      <c r="AF163" s="93"/>
      <c r="AG163" s="93"/>
      <c r="AH163" s="93"/>
      <c r="AI163" s="93"/>
      <c r="AJ163" s="93"/>
      <c r="AK163" s="93"/>
      <c r="AL163" s="90"/>
      <c r="AM163" s="132"/>
      <c r="AN163" s="93"/>
      <c r="AO163" s="132"/>
      <c r="AP163" s="93"/>
      <c r="AQ163" s="93"/>
      <c r="AR163" s="93"/>
      <c r="AS163" s="93"/>
      <c r="AT163" s="93"/>
      <c r="AU163" s="93"/>
      <c r="AV163" s="93"/>
      <c r="AW163" s="93"/>
      <c r="AX163" s="90"/>
      <c r="AY163" s="132"/>
      <c r="AZ163" s="93"/>
      <c r="BA163" s="132"/>
      <c r="BB163" s="93"/>
      <c r="BC163" s="93"/>
      <c r="BD163" s="93"/>
      <c r="BE163" s="93"/>
      <c r="BF163" s="93"/>
      <c r="BG163" s="93"/>
      <c r="BH163" s="1"/>
    </row>
    <row r="164" spans="1:60" x14ac:dyDescent="0.2">
      <c r="A164" s="648"/>
      <c r="B164" s="492" t="s">
        <v>252</v>
      </c>
      <c r="C164" s="656" t="s">
        <v>104</v>
      </c>
      <c r="D164" s="747"/>
      <c r="E164" s="90"/>
      <c r="F164" s="90"/>
      <c r="G164" s="90"/>
      <c r="H164" s="96"/>
      <c r="I164" s="90"/>
      <c r="J164" s="93"/>
      <c r="K164" s="90"/>
      <c r="L164" s="90"/>
      <c r="M164" s="93"/>
      <c r="N164" s="90"/>
      <c r="O164" s="132"/>
      <c r="P164" s="93"/>
      <c r="Q164" s="132"/>
      <c r="R164" s="93"/>
      <c r="S164" s="93"/>
      <c r="T164" s="93"/>
      <c r="U164" s="93"/>
      <c r="V164" s="93"/>
      <c r="W164" s="93"/>
      <c r="X164" s="93"/>
      <c r="Y164" s="93"/>
      <c r="Z164" s="90"/>
      <c r="AA164" s="132"/>
      <c r="AB164" s="93"/>
      <c r="AC164" s="132"/>
      <c r="AD164" s="93"/>
      <c r="AE164" s="93"/>
      <c r="AF164" s="93"/>
      <c r="AG164" s="93"/>
      <c r="AH164" s="93"/>
      <c r="AI164" s="93"/>
      <c r="AJ164" s="93"/>
      <c r="AK164" s="93"/>
      <c r="AL164" s="90"/>
      <c r="AM164" s="132"/>
      <c r="AN164" s="93"/>
      <c r="AO164" s="132"/>
      <c r="AP164" s="93"/>
      <c r="AQ164" s="93"/>
      <c r="AR164" s="93"/>
      <c r="AS164" s="93"/>
      <c r="AT164" s="93"/>
      <c r="AU164" s="93"/>
      <c r="AV164" s="93"/>
      <c r="AW164" s="93"/>
      <c r="AX164" s="90"/>
      <c r="AY164" s="132"/>
      <c r="AZ164" s="93"/>
      <c r="BA164" s="132"/>
      <c r="BB164" s="93"/>
      <c r="BC164" s="93"/>
      <c r="BD164" s="93"/>
      <c r="BE164" s="93"/>
      <c r="BF164" s="93"/>
      <c r="BG164" s="93"/>
      <c r="BH164" s="1"/>
    </row>
    <row r="165" spans="1:60" ht="21" x14ac:dyDescent="0.2">
      <c r="A165" s="648"/>
      <c r="B165" s="492" t="s">
        <v>252</v>
      </c>
      <c r="C165" s="739" t="s">
        <v>104</v>
      </c>
      <c r="D165" s="752"/>
      <c r="E165" s="240" t="s">
        <v>253</v>
      </c>
      <c r="F165" s="240"/>
      <c r="G165" s="240"/>
      <c r="H165" s="240"/>
      <c r="I165" s="88"/>
      <c r="J165" s="241" t="str">
        <f>J$10</f>
        <v>totaal</v>
      </c>
      <c r="K165" s="142"/>
      <c r="L165" s="142"/>
      <c r="M165" s="216" t="s">
        <v>254</v>
      </c>
      <c r="N165" s="222"/>
      <c r="O165" s="217" t="str">
        <f t="shared" ref="O165:W165" si="109">O$10</f>
        <v>verwarming</v>
      </c>
      <c r="P165" s="217" t="str">
        <f t="shared" si="109"/>
        <v>koeling</v>
      </c>
      <c r="Q165" s="217" t="str">
        <f t="shared" si="109"/>
        <v>tapwater</v>
      </c>
      <c r="R165" s="217" t="str">
        <f t="shared" si="109"/>
        <v>verlichting</v>
      </c>
      <c r="S165" s="217" t="str">
        <f t="shared" si="109"/>
        <v>ventilatoren</v>
      </c>
      <c r="T165" s="217" t="str">
        <f t="shared" si="109"/>
        <v>kookgas</v>
      </c>
      <c r="U165" s="217" t="str">
        <f t="shared" si="109"/>
        <v>overig elektra</v>
      </c>
      <c r="V165" s="217" t="str">
        <f t="shared" si="109"/>
        <v>mobiliteit</v>
      </c>
      <c r="W165" s="217" t="str">
        <f t="shared" si="109"/>
        <v>zonnepanelen</v>
      </c>
      <c r="X165" s="214"/>
      <c r="Y165" s="216" t="s">
        <v>254</v>
      </c>
      <c r="Z165" s="222"/>
      <c r="AA165" s="217" t="str">
        <f t="shared" ref="AA165:AI165" si="110">AA$10</f>
        <v>verwarming</v>
      </c>
      <c r="AB165" s="217" t="str">
        <f t="shared" si="110"/>
        <v>koeling</v>
      </c>
      <c r="AC165" s="217" t="str">
        <f t="shared" si="110"/>
        <v>tapwater</v>
      </c>
      <c r="AD165" s="217" t="str">
        <f t="shared" si="110"/>
        <v>verlichting</v>
      </c>
      <c r="AE165" s="217" t="str">
        <f t="shared" si="110"/>
        <v>ventilatoren</v>
      </c>
      <c r="AF165" s="217" t="str">
        <f t="shared" si="110"/>
        <v>kookgas</v>
      </c>
      <c r="AG165" s="217" t="str">
        <f t="shared" si="110"/>
        <v>overig elektra</v>
      </c>
      <c r="AH165" s="217" t="str">
        <f t="shared" si="110"/>
        <v>mobiliteit</v>
      </c>
      <c r="AI165" s="217" t="str">
        <f t="shared" si="110"/>
        <v>zonnepanelen</v>
      </c>
      <c r="AJ165" s="214"/>
      <c r="AK165" s="216" t="s">
        <v>254</v>
      </c>
      <c r="AL165" s="222"/>
      <c r="AM165" s="217" t="str">
        <f>AM$10</f>
        <v>verwarming</v>
      </c>
      <c r="AN165" s="217" t="str">
        <f>AN$10</f>
        <v>koeling</v>
      </c>
      <c r="AO165" s="217" t="str">
        <f>AO$10</f>
        <v>tapwater</v>
      </c>
      <c r="AP165" s="217" t="str">
        <f t="shared" ref="AP165:AU165" si="111">AP$10</f>
        <v>verlichting</v>
      </c>
      <c r="AQ165" s="217" t="str">
        <f t="shared" si="111"/>
        <v>ventilatoren</v>
      </c>
      <c r="AR165" s="217" t="str">
        <f t="shared" si="111"/>
        <v>kookgas</v>
      </c>
      <c r="AS165" s="217" t="str">
        <f t="shared" si="111"/>
        <v>overig elektra</v>
      </c>
      <c r="AT165" s="217" t="str">
        <f t="shared" si="111"/>
        <v>mobiliteit</v>
      </c>
      <c r="AU165" s="217" t="str">
        <f t="shared" si="111"/>
        <v>zonnepanelen</v>
      </c>
      <c r="AV165" s="214"/>
      <c r="AW165" s="216" t="s">
        <v>255</v>
      </c>
      <c r="AX165" s="222"/>
      <c r="AY165" s="217" t="str">
        <f>AY$10</f>
        <v>verwarming</v>
      </c>
      <c r="AZ165" s="217" t="str">
        <f>AZ$10</f>
        <v>koeling</v>
      </c>
      <c r="BA165" s="217" t="str">
        <f>BA$10</f>
        <v>tapwater</v>
      </c>
      <c r="BB165" s="217" t="str">
        <f t="shared" ref="BB165:BG165" si="112">BB$10</f>
        <v>verlichting</v>
      </c>
      <c r="BC165" s="217" t="str">
        <f t="shared" si="112"/>
        <v>ventilatoren</v>
      </c>
      <c r="BD165" s="217" t="str">
        <f t="shared" si="112"/>
        <v>kookgas</v>
      </c>
      <c r="BE165" s="217" t="str">
        <f t="shared" si="112"/>
        <v>overig elektra</v>
      </c>
      <c r="BF165" s="217" t="str">
        <f t="shared" si="112"/>
        <v>mobiliteit</v>
      </c>
      <c r="BG165" s="217" t="str">
        <f t="shared" si="112"/>
        <v>zonnepanelen</v>
      </c>
      <c r="BH165" s="1"/>
    </row>
    <row r="166" spans="1:60" ht="18.75" x14ac:dyDescent="0.2">
      <c r="A166" s="648"/>
      <c r="B166" s="492" t="s">
        <v>252</v>
      </c>
      <c r="C166" s="739" t="s">
        <v>104</v>
      </c>
      <c r="D166" s="747"/>
      <c r="E166" s="231" t="s">
        <v>256</v>
      </c>
      <c r="F166" s="231"/>
      <c r="G166" s="231"/>
      <c r="H166" s="89"/>
      <c r="I166" s="232"/>
      <c r="J166" s="231"/>
      <c r="K166" s="232"/>
      <c r="L166" s="232"/>
      <c r="M166" s="231"/>
      <c r="N166" s="232"/>
      <c r="O166" s="232"/>
      <c r="P166" s="232"/>
      <c r="Q166" s="232"/>
      <c r="R166" s="232"/>
      <c r="S166" s="232"/>
      <c r="T166" s="232"/>
      <c r="U166" s="232"/>
      <c r="V166" s="232"/>
      <c r="W166" s="232"/>
      <c r="X166" s="232"/>
      <c r="Y166" s="231"/>
      <c r="Z166" s="232"/>
      <c r="AA166" s="232"/>
      <c r="AB166" s="232"/>
      <c r="AC166" s="232"/>
      <c r="AD166" s="232"/>
      <c r="AE166" s="232"/>
      <c r="AF166" s="232"/>
      <c r="AG166" s="232"/>
      <c r="AH166" s="232"/>
      <c r="AI166" s="232"/>
      <c r="AJ166" s="232"/>
      <c r="AK166" s="231"/>
      <c r="AL166" s="232"/>
      <c r="AM166" s="232"/>
      <c r="AN166" s="232"/>
      <c r="AO166" s="232"/>
      <c r="AP166" s="232"/>
      <c r="AQ166" s="232"/>
      <c r="AR166" s="232"/>
      <c r="AS166" s="232"/>
      <c r="AT166" s="232"/>
      <c r="AU166" s="232"/>
      <c r="AV166" s="232"/>
      <c r="AW166" s="231"/>
      <c r="AX166" s="232"/>
      <c r="AY166" s="232"/>
      <c r="AZ166" s="232"/>
      <c r="BA166" s="232"/>
      <c r="BB166" s="232"/>
      <c r="BC166" s="232"/>
      <c r="BD166" s="232"/>
      <c r="BE166" s="232"/>
      <c r="BF166" s="232"/>
      <c r="BG166" s="232"/>
      <c r="BH166" s="38"/>
    </row>
    <row r="167" spans="1:60" s="2" customFormat="1" hidden="1" x14ac:dyDescent="0.2">
      <c r="A167" s="649"/>
      <c r="B167" s="492" t="s">
        <v>252</v>
      </c>
      <c r="C167" s="739" t="s">
        <v>199</v>
      </c>
      <c r="D167" s="753"/>
      <c r="E167" s="220" t="s">
        <v>257</v>
      </c>
      <c r="F167" s="220"/>
      <c r="G167" s="220"/>
      <c r="H167" s="221" t="s">
        <v>177</v>
      </c>
      <c r="I167" s="129"/>
      <c r="J167" s="243">
        <f>M167+Y167+AK167+AW167</f>
        <v>0</v>
      </c>
      <c r="K167" s="294"/>
      <c r="L167" s="294"/>
      <c r="M167" s="243">
        <f>SUM(N167:X167)</f>
        <v>0</v>
      </c>
      <c r="N167" s="100"/>
      <c r="O167" s="207">
        <f>O$113*O$125</f>
        <v>0</v>
      </c>
      <c r="P167" s="207">
        <f>P$113*P$125</f>
        <v>0</v>
      </c>
      <c r="Q167" s="207">
        <f>Q$113*Q$125</f>
        <v>0</v>
      </c>
      <c r="R167" s="335"/>
      <c r="S167" s="335"/>
      <c r="T167" s="335"/>
      <c r="U167" s="335"/>
      <c r="V167" s="335"/>
      <c r="W167" s="335"/>
      <c r="X167" s="128"/>
      <c r="Y167" s="243">
        <f>SUM(Z167:AJ167)</f>
        <v>0</v>
      </c>
      <c r="Z167" s="100"/>
      <c r="AA167" s="207">
        <f>AA$113*AA$125</f>
        <v>0</v>
      </c>
      <c r="AB167" s="207">
        <f>AB$113*AB$125</f>
        <v>0</v>
      </c>
      <c r="AC167" s="207">
        <f>AC$113*AC$125</f>
        <v>0</v>
      </c>
      <c r="AD167" s="335"/>
      <c r="AE167" s="335"/>
      <c r="AF167" s="335"/>
      <c r="AG167" s="335"/>
      <c r="AH167" s="335"/>
      <c r="AI167" s="335"/>
      <c r="AJ167" s="128"/>
      <c r="AK167" s="243">
        <f>SUM(AL167:AV167)</f>
        <v>0</v>
      </c>
      <c r="AL167" s="100"/>
      <c r="AM167" s="207">
        <f>AM$113*AM$125</f>
        <v>0</v>
      </c>
      <c r="AN167" s="207">
        <f>AN$113*AN$125</f>
        <v>0</v>
      </c>
      <c r="AO167" s="207">
        <f>AO$113*AO$125</f>
        <v>0</v>
      </c>
      <c r="AP167" s="335"/>
      <c r="AQ167" s="335"/>
      <c r="AR167" s="335"/>
      <c r="AS167" s="335"/>
      <c r="AT167" s="335"/>
      <c r="AU167" s="335"/>
      <c r="AV167" s="128"/>
      <c r="AW167" s="243">
        <f>SUM(AX167:BH167)</f>
        <v>0</v>
      </c>
      <c r="AX167" s="100"/>
      <c r="AY167" s="207">
        <f>AY$113*AY$125</f>
        <v>0</v>
      </c>
      <c r="AZ167" s="207">
        <f>AZ$113*AZ$125</f>
        <v>0</v>
      </c>
      <c r="BA167" s="207">
        <f>BA$113*BA$125</f>
        <v>0</v>
      </c>
      <c r="BB167" s="335"/>
      <c r="BC167" s="335"/>
      <c r="BD167" s="335"/>
      <c r="BE167" s="335"/>
      <c r="BF167" s="335"/>
      <c r="BG167" s="335"/>
      <c r="BH167" s="255"/>
    </row>
    <row r="168" spans="1:60" s="2" customFormat="1" hidden="1" x14ac:dyDescent="0.2">
      <c r="A168" s="649"/>
      <c r="B168" s="492" t="s">
        <v>252</v>
      </c>
      <c r="C168" s="739" t="s">
        <v>199</v>
      </c>
      <c r="D168" s="754" t="s">
        <v>50</v>
      </c>
      <c r="E168" s="220" t="s">
        <v>112</v>
      </c>
      <c r="F168" s="220"/>
      <c r="G168" s="220"/>
      <c r="H168" s="221" t="s">
        <v>177</v>
      </c>
      <c r="I168" s="129"/>
      <c r="J168" s="243">
        <f>M168+Y168+AK168+AW168</f>
        <v>0</v>
      </c>
      <c r="K168" s="294"/>
      <c r="L168" s="294"/>
      <c r="M168" s="243">
        <f>SUM(N168:X168)</f>
        <v>0</v>
      </c>
      <c r="N168" s="100"/>
      <c r="O168" s="335"/>
      <c r="P168" s="335"/>
      <c r="Q168" s="335"/>
      <c r="R168" s="335"/>
      <c r="S168" s="335"/>
      <c r="T168" s="335"/>
      <c r="U168" s="335"/>
      <c r="V168" s="335"/>
      <c r="W168" s="207">
        <f>-W75</f>
        <v>0</v>
      </c>
      <c r="X168" s="128"/>
      <c r="Y168" s="243">
        <f>SUM(Z168:AJ168)</f>
        <v>0</v>
      </c>
      <c r="Z168" s="100"/>
      <c r="AA168" s="335"/>
      <c r="AB168" s="335"/>
      <c r="AC168" s="335"/>
      <c r="AD168" s="335"/>
      <c r="AE168" s="335"/>
      <c r="AF168" s="335"/>
      <c r="AG168" s="335"/>
      <c r="AH168" s="335"/>
      <c r="AI168" s="207">
        <f>-AI75</f>
        <v>0</v>
      </c>
      <c r="AJ168" s="128"/>
      <c r="AK168" s="243">
        <f>SUM(AL168:AV168)</f>
        <v>0</v>
      </c>
      <c r="AL168" s="100"/>
      <c r="AM168" s="335"/>
      <c r="AN168" s="335"/>
      <c r="AO168" s="335"/>
      <c r="AP168" s="335"/>
      <c r="AQ168" s="335"/>
      <c r="AR168" s="335"/>
      <c r="AS168" s="335"/>
      <c r="AT168" s="335"/>
      <c r="AU168" s="207">
        <f>-AU75</f>
        <v>0</v>
      </c>
      <c r="AV168" s="128"/>
      <c r="AW168" s="243">
        <f>SUM(AX168:BH168)</f>
        <v>0</v>
      </c>
      <c r="AX168" s="100"/>
      <c r="AY168" s="335"/>
      <c r="AZ168" s="335"/>
      <c r="BA168" s="335"/>
      <c r="BB168" s="335"/>
      <c r="BC168" s="335"/>
      <c r="BD168" s="335"/>
      <c r="BE168" s="335"/>
      <c r="BF168" s="335"/>
      <c r="BG168" s="207">
        <f>-BG75</f>
        <v>0</v>
      </c>
      <c r="BH168" s="255"/>
    </row>
    <row r="169" spans="1:60" s="2" customFormat="1" hidden="1" x14ac:dyDescent="0.2">
      <c r="A169" s="649"/>
      <c r="B169" s="492" t="s">
        <v>252</v>
      </c>
      <c r="C169" s="739" t="s">
        <v>199</v>
      </c>
      <c r="D169" s="753"/>
      <c r="E169" s="220" t="s">
        <v>258</v>
      </c>
      <c r="F169" s="220"/>
      <c r="G169" s="220"/>
      <c r="H169" s="221" t="s">
        <v>177</v>
      </c>
      <c r="I169" s="129"/>
      <c r="J169" s="243">
        <f>J167+J168</f>
        <v>0</v>
      </c>
      <c r="K169" s="294"/>
      <c r="L169" s="294"/>
      <c r="M169" s="243">
        <f>M167+M168</f>
        <v>0</v>
      </c>
      <c r="N169" s="100"/>
      <c r="O169" s="207">
        <f t="shared" ref="O169:W169" si="113">O167+O168</f>
        <v>0</v>
      </c>
      <c r="P169" s="207">
        <f t="shared" si="113"/>
        <v>0</v>
      </c>
      <c r="Q169" s="207">
        <f t="shared" si="113"/>
        <v>0</v>
      </c>
      <c r="R169" s="207"/>
      <c r="S169" s="207"/>
      <c r="T169" s="207"/>
      <c r="U169" s="207"/>
      <c r="V169" s="207"/>
      <c r="W169" s="207">
        <f t="shared" si="113"/>
        <v>0</v>
      </c>
      <c r="X169" s="128"/>
      <c r="Y169" s="243">
        <f>Y167+Y168</f>
        <v>0</v>
      </c>
      <c r="Z169" s="100"/>
      <c r="AA169" s="207">
        <f>AA167+AA168</f>
        <v>0</v>
      </c>
      <c r="AB169" s="207">
        <f>AB167+AB168</f>
        <v>0</v>
      </c>
      <c r="AC169" s="207">
        <f>AC167+AC168</f>
        <v>0</v>
      </c>
      <c r="AD169" s="335"/>
      <c r="AE169" s="335"/>
      <c r="AF169" s="335"/>
      <c r="AG169" s="335"/>
      <c r="AH169" s="335"/>
      <c r="AI169" s="207">
        <f>AI167+AI168</f>
        <v>0</v>
      </c>
      <c r="AJ169" s="128"/>
      <c r="AK169" s="243">
        <f>AK167+AK168</f>
        <v>0</v>
      </c>
      <c r="AL169" s="100"/>
      <c r="AM169" s="207">
        <f>AM167+AM168</f>
        <v>0</v>
      </c>
      <c r="AN169" s="207">
        <f>AN167+AN168</f>
        <v>0</v>
      </c>
      <c r="AO169" s="207">
        <f>AO167+AO168</f>
        <v>0</v>
      </c>
      <c r="AP169" s="335"/>
      <c r="AQ169" s="335"/>
      <c r="AR169" s="335"/>
      <c r="AS169" s="335"/>
      <c r="AT169" s="335"/>
      <c r="AU169" s="207">
        <f>AU167+AU168</f>
        <v>0</v>
      </c>
      <c r="AV169" s="128"/>
      <c r="AW169" s="243">
        <f>AW167+AW168</f>
        <v>0</v>
      </c>
      <c r="AX169" s="100"/>
      <c r="AY169" s="207">
        <f>AY167+AY168</f>
        <v>0</v>
      </c>
      <c r="AZ169" s="207">
        <f>AZ167+AZ168</f>
        <v>0</v>
      </c>
      <c r="BA169" s="207">
        <f>BA167+BA168</f>
        <v>0</v>
      </c>
      <c r="BB169" s="335"/>
      <c r="BC169" s="335"/>
      <c r="BD169" s="335"/>
      <c r="BE169" s="335"/>
      <c r="BF169" s="335"/>
      <c r="BG169" s="207">
        <f>BG167+BG168</f>
        <v>0</v>
      </c>
      <c r="BH169" s="255"/>
    </row>
    <row r="170" spans="1:60" s="2" customFormat="1" ht="18.75" x14ac:dyDescent="0.2">
      <c r="A170" s="649"/>
      <c r="B170" s="492" t="s">
        <v>252</v>
      </c>
      <c r="C170" s="739" t="s">
        <v>104</v>
      </c>
      <c r="D170" s="753"/>
      <c r="E170" s="310" t="s">
        <v>259</v>
      </c>
      <c r="F170" s="310"/>
      <c r="G170" s="310"/>
      <c r="H170" s="311"/>
      <c r="I170" s="312"/>
      <c r="J170" s="310"/>
      <c r="K170" s="313"/>
      <c r="L170" s="313"/>
      <c r="M170" s="310"/>
      <c r="N170" s="312"/>
      <c r="O170" s="312"/>
      <c r="P170" s="312"/>
      <c r="Q170" s="312"/>
      <c r="R170" s="312"/>
      <c r="S170" s="312"/>
      <c r="T170" s="312"/>
      <c r="U170" s="312"/>
      <c r="V170" s="312"/>
      <c r="W170" s="312"/>
      <c r="X170" s="313"/>
      <c r="Y170" s="310"/>
      <c r="Z170" s="312"/>
      <c r="AA170" s="312"/>
      <c r="AB170" s="312"/>
      <c r="AC170" s="312"/>
      <c r="AD170" s="312"/>
      <c r="AE170" s="312"/>
      <c r="AF170" s="312"/>
      <c r="AG170" s="312"/>
      <c r="AH170" s="312"/>
      <c r="AI170" s="312"/>
      <c r="AJ170" s="313"/>
      <c r="AK170" s="310"/>
      <c r="AL170" s="312"/>
      <c r="AM170" s="312"/>
      <c r="AN170" s="312"/>
      <c r="AO170" s="312"/>
      <c r="AP170" s="312"/>
      <c r="AQ170" s="312"/>
      <c r="AR170" s="312"/>
      <c r="AS170" s="312"/>
      <c r="AT170" s="312"/>
      <c r="AU170" s="312"/>
      <c r="AV170" s="313"/>
      <c r="AW170" s="310"/>
      <c r="AX170" s="312"/>
      <c r="AY170" s="312"/>
      <c r="AZ170" s="312"/>
      <c r="BA170" s="312"/>
      <c r="BB170" s="312"/>
      <c r="BC170" s="312"/>
      <c r="BD170" s="312"/>
      <c r="BE170" s="312"/>
      <c r="BF170" s="312"/>
      <c r="BG170" s="312"/>
    </row>
    <row r="171" spans="1:60" s="2" customFormat="1" hidden="1" x14ac:dyDescent="0.2">
      <c r="A171" s="649"/>
      <c r="B171" s="492" t="s">
        <v>252</v>
      </c>
      <c r="C171" s="739" t="s">
        <v>199</v>
      </c>
      <c r="D171" s="753"/>
      <c r="E171" s="220" t="s">
        <v>260</v>
      </c>
      <c r="F171" s="220"/>
      <c r="G171" s="220"/>
      <c r="H171" s="221" t="s">
        <v>220</v>
      </c>
      <c r="I171" s="129"/>
      <c r="J171" s="243">
        <f>M171+Y171+AK171+AW171</f>
        <v>0</v>
      </c>
      <c r="K171" s="294"/>
      <c r="L171" s="294"/>
      <c r="M171" s="306">
        <f>SUM(N171:X171)</f>
        <v>0</v>
      </c>
      <c r="N171" s="100"/>
      <c r="O171" s="308">
        <f>AND(O$81=gebouw,O$102=elektriciteit)*O$113+AND(O$81=gebouw,O$132=elektriciteit)*O$138+SUM(O$153:O$155)</f>
        <v>0</v>
      </c>
      <c r="P171" s="308">
        <f>AND(P$81=gebouw,P$102=elektriciteit)*P$113+AND(P$81=gebouw,P$132=elektriciteit)*P$138+SUM(P$153:P$155)</f>
        <v>0</v>
      </c>
      <c r="Q171" s="308">
        <f>AND(Q$81=gebouw,Q$102=elektriciteit)*Q$113+AND(Q$81=gebouw,Q$132=elektriciteit)*Q$138+SUM(Q$153:Q$155)</f>
        <v>0</v>
      </c>
      <c r="R171" s="308">
        <f>SUM(R$153:R$155)</f>
        <v>0</v>
      </c>
      <c r="S171" s="308">
        <f>SUM(S$153:S$155)</f>
        <v>0</v>
      </c>
      <c r="T171" s="335"/>
      <c r="U171" s="308">
        <f>SUM(U$153:U$155)</f>
        <v>0</v>
      </c>
      <c r="V171" s="308">
        <f>SUM(V$153:V$155)</f>
        <v>0</v>
      </c>
      <c r="W171" s="703"/>
      <c r="X171" s="133"/>
      <c r="Y171" s="306">
        <f>SUM(Z171:AJ171)</f>
        <v>0</v>
      </c>
      <c r="Z171" s="100"/>
      <c r="AA171" s="308">
        <f>AND(AA$81=gebouw,AA$102=elektriciteit)*AA$113+AND(AA$81=gebouw,AA$132=elektriciteit)*AA$138+SUM(AA$153:AA$155)</f>
        <v>0</v>
      </c>
      <c r="AB171" s="308">
        <f>AND(AB$81=gebouw,AB$102=elektriciteit)*AB$113+AND(AB$81=gebouw,AB$132=elektriciteit)*AB$138+SUM(AB$153:AB$155)</f>
        <v>0</v>
      </c>
      <c r="AC171" s="308">
        <f>AND(AC$81=gebouw,AC$102=elektriciteit)*AC$113+AND(AC$81=gebouw,AC$132=elektriciteit)*AC$138+SUM(AC$153:AC$155)</f>
        <v>0</v>
      </c>
      <c r="AD171" s="308">
        <f>SUM(AD$153:AD$155)</f>
        <v>0</v>
      </c>
      <c r="AE171" s="308">
        <f>SUM(AE$153:AE$155)</f>
        <v>0</v>
      </c>
      <c r="AF171" s="335"/>
      <c r="AG171" s="308">
        <f>SUM(AG$153:AG$155)</f>
        <v>0</v>
      </c>
      <c r="AH171" s="308">
        <f>SUM(AH$153:AH$155)</f>
        <v>0</v>
      </c>
      <c r="AI171" s="703"/>
      <c r="AJ171" s="133"/>
      <c r="AK171" s="306">
        <f>SUM(AL171:AV171)</f>
        <v>0</v>
      </c>
      <c r="AL171" s="100"/>
      <c r="AM171" s="308">
        <f>AND(AM$81=gebouw,AM$102=elektriciteit)*AM$113+AND(AM$81=gebouw,AM$132=elektriciteit)*AM$138+SUM(AM$153:AM$155)</f>
        <v>0</v>
      </c>
      <c r="AN171" s="308">
        <f>AND(AN$81=gebouw,AN$102=elektriciteit)*AN$113+AND(AN$81=gebouw,AN$132=elektriciteit)*AN$138+SUM(AN$153:AN$155)</f>
        <v>0</v>
      </c>
      <c r="AO171" s="308">
        <f>AND(AO$81=gebouw,AO$102=elektriciteit)*AO$113+AND(AO$81=gebouw,AO$132=elektriciteit)*AO$138+SUM(AO$153:AO$155)</f>
        <v>0</v>
      </c>
      <c r="AP171" s="308">
        <f>SUM(AP$153:AP$155)</f>
        <v>0</v>
      </c>
      <c r="AQ171" s="308">
        <f>SUM(AQ$153:AQ$155)</f>
        <v>0</v>
      </c>
      <c r="AR171" s="335"/>
      <c r="AS171" s="308">
        <f>SUM(AS$153:AS$155)</f>
        <v>0</v>
      </c>
      <c r="AT171" s="308">
        <f>SUM(AT$153:AT$155)</f>
        <v>0</v>
      </c>
      <c r="AU171" s="703"/>
      <c r="AV171" s="133"/>
      <c r="AW171" s="306">
        <f>SUM(AX171:BH171)</f>
        <v>0</v>
      </c>
      <c r="AX171" s="100"/>
      <c r="AY171" s="308">
        <f>AND(AY$81=gebouw,AY$102=elektriciteit)*AY$113+AND(AY$81=gebouw,AY$132=elektriciteit)*AY$138+SUM(AY$153:AY$155)</f>
        <v>0</v>
      </c>
      <c r="AZ171" s="308">
        <f>AND(AZ$81=gebouw,AZ$102=elektriciteit)*AZ$113+AND(AZ$81=gebouw,AZ$132=elektriciteit)*AZ$138+SUM(AZ$153:AZ$155)</f>
        <v>0</v>
      </c>
      <c r="BA171" s="308">
        <f>AND(BA$81=gebouw,BA$102=elektriciteit)*BA$113+AND(BA$81=gebouw,BA$132=elektriciteit)*BA$138+SUM(BA$153:BA$155)</f>
        <v>0</v>
      </c>
      <c r="BB171" s="308">
        <f>SUM(BB$153:BB$155)</f>
        <v>0</v>
      </c>
      <c r="BC171" s="308">
        <f>SUM(BC$153:BC$155)</f>
        <v>0</v>
      </c>
      <c r="BD171" s="308"/>
      <c r="BE171" s="308">
        <f>SUM(BE$153:BE$155)</f>
        <v>0</v>
      </c>
      <c r="BF171" s="308">
        <f>SUM(BF$153:BF$155)</f>
        <v>0</v>
      </c>
      <c r="BG171" s="703"/>
      <c r="BH171" s="267"/>
    </row>
    <row r="172" spans="1:60" s="2" customFormat="1" hidden="1" x14ac:dyDescent="0.2">
      <c r="A172" s="649"/>
      <c r="B172" s="492" t="s">
        <v>252</v>
      </c>
      <c r="C172" s="739" t="s">
        <v>199</v>
      </c>
      <c r="D172" s="753"/>
      <c r="E172" s="220" t="s">
        <v>261</v>
      </c>
      <c r="F172" s="220"/>
      <c r="G172" s="220"/>
      <c r="H172" s="221" t="s">
        <v>220</v>
      </c>
      <c r="I172" s="129"/>
      <c r="J172" s="243">
        <f>M172+Y172+AK172+AW172</f>
        <v>0</v>
      </c>
      <c r="K172" s="294"/>
      <c r="L172" s="294"/>
      <c r="M172" s="306">
        <f>MIN(M171,M169)</f>
        <v>0</v>
      </c>
      <c r="N172" s="100"/>
      <c r="O172" s="703"/>
      <c r="P172" s="703"/>
      <c r="Q172" s="703"/>
      <c r="R172" s="703"/>
      <c r="S172" s="703"/>
      <c r="T172" s="703"/>
      <c r="U172" s="703"/>
      <c r="V172" s="703"/>
      <c r="W172" s="703"/>
      <c r="X172" s="133"/>
      <c r="Y172" s="306">
        <f>MIN(Y171,Y169)</f>
        <v>0</v>
      </c>
      <c r="Z172" s="100"/>
      <c r="AA172" s="703"/>
      <c r="AB172" s="703"/>
      <c r="AC172" s="703"/>
      <c r="AD172" s="703"/>
      <c r="AE172" s="703"/>
      <c r="AF172" s="703"/>
      <c r="AG172" s="703"/>
      <c r="AH172" s="703"/>
      <c r="AI172" s="703"/>
      <c r="AJ172" s="133"/>
      <c r="AK172" s="306">
        <f>MIN(AK171,AK169)</f>
        <v>0</v>
      </c>
      <c r="AL172" s="100"/>
      <c r="AM172" s="703"/>
      <c r="AN172" s="703"/>
      <c r="AO172" s="703"/>
      <c r="AP172" s="703"/>
      <c r="AQ172" s="703"/>
      <c r="AR172" s="703"/>
      <c r="AS172" s="703"/>
      <c r="AT172" s="703"/>
      <c r="AU172" s="703"/>
      <c r="AV172" s="133"/>
      <c r="AW172" s="306">
        <f>MIN(AW171,AW169)</f>
        <v>0</v>
      </c>
      <c r="AX172" s="100"/>
      <c r="AY172" s="703"/>
      <c r="AZ172" s="703"/>
      <c r="BA172" s="703"/>
      <c r="BB172" s="703"/>
      <c r="BC172" s="703"/>
      <c r="BD172" s="703"/>
      <c r="BE172" s="703"/>
      <c r="BF172" s="703"/>
      <c r="BG172" s="703"/>
      <c r="BH172" s="267"/>
    </row>
    <row r="173" spans="1:60" s="2" customFormat="1" hidden="1" x14ac:dyDescent="0.2">
      <c r="A173" s="649"/>
      <c r="B173" s="492" t="s">
        <v>252</v>
      </c>
      <c r="C173" s="739" t="s">
        <v>199</v>
      </c>
      <c r="D173" s="753"/>
      <c r="E173" s="220" t="s">
        <v>262</v>
      </c>
      <c r="F173" s="220"/>
      <c r="G173" s="220"/>
      <c r="H173" s="221" t="s">
        <v>220</v>
      </c>
      <c r="I173" s="129"/>
      <c r="J173" s="243">
        <f>M173+Y173+AK173+AW173</f>
        <v>0</v>
      </c>
      <c r="K173" s="294"/>
      <c r="L173" s="294"/>
      <c r="M173" s="306">
        <f>MAX(0,M169-M172)</f>
        <v>0</v>
      </c>
      <c r="N173" s="100"/>
      <c r="O173" s="703"/>
      <c r="P173" s="703"/>
      <c r="Q173" s="703"/>
      <c r="R173" s="703"/>
      <c r="S173" s="703"/>
      <c r="T173" s="703"/>
      <c r="U173" s="703"/>
      <c r="V173" s="703"/>
      <c r="W173" s="703"/>
      <c r="X173" s="133"/>
      <c r="Y173" s="306">
        <f>MAX(0,Y167+Y168-Y172)</f>
        <v>0</v>
      </c>
      <c r="Z173" s="100"/>
      <c r="AA173" s="703"/>
      <c r="AB173" s="703"/>
      <c r="AC173" s="703"/>
      <c r="AD173" s="703"/>
      <c r="AE173" s="703"/>
      <c r="AF173" s="703"/>
      <c r="AG173" s="703"/>
      <c r="AH173" s="703"/>
      <c r="AI173" s="703"/>
      <c r="AJ173" s="133"/>
      <c r="AK173" s="306">
        <f>MAX(0,AK167+AK168-AK172)</f>
        <v>0</v>
      </c>
      <c r="AL173" s="100"/>
      <c r="AM173" s="703"/>
      <c r="AN173" s="703"/>
      <c r="AO173" s="703"/>
      <c r="AP173" s="703"/>
      <c r="AQ173" s="703"/>
      <c r="AR173" s="703"/>
      <c r="AS173" s="703"/>
      <c r="AT173" s="703"/>
      <c r="AU173" s="703"/>
      <c r="AV173" s="133"/>
      <c r="AW173" s="306">
        <f>MAX(0,AW167+AW168-AW172)</f>
        <v>0</v>
      </c>
      <c r="AX173" s="100"/>
      <c r="AY173" s="703"/>
      <c r="AZ173" s="703"/>
      <c r="BA173" s="703"/>
      <c r="BB173" s="703"/>
      <c r="BC173" s="703"/>
      <c r="BD173" s="703"/>
      <c r="BE173" s="703"/>
      <c r="BF173" s="703"/>
      <c r="BG173" s="703"/>
      <c r="BH173" s="267"/>
    </row>
    <row r="174" spans="1:60" s="2" customFormat="1" ht="18.75" x14ac:dyDescent="0.2">
      <c r="A174" s="649"/>
      <c r="B174" s="492" t="s">
        <v>252</v>
      </c>
      <c r="C174" s="739" t="s">
        <v>104</v>
      </c>
      <c r="D174" s="753"/>
      <c r="E174" s="310" t="s">
        <v>263</v>
      </c>
      <c r="F174" s="310"/>
      <c r="G174" s="310"/>
      <c r="H174" s="311"/>
      <c r="I174" s="312"/>
      <c r="J174" s="310"/>
      <c r="K174" s="313"/>
      <c r="L174" s="313"/>
      <c r="M174" s="310"/>
      <c r="N174" s="312"/>
      <c r="O174" s="312"/>
      <c r="P174" s="312"/>
      <c r="Q174" s="312"/>
      <c r="R174" s="312"/>
      <c r="S174" s="312"/>
      <c r="T174" s="312"/>
      <c r="U174" s="312"/>
      <c r="V174" s="312"/>
      <c r="W174" s="312"/>
      <c r="X174" s="313"/>
      <c r="Y174" s="310"/>
      <c r="Z174" s="312"/>
      <c r="AA174" s="312"/>
      <c r="AB174" s="312"/>
      <c r="AC174" s="312"/>
      <c r="AD174" s="312"/>
      <c r="AE174" s="312"/>
      <c r="AF174" s="312"/>
      <c r="AG174" s="312"/>
      <c r="AH174" s="312"/>
      <c r="AI174" s="312"/>
      <c r="AJ174" s="313"/>
      <c r="AK174" s="310"/>
      <c r="AL174" s="312"/>
      <c r="AM174" s="312"/>
      <c r="AN174" s="312"/>
      <c r="AO174" s="312"/>
      <c r="AP174" s="312"/>
      <c r="AQ174" s="312"/>
      <c r="AR174" s="312"/>
      <c r="AS174" s="312"/>
      <c r="AT174" s="312"/>
      <c r="AU174" s="312"/>
      <c r="AV174" s="313"/>
      <c r="AW174" s="310"/>
      <c r="AX174" s="312"/>
      <c r="AY174" s="312"/>
      <c r="AZ174" s="312"/>
      <c r="BA174" s="312"/>
      <c r="BB174" s="312"/>
      <c r="BC174" s="312"/>
      <c r="BD174" s="312"/>
      <c r="BE174" s="312"/>
      <c r="BF174" s="312"/>
      <c r="BG174" s="312"/>
    </row>
    <row r="175" spans="1:60" s="2" customFormat="1" hidden="1" x14ac:dyDescent="0.2">
      <c r="A175" s="649"/>
      <c r="B175" s="492" t="s">
        <v>252</v>
      </c>
      <c r="C175" s="739" t="s">
        <v>199</v>
      </c>
      <c r="D175" s="753"/>
      <c r="E175" s="220" t="s">
        <v>264</v>
      </c>
      <c r="F175" s="220"/>
      <c r="G175" s="220"/>
      <c r="H175" s="221" t="s">
        <v>223</v>
      </c>
      <c r="I175" s="129"/>
      <c r="J175" s="230"/>
      <c r="K175" s="90"/>
      <c r="L175" s="90"/>
      <c r="M175" s="307">
        <f>$G$5</f>
        <v>1.45</v>
      </c>
      <c r="N175" s="129"/>
      <c r="O175" s="401"/>
      <c r="P175" s="401"/>
      <c r="Q175" s="401"/>
      <c r="R175" s="401"/>
      <c r="S175" s="401"/>
      <c r="T175" s="401"/>
      <c r="U175" s="401"/>
      <c r="V175" s="401"/>
      <c r="W175" s="401"/>
      <c r="X175" s="123"/>
      <c r="Y175" s="307">
        <f>$G$5</f>
        <v>1.45</v>
      </c>
      <c r="Z175" s="129"/>
      <c r="AA175" s="401"/>
      <c r="AB175" s="401"/>
      <c r="AC175" s="401"/>
      <c r="AD175" s="401"/>
      <c r="AE175" s="401"/>
      <c r="AF175" s="401"/>
      <c r="AG175" s="401"/>
      <c r="AH175" s="401"/>
      <c r="AI175" s="401"/>
      <c r="AJ175" s="123"/>
      <c r="AK175" s="307">
        <f>$G$5</f>
        <v>1.45</v>
      </c>
      <c r="AL175" s="129"/>
      <c r="AM175" s="401"/>
      <c r="AN175" s="401"/>
      <c r="AO175" s="401"/>
      <c r="AP175" s="401"/>
      <c r="AQ175" s="401"/>
      <c r="AR175" s="401"/>
      <c r="AS175" s="401"/>
      <c r="AT175" s="401"/>
      <c r="AU175" s="401"/>
      <c r="AV175" s="123"/>
      <c r="AW175" s="307">
        <f>$G$5</f>
        <v>1.45</v>
      </c>
      <c r="AX175" s="129"/>
      <c r="AY175" s="401"/>
      <c r="AZ175" s="401"/>
      <c r="BA175" s="401"/>
      <c r="BB175" s="401"/>
      <c r="BC175" s="401"/>
      <c r="BD175" s="401"/>
      <c r="BE175" s="401"/>
      <c r="BF175" s="401"/>
      <c r="BG175" s="401"/>
      <c r="BH175" s="264"/>
    </row>
    <row r="176" spans="1:60" s="2" customFormat="1" hidden="1" x14ac:dyDescent="0.2">
      <c r="A176" s="649"/>
      <c r="B176" s="492" t="s">
        <v>252</v>
      </c>
      <c r="C176" s="739" t="s">
        <v>199</v>
      </c>
      <c r="D176" s="753"/>
      <c r="E176" s="220" t="s">
        <v>265</v>
      </c>
      <c r="F176" s="220"/>
      <c r="G176" s="220"/>
      <c r="H176" s="221" t="s">
        <v>223</v>
      </c>
      <c r="I176" s="129"/>
      <c r="J176" s="230"/>
      <c r="K176" s="90"/>
      <c r="L176" s="90"/>
      <c r="M176" s="307">
        <f>HLOOKUP($F$5,elektriciteit_primaire_energiefactor,ROWS(bibliotheek!$E$261:$E$263),FALSE)</f>
        <v>1.45</v>
      </c>
      <c r="N176" s="129"/>
      <c r="O176" s="401"/>
      <c r="P176" s="401"/>
      <c r="Q176" s="401"/>
      <c r="R176" s="401"/>
      <c r="S176" s="401"/>
      <c r="T176" s="401"/>
      <c r="U176" s="401"/>
      <c r="V176" s="401"/>
      <c r="W176" s="401"/>
      <c r="X176" s="123"/>
      <c r="Y176" s="307">
        <f>HLOOKUP($F$5,elektriciteit_primaire_energiefactor,ROWS(bibliotheek!$E$261:$E$263),FALSE)</f>
        <v>1.45</v>
      </c>
      <c r="Z176" s="129"/>
      <c r="AA176" s="401"/>
      <c r="AB176" s="401"/>
      <c r="AC176" s="401"/>
      <c r="AD176" s="401"/>
      <c r="AE176" s="401"/>
      <c r="AF176" s="401"/>
      <c r="AG176" s="401"/>
      <c r="AH176" s="401"/>
      <c r="AI176" s="401"/>
      <c r="AJ176" s="123"/>
      <c r="AK176" s="307">
        <f>HLOOKUP($F$5,elektriciteit_primaire_energiefactor,ROWS(bibliotheek!$E$261:$E$263),FALSE)</f>
        <v>1.45</v>
      </c>
      <c r="AL176" s="129"/>
      <c r="AM176" s="401"/>
      <c r="AN176" s="401"/>
      <c r="AO176" s="401"/>
      <c r="AP176" s="401"/>
      <c r="AQ176" s="401"/>
      <c r="AR176" s="401"/>
      <c r="AS176" s="401"/>
      <c r="AT176" s="401"/>
      <c r="AU176" s="401"/>
      <c r="AV176" s="123"/>
      <c r="AW176" s="307">
        <f>HLOOKUP($F$5,elektriciteit_primaire_energiefactor,ROWS(bibliotheek!$E$261:$E$263),FALSE)</f>
        <v>1.45</v>
      </c>
      <c r="AX176" s="129"/>
      <c r="AY176" s="401"/>
      <c r="AZ176" s="401"/>
      <c r="BA176" s="401"/>
      <c r="BB176" s="401"/>
      <c r="BC176" s="401"/>
      <c r="BD176" s="401"/>
      <c r="BE176" s="401"/>
      <c r="BF176" s="401"/>
      <c r="BG176" s="401"/>
      <c r="BH176" s="264"/>
    </row>
    <row r="177" spans="1:60" s="2" customFormat="1" x14ac:dyDescent="0.2">
      <c r="A177" s="649"/>
      <c r="B177" s="492" t="s">
        <v>252</v>
      </c>
      <c r="C177" s="739" t="s">
        <v>113</v>
      </c>
      <c r="D177" s="754"/>
      <c r="E177" s="220" t="s">
        <v>266</v>
      </c>
      <c r="F177" s="221"/>
      <c r="G177" s="221"/>
      <c r="H177" s="221" t="s">
        <v>115</v>
      </c>
      <c r="I177" s="129"/>
      <c r="J177" s="243">
        <f>M177+Y177+AK177+AW177</f>
        <v>0</v>
      </c>
      <c r="K177" s="823"/>
      <c r="L177" s="823"/>
      <c r="M177" s="306">
        <f>(M172*M175+M173*M176)</f>
        <v>0</v>
      </c>
      <c r="N177" s="100"/>
      <c r="O177" s="207">
        <f>IF($M$169=0,0,O$169/$M$169*$M177)</f>
        <v>0</v>
      </c>
      <c r="P177" s="207">
        <f>IF($M$169=0,0,P$169/$M$169*$M177)</f>
        <v>0</v>
      </c>
      <c r="Q177" s="207">
        <f>IF($M$169=0,0,Q$169/$M$169*$M177)</f>
        <v>0</v>
      </c>
      <c r="R177" s="335"/>
      <c r="S177" s="335"/>
      <c r="T177" s="335"/>
      <c r="U177" s="335"/>
      <c r="V177" s="335"/>
      <c r="W177" s="207">
        <f>IF($M$169=0,0,W$169/$M$169*$M177)</f>
        <v>0</v>
      </c>
      <c r="X177" s="128"/>
      <c r="Y177" s="306">
        <f>(Y172*Y175+Y173*Y176)</f>
        <v>0</v>
      </c>
      <c r="Z177" s="100"/>
      <c r="AA177" s="207">
        <f>IF($Y$169=0,0,AA$169/$Y$169*$Y177)</f>
        <v>0</v>
      </c>
      <c r="AB177" s="207">
        <f>IF($Y$169=0,0,AB$169/$Y$169*$Y177)</f>
        <v>0</v>
      </c>
      <c r="AC177" s="207">
        <f>IF($Y$169=0,0,AC$169/$Y$169*$Y177)</f>
        <v>0</v>
      </c>
      <c r="AD177" s="335"/>
      <c r="AE177" s="335"/>
      <c r="AF177" s="335"/>
      <c r="AG177" s="335"/>
      <c r="AH177" s="335"/>
      <c r="AI177" s="207">
        <f>IF($Y$169=0,0,AI$169/$Y$169*$Y177)</f>
        <v>0</v>
      </c>
      <c r="AJ177" s="128"/>
      <c r="AK177" s="306">
        <f>(AK172*AK175+AK173*AK176)</f>
        <v>0</v>
      </c>
      <c r="AL177" s="100"/>
      <c r="AM177" s="207">
        <f>IF($AK$169=0,0,AM$169/$AK$169*$AK177)</f>
        <v>0</v>
      </c>
      <c r="AN177" s="207">
        <f>IF($AK$169=0,0,AN$169/$AK$169*$AK177)</f>
        <v>0</v>
      </c>
      <c r="AO177" s="207">
        <f>IF($AK$169=0,0,AO$169/$AK$169*$AK177)</f>
        <v>0</v>
      </c>
      <c r="AP177" s="335"/>
      <c r="AQ177" s="335"/>
      <c r="AR177" s="335"/>
      <c r="AS177" s="335"/>
      <c r="AT177" s="335"/>
      <c r="AU177" s="207">
        <f>IF($AK$169=0,0,AU$169/$AK$169*$AK177)</f>
        <v>0</v>
      </c>
      <c r="AV177" s="128"/>
      <c r="AW177" s="306">
        <f>(AW172*AW175+AW173*AW176)</f>
        <v>0</v>
      </c>
      <c r="AX177" s="100"/>
      <c r="AY177" s="207">
        <f>IF($AW$169=0,0,AY$169/$AW$169*$AW177)</f>
        <v>0</v>
      </c>
      <c r="AZ177" s="207">
        <f>IF($AW$169=0,0,AZ$169/$AW$169*$AW177)</f>
        <v>0</v>
      </c>
      <c r="BA177" s="207">
        <f>IF($AW$169=0,0,BA$169/$AW$169*$AW177)</f>
        <v>0</v>
      </c>
      <c r="BB177" s="335"/>
      <c r="BC177" s="335"/>
      <c r="BD177" s="335"/>
      <c r="BE177" s="335"/>
      <c r="BF177" s="335"/>
      <c r="BG177" s="207">
        <f>IF($AW$169=0,0,BG$169/$AW$169*$AW177)</f>
        <v>0</v>
      </c>
      <c r="BH177" s="255"/>
    </row>
    <row r="178" spans="1:60" s="2" customFormat="1" ht="18.75" x14ac:dyDescent="0.2">
      <c r="A178" s="649"/>
      <c r="B178" s="492" t="s">
        <v>252</v>
      </c>
      <c r="C178" s="739" t="s">
        <v>104</v>
      </c>
      <c r="D178" s="753"/>
      <c r="E178" s="310" t="s">
        <v>267</v>
      </c>
      <c r="F178" s="310"/>
      <c r="G178" s="310"/>
      <c r="H178" s="311"/>
      <c r="I178" s="312"/>
      <c r="J178" s="310"/>
      <c r="K178" s="313"/>
      <c r="L178" s="313"/>
      <c r="M178" s="310"/>
      <c r="N178" s="312"/>
      <c r="O178" s="312"/>
      <c r="P178" s="312"/>
      <c r="Q178" s="312"/>
      <c r="R178" s="312"/>
      <c r="S178" s="312"/>
      <c r="T178" s="312"/>
      <c r="U178" s="312"/>
      <c r="V178" s="312"/>
      <c r="W178" s="312"/>
      <c r="X178" s="313"/>
      <c r="Y178" s="310"/>
      <c r="Z178" s="312"/>
      <c r="AA178" s="312"/>
      <c r="AB178" s="312"/>
      <c r="AC178" s="312"/>
      <c r="AD178" s="312"/>
      <c r="AE178" s="312"/>
      <c r="AF178" s="312"/>
      <c r="AG178" s="312"/>
      <c r="AH178" s="312"/>
      <c r="AI178" s="312"/>
      <c r="AJ178" s="313"/>
      <c r="AK178" s="310"/>
      <c r="AL178" s="312"/>
      <c r="AM178" s="312"/>
      <c r="AN178" s="312"/>
      <c r="AO178" s="312"/>
      <c r="AP178" s="312"/>
      <c r="AQ178" s="312"/>
      <c r="AR178" s="312"/>
      <c r="AS178" s="312"/>
      <c r="AT178" s="312"/>
      <c r="AU178" s="312"/>
      <c r="AV178" s="313"/>
      <c r="AW178" s="310"/>
      <c r="AX178" s="312"/>
      <c r="AY178" s="312"/>
      <c r="AZ178" s="312"/>
      <c r="BA178" s="312"/>
      <c r="BB178" s="312"/>
      <c r="BC178" s="312"/>
      <c r="BD178" s="312"/>
      <c r="BE178" s="312"/>
      <c r="BF178" s="312"/>
      <c r="BG178" s="312"/>
    </row>
    <row r="179" spans="1:60" s="2" customFormat="1" hidden="1" x14ac:dyDescent="0.2">
      <c r="A179" s="649"/>
      <c r="B179" s="492" t="s">
        <v>252</v>
      </c>
      <c r="C179" s="739" t="s">
        <v>199</v>
      </c>
      <c r="D179" s="753"/>
      <c r="E179" s="220" t="s">
        <v>268</v>
      </c>
      <c r="F179" s="220"/>
      <c r="G179" s="220"/>
      <c r="H179" s="221" t="s">
        <v>226</v>
      </c>
      <c r="I179" s="129"/>
      <c r="J179" s="230"/>
      <c r="K179" s="90"/>
      <c r="L179" s="90"/>
      <c r="M179" s="425">
        <f>$H$5</f>
        <v>0.34</v>
      </c>
      <c r="N179" s="424"/>
      <c r="O179" s="402"/>
      <c r="P179" s="402"/>
      <c r="Q179" s="402"/>
      <c r="R179" s="402"/>
      <c r="S179" s="402"/>
      <c r="T179" s="402"/>
      <c r="U179" s="402"/>
      <c r="V179" s="402"/>
      <c r="W179" s="402"/>
      <c r="X179" s="426"/>
      <c r="Y179" s="425">
        <f>$H$5</f>
        <v>0.34</v>
      </c>
      <c r="Z179" s="424"/>
      <c r="AA179" s="402"/>
      <c r="AB179" s="402"/>
      <c r="AC179" s="402"/>
      <c r="AD179" s="402"/>
      <c r="AE179" s="402"/>
      <c r="AF179" s="402"/>
      <c r="AG179" s="402"/>
      <c r="AH179" s="402"/>
      <c r="AI179" s="402"/>
      <c r="AJ179" s="426"/>
      <c r="AK179" s="425">
        <f>$H$5</f>
        <v>0.34</v>
      </c>
      <c r="AL179" s="424"/>
      <c r="AM179" s="402"/>
      <c r="AN179" s="402"/>
      <c r="AO179" s="402"/>
      <c r="AP179" s="402"/>
      <c r="AQ179" s="402"/>
      <c r="AR179" s="402"/>
      <c r="AS179" s="402"/>
      <c r="AT179" s="402"/>
      <c r="AU179" s="402"/>
      <c r="AV179" s="426"/>
      <c r="AW179" s="425">
        <f>$H$5</f>
        <v>0.34</v>
      </c>
      <c r="AX179" s="129"/>
      <c r="AY179" s="401"/>
      <c r="AZ179" s="401"/>
      <c r="BA179" s="401"/>
      <c r="BB179" s="401"/>
      <c r="BC179" s="401"/>
      <c r="BD179" s="401"/>
      <c r="BE179" s="401"/>
      <c r="BF179" s="401"/>
      <c r="BG179" s="401"/>
      <c r="BH179" s="264"/>
    </row>
    <row r="180" spans="1:60" s="2" customFormat="1" hidden="1" x14ac:dyDescent="0.2">
      <c r="A180" s="649"/>
      <c r="B180" s="492" t="s">
        <v>252</v>
      </c>
      <c r="C180" s="739" t="s">
        <v>199</v>
      </c>
      <c r="D180" s="753"/>
      <c r="E180" s="220" t="s">
        <v>269</v>
      </c>
      <c r="F180" s="220"/>
      <c r="G180" s="220"/>
      <c r="H180" s="221" t="s">
        <v>226</v>
      </c>
      <c r="I180" s="129"/>
      <c r="J180" s="230"/>
      <c r="K180" s="90"/>
      <c r="L180" s="90"/>
      <c r="M180" s="425">
        <f>HLOOKUP($F$5,elektriciteit_primaire_energiefactor,ROWS(bibliotheek!$E$261:$E$265),FALSE)</f>
        <v>0.34</v>
      </c>
      <c r="N180" s="424"/>
      <c r="O180" s="402"/>
      <c r="P180" s="402"/>
      <c r="Q180" s="402"/>
      <c r="R180" s="402"/>
      <c r="S180" s="402"/>
      <c r="T180" s="402"/>
      <c r="U180" s="402"/>
      <c r="V180" s="402"/>
      <c r="W180" s="402"/>
      <c r="X180" s="426"/>
      <c r="Y180" s="425">
        <f>HLOOKUP($F$5,elektriciteit_primaire_energiefactor,ROWS(bibliotheek!$E$261:$E$265),FALSE)</f>
        <v>0.34</v>
      </c>
      <c r="Z180" s="424"/>
      <c r="AA180" s="402"/>
      <c r="AB180" s="402"/>
      <c r="AC180" s="402"/>
      <c r="AD180" s="402"/>
      <c r="AE180" s="402"/>
      <c r="AF180" s="402"/>
      <c r="AG180" s="402"/>
      <c r="AH180" s="402"/>
      <c r="AI180" s="402"/>
      <c r="AJ180" s="426"/>
      <c r="AK180" s="425">
        <f>HLOOKUP($F$5,elektriciteit_primaire_energiefactor,ROWS(bibliotheek!$E$261:$E$265),FALSE)</f>
        <v>0.34</v>
      </c>
      <c r="AL180" s="424"/>
      <c r="AM180" s="402"/>
      <c r="AN180" s="402"/>
      <c r="AO180" s="402"/>
      <c r="AP180" s="402"/>
      <c r="AQ180" s="402"/>
      <c r="AR180" s="402"/>
      <c r="AS180" s="402"/>
      <c r="AT180" s="402"/>
      <c r="AU180" s="402"/>
      <c r="AV180" s="426"/>
      <c r="AW180" s="425">
        <f>HLOOKUP($F$5,elektriciteit_primaire_energiefactor,ROWS(bibliotheek!$E$261:$E$265),FALSE)</f>
        <v>0.34</v>
      </c>
      <c r="AX180" s="129"/>
      <c r="AY180" s="401"/>
      <c r="AZ180" s="401"/>
      <c r="BA180" s="401"/>
      <c r="BB180" s="401"/>
      <c r="BC180" s="401"/>
      <c r="BD180" s="401"/>
      <c r="BE180" s="401"/>
      <c r="BF180" s="401"/>
      <c r="BG180" s="401"/>
      <c r="BH180" s="264"/>
    </row>
    <row r="181" spans="1:60" s="2" customFormat="1" x14ac:dyDescent="0.2">
      <c r="A181" s="649"/>
      <c r="B181" s="492" t="s">
        <v>252</v>
      </c>
      <c r="C181" s="739" t="s">
        <v>113</v>
      </c>
      <c r="D181" s="753"/>
      <c r="E181" s="220" t="s">
        <v>270</v>
      </c>
      <c r="F181" s="221"/>
      <c r="G181" s="221"/>
      <c r="H181" s="221" t="s">
        <v>228</v>
      </c>
      <c r="I181" s="129"/>
      <c r="J181" s="243">
        <f>M181+Y181+AK181+AW181</f>
        <v>0</v>
      </c>
      <c r="K181" s="823"/>
      <c r="L181" s="823"/>
      <c r="M181" s="243">
        <f>M172*M179+M173*M180</f>
        <v>0</v>
      </c>
      <c r="N181" s="100"/>
      <c r="O181" s="207">
        <f>IF($M$169=0,0,O$169/$M$169*$M181)</f>
        <v>0</v>
      </c>
      <c r="P181" s="207">
        <f>IF($M$169=0,0,P$169/$M$169*$M181)</f>
        <v>0</v>
      </c>
      <c r="Q181" s="207">
        <f>IF($M$169=0,0,Q$169/$M$169*$M181)</f>
        <v>0</v>
      </c>
      <c r="R181" s="335"/>
      <c r="S181" s="335"/>
      <c r="T181" s="335"/>
      <c r="U181" s="335"/>
      <c r="V181" s="335"/>
      <c r="W181" s="207">
        <f>IF($M$169=0,0,W$169/$M$169*$M181)</f>
        <v>0</v>
      </c>
      <c r="X181" s="128"/>
      <c r="Y181" s="243">
        <f>Y172*Y179+Y173*Y180</f>
        <v>0</v>
      </c>
      <c r="Z181" s="100"/>
      <c r="AA181" s="207">
        <f>IF($Y$169=0,0,AA$169/$Y$169*$Y181)</f>
        <v>0</v>
      </c>
      <c r="AB181" s="207">
        <f>IF($Y$169=0,0,AB$169/$Y$169*$Y181)</f>
        <v>0</v>
      </c>
      <c r="AC181" s="207">
        <f>IF($Y$169=0,0,AC$169/$Y$169*$Y181)</f>
        <v>0</v>
      </c>
      <c r="AD181" s="335"/>
      <c r="AE181" s="335"/>
      <c r="AF181" s="335"/>
      <c r="AG181" s="335"/>
      <c r="AH181" s="335"/>
      <c r="AI181" s="207">
        <f>IF($Y$169=0,0,AI$169/$Y$169*$Y181)</f>
        <v>0</v>
      </c>
      <c r="AJ181" s="128"/>
      <c r="AK181" s="243">
        <f>AK172*AK179+AK173*AK180</f>
        <v>0</v>
      </c>
      <c r="AL181" s="100"/>
      <c r="AM181" s="207">
        <f>IF($AK$169=0,0,AM$169/$AK$169*$AK181)</f>
        <v>0</v>
      </c>
      <c r="AN181" s="207">
        <f>IF($AK$169=0,0,AN$169/$AK$169*$AK181)</f>
        <v>0</v>
      </c>
      <c r="AO181" s="207">
        <f>IF($AK$169=0,0,AO$169/$AK$169*$AK181)</f>
        <v>0</v>
      </c>
      <c r="AP181" s="335"/>
      <c r="AQ181" s="335"/>
      <c r="AR181" s="335"/>
      <c r="AS181" s="335"/>
      <c r="AT181" s="335"/>
      <c r="AU181" s="207">
        <f>IF($AK$169=0,0,AU$169/$AK$169*$AK181)</f>
        <v>0</v>
      </c>
      <c r="AV181" s="128"/>
      <c r="AW181" s="243">
        <f>AW172*AW179+AW173*AW180</f>
        <v>0</v>
      </c>
      <c r="AX181" s="100"/>
      <c r="AY181" s="207">
        <f>IF($AW$169=0,0,AY$169/$AW$169*$AW181)</f>
        <v>0</v>
      </c>
      <c r="AZ181" s="207">
        <f>IF($AW$169=0,0,AZ$169/$AW$169*$AW181)</f>
        <v>0</v>
      </c>
      <c r="BA181" s="207">
        <f>IF($AW$169=0,0,BA$169/$AW$169*$AW181)</f>
        <v>0</v>
      </c>
      <c r="BB181" s="335"/>
      <c r="BC181" s="335"/>
      <c r="BD181" s="335"/>
      <c r="BE181" s="335"/>
      <c r="BF181" s="335"/>
      <c r="BG181" s="207">
        <f>IF($AW$169=0,0,BG$169/$AW$169*$AW181)</f>
        <v>0</v>
      </c>
      <c r="BH181" s="255"/>
    </row>
    <row r="182" spans="1:60" x14ac:dyDescent="0.2">
      <c r="A182" s="648"/>
      <c r="B182" s="492" t="s">
        <v>252</v>
      </c>
      <c r="C182" s="739" t="s">
        <v>104</v>
      </c>
      <c r="D182" s="747"/>
      <c r="E182" s="90"/>
      <c r="F182" s="90"/>
      <c r="G182" s="90"/>
      <c r="H182" s="96"/>
      <c r="I182" s="90"/>
      <c r="J182" s="93"/>
      <c r="K182" s="90"/>
      <c r="L182" s="90"/>
      <c r="M182" s="93"/>
      <c r="N182" s="90"/>
      <c r="O182" s="122"/>
      <c r="P182" s="122"/>
      <c r="Q182" s="122"/>
      <c r="R182" s="93"/>
      <c r="S182" s="93"/>
      <c r="T182" s="93"/>
      <c r="U182" s="93"/>
      <c r="V182" s="93"/>
      <c r="W182" s="93"/>
      <c r="X182" s="93"/>
      <c r="Y182" s="93"/>
      <c r="Z182" s="90"/>
      <c r="AA182" s="122"/>
      <c r="AB182" s="122"/>
      <c r="AC182" s="122"/>
      <c r="AD182" s="93"/>
      <c r="AE182" s="93"/>
      <c r="AF182" s="93"/>
      <c r="AG182" s="93"/>
      <c r="AH182" s="93"/>
      <c r="AI182" s="93"/>
      <c r="AJ182" s="93"/>
      <c r="AK182" s="93"/>
      <c r="AL182" s="90"/>
      <c r="AM182" s="122"/>
      <c r="AN182" s="122"/>
      <c r="AO182" s="122"/>
      <c r="AP182" s="93"/>
      <c r="AQ182" s="93"/>
      <c r="AR182" s="93"/>
      <c r="AS182" s="93"/>
      <c r="AT182" s="93"/>
      <c r="AU182" s="93"/>
      <c r="AV182" s="93"/>
      <c r="AW182" s="93"/>
      <c r="AX182" s="90"/>
      <c r="AY182" s="122"/>
      <c r="AZ182" s="122"/>
      <c r="BA182" s="122"/>
      <c r="BB182" s="122"/>
      <c r="BC182" s="122"/>
      <c r="BD182" s="122"/>
      <c r="BE182" s="122"/>
      <c r="BF182" s="122"/>
      <c r="BG182" s="122"/>
      <c r="BH182" s="1"/>
    </row>
    <row r="183" spans="1:60" x14ac:dyDescent="0.2">
      <c r="A183" s="648"/>
      <c r="B183" s="492" t="s">
        <v>271</v>
      </c>
      <c r="C183" s="656" t="s">
        <v>104</v>
      </c>
      <c r="D183" s="747"/>
      <c r="E183" s="134"/>
      <c r="F183" s="90"/>
      <c r="G183" s="90"/>
      <c r="H183" s="96"/>
      <c r="I183" s="90"/>
      <c r="J183" s="93"/>
      <c r="K183" s="90"/>
      <c r="L183" s="90"/>
      <c r="M183" s="93"/>
      <c r="N183" s="90"/>
      <c r="O183" s="93"/>
      <c r="P183" s="93"/>
      <c r="Q183" s="93"/>
      <c r="R183" s="93"/>
      <c r="S183" s="93"/>
      <c r="T183" s="93"/>
      <c r="U183" s="93"/>
      <c r="V183" s="93"/>
      <c r="W183" s="93"/>
      <c r="X183" s="93"/>
      <c r="Y183" s="93"/>
      <c r="Z183" s="90"/>
      <c r="AA183" s="93"/>
      <c r="AB183" s="93"/>
      <c r="AC183" s="93"/>
      <c r="AD183" s="93"/>
      <c r="AE183" s="93"/>
      <c r="AF183" s="93"/>
      <c r="AG183" s="93"/>
      <c r="AH183" s="93"/>
      <c r="AI183" s="93"/>
      <c r="AJ183" s="93"/>
      <c r="AK183" s="93"/>
      <c r="AL183" s="90"/>
      <c r="AM183" s="93"/>
      <c r="AN183" s="93"/>
      <c r="AO183" s="93"/>
      <c r="AP183" s="93"/>
      <c r="AQ183" s="93"/>
      <c r="AR183" s="93"/>
      <c r="AS183" s="93"/>
      <c r="AT183" s="93"/>
      <c r="AU183" s="93"/>
      <c r="AV183" s="93"/>
      <c r="AW183" s="93"/>
      <c r="AX183" s="90"/>
      <c r="AY183" s="93"/>
      <c r="AZ183" s="93"/>
      <c r="BA183" s="93"/>
      <c r="BB183" s="93"/>
      <c r="BC183" s="93"/>
      <c r="BD183" s="93"/>
      <c r="BE183" s="93"/>
      <c r="BF183" s="93"/>
      <c r="BG183" s="93"/>
      <c r="BH183" s="1"/>
    </row>
    <row r="184" spans="1:60" ht="21" x14ac:dyDescent="0.2">
      <c r="A184" s="648"/>
      <c r="B184" s="492" t="s">
        <v>271</v>
      </c>
      <c r="C184" s="739" t="s">
        <v>104</v>
      </c>
      <c r="D184" s="752"/>
      <c r="E184" s="240" t="s">
        <v>272</v>
      </c>
      <c r="F184" s="240"/>
      <c r="G184" s="825"/>
      <c r="H184" s="216"/>
      <c r="I184" s="88"/>
      <c r="J184" s="241"/>
      <c r="K184" s="142"/>
      <c r="L184" s="142"/>
      <c r="M184" s="216" t="str">
        <f>M$10</f>
        <v>totaal</v>
      </c>
      <c r="N184" s="222"/>
      <c r="O184" s="217" t="str">
        <f t="shared" ref="O184:W184" si="114">O$10</f>
        <v>verwarming</v>
      </c>
      <c r="P184" s="217" t="str">
        <f t="shared" si="114"/>
        <v>koeling</v>
      </c>
      <c r="Q184" s="217" t="str">
        <f t="shared" si="114"/>
        <v>tapwater</v>
      </c>
      <c r="R184" s="217" t="str">
        <f t="shared" si="114"/>
        <v>verlichting</v>
      </c>
      <c r="S184" s="217" t="str">
        <f t="shared" si="114"/>
        <v>ventilatoren</v>
      </c>
      <c r="T184" s="217" t="str">
        <f t="shared" si="114"/>
        <v>kookgas</v>
      </c>
      <c r="U184" s="217" t="str">
        <f t="shared" si="114"/>
        <v>overig elektra</v>
      </c>
      <c r="V184" s="217" t="str">
        <f t="shared" si="114"/>
        <v>mobiliteit</v>
      </c>
      <c r="W184" s="217" t="str">
        <f t="shared" si="114"/>
        <v>zonnepanelen</v>
      </c>
      <c r="X184" s="214"/>
      <c r="Y184" s="216" t="str">
        <f>Y$10</f>
        <v>totaal</v>
      </c>
      <c r="Z184" s="222"/>
      <c r="AA184" s="217" t="str">
        <f t="shared" ref="AA184:AI184" si="115">AA$10</f>
        <v>verwarming</v>
      </c>
      <c r="AB184" s="217" t="str">
        <f t="shared" si="115"/>
        <v>koeling</v>
      </c>
      <c r="AC184" s="217" t="str">
        <f t="shared" si="115"/>
        <v>tapwater</v>
      </c>
      <c r="AD184" s="217" t="str">
        <f t="shared" si="115"/>
        <v>verlichting</v>
      </c>
      <c r="AE184" s="217" t="str">
        <f t="shared" si="115"/>
        <v>ventilatoren</v>
      </c>
      <c r="AF184" s="217" t="str">
        <f t="shared" si="115"/>
        <v>kookgas</v>
      </c>
      <c r="AG184" s="217" t="str">
        <f t="shared" si="115"/>
        <v>overig elektra</v>
      </c>
      <c r="AH184" s="217" t="str">
        <f t="shared" si="115"/>
        <v>mobiliteit</v>
      </c>
      <c r="AI184" s="217" t="str">
        <f t="shared" si="115"/>
        <v>zonnepanelen</v>
      </c>
      <c r="AJ184" s="214"/>
      <c r="AK184" s="216" t="str">
        <f>AK$10</f>
        <v>totaal</v>
      </c>
      <c r="AL184" s="222"/>
      <c r="AM184" s="217" t="str">
        <f>AM$10</f>
        <v>verwarming</v>
      </c>
      <c r="AN184" s="217" t="str">
        <f t="shared" ref="AN184:AU184" si="116">AN$10</f>
        <v>koeling</v>
      </c>
      <c r="AO184" s="217" t="str">
        <f t="shared" si="116"/>
        <v>tapwater</v>
      </c>
      <c r="AP184" s="217" t="str">
        <f t="shared" si="116"/>
        <v>verlichting</v>
      </c>
      <c r="AQ184" s="217" t="str">
        <f t="shared" si="116"/>
        <v>ventilatoren</v>
      </c>
      <c r="AR184" s="217" t="str">
        <f t="shared" si="116"/>
        <v>kookgas</v>
      </c>
      <c r="AS184" s="217" t="str">
        <f t="shared" si="116"/>
        <v>overig elektra</v>
      </c>
      <c r="AT184" s="217" t="str">
        <f t="shared" si="116"/>
        <v>mobiliteit</v>
      </c>
      <c r="AU184" s="217" t="str">
        <f t="shared" si="116"/>
        <v>zonnepanelen</v>
      </c>
      <c r="AV184" s="214"/>
      <c r="AW184" s="216" t="str">
        <f>AW$10</f>
        <v>totaal</v>
      </c>
      <c r="AX184" s="222"/>
      <c r="AY184" s="217" t="str">
        <f t="shared" ref="AY184:BG184" si="117">AY$10</f>
        <v>verwarming</v>
      </c>
      <c r="AZ184" s="217" t="str">
        <f t="shared" si="117"/>
        <v>koeling</v>
      </c>
      <c r="BA184" s="217" t="str">
        <f t="shared" si="117"/>
        <v>tapwater</v>
      </c>
      <c r="BB184" s="217" t="str">
        <f t="shared" si="117"/>
        <v>verlichting</v>
      </c>
      <c r="BC184" s="217" t="str">
        <f t="shared" si="117"/>
        <v>ventilatoren</v>
      </c>
      <c r="BD184" s="217" t="str">
        <f t="shared" si="117"/>
        <v>kookgas</v>
      </c>
      <c r="BE184" s="217" t="str">
        <f t="shared" si="117"/>
        <v>overig elektra</v>
      </c>
      <c r="BF184" s="217" t="str">
        <f t="shared" si="117"/>
        <v>mobiliteit</v>
      </c>
      <c r="BG184" s="217" t="str">
        <f t="shared" si="117"/>
        <v>zonnepanelen</v>
      </c>
      <c r="BH184" s="1"/>
    </row>
    <row r="185" spans="1:60" ht="18.75" x14ac:dyDescent="0.2">
      <c r="A185" s="648"/>
      <c r="B185" s="492" t="s">
        <v>271</v>
      </c>
      <c r="C185" s="739" t="s">
        <v>104</v>
      </c>
      <c r="D185" s="747"/>
      <c r="E185" s="231" t="s">
        <v>273</v>
      </c>
      <c r="F185" s="231"/>
      <c r="G185" s="231"/>
      <c r="H185" s="89"/>
      <c r="I185" s="232"/>
      <c r="J185" s="231"/>
      <c r="K185" s="232"/>
      <c r="L185" s="232"/>
      <c r="M185" s="231"/>
      <c r="N185" s="232"/>
      <c r="O185" s="232"/>
      <c r="P185" s="232"/>
      <c r="Q185" s="232"/>
      <c r="R185" s="232"/>
      <c r="S185" s="232"/>
      <c r="T185" s="232"/>
      <c r="U185" s="232"/>
      <c r="V185" s="232"/>
      <c r="W185" s="232"/>
      <c r="X185" s="232"/>
      <c r="Y185" s="232"/>
      <c r="Z185" s="232"/>
      <c r="AA185" s="232"/>
      <c r="AB185" s="232"/>
      <c r="AC185" s="232"/>
      <c r="AD185" s="232"/>
      <c r="AE185" s="232"/>
      <c r="AF185" s="232"/>
      <c r="AG185" s="232"/>
      <c r="AH185" s="232"/>
      <c r="AI185" s="232"/>
      <c r="AJ185" s="232"/>
      <c r="AK185" s="232"/>
      <c r="AL185" s="232"/>
      <c r="AM185" s="232"/>
      <c r="AN185" s="232"/>
      <c r="AO185" s="232"/>
      <c r="AP185" s="232"/>
      <c r="AQ185" s="232"/>
      <c r="AR185" s="232"/>
      <c r="AS185" s="232"/>
      <c r="AT185" s="232"/>
      <c r="AU185" s="232"/>
      <c r="AV185" s="232"/>
      <c r="AW185" s="232"/>
      <c r="AX185" s="232"/>
      <c r="AY185" s="232"/>
      <c r="AZ185" s="232"/>
      <c r="BA185" s="232"/>
      <c r="BB185" s="232"/>
      <c r="BC185" s="232"/>
      <c r="BD185" s="232"/>
      <c r="BE185" s="232"/>
      <c r="BF185" s="232"/>
      <c r="BG185" s="232"/>
      <c r="BH185" s="38"/>
    </row>
    <row r="186" spans="1:60" x14ac:dyDescent="0.2">
      <c r="A186" s="648"/>
      <c r="B186" s="492" t="s">
        <v>271</v>
      </c>
      <c r="C186" s="656" t="s">
        <v>113</v>
      </c>
      <c r="D186" s="750"/>
      <c r="E186" s="220" t="s">
        <v>274</v>
      </c>
      <c r="F186" s="220"/>
      <c r="G186" s="220"/>
      <c r="H186" s="242" t="str">
        <f>m3gas&amp;"/won.geb"</f>
        <v>m3/won.geb</v>
      </c>
      <c r="I186" s="129"/>
      <c r="J186" s="243"/>
      <c r="K186" s="279"/>
      <c r="L186" s="279"/>
      <c r="M186" s="230">
        <f>SUM(N186:X186)</f>
        <v>0</v>
      </c>
      <c r="N186" s="135"/>
      <c r="O186" s="223">
        <f>IF(O$29=0,0,((AND(O$81=gebouw,O$102=aardgas))*O$113+(AND(O$81=gebouw,O$132=aardgas))*O$138)*1000/bibliotheek!$I$530/O$29)</f>
        <v>0</v>
      </c>
      <c r="P186" s="223">
        <f>IF(P$29=0,0,((AND(P$81=gebouw,P$102=aardgas))*P$113+(AND(P$81=gebouw,P$132=aardgas))*P$138)*1000/bibliotheek!$I$530/P$29)</f>
        <v>0</v>
      </c>
      <c r="Q186" s="223">
        <f>IF(Q$29=0,0,((AND(Q$81=gebouw,Q$102=aardgas))*Q$113+(AND(Q$81=gebouw,Q$132=aardgas))*Q$138)*1000/bibliotheek!$I$530/Q$29)</f>
        <v>0</v>
      </c>
      <c r="R186" s="373"/>
      <c r="S186" s="373"/>
      <c r="T186" s="223">
        <f>IF(T$29=0,0,T$75*1000/bibliotheek!$I$530/T$29)</f>
        <v>0</v>
      </c>
      <c r="U186" s="373"/>
      <c r="V186" s="373"/>
      <c r="W186" s="373"/>
      <c r="X186" s="122"/>
      <c r="Y186" s="230">
        <f>SUM(Z186:AJ186)</f>
        <v>0</v>
      </c>
      <c r="Z186" s="135"/>
      <c r="AA186" s="223">
        <f>IF(AA$29=0,0,((AND(AA$81=gebouw,AA$102=aardgas))*AA$113+(AND(AA$81=gebouw,AA$132=aardgas))*AA$138)*1000/bibliotheek!$I$530/AA$29)</f>
        <v>0</v>
      </c>
      <c r="AB186" s="223">
        <f>IF(AB$29=0,0,((AND(AB$81=gebouw,AB$102=aardgas))*AB$113+(AND(AB$81=gebouw,AB$132=aardgas))*AB$138)*1000/bibliotheek!$I$530/AB$29)</f>
        <v>0</v>
      </c>
      <c r="AC186" s="223">
        <f>IF(AC$29=0,0,((AND(AC$81=gebouw,AC$102=aardgas))*AC$113+(AND(AC$81=gebouw,AC$132=aardgas))*AC$138)*1000/bibliotheek!$I$530/AC$29)</f>
        <v>0</v>
      </c>
      <c r="AD186" s="373"/>
      <c r="AE186" s="373"/>
      <c r="AF186" s="223">
        <f>IF(AF$29=0,0,AF$75*1000/bibliotheek!$I$530/AF$29)</f>
        <v>0</v>
      </c>
      <c r="AG186" s="373"/>
      <c r="AH186" s="373"/>
      <c r="AI186" s="373"/>
      <c r="AJ186" s="122"/>
      <c r="AK186" s="230">
        <f>SUM(AL186:AV186)</f>
        <v>0</v>
      </c>
      <c r="AL186" s="135"/>
      <c r="AM186" s="223">
        <f>IF(AM$29=0,0,((AND(AM$81=gebouw,AM$102=aardgas))*AM$113+(AND(AM$81=gebouw,AM$132=aardgas))*AM$138)*1000/bibliotheek!$I$530/AM$29)</f>
        <v>0</v>
      </c>
      <c r="AN186" s="223">
        <f>IF(AN$29=0,0,((AND(AN$81=gebouw,AN$102=aardgas))*AN$113+(AND(AN$81=gebouw,AN$132=aardgas))*AN$138)*1000/bibliotheek!$I$530/AN$29)</f>
        <v>0</v>
      </c>
      <c r="AO186" s="223">
        <f>IF(AO$29=0,0,((AND(AO$81=gebouw,AO$102=aardgas))*AO$113+(AND(AO$81=gebouw,AO$132=aardgas))*AO$138)*1000/bibliotheek!$I$530/AO$29)</f>
        <v>0</v>
      </c>
      <c r="AP186" s="373"/>
      <c r="AQ186" s="373"/>
      <c r="AR186" s="223">
        <f>IF(AR$29=0,0,AR$75*1000/bibliotheek!$I$530/AR$29)</f>
        <v>0</v>
      </c>
      <c r="AS186" s="373"/>
      <c r="AT186" s="373"/>
      <c r="AU186" s="373"/>
      <c r="AV186" s="122"/>
      <c r="AW186" s="230">
        <f>SUM(AX186:BH186)</f>
        <v>0</v>
      </c>
      <c r="AX186" s="135"/>
      <c r="AY186" s="223">
        <f>IF(AY$29=0,0,((AND(AY$81=gebouw,AY$102=aardgas))*AY$113+(AND(AY$81=gebouw,AY$132=aardgas))*AY$138)*1000/bibliotheek!$I$530/AY$29)</f>
        <v>0</v>
      </c>
      <c r="AZ186" s="223">
        <f>IF(AZ$29=0,0,((AND(AZ$81=gebouw,AZ$102=aardgas))*AZ$113+(AND(AZ$81=gebouw,AZ$132=aardgas))*AZ$138)*1000/bibliotheek!$I$530/AZ$29)</f>
        <v>0</v>
      </c>
      <c r="BA186" s="223">
        <f>IF(BA$29=0,0,((AND(BA$81=gebouw,BA$102=aardgas))*BA$113+(AND(BA$81=gebouw,BA$132=aardgas))*BA$138)*1000/bibliotheek!$I$530/BA$29)</f>
        <v>0</v>
      </c>
      <c r="BB186" s="373"/>
      <c r="BC186" s="373"/>
      <c r="BD186" s="223">
        <f>IF(BD$29=0,0,BD$75*1000/bibliotheek!$I$530/BD$29)</f>
        <v>0</v>
      </c>
      <c r="BE186" s="373"/>
      <c r="BF186" s="373"/>
      <c r="BG186" s="373"/>
      <c r="BH186" s="255"/>
    </row>
    <row r="187" spans="1:60" x14ac:dyDescent="0.2">
      <c r="A187" s="648"/>
      <c r="B187" s="492" t="s">
        <v>271</v>
      </c>
      <c r="C187" s="656" t="s">
        <v>113</v>
      </c>
      <c r="D187" s="750"/>
      <c r="E187" s="220" t="s">
        <v>156</v>
      </c>
      <c r="F187" s="220"/>
      <c r="G187" s="220"/>
      <c r="H187" s="242" t="str">
        <f>kWh&amp;"/won.geb"</f>
        <v>kWh/won.geb</v>
      </c>
      <c r="I187" s="129"/>
      <c r="J187" s="243"/>
      <c r="K187" s="279"/>
      <c r="L187" s="279"/>
      <c r="M187" s="230">
        <f>SUM(N187:X187)</f>
        <v>0</v>
      </c>
      <c r="N187" s="135"/>
      <c r="O187" s="223">
        <f>IF(O$29=0,0,(O$171-O$167)*1000/O$29)</f>
        <v>0</v>
      </c>
      <c r="P187" s="223">
        <f>IF(OR(P$29=0,P$33=0),0,(P$171-P$167)*1000/P$29)</f>
        <v>0</v>
      </c>
      <c r="Q187" s="223">
        <f>IF(OR(Q$29=0,Q$33=0),0,(Q$171-Q$167)*1000/Q$29)</f>
        <v>0</v>
      </c>
      <c r="R187" s="223">
        <f>IF(R$29=0,0,R$171*1000/R$29)</f>
        <v>0</v>
      </c>
      <c r="S187" s="223">
        <f>IF(S$29=0,0,S$171*1000/S$29)</f>
        <v>0</v>
      </c>
      <c r="T187" s="335"/>
      <c r="U187" s="223">
        <f>IF(U$29=0,0,U$171*1000/U$29)</f>
        <v>0</v>
      </c>
      <c r="V187" s="223">
        <f>IF(V$29=0,0,V$171*1000/V$29)</f>
        <v>0</v>
      </c>
      <c r="W187" s="223">
        <f>IF(W$29=0,0,-W$168*1000/W$29)</f>
        <v>0</v>
      </c>
      <c r="X187" s="122"/>
      <c r="Y187" s="230">
        <f>SUM(Z187:AJ187)</f>
        <v>0</v>
      </c>
      <c r="Z187" s="135"/>
      <c r="AA187" s="223">
        <f>IF(AA$29=0,0,(AA$171-AA$167)*1000/AA$29)</f>
        <v>0</v>
      </c>
      <c r="AB187" s="223">
        <f>IF(OR(AB$29=0,AB$33=0),0,(AB$171-AB$167)*1000/AB$29)</f>
        <v>0</v>
      </c>
      <c r="AC187" s="223">
        <f>IF(OR(AC$29=0,AC$33=0),0,(AC$171-AC$167)*1000/AC$29)</f>
        <v>0</v>
      </c>
      <c r="AD187" s="223">
        <f>IF(AD$29=0,0,AD$171*1000/AD$29)</f>
        <v>0</v>
      </c>
      <c r="AE187" s="223">
        <f>IF(AE$29=0,0,AE$171*1000/AE$29)</f>
        <v>0</v>
      </c>
      <c r="AF187" s="335"/>
      <c r="AG187" s="223">
        <f>IF(AG$29=0,0,AG$171*1000/AG$29)</f>
        <v>0</v>
      </c>
      <c r="AH187" s="223">
        <f>IF(AH$29=0,0,AH$171*1000/AH$29)</f>
        <v>0</v>
      </c>
      <c r="AI187" s="223">
        <f>IF(AI$29=0,0,-AI$168*1000/AI$29)</f>
        <v>0</v>
      </c>
      <c r="AJ187" s="122"/>
      <c r="AK187" s="230">
        <f>SUM(AL187:AV187)</f>
        <v>0</v>
      </c>
      <c r="AL187" s="135"/>
      <c r="AM187" s="223">
        <f>IF(AM$29=0,0,(AM$171-AM$167)*1000/AM$29)</f>
        <v>0</v>
      </c>
      <c r="AN187" s="223">
        <f>IF(OR(AN$29=0,AN$33=0),0,(AN$171-AN$167)*1000/AN$29)</f>
        <v>0</v>
      </c>
      <c r="AO187" s="223">
        <f>IF(OR(AO$29=0,AO$33=0),0,(AO$171-AO$167)*1000/AO$29)</f>
        <v>0</v>
      </c>
      <c r="AP187" s="223">
        <f>IF(AP$29=0,0,AP$171*1000/AP$29)</f>
        <v>0</v>
      </c>
      <c r="AQ187" s="223">
        <f>IF(AQ$29=0,0,AQ$171*1000/AQ$29)</f>
        <v>0</v>
      </c>
      <c r="AR187" s="207"/>
      <c r="AS187" s="223">
        <f>IF(AS$29=0,0,AS$171*1000/AS$29)</f>
        <v>0</v>
      </c>
      <c r="AT187" s="223">
        <f>IF(AT$29=0,0,AT$171*1000/AT$29)</f>
        <v>0</v>
      </c>
      <c r="AU187" s="223">
        <f>IF(AU$29=0,0,-AU$168*1000/AU$29)</f>
        <v>0</v>
      </c>
      <c r="AV187" s="122"/>
      <c r="AW187" s="230">
        <f>SUM(AX187:BH187)</f>
        <v>0</v>
      </c>
      <c r="AX187" s="135"/>
      <c r="AY187" s="223">
        <f>IF(AY$29=0,0,(AY$171-AY$167)*1000/AY$29)</f>
        <v>0</v>
      </c>
      <c r="AZ187" s="223">
        <f>IF(OR(AZ$29=0,AZ$33=0),0,(AZ$171-AZ$167)*1000/AZ$29)</f>
        <v>0</v>
      </c>
      <c r="BA187" s="223">
        <f>IF(OR(BA$29=0,BA$33=0),0,(BA$171-BA$167)*1000/BA$29)</f>
        <v>0</v>
      </c>
      <c r="BB187" s="223">
        <f>IF(BB$29=0,0,BB$171*1000/BB$29)</f>
        <v>0</v>
      </c>
      <c r="BC187" s="223">
        <f>IF(BC$29=0,0,BC$171*1000/BC$29)</f>
        <v>0</v>
      </c>
      <c r="BD187" s="335"/>
      <c r="BE187" s="223">
        <f>IF(BE$29=0,0,BE$171*1000/BE$29)</f>
        <v>0</v>
      </c>
      <c r="BF187" s="223">
        <f>IF(BF$29=0,0,BF$171*1000/BF$29)</f>
        <v>0</v>
      </c>
      <c r="BG187" s="223">
        <f>IF(BG$29=0,0,-BG$168*1000/BG$29)</f>
        <v>0</v>
      </c>
      <c r="BH187" s="255"/>
    </row>
    <row r="188" spans="1:60" x14ac:dyDescent="0.2">
      <c r="A188" s="648"/>
      <c r="B188" s="492" t="s">
        <v>271</v>
      </c>
      <c r="C188" s="656" t="s">
        <v>113</v>
      </c>
      <c r="D188" s="750"/>
      <c r="E188" s="220" t="s">
        <v>275</v>
      </c>
      <c r="F188" s="220"/>
      <c r="G188" s="220"/>
      <c r="H188" s="242" t="str">
        <f>GJ&amp;"/won.geb"</f>
        <v>GJ/won.geb</v>
      </c>
      <c r="I188" s="129"/>
      <c r="J188" s="243"/>
      <c r="K188" s="279"/>
      <c r="L188" s="279"/>
      <c r="M188" s="243">
        <f>SUM(N188:X188)</f>
        <v>0</v>
      </c>
      <c r="N188" s="100"/>
      <c r="O188" s="207">
        <f>IF(O$29=0,0,(O$81&lt;&gt;gebouw)*(O$75+O$85-O$88)*3.6/O$29)</f>
        <v>0</v>
      </c>
      <c r="P188" s="207">
        <f>IF(P$29=0,0,(P$81&lt;&gt;gebouw)*(P$75+P$85-P$88)*3.6/P$29)</f>
        <v>0</v>
      </c>
      <c r="Q188" s="207">
        <f>IF(Q$29=0,0,(Q$81&lt;&gt;gebouw)*(Q$75+Q$85-Q$88)*3.6/Q$29)</f>
        <v>0</v>
      </c>
      <c r="R188" s="335"/>
      <c r="S188" s="335"/>
      <c r="T188" s="335"/>
      <c r="U188" s="335"/>
      <c r="V188" s="335"/>
      <c r="W188" s="335"/>
      <c r="X188" s="128"/>
      <c r="Y188" s="243">
        <f>SUM(Z188:AJ188)</f>
        <v>0</v>
      </c>
      <c r="Z188" s="100"/>
      <c r="AA188" s="207">
        <f>IF(AA$29=0,0,(AA$81&lt;&gt;gebouw)*(AA$75+AA$85-AA$88)*3.6/AA$29)</f>
        <v>0</v>
      </c>
      <c r="AB188" s="207">
        <f>IF(AB$29=0,0,(AB$81&lt;&gt;gebouw)*(AB$75+AB$85-AB$88)*3.6/AB$29)</f>
        <v>0</v>
      </c>
      <c r="AC188" s="207">
        <f>IF(AC$29=0,0,(AC$81&lt;&gt;gebouw)*(AC$75+AC$85-AC$88)*3.6/AC$29)</f>
        <v>0</v>
      </c>
      <c r="AD188" s="335"/>
      <c r="AE188" s="335"/>
      <c r="AF188" s="335"/>
      <c r="AG188" s="335"/>
      <c r="AH188" s="335"/>
      <c r="AI188" s="335"/>
      <c r="AJ188" s="128"/>
      <c r="AK188" s="243">
        <f>SUM(AL188:AV188)</f>
        <v>0</v>
      </c>
      <c r="AL188" s="100"/>
      <c r="AM188" s="207">
        <f>IF(AM$29=0,0,(AM$81&lt;&gt;gebouw)*(AM$75+AM$85-AM$88)*3.6/AM$29)</f>
        <v>0</v>
      </c>
      <c r="AN188" s="207">
        <f>IF(AN$29=0,0,(AN$81&lt;&gt;gebouw)*(AN$75+AN$85-AN$88)*3.6/AN$29)</f>
        <v>0</v>
      </c>
      <c r="AO188" s="207">
        <f>IF(AO$29=0,0,(AO$81&lt;&gt;gebouw)*(AO$75+AO$85-AO$88)*3.6/AO$29)</f>
        <v>0</v>
      </c>
      <c r="AP188" s="207"/>
      <c r="AQ188" s="207"/>
      <c r="AR188" s="207"/>
      <c r="AS188" s="207"/>
      <c r="AT188" s="207"/>
      <c r="AU188" s="207"/>
      <c r="AV188" s="128"/>
      <c r="AW188" s="243">
        <f>SUM(AX188:BH188)</f>
        <v>0</v>
      </c>
      <c r="AX188" s="100"/>
      <c r="AY188" s="207">
        <f>IF(AY$29=0,0,(AY$81&lt;&gt;gebouw)*(AY$75+AY$85-AY$88)*3.6/AY$29)</f>
        <v>0</v>
      </c>
      <c r="AZ188" s="207">
        <f>IF(AZ$29=0,0,(AZ$81&lt;&gt;gebouw)*(AZ$75+AZ$85-AZ$88)*3.6/AZ$29)</f>
        <v>0</v>
      </c>
      <c r="BA188" s="207">
        <f>IF(BA$29=0,0,(BA$81&lt;&gt;gebouw)*(BA$75+BA$85-BA$88)*3.6/BA$29)</f>
        <v>0</v>
      </c>
      <c r="BB188" s="335"/>
      <c r="BC188" s="335"/>
      <c r="BD188" s="335"/>
      <c r="BE188" s="335"/>
      <c r="BF188" s="335"/>
      <c r="BG188" s="335"/>
      <c r="BH188" s="255"/>
    </row>
    <row r="189" spans="1:60" ht="18.75" x14ac:dyDescent="0.2">
      <c r="A189" s="648"/>
      <c r="B189" s="492" t="s">
        <v>271</v>
      </c>
      <c r="C189" s="739" t="s">
        <v>104</v>
      </c>
      <c r="D189" s="750"/>
      <c r="E189" s="231" t="s">
        <v>276</v>
      </c>
      <c r="F189" s="231"/>
      <c r="G189" s="231"/>
      <c r="H189" s="89"/>
      <c r="I189" s="232"/>
      <c r="J189" s="231"/>
      <c r="K189" s="232"/>
      <c r="L189" s="232"/>
      <c r="M189" s="231"/>
      <c r="N189" s="232"/>
      <c r="O189" s="232"/>
      <c r="P189" s="232"/>
      <c r="Q189" s="232"/>
      <c r="R189" s="232"/>
      <c r="S189" s="232"/>
      <c r="T189" s="232"/>
      <c r="U189" s="232"/>
      <c r="V189" s="232"/>
      <c r="W189" s="232"/>
      <c r="X189" s="232"/>
      <c r="Y189" s="232"/>
      <c r="Z189" s="232"/>
      <c r="AA189" s="232"/>
      <c r="AB189" s="232"/>
      <c r="AC189" s="232"/>
      <c r="AD189" s="232"/>
      <c r="AE189" s="232"/>
      <c r="AF189" s="232"/>
      <c r="AG189" s="232"/>
      <c r="AH189" s="232"/>
      <c r="AI189" s="232"/>
      <c r="AJ189" s="232"/>
      <c r="AK189" s="232"/>
      <c r="AL189" s="232"/>
      <c r="AM189" s="232"/>
      <c r="AN189" s="232"/>
      <c r="AO189" s="232"/>
      <c r="AP189" s="232"/>
      <c r="AQ189" s="232"/>
      <c r="AR189" s="232"/>
      <c r="AS189" s="232"/>
      <c r="AT189" s="232"/>
      <c r="AU189" s="232"/>
      <c r="AV189" s="232"/>
      <c r="AW189" s="232"/>
      <c r="AX189" s="232"/>
      <c r="AY189" s="232"/>
      <c r="AZ189" s="232"/>
      <c r="BA189" s="232"/>
      <c r="BB189" s="232"/>
      <c r="BC189" s="232"/>
      <c r="BD189" s="232"/>
      <c r="BE189" s="232"/>
      <c r="BF189" s="232"/>
      <c r="BG189" s="232"/>
      <c r="BH189" s="38"/>
    </row>
    <row r="190" spans="1:60" x14ac:dyDescent="0.2">
      <c r="A190" s="648"/>
      <c r="B190" s="492" t="s">
        <v>271</v>
      </c>
      <c r="C190" s="656" t="s">
        <v>113</v>
      </c>
      <c r="D190" s="750"/>
      <c r="E190" s="220" t="s">
        <v>274</v>
      </c>
      <c r="F190" s="220"/>
      <c r="G190" s="220"/>
      <c r="H190" s="242" t="s">
        <v>277</v>
      </c>
      <c r="I190" s="129"/>
      <c r="J190" s="243"/>
      <c r="K190" s="279"/>
      <c r="L190" s="279"/>
      <c r="M190" s="243">
        <f>IF(M$31=0,0,M186*M$24/M$31)</f>
        <v>0</v>
      </c>
      <c r="N190" s="100"/>
      <c r="O190" s="207">
        <f t="shared" ref="O190:Q192" si="118">IF(OR(O$33="",O$33=0),0,O$29*O186/O$33)</f>
        <v>0</v>
      </c>
      <c r="P190" s="207">
        <f t="shared" si="118"/>
        <v>0</v>
      </c>
      <c r="Q190" s="207">
        <f t="shared" si="118"/>
        <v>0</v>
      </c>
      <c r="R190" s="335"/>
      <c r="S190" s="335"/>
      <c r="T190" s="207">
        <f>IF(OR(T$33="",T$33=0),0,T$29*T186/T$33)</f>
        <v>0</v>
      </c>
      <c r="U190" s="335"/>
      <c r="V190" s="335"/>
      <c r="W190" s="335"/>
      <c r="X190" s="128"/>
      <c r="Y190" s="243">
        <f>IF(Y$31=0,0,Y186*Y$24/Y$31)</f>
        <v>0</v>
      </c>
      <c r="Z190" s="100"/>
      <c r="AA190" s="207">
        <f t="shared" ref="AA190:AC192" si="119">IF(OR(AA$33="",AA$33=0),0,AA$29*AA186/AA$33)</f>
        <v>0</v>
      </c>
      <c r="AB190" s="207">
        <f t="shared" si="119"/>
        <v>0</v>
      </c>
      <c r="AC190" s="207">
        <f t="shared" si="119"/>
        <v>0</v>
      </c>
      <c r="AD190" s="335"/>
      <c r="AE190" s="335"/>
      <c r="AF190" s="207">
        <f>IF(OR(AF$33="",AF$33=0),0,AF$29*AF186/AF$33)</f>
        <v>0</v>
      </c>
      <c r="AG190" s="335"/>
      <c r="AH190" s="335"/>
      <c r="AI190" s="335"/>
      <c r="AJ190" s="128"/>
      <c r="AK190" s="243">
        <f>IF(AK$31=0,0,AK186*AK$24/AK$31)</f>
        <v>0</v>
      </c>
      <c r="AL190" s="100"/>
      <c r="AM190" s="207">
        <f>IF(OR(AM$33="",AM$33=0),0,AM$29*AM186/AM$33)</f>
        <v>0</v>
      </c>
      <c r="AN190" s="207">
        <f t="shared" ref="AN190:AO192" si="120">IF(OR(AN$33="",AN$33=0),0,AN$29*AN186/AN$33)</f>
        <v>0</v>
      </c>
      <c r="AO190" s="207">
        <f t="shared" si="120"/>
        <v>0</v>
      </c>
      <c r="AP190" s="335"/>
      <c r="AQ190" s="335"/>
      <c r="AR190" s="207">
        <f>IF(OR(AR$33="",AR$33=0),0,AR$29*AR186/AR$33)</f>
        <v>0</v>
      </c>
      <c r="AS190" s="335"/>
      <c r="AT190" s="335"/>
      <c r="AU190" s="335"/>
      <c r="AV190" s="128"/>
      <c r="AW190" s="243">
        <f>IF(AW$31=0,0,AW186*AW$24/AW$31)</f>
        <v>0</v>
      </c>
      <c r="AX190" s="100"/>
      <c r="AY190" s="207">
        <f t="shared" ref="AY190:BA192" si="121">IF(OR(AY$33="",AY$33=0),0,AY$29*AY186/AY$33)</f>
        <v>0</v>
      </c>
      <c r="AZ190" s="207">
        <f t="shared" si="121"/>
        <v>0</v>
      </c>
      <c r="BA190" s="207">
        <f t="shared" si="121"/>
        <v>0</v>
      </c>
      <c r="BB190" s="335"/>
      <c r="BC190" s="335"/>
      <c r="BD190" s="207">
        <f>IF(OR(BD$33="",BD$33=0),0,BD$29*BD186/BD$33)</f>
        <v>0</v>
      </c>
      <c r="BE190" s="335"/>
      <c r="BF190" s="335"/>
      <c r="BG190" s="335"/>
      <c r="BH190" s="255"/>
    </row>
    <row r="191" spans="1:60" x14ac:dyDescent="0.2">
      <c r="A191" s="648"/>
      <c r="B191" s="492" t="s">
        <v>271</v>
      </c>
      <c r="C191" s="656" t="s">
        <v>113</v>
      </c>
      <c r="D191" s="750"/>
      <c r="E191" s="220" t="s">
        <v>156</v>
      </c>
      <c r="F191" s="220"/>
      <c r="G191" s="220"/>
      <c r="H191" s="242" t="s">
        <v>169</v>
      </c>
      <c r="I191" s="129"/>
      <c r="J191" s="243"/>
      <c r="K191" s="279"/>
      <c r="L191" s="279"/>
      <c r="M191" s="243">
        <f>IF(M$31=0,0,M187*M$24/M$31)</f>
        <v>0</v>
      </c>
      <c r="N191" s="100"/>
      <c r="O191" s="207">
        <f t="shared" si="118"/>
        <v>0</v>
      </c>
      <c r="P191" s="207">
        <f t="shared" si="118"/>
        <v>0</v>
      </c>
      <c r="Q191" s="207">
        <f t="shared" si="118"/>
        <v>0</v>
      </c>
      <c r="R191" s="207">
        <f>IF(OR(R$33="",R$33=0),0,R$29*R187/R$33)</f>
        <v>0</v>
      </c>
      <c r="S191" s="207">
        <f>IF(OR(S$33="",S$33=0),0,S$29*S187/S$33)</f>
        <v>0</v>
      </c>
      <c r="T191" s="335"/>
      <c r="U191" s="207">
        <f>IF(OR(U$33="",U$33=0),0,U$29*U187/U$33)</f>
        <v>0</v>
      </c>
      <c r="V191" s="207">
        <f>IF(OR(V$33="",V$33=0),0,V$29*V187/V$33)</f>
        <v>0</v>
      </c>
      <c r="W191" s="207">
        <f>IF(OR(W$33="",W$33=0),0,W$29*W187/W$33)</f>
        <v>0</v>
      </c>
      <c r="X191" s="128"/>
      <c r="Y191" s="243">
        <f>IF(Y$31=0,0,Y187*Y$24/Y$31)</f>
        <v>0</v>
      </c>
      <c r="Z191" s="100"/>
      <c r="AA191" s="207">
        <f t="shared" si="119"/>
        <v>0</v>
      </c>
      <c r="AB191" s="207">
        <f t="shared" si="119"/>
        <v>0</v>
      </c>
      <c r="AC191" s="207">
        <f t="shared" si="119"/>
        <v>0</v>
      </c>
      <c r="AD191" s="207">
        <f>IF(OR(AD$33="",AD$33=0),0,AD$29*AD187/AD$33)</f>
        <v>0</v>
      </c>
      <c r="AE191" s="207">
        <f>IF(OR(AE$33="",AE$33=0),0,AE$29*AE187/AE$33)</f>
        <v>0</v>
      </c>
      <c r="AF191" s="335"/>
      <c r="AG191" s="207">
        <f>IF(OR(AG$33="",AG$33=0),0,AG$29*AG187/AG$33)</f>
        <v>0</v>
      </c>
      <c r="AH191" s="207">
        <f>IF(OR(AH$33="",AH$33=0),0,AH$29*AH187/AH$33)</f>
        <v>0</v>
      </c>
      <c r="AI191" s="207">
        <f>IF(OR(AI$33="",AI$33=0),0,AI$29*AI187/AI$33)</f>
        <v>0</v>
      </c>
      <c r="AJ191" s="128"/>
      <c r="AK191" s="243">
        <f>IF(AK$31=0,0,AK187*AK$24/AK$31)</f>
        <v>0</v>
      </c>
      <c r="AL191" s="100"/>
      <c r="AM191" s="207">
        <f>IF(OR(AM$33="",AM$33=0),0,AM$29*AM187/AM$33)</f>
        <v>0</v>
      </c>
      <c r="AN191" s="207">
        <f t="shared" si="120"/>
        <v>0</v>
      </c>
      <c r="AO191" s="207">
        <f t="shared" si="120"/>
        <v>0</v>
      </c>
      <c r="AP191" s="207">
        <f>IF(OR(AP$33="",AP$33=0),0,AP$29*AP187/AP$33)</f>
        <v>0</v>
      </c>
      <c r="AQ191" s="207">
        <f>IF(OR(AQ$33="",AQ$33=0),0,AQ$29*AQ187/AQ$33)</f>
        <v>0</v>
      </c>
      <c r="AR191" s="335"/>
      <c r="AS191" s="207">
        <f>IF(OR(AS$33="",AS$33=0),0,AS$29*AS187/AS$33)</f>
        <v>0</v>
      </c>
      <c r="AT191" s="207">
        <f>IF(OR(AT$33="",AT$33=0),0,AT$29*AT187/AT$33)</f>
        <v>0</v>
      </c>
      <c r="AU191" s="207">
        <f>IF(OR(AU$33="",AU$33=0),0,AU$29*AU187/AU$33)</f>
        <v>0</v>
      </c>
      <c r="AV191" s="128"/>
      <c r="AW191" s="243">
        <f>IF(AW$31=0,0,AW187*AW$24/AW$31)</f>
        <v>0</v>
      </c>
      <c r="AX191" s="100"/>
      <c r="AY191" s="207">
        <f t="shared" si="121"/>
        <v>0</v>
      </c>
      <c r="AZ191" s="207">
        <f t="shared" si="121"/>
        <v>0</v>
      </c>
      <c r="BA191" s="207">
        <f t="shared" si="121"/>
        <v>0</v>
      </c>
      <c r="BB191" s="207">
        <f>IF(OR(BB$33="",BB$33=0),0,BB$29*BB187/BB$33)</f>
        <v>0</v>
      </c>
      <c r="BC191" s="207">
        <f>IF(OR(BC$33="",BC$33=0),0,BC$29*BC187/BC$33)</f>
        <v>0</v>
      </c>
      <c r="BD191" s="335"/>
      <c r="BE191" s="207">
        <f>IF(OR(BE$33="",BE$33=0),0,BE$29*BE187/BE$33)</f>
        <v>0</v>
      </c>
      <c r="BF191" s="207">
        <f>IF(OR(BF$33="",BF$33=0),0,BF$29*BF187/BF$33)</f>
        <v>0</v>
      </c>
      <c r="BG191" s="207">
        <f>IF(OR(BG$33="",BG$33=0),0,BG$29*BG187/BG$33)</f>
        <v>0</v>
      </c>
      <c r="BH191" s="255"/>
    </row>
    <row r="192" spans="1:60" x14ac:dyDescent="0.2">
      <c r="A192" s="648"/>
      <c r="B192" s="492" t="s">
        <v>271</v>
      </c>
      <c r="C192" s="656" t="s">
        <v>113</v>
      </c>
      <c r="D192" s="750"/>
      <c r="E192" s="220" t="s">
        <v>275</v>
      </c>
      <c r="F192" s="220"/>
      <c r="G192" s="220"/>
      <c r="H192" s="242" t="s">
        <v>278</v>
      </c>
      <c r="I192" s="129"/>
      <c r="J192" s="243"/>
      <c r="K192" s="279"/>
      <c r="L192" s="279"/>
      <c r="M192" s="243">
        <f>IF(M$31=0,0,M188*M$24/M$31)</f>
        <v>0</v>
      </c>
      <c r="N192" s="100"/>
      <c r="O192" s="207">
        <f t="shared" si="118"/>
        <v>0</v>
      </c>
      <c r="P192" s="207">
        <f t="shared" si="118"/>
        <v>0</v>
      </c>
      <c r="Q192" s="207">
        <f t="shared" si="118"/>
        <v>0</v>
      </c>
      <c r="R192" s="335"/>
      <c r="S192" s="335"/>
      <c r="T192" s="335"/>
      <c r="U192" s="335"/>
      <c r="V192" s="335"/>
      <c r="W192" s="335"/>
      <c r="X192" s="128"/>
      <c r="Y192" s="243">
        <f>IF(Y$31=0,0,Y188*Y$24/Y$31)</f>
        <v>0</v>
      </c>
      <c r="Z192" s="100"/>
      <c r="AA192" s="207">
        <f t="shared" si="119"/>
        <v>0</v>
      </c>
      <c r="AB192" s="207">
        <f t="shared" si="119"/>
        <v>0</v>
      </c>
      <c r="AC192" s="207">
        <f t="shared" si="119"/>
        <v>0</v>
      </c>
      <c r="AD192" s="335"/>
      <c r="AE192" s="335"/>
      <c r="AF192" s="335"/>
      <c r="AG192" s="335"/>
      <c r="AH192" s="335"/>
      <c r="AI192" s="335"/>
      <c r="AJ192" s="128"/>
      <c r="AK192" s="243">
        <f>IF(AK$31=0,0,AK188*AK$24/AK$31)</f>
        <v>0</v>
      </c>
      <c r="AL192" s="100"/>
      <c r="AM192" s="207">
        <f>IF(OR(AM$33="",AM$33=0),0,AM$29*AM188/AM$33)</f>
        <v>0</v>
      </c>
      <c r="AN192" s="207">
        <f t="shared" si="120"/>
        <v>0</v>
      </c>
      <c r="AO192" s="207">
        <f t="shared" si="120"/>
        <v>0</v>
      </c>
      <c r="AP192" s="335"/>
      <c r="AQ192" s="335"/>
      <c r="AR192" s="335"/>
      <c r="AS192" s="335"/>
      <c r="AT192" s="335"/>
      <c r="AU192" s="335"/>
      <c r="AV192" s="128"/>
      <c r="AW192" s="243">
        <f>IF(AW$31=0,0,AW188*AW$24/AW$31)</f>
        <v>0</v>
      </c>
      <c r="AX192" s="100"/>
      <c r="AY192" s="207">
        <f t="shared" si="121"/>
        <v>0</v>
      </c>
      <c r="AZ192" s="207">
        <f t="shared" si="121"/>
        <v>0</v>
      </c>
      <c r="BA192" s="207">
        <f t="shared" si="121"/>
        <v>0</v>
      </c>
      <c r="BB192" s="335"/>
      <c r="BC192" s="335"/>
      <c r="BD192" s="335"/>
      <c r="BE192" s="335"/>
      <c r="BF192" s="335"/>
      <c r="BG192" s="335"/>
      <c r="BH192" s="255"/>
    </row>
    <row r="193" spans="1:60" x14ac:dyDescent="0.2">
      <c r="A193" s="648"/>
      <c r="B193" s="492" t="s">
        <v>271</v>
      </c>
      <c r="C193" s="739" t="s">
        <v>104</v>
      </c>
      <c r="D193" s="747"/>
      <c r="E193" s="90"/>
      <c r="F193" s="90"/>
      <c r="G193" s="90"/>
      <c r="H193" s="96"/>
      <c r="I193" s="90"/>
      <c r="J193" s="93"/>
      <c r="K193" s="90"/>
      <c r="L193" s="90"/>
      <c r="M193" s="93"/>
      <c r="N193" s="90"/>
      <c r="O193" s="93"/>
      <c r="P193" s="93"/>
      <c r="Q193" s="93"/>
      <c r="R193" s="93"/>
      <c r="S193" s="93"/>
      <c r="T193" s="93"/>
      <c r="U193" s="93"/>
      <c r="V193" s="93"/>
      <c r="W193" s="93"/>
      <c r="X193" s="93"/>
      <c r="Y193" s="93"/>
      <c r="Z193" s="90"/>
      <c r="AA193" s="93"/>
      <c r="AB193" s="93"/>
      <c r="AC193" s="93"/>
      <c r="AD193" s="93"/>
      <c r="AE193" s="93"/>
      <c r="AF193" s="93"/>
      <c r="AG193" s="93"/>
      <c r="AH193" s="93"/>
      <c r="AI193" s="93"/>
      <c r="AJ193" s="93"/>
      <c r="AK193" s="93"/>
      <c r="AL193" s="90"/>
      <c r="AM193" s="90"/>
      <c r="AN193" s="90"/>
      <c r="AO193" s="90"/>
      <c r="AP193" s="90"/>
      <c r="AQ193" s="90"/>
      <c r="AR193" s="90"/>
      <c r="AS193" s="90"/>
      <c r="AT193" s="90"/>
      <c r="AU193" s="93"/>
      <c r="AV193" s="93"/>
      <c r="AW193" s="93"/>
      <c r="AX193" s="90"/>
      <c r="AY193" s="93"/>
      <c r="AZ193" s="93"/>
      <c r="BA193" s="93"/>
      <c r="BB193" s="93"/>
      <c r="BC193" s="93"/>
      <c r="BD193" s="93"/>
      <c r="BE193" s="93"/>
      <c r="BF193" s="93"/>
      <c r="BG193" s="93"/>
      <c r="BH193" s="1"/>
    </row>
    <row r="194" spans="1:60" x14ac:dyDescent="0.2">
      <c r="A194" s="648"/>
      <c r="B194" s="492" t="s">
        <v>279</v>
      </c>
      <c r="C194" s="656" t="s">
        <v>104</v>
      </c>
      <c r="D194" s="747"/>
      <c r="E194" s="90"/>
      <c r="F194" s="90"/>
      <c r="G194" s="90"/>
      <c r="H194" s="96"/>
      <c r="I194" s="90"/>
      <c r="J194" s="93"/>
      <c r="K194" s="90"/>
      <c r="L194" s="90"/>
      <c r="M194" s="93"/>
      <c r="N194" s="90"/>
      <c r="O194" s="93"/>
      <c r="P194" s="93"/>
      <c r="Q194" s="93"/>
      <c r="R194" s="93"/>
      <c r="S194" s="93"/>
      <c r="T194" s="93"/>
      <c r="U194" s="93"/>
      <c r="V194" s="93"/>
      <c r="W194" s="93"/>
      <c r="X194" s="93"/>
      <c r="Y194" s="93"/>
      <c r="Z194" s="90"/>
      <c r="AA194" s="93"/>
      <c r="AB194" s="93"/>
      <c r="AC194" s="93"/>
      <c r="AD194" s="93"/>
      <c r="AE194" s="93"/>
      <c r="AF194" s="93"/>
      <c r="AG194" s="93"/>
      <c r="AH194" s="93"/>
      <c r="AI194" s="93"/>
      <c r="AJ194" s="93"/>
      <c r="AK194" s="93"/>
      <c r="AL194" s="90"/>
      <c r="AM194" s="93"/>
      <c r="AN194" s="93"/>
      <c r="AO194" s="93"/>
      <c r="AP194" s="93"/>
      <c r="AQ194" s="93"/>
      <c r="AR194" s="93"/>
      <c r="AS194" s="93"/>
      <c r="AT194" s="93"/>
      <c r="AU194" s="93"/>
      <c r="AV194" s="93"/>
      <c r="AW194" s="93"/>
      <c r="AX194" s="90"/>
      <c r="AY194" s="93"/>
      <c r="AZ194" s="93"/>
      <c r="BA194" s="93"/>
      <c r="BB194" s="93"/>
      <c r="BC194" s="93"/>
      <c r="BD194" s="93"/>
      <c r="BE194" s="93"/>
      <c r="BF194" s="93"/>
      <c r="BG194" s="93"/>
      <c r="BH194" s="1"/>
    </row>
    <row r="195" spans="1:60" ht="21" x14ac:dyDescent="0.2">
      <c r="A195" s="648"/>
      <c r="B195" s="492" t="s">
        <v>279</v>
      </c>
      <c r="C195" s="739" t="s">
        <v>104</v>
      </c>
      <c r="D195" s="752"/>
      <c r="E195" s="240" t="s">
        <v>280</v>
      </c>
      <c r="F195" s="240"/>
      <c r="G195" s="240"/>
      <c r="H195" s="240"/>
      <c r="I195" s="88"/>
      <c r="J195" s="241" t="str">
        <f>J$10</f>
        <v>totaal</v>
      </c>
      <c r="K195" s="142"/>
      <c r="L195" s="142"/>
      <c r="M195" s="216" t="str">
        <f>M$10</f>
        <v>totaal</v>
      </c>
      <c r="N195" s="222"/>
      <c r="O195" s="217" t="str">
        <f t="shared" ref="O195:W195" si="122">O$10</f>
        <v>verwarming</v>
      </c>
      <c r="P195" s="217" t="str">
        <f t="shared" si="122"/>
        <v>koeling</v>
      </c>
      <c r="Q195" s="217" t="str">
        <f t="shared" si="122"/>
        <v>tapwater</v>
      </c>
      <c r="R195" s="217" t="str">
        <f t="shared" si="122"/>
        <v>verlichting</v>
      </c>
      <c r="S195" s="217" t="str">
        <f t="shared" si="122"/>
        <v>ventilatoren</v>
      </c>
      <c r="T195" s="217" t="str">
        <f t="shared" si="122"/>
        <v>kookgas</v>
      </c>
      <c r="U195" s="217" t="str">
        <f t="shared" si="122"/>
        <v>overig elektra</v>
      </c>
      <c r="V195" s="217" t="str">
        <f t="shared" si="122"/>
        <v>mobiliteit</v>
      </c>
      <c r="W195" s="217" t="str">
        <f t="shared" si="122"/>
        <v>zonnepanelen</v>
      </c>
      <c r="X195" s="214"/>
      <c r="Y195" s="216" t="str">
        <f>Y$10</f>
        <v>totaal</v>
      </c>
      <c r="Z195" s="222"/>
      <c r="AA195" s="217" t="str">
        <f t="shared" ref="AA195:AI195" si="123">AA$10</f>
        <v>verwarming</v>
      </c>
      <c r="AB195" s="217" t="str">
        <f t="shared" si="123"/>
        <v>koeling</v>
      </c>
      <c r="AC195" s="217" t="str">
        <f t="shared" si="123"/>
        <v>tapwater</v>
      </c>
      <c r="AD195" s="217" t="str">
        <f t="shared" si="123"/>
        <v>verlichting</v>
      </c>
      <c r="AE195" s="217" t="str">
        <f t="shared" si="123"/>
        <v>ventilatoren</v>
      </c>
      <c r="AF195" s="217" t="str">
        <f t="shared" si="123"/>
        <v>kookgas</v>
      </c>
      <c r="AG195" s="217" t="str">
        <f t="shared" si="123"/>
        <v>overig elektra</v>
      </c>
      <c r="AH195" s="217" t="str">
        <f t="shared" si="123"/>
        <v>mobiliteit</v>
      </c>
      <c r="AI195" s="217" t="str">
        <f t="shared" si="123"/>
        <v>zonnepanelen</v>
      </c>
      <c r="AJ195" s="214"/>
      <c r="AK195" s="216" t="str">
        <f>AK$10</f>
        <v>totaal</v>
      </c>
      <c r="AL195" s="222"/>
      <c r="AM195" s="217" t="str">
        <f>AM$10</f>
        <v>verwarming</v>
      </c>
      <c r="AN195" s="217" t="str">
        <f t="shared" ref="AN195:AU195" si="124">AN$10</f>
        <v>koeling</v>
      </c>
      <c r="AO195" s="217" t="str">
        <f t="shared" si="124"/>
        <v>tapwater</v>
      </c>
      <c r="AP195" s="217" t="str">
        <f t="shared" si="124"/>
        <v>verlichting</v>
      </c>
      <c r="AQ195" s="217" t="str">
        <f t="shared" si="124"/>
        <v>ventilatoren</v>
      </c>
      <c r="AR195" s="217" t="str">
        <f t="shared" si="124"/>
        <v>kookgas</v>
      </c>
      <c r="AS195" s="217" t="str">
        <f t="shared" si="124"/>
        <v>overig elektra</v>
      </c>
      <c r="AT195" s="217" t="str">
        <f t="shared" si="124"/>
        <v>mobiliteit</v>
      </c>
      <c r="AU195" s="217" t="str">
        <f t="shared" si="124"/>
        <v>zonnepanelen</v>
      </c>
      <c r="AV195" s="214"/>
      <c r="AW195" s="216" t="str">
        <f>AW$10</f>
        <v>totaal</v>
      </c>
      <c r="AX195" s="222"/>
      <c r="AY195" s="217" t="str">
        <f t="shared" ref="AY195:BG195" si="125">AY$10</f>
        <v>verwarming</v>
      </c>
      <c r="AZ195" s="217" t="str">
        <f t="shared" si="125"/>
        <v>koeling</v>
      </c>
      <c r="BA195" s="217" t="str">
        <f t="shared" si="125"/>
        <v>tapwater</v>
      </c>
      <c r="BB195" s="217" t="str">
        <f t="shared" si="125"/>
        <v>verlichting</v>
      </c>
      <c r="BC195" s="217" t="str">
        <f t="shared" si="125"/>
        <v>ventilatoren</v>
      </c>
      <c r="BD195" s="217" t="str">
        <f t="shared" si="125"/>
        <v>kookgas</v>
      </c>
      <c r="BE195" s="217" t="str">
        <f t="shared" si="125"/>
        <v>overig elektra</v>
      </c>
      <c r="BF195" s="217" t="str">
        <f t="shared" si="125"/>
        <v>mobiliteit</v>
      </c>
      <c r="BG195" s="217" t="str">
        <f t="shared" si="125"/>
        <v>zonnepanelen</v>
      </c>
      <c r="BH195" s="1"/>
    </row>
    <row r="196" spans="1:60" ht="18.75" x14ac:dyDescent="0.2">
      <c r="A196" s="648"/>
      <c r="B196" s="492" t="s">
        <v>279</v>
      </c>
      <c r="C196" s="739" t="s">
        <v>104</v>
      </c>
      <c r="D196" s="747"/>
      <c r="E196" s="231" t="s">
        <v>281</v>
      </c>
      <c r="F196" s="231"/>
      <c r="G196" s="231"/>
      <c r="H196" s="89"/>
      <c r="I196" s="232"/>
      <c r="J196" s="231"/>
      <c r="K196" s="232"/>
      <c r="L196" s="232"/>
      <c r="M196" s="231"/>
      <c r="N196" s="232"/>
      <c r="O196" s="232"/>
      <c r="P196" s="232"/>
      <c r="Q196" s="232"/>
      <c r="R196" s="232"/>
      <c r="S196" s="232"/>
      <c r="T196" s="232"/>
      <c r="U196" s="232"/>
      <c r="V196" s="232"/>
      <c r="W196" s="232"/>
      <c r="X196" s="232"/>
      <c r="Y196" s="232"/>
      <c r="Z196" s="232"/>
      <c r="AA196" s="232"/>
      <c r="AB196" s="232"/>
      <c r="AC196" s="232"/>
      <c r="AD196" s="232"/>
      <c r="AE196" s="232"/>
      <c r="AF196" s="232"/>
      <c r="AG196" s="232"/>
      <c r="AH196" s="232"/>
      <c r="AI196" s="232"/>
      <c r="AJ196" s="232"/>
      <c r="AK196" s="232"/>
      <c r="AL196" s="232"/>
      <c r="AM196" s="232"/>
      <c r="AN196" s="232"/>
      <c r="AO196" s="232"/>
      <c r="AP196" s="232"/>
      <c r="AQ196" s="232"/>
      <c r="AR196" s="232"/>
      <c r="AS196" s="232"/>
      <c r="AT196" s="232"/>
      <c r="AU196" s="232"/>
      <c r="AV196" s="232"/>
      <c r="AW196" s="232"/>
      <c r="AX196" s="232"/>
      <c r="AY196" s="232"/>
      <c r="AZ196" s="232"/>
      <c r="BA196" s="232"/>
      <c r="BB196" s="232"/>
      <c r="BC196" s="232"/>
      <c r="BD196" s="232"/>
      <c r="BE196" s="232"/>
      <c r="BF196" s="232"/>
      <c r="BG196" s="232"/>
      <c r="BH196" s="38"/>
    </row>
    <row r="197" spans="1:60" s="38" customFormat="1" x14ac:dyDescent="0.2">
      <c r="A197" s="648"/>
      <c r="B197" s="492" t="s">
        <v>279</v>
      </c>
      <c r="C197" s="656" t="s">
        <v>113</v>
      </c>
      <c r="D197" s="747"/>
      <c r="E197" s="287" t="s">
        <v>282</v>
      </c>
      <c r="F197" s="287" t="s">
        <v>208</v>
      </c>
      <c r="G197" s="287"/>
      <c r="H197" s="288" t="s">
        <v>70</v>
      </c>
      <c r="I197" s="289"/>
      <c r="J197" s="290"/>
      <c r="K197" s="280"/>
      <c r="L197" s="280"/>
      <c r="M197" s="290"/>
      <c r="N197" s="291"/>
      <c r="O197" s="292" t="str">
        <f>IF(AND(O$80&lt;&gt;"geen",O$102&lt;&gt;""),O$102,"")</f>
        <v>elektriciteit</v>
      </c>
      <c r="P197" s="292" t="str">
        <f>IF(AND(P$80&lt;&gt;"geen",P$102&lt;&gt;""),P$102,"")</f>
        <v/>
      </c>
      <c r="Q197" s="292" t="str">
        <f>IF(AND(Q$80&lt;&gt;"geen",Q$102&lt;&gt;""),Q$102,"")</f>
        <v>elektriciteit</v>
      </c>
      <c r="R197" s="704"/>
      <c r="S197" s="704"/>
      <c r="T197" s="704"/>
      <c r="U197" s="704"/>
      <c r="V197" s="704"/>
      <c r="W197" s="704"/>
      <c r="X197" s="137"/>
      <c r="Y197" s="290"/>
      <c r="Z197" s="291"/>
      <c r="AA197" s="292" t="str">
        <f>IF(AND(AA$80&lt;&gt;"geen",AA$102&lt;&gt;""),AA$102,"")</f>
        <v>elektriciteit</v>
      </c>
      <c r="AB197" s="292" t="str">
        <f>IF(AND(AB$80&lt;&gt;"geen",AB$102&lt;&gt;""),AB$102,"")</f>
        <v/>
      </c>
      <c r="AC197" s="292" t="str">
        <f>IF(AND(AC$80&lt;&gt;"geen",AC$102&lt;&gt;""),AC$102,"")</f>
        <v>elektriciteit</v>
      </c>
      <c r="AD197" s="704"/>
      <c r="AE197" s="704"/>
      <c r="AF197" s="704"/>
      <c r="AG197" s="704"/>
      <c r="AH197" s="704"/>
      <c r="AI197" s="704"/>
      <c r="AJ197" s="137"/>
      <c r="AK197" s="290"/>
      <c r="AL197" s="291"/>
      <c r="AM197" s="292" t="str">
        <f>IF(AND(AM$80&lt;&gt;"geen",AM$102&lt;&gt;""),AM$102,"")</f>
        <v>elektriciteit</v>
      </c>
      <c r="AN197" s="292" t="str">
        <f>IF(AND(AN$80&lt;&gt;"geen",AN$102&lt;&gt;""),AN$102,"")</f>
        <v/>
      </c>
      <c r="AO197" s="292" t="str">
        <f>IF(AND(AO$80&lt;&gt;"geen",AO$102&lt;&gt;""),AO$102,"")</f>
        <v>elektriciteit</v>
      </c>
      <c r="AP197" s="704"/>
      <c r="AQ197" s="704"/>
      <c r="AR197" s="704"/>
      <c r="AS197" s="704"/>
      <c r="AT197" s="704"/>
      <c r="AU197" s="704"/>
      <c r="AV197" s="137"/>
      <c r="AW197" s="290"/>
      <c r="AX197" s="291"/>
      <c r="AY197" s="292" t="str">
        <f>IF(AND(AY$80&lt;&gt;"geen",AY$102&lt;&gt;""),AY$102,"")</f>
        <v>elektriciteit</v>
      </c>
      <c r="AZ197" s="292" t="str">
        <f>IF(AND(AZ$80&lt;&gt;"geen",AZ$102&lt;&gt;""),AZ$102,"")</f>
        <v/>
      </c>
      <c r="BA197" s="292" t="str">
        <f>IF(AND(BA$80&lt;&gt;"geen",BA$102&lt;&gt;""),BA$102,"")</f>
        <v>elektriciteit</v>
      </c>
      <c r="BB197" s="704"/>
      <c r="BC197" s="704"/>
      <c r="BD197" s="704"/>
      <c r="BE197" s="704"/>
      <c r="BF197" s="704"/>
      <c r="BG197" s="704"/>
      <c r="BH197" s="269"/>
    </row>
    <row r="198" spans="1:60" s="2" customFormat="1" x14ac:dyDescent="0.2">
      <c r="A198" s="649"/>
      <c r="B198" s="492" t="s">
        <v>279</v>
      </c>
      <c r="C198" s="739" t="s">
        <v>113</v>
      </c>
      <c r="D198" s="753"/>
      <c r="E198" s="413"/>
      <c r="F198" s="317" t="s">
        <v>283</v>
      </c>
      <c r="G198" s="317"/>
      <c r="H198" s="427" t="s">
        <v>115</v>
      </c>
      <c r="I198" s="196"/>
      <c r="J198" s="370">
        <f>M198+Y198+AK198+AW198</f>
        <v>0</v>
      </c>
      <c r="K198" s="428"/>
      <c r="L198" s="428"/>
      <c r="M198" s="370">
        <f>SUM(N198:X198)</f>
        <v>0</v>
      </c>
      <c r="N198" s="371"/>
      <c r="O198" s="429">
        <f>IF(O197="","",(O$102=O197)*O$117)</f>
        <v>0</v>
      </c>
      <c r="P198" s="429" t="str">
        <f>IF(P197="","",(P$102=P197)*P$117)</f>
        <v/>
      </c>
      <c r="Q198" s="429">
        <f>IF(Q197="","",(Q$102=Q197)*Q$117)</f>
        <v>0</v>
      </c>
      <c r="R198" s="372"/>
      <c r="S198" s="372"/>
      <c r="T198" s="372"/>
      <c r="U198" s="372"/>
      <c r="V198" s="372"/>
      <c r="W198" s="372"/>
      <c r="X198" s="128"/>
      <c r="Y198" s="370">
        <f>SUM(Z198:AJ198)</f>
        <v>0</v>
      </c>
      <c r="Z198" s="371"/>
      <c r="AA198" s="429">
        <f>IF(AA197="","",(AA$102=AA197)*AA$117)</f>
        <v>0</v>
      </c>
      <c r="AB198" s="429" t="str">
        <f>IF(AB197="","",(AB$102=AB197)*AB$117)</f>
        <v/>
      </c>
      <c r="AC198" s="429">
        <f>IF(AC197="","",(AC$102=AC197)*AC$117)</f>
        <v>0</v>
      </c>
      <c r="AD198" s="372"/>
      <c r="AE198" s="372"/>
      <c r="AF198" s="372"/>
      <c r="AG198" s="372"/>
      <c r="AH198" s="372"/>
      <c r="AI198" s="372"/>
      <c r="AJ198" s="128"/>
      <c r="AK198" s="370">
        <f>SUM(AL198:AV198)</f>
        <v>0</v>
      </c>
      <c r="AL198" s="371"/>
      <c r="AM198" s="429">
        <f>IF(AM197="","",(AM$102=AM197)*AM$117)</f>
        <v>0</v>
      </c>
      <c r="AN198" s="429" t="str">
        <f>IF(AN197="","",(AN$102=AN197)*AN$117)</f>
        <v/>
      </c>
      <c r="AO198" s="429">
        <f>IF(AO197="","",(AO$102=AO197)*AO$117)</f>
        <v>0</v>
      </c>
      <c r="AP198" s="372"/>
      <c r="AQ198" s="372"/>
      <c r="AR198" s="372"/>
      <c r="AS198" s="372"/>
      <c r="AT198" s="372"/>
      <c r="AU198" s="372"/>
      <c r="AV198" s="128"/>
      <c r="AW198" s="370">
        <f>SUM(AX198:BH198)</f>
        <v>0</v>
      </c>
      <c r="AX198" s="371"/>
      <c r="AY198" s="429">
        <f>IF(AY197="","",(AY$102=AY197)*AY$117)</f>
        <v>0</v>
      </c>
      <c r="AZ198" s="429" t="str">
        <f>IF(AZ197="","",(AZ$102=AZ197)*AZ$117)</f>
        <v/>
      </c>
      <c r="BA198" s="429">
        <f>IF(BA197="","",(BA$102=BA197)*BA$117)</f>
        <v>0</v>
      </c>
      <c r="BB198" s="372"/>
      <c r="BC198" s="372"/>
      <c r="BD198" s="372"/>
      <c r="BE198" s="372"/>
      <c r="BF198" s="372"/>
      <c r="BG198" s="372"/>
      <c r="BH198" s="267"/>
    </row>
    <row r="199" spans="1:60" s="2" customFormat="1" x14ac:dyDescent="0.2">
      <c r="A199" s="649"/>
      <c r="B199" s="492" t="s">
        <v>279</v>
      </c>
      <c r="C199" s="739" t="s">
        <v>113</v>
      </c>
      <c r="D199" s="753"/>
      <c r="E199" s="316" t="s">
        <v>284</v>
      </c>
      <c r="F199" s="366" t="s">
        <v>208</v>
      </c>
      <c r="G199" s="366"/>
      <c r="H199" s="430" t="s">
        <v>70</v>
      </c>
      <c r="I199" s="431"/>
      <c r="J199" s="432"/>
      <c r="K199" s="433"/>
      <c r="L199" s="433"/>
      <c r="M199" s="432"/>
      <c r="N199" s="434"/>
      <c r="O199" s="435" t="str">
        <f>IF(AND(O$131&lt;&gt;"",O$131&lt;&gt;"geen"),O$132,"")</f>
        <v>elektriciteit</v>
      </c>
      <c r="P199" s="435" t="str">
        <f>IF(AND(P$131&lt;&gt;"",P$131&lt;&gt;"geen"),P$132,"")</f>
        <v/>
      </c>
      <c r="Q199" s="435" t="str">
        <f>IF(AND(Q$131&lt;&gt;"",Q$131&lt;&gt;"geen"),Q$132,"")</f>
        <v>elektriciteit</v>
      </c>
      <c r="R199" s="705"/>
      <c r="S199" s="705"/>
      <c r="T199" s="705"/>
      <c r="U199" s="705"/>
      <c r="V199" s="705"/>
      <c r="W199" s="705"/>
      <c r="X199" s="133"/>
      <c r="Y199" s="432"/>
      <c r="Z199" s="434"/>
      <c r="AA199" s="435" t="str">
        <f>IF(AND(AA$131&lt;&gt;"",AA$131&lt;&gt;"geen"),AA$132,"")</f>
        <v>elektriciteit</v>
      </c>
      <c r="AB199" s="435" t="str">
        <f>IF(AND(AB$131&lt;&gt;"",AB$131&lt;&gt;"geen"),AB$132,"")</f>
        <v/>
      </c>
      <c r="AC199" s="435" t="str">
        <f>IF(AND(AC$131&lt;&gt;"",AC$131&lt;&gt;"geen"),AC$132,"")</f>
        <v>elektriciteit</v>
      </c>
      <c r="AD199" s="705"/>
      <c r="AE199" s="705"/>
      <c r="AF199" s="705"/>
      <c r="AG199" s="705"/>
      <c r="AH199" s="705"/>
      <c r="AI199" s="705"/>
      <c r="AJ199" s="133"/>
      <c r="AK199" s="432"/>
      <c r="AL199" s="434"/>
      <c r="AM199" s="435" t="str">
        <f>IF(AND(AM$131&lt;&gt;"",AM$131&lt;&gt;"geen"),AM$132,"")</f>
        <v>elektriciteit</v>
      </c>
      <c r="AN199" s="435" t="str">
        <f>IF(AND(AN$131&lt;&gt;"",AN$131&lt;&gt;"geen"),AN$132,"")</f>
        <v/>
      </c>
      <c r="AO199" s="435" t="str">
        <f>IF(AND(AO$131&lt;&gt;"",AO$131&lt;&gt;"geen"),AO$132,"")</f>
        <v>elektriciteit</v>
      </c>
      <c r="AP199" s="705"/>
      <c r="AQ199" s="705"/>
      <c r="AR199" s="705"/>
      <c r="AS199" s="705"/>
      <c r="AT199" s="705"/>
      <c r="AU199" s="705"/>
      <c r="AV199" s="133"/>
      <c r="AW199" s="432"/>
      <c r="AX199" s="434"/>
      <c r="AY199" s="435" t="str">
        <f>IF(AND(AY$131&lt;&gt;"",AY$131&lt;&gt;"geen"),AY$132,"")</f>
        <v>elektriciteit</v>
      </c>
      <c r="AZ199" s="435" t="str">
        <f>IF(AND(AZ$131&lt;&gt;"",AZ$131&lt;&gt;"geen"),AZ$132,"")</f>
        <v/>
      </c>
      <c r="BA199" s="435" t="str">
        <f>IF(AND(BA$131&lt;&gt;"",BA$131&lt;&gt;"geen"),BA$132,"")</f>
        <v>elektriciteit</v>
      </c>
      <c r="BB199" s="705"/>
      <c r="BC199" s="705"/>
      <c r="BD199" s="705"/>
      <c r="BE199" s="705"/>
      <c r="BF199" s="705"/>
      <c r="BG199" s="705"/>
      <c r="BH199" s="267"/>
    </row>
    <row r="200" spans="1:60" s="2" customFormat="1" x14ac:dyDescent="0.2">
      <c r="A200" s="649"/>
      <c r="B200" s="492" t="s">
        <v>279</v>
      </c>
      <c r="C200" s="739" t="s">
        <v>113</v>
      </c>
      <c r="D200" s="753"/>
      <c r="E200" s="413"/>
      <c r="F200" s="317" t="s">
        <v>283</v>
      </c>
      <c r="G200" s="317"/>
      <c r="H200" s="427" t="s">
        <v>115</v>
      </c>
      <c r="I200" s="196"/>
      <c r="J200" s="370">
        <f>M200+Y200+AK200+AW200</f>
        <v>0</v>
      </c>
      <c r="K200" s="428"/>
      <c r="L200" s="428"/>
      <c r="M200" s="370">
        <f>SUM(N200:X200)</f>
        <v>0</v>
      </c>
      <c r="N200" s="371"/>
      <c r="O200" s="429">
        <f>IF(O199="",0,(O$132=O199)*O$142)</f>
        <v>0</v>
      </c>
      <c r="P200" s="429">
        <f>IF(P199="",0,(P$132=P199)*P$142)</f>
        <v>0</v>
      </c>
      <c r="Q200" s="429">
        <f>IF(Q199="",0,(Q$132=Q199)*Q$142)</f>
        <v>0</v>
      </c>
      <c r="R200" s="372"/>
      <c r="S200" s="372"/>
      <c r="T200" s="372"/>
      <c r="U200" s="372"/>
      <c r="V200" s="372"/>
      <c r="W200" s="372"/>
      <c r="X200" s="128"/>
      <c r="Y200" s="370">
        <f>SUM(Z200:AJ200)</f>
        <v>0</v>
      </c>
      <c r="Z200" s="371"/>
      <c r="AA200" s="429">
        <f>IF(AA199="",0,(AA$132=AA199)*AA$142)</f>
        <v>0</v>
      </c>
      <c r="AB200" s="429">
        <f>IF(AB199="",0,(AB$132=AB199)*AB$142)</f>
        <v>0</v>
      </c>
      <c r="AC200" s="429">
        <f>IF(AC199="",0,(AC$132=AC199)*AC$142)</f>
        <v>0</v>
      </c>
      <c r="AD200" s="372"/>
      <c r="AE200" s="372"/>
      <c r="AF200" s="372"/>
      <c r="AG200" s="372"/>
      <c r="AH200" s="372"/>
      <c r="AI200" s="372"/>
      <c r="AJ200" s="128"/>
      <c r="AK200" s="370">
        <f>SUM(AL200:AV200)</f>
        <v>0</v>
      </c>
      <c r="AL200" s="371"/>
      <c r="AM200" s="429">
        <f>IF(AM199="",0,(AM$132=AM199)*AM$142)</f>
        <v>0</v>
      </c>
      <c r="AN200" s="429">
        <f>IF(AN199="",0,(AN$132=AN199)*AN$142)</f>
        <v>0</v>
      </c>
      <c r="AO200" s="429">
        <f>IF(AO199="",0,(AO$132=AO199)*AO$142)</f>
        <v>0</v>
      </c>
      <c r="AP200" s="372"/>
      <c r="AQ200" s="372"/>
      <c r="AR200" s="372"/>
      <c r="AS200" s="372"/>
      <c r="AT200" s="372"/>
      <c r="AU200" s="372"/>
      <c r="AV200" s="128"/>
      <c r="AW200" s="370">
        <f>SUM(AX200:BH200)</f>
        <v>0</v>
      </c>
      <c r="AX200" s="371"/>
      <c r="AY200" s="429">
        <f>IF(AY199="",0,(AY$132=AY199)*AY$142)</f>
        <v>0</v>
      </c>
      <c r="AZ200" s="429">
        <f>IF(AZ199="",0,(AZ$132=AZ199)*AZ$142)</f>
        <v>0</v>
      </c>
      <c r="BA200" s="429">
        <f>IF(BA199="",0,(BA$132=BA199)*BA$142)</f>
        <v>0</v>
      </c>
      <c r="BB200" s="372"/>
      <c r="BC200" s="372"/>
      <c r="BD200" s="372"/>
      <c r="BE200" s="372"/>
      <c r="BF200" s="372"/>
      <c r="BG200" s="372"/>
      <c r="BH200" s="267"/>
    </row>
    <row r="201" spans="1:60" s="2" customFormat="1" x14ac:dyDescent="0.2">
      <c r="A201" s="649"/>
      <c r="B201" s="492" t="s">
        <v>279</v>
      </c>
      <c r="C201" s="739" t="s">
        <v>113</v>
      </c>
      <c r="D201" s="753"/>
      <c r="E201" s="316" t="s">
        <v>285</v>
      </c>
      <c r="F201" s="366" t="s">
        <v>208</v>
      </c>
      <c r="G201" s="366"/>
      <c r="H201" s="430" t="s">
        <v>70</v>
      </c>
      <c r="I201" s="431"/>
      <c r="J201" s="436"/>
      <c r="K201" s="433"/>
      <c r="L201" s="433"/>
      <c r="M201" s="432"/>
      <c r="N201" s="434"/>
      <c r="O201" s="435" t="str">
        <f t="shared" ref="O201:W201" si="126">elektriciteit</f>
        <v>elektriciteit</v>
      </c>
      <c r="P201" s="435" t="str">
        <f t="shared" si="126"/>
        <v>elektriciteit</v>
      </c>
      <c r="Q201" s="435" t="str">
        <f t="shared" si="126"/>
        <v>elektriciteit</v>
      </c>
      <c r="R201" s="435" t="str">
        <f t="shared" si="126"/>
        <v>elektriciteit</v>
      </c>
      <c r="S201" s="435" t="str">
        <f t="shared" si="126"/>
        <v>elektriciteit</v>
      </c>
      <c r="T201" s="435" t="str">
        <f>aardgas</f>
        <v>aardgas</v>
      </c>
      <c r="U201" s="435" t="str">
        <f t="shared" si="126"/>
        <v>elektriciteit</v>
      </c>
      <c r="V201" s="435" t="str">
        <f t="shared" si="126"/>
        <v>elektriciteit</v>
      </c>
      <c r="W201" s="435" t="str">
        <f t="shared" si="126"/>
        <v>elektriciteit</v>
      </c>
      <c r="X201" s="133"/>
      <c r="Y201" s="432"/>
      <c r="Z201" s="434"/>
      <c r="AA201" s="435" t="str">
        <f t="shared" ref="AA201:AI201" si="127">elektriciteit</f>
        <v>elektriciteit</v>
      </c>
      <c r="AB201" s="435" t="str">
        <f t="shared" si="127"/>
        <v>elektriciteit</v>
      </c>
      <c r="AC201" s="435" t="str">
        <f t="shared" si="127"/>
        <v>elektriciteit</v>
      </c>
      <c r="AD201" s="435" t="str">
        <f t="shared" si="127"/>
        <v>elektriciteit</v>
      </c>
      <c r="AE201" s="435" t="str">
        <f t="shared" si="127"/>
        <v>elektriciteit</v>
      </c>
      <c r="AF201" s="435" t="str">
        <f>aardgas</f>
        <v>aardgas</v>
      </c>
      <c r="AG201" s="435" t="str">
        <f t="shared" si="127"/>
        <v>elektriciteit</v>
      </c>
      <c r="AH201" s="435" t="str">
        <f t="shared" si="127"/>
        <v>elektriciteit</v>
      </c>
      <c r="AI201" s="435" t="str">
        <f t="shared" si="127"/>
        <v>elektriciteit</v>
      </c>
      <c r="AJ201" s="133"/>
      <c r="AK201" s="432"/>
      <c r="AL201" s="434"/>
      <c r="AM201" s="435" t="str">
        <f t="shared" ref="AM201:AU201" si="128">elektriciteit</f>
        <v>elektriciteit</v>
      </c>
      <c r="AN201" s="435" t="str">
        <f t="shared" si="128"/>
        <v>elektriciteit</v>
      </c>
      <c r="AO201" s="435" t="str">
        <f t="shared" si="128"/>
        <v>elektriciteit</v>
      </c>
      <c r="AP201" s="435" t="str">
        <f t="shared" si="128"/>
        <v>elektriciteit</v>
      </c>
      <c r="AQ201" s="435" t="str">
        <f t="shared" si="128"/>
        <v>elektriciteit</v>
      </c>
      <c r="AR201" s="435" t="str">
        <f>aardgas</f>
        <v>aardgas</v>
      </c>
      <c r="AS201" s="435" t="str">
        <f t="shared" si="128"/>
        <v>elektriciteit</v>
      </c>
      <c r="AT201" s="435" t="str">
        <f t="shared" si="128"/>
        <v>elektriciteit</v>
      </c>
      <c r="AU201" s="435" t="str">
        <f t="shared" si="128"/>
        <v>elektriciteit</v>
      </c>
      <c r="AV201" s="133"/>
      <c r="AW201" s="432"/>
      <c r="AX201" s="434"/>
      <c r="AY201" s="435" t="str">
        <f t="shared" ref="AY201:BG201" si="129">elektriciteit</f>
        <v>elektriciteit</v>
      </c>
      <c r="AZ201" s="435" t="str">
        <f t="shared" si="129"/>
        <v>elektriciteit</v>
      </c>
      <c r="BA201" s="435" t="str">
        <f t="shared" si="129"/>
        <v>elektriciteit</v>
      </c>
      <c r="BB201" s="435" t="str">
        <f t="shared" si="129"/>
        <v>elektriciteit</v>
      </c>
      <c r="BC201" s="435" t="str">
        <f t="shared" si="129"/>
        <v>elektriciteit</v>
      </c>
      <c r="BD201" s="435" t="str">
        <f>aardgas</f>
        <v>aardgas</v>
      </c>
      <c r="BE201" s="435" t="str">
        <f t="shared" si="129"/>
        <v>elektriciteit</v>
      </c>
      <c r="BF201" s="435" t="str">
        <f t="shared" si="129"/>
        <v>elektriciteit</v>
      </c>
      <c r="BG201" s="435" t="str">
        <f t="shared" si="129"/>
        <v>elektriciteit</v>
      </c>
      <c r="BH201" s="264"/>
    </row>
    <row r="202" spans="1:60" s="2" customFormat="1" x14ac:dyDescent="0.2">
      <c r="A202" s="649"/>
      <c r="B202" s="492" t="s">
        <v>279</v>
      </c>
      <c r="C202" s="739" t="s">
        <v>113</v>
      </c>
      <c r="D202" s="753"/>
      <c r="E202" s="317" t="s">
        <v>286</v>
      </c>
      <c r="F202" s="317" t="s">
        <v>283</v>
      </c>
      <c r="G202" s="317"/>
      <c r="H202" s="427" t="s">
        <v>115</v>
      </c>
      <c r="I202" s="196"/>
      <c r="J202" s="370">
        <f>M202+Y202+AK202+AW202</f>
        <v>0</v>
      </c>
      <c r="K202" s="428"/>
      <c r="L202" s="428"/>
      <c r="M202" s="370">
        <f>SUM(N202:X202)</f>
        <v>0</v>
      </c>
      <c r="N202" s="371"/>
      <c r="O202" s="429">
        <f>IF(O201=elektriciteit,O$159-O$177,O$75*bibliotheek!$K$223)</f>
        <v>0</v>
      </c>
      <c r="P202" s="429">
        <f>IF(P201=elektriciteit,P$159-P$177,P$75*bibliotheek!$K$223)</f>
        <v>0</v>
      </c>
      <c r="Q202" s="429">
        <f>IF(Q201=elektriciteit,Q$159-Q$177,Q$75*bibliotheek!$K$223)</f>
        <v>0</v>
      </c>
      <c r="R202" s="429">
        <f>IF(R201=elektriciteit,R$159-R$177,R$75*bibliotheek!$K$223)</f>
        <v>0</v>
      </c>
      <c r="S202" s="429">
        <f>IF(S201=elektriciteit,S$159-S$177,S$75*bibliotheek!$K$223)</f>
        <v>0</v>
      </c>
      <c r="T202" s="429">
        <f>IF(T201=elektriciteit,T$159-T$177,T$75*bibliotheek!$K$223)</f>
        <v>0</v>
      </c>
      <c r="U202" s="429">
        <f>IF(U201=elektriciteit,U$159-U$177,U$75*bibliotheek!$K$223)</f>
        <v>0</v>
      </c>
      <c r="V202" s="429">
        <f>IF(V201=elektriciteit,V$159-V$177,V$75*bibliotheek!$K$223)</f>
        <v>0</v>
      </c>
      <c r="W202" s="429">
        <f>IF(W201=elektriciteit,W$159-W$177,W$75*bibliotheek!$K$223)</f>
        <v>0</v>
      </c>
      <c r="X202" s="128"/>
      <c r="Y202" s="370">
        <f>SUM(Z202:AJ202)</f>
        <v>0</v>
      </c>
      <c r="Z202" s="371"/>
      <c r="AA202" s="429">
        <f>IF(AA201=elektriciteit,AA$159-AA$177,AA$75*bibliotheek!$K$223)</f>
        <v>0</v>
      </c>
      <c r="AB202" s="429">
        <f>IF(AB201=elektriciteit,AB$159-AB$177,AB$75*bibliotheek!$K$223)</f>
        <v>0</v>
      </c>
      <c r="AC202" s="429">
        <f>IF(AC201=elektriciteit,AC$159-AC$177,AC$75*bibliotheek!$K$223)</f>
        <v>0</v>
      </c>
      <c r="AD202" s="429">
        <f>IF(AD201=elektriciteit,AD$159-AD$177,AD$75*bibliotheek!$K$223)</f>
        <v>0</v>
      </c>
      <c r="AE202" s="429">
        <f>IF(AE201=elektriciteit,AE$159-AE$177,AE$75*bibliotheek!$K$223)</f>
        <v>0</v>
      </c>
      <c r="AF202" s="429">
        <f>IF(AF201=elektriciteit,AF$159-AF$177,AF$75*bibliotheek!$K$223)</f>
        <v>0</v>
      </c>
      <c r="AG202" s="429">
        <f>IF(AG201=elektriciteit,AG$159-AG$177,AG$75*bibliotheek!$K$223)</f>
        <v>0</v>
      </c>
      <c r="AH202" s="429">
        <f>IF(AH201=elektriciteit,AH$159-AH$177,AH$75*bibliotheek!$K$223)</f>
        <v>0</v>
      </c>
      <c r="AI202" s="429">
        <f>IF(AI201=elektriciteit,AI$159-AI$177,AI$75*bibliotheek!$K$223)</f>
        <v>0</v>
      </c>
      <c r="AJ202" s="128"/>
      <c r="AK202" s="370">
        <f>SUM(AL202:AV202)</f>
        <v>0</v>
      </c>
      <c r="AL202" s="371"/>
      <c r="AM202" s="429">
        <f>IF(AM201=elektriciteit,AM$159-AM$177,AM$75*bibliotheek!$K$223)</f>
        <v>0</v>
      </c>
      <c r="AN202" s="429">
        <f>IF(AN201=elektriciteit,AN$159-AN$177,AN$75*bibliotheek!$K$223)</f>
        <v>0</v>
      </c>
      <c r="AO202" s="429">
        <f>IF(AO201=elektriciteit,AO$159-AO$177,AO$75*bibliotheek!$K$223)</f>
        <v>0</v>
      </c>
      <c r="AP202" s="429">
        <f>IF(AP201=elektriciteit,AP$159-AP$177,AP$75*bibliotheek!$K$223)</f>
        <v>0</v>
      </c>
      <c r="AQ202" s="429">
        <f>IF(AQ201=elektriciteit,AQ$159-AQ$177,AQ$75*bibliotheek!$K$223)</f>
        <v>0</v>
      </c>
      <c r="AR202" s="429">
        <f>IF(AR201=elektriciteit,AR$159-AR$177,AR$75*bibliotheek!$K$223)</f>
        <v>0</v>
      </c>
      <c r="AS202" s="429">
        <f>IF(AS201=elektriciteit,AS$159-AS$177,AS$75*bibliotheek!$K$223)</f>
        <v>0</v>
      </c>
      <c r="AT202" s="429">
        <f>IF(AT201=elektriciteit,AT$159-AT$177,AT$75*bibliotheek!$K$223)</f>
        <v>0</v>
      </c>
      <c r="AU202" s="429">
        <f>IF(AU201=elektriciteit,AU$159-AU$177,AU$75*bibliotheek!$K$223)</f>
        <v>0</v>
      </c>
      <c r="AV202" s="128"/>
      <c r="AW202" s="370">
        <f>SUM(AX202:BH202)</f>
        <v>0</v>
      </c>
      <c r="AX202" s="371"/>
      <c r="AY202" s="429">
        <f>IF(AY201=elektriciteit,AY$159-AY$177,AY$75*bibliotheek!$K$223)</f>
        <v>0</v>
      </c>
      <c r="AZ202" s="429">
        <f>IF(AZ201=elektriciteit,AZ$159-AZ$177,AZ$75*bibliotheek!$K$223)</f>
        <v>0</v>
      </c>
      <c r="BA202" s="429">
        <f>IF(BA201=elektriciteit,BA$159-BA$177,BA$75*bibliotheek!$K$223)</f>
        <v>0</v>
      </c>
      <c r="BB202" s="429">
        <f>IF(BB201=elektriciteit,BB$159-BB$177,BB$75*bibliotheek!$K$223)</f>
        <v>0</v>
      </c>
      <c r="BC202" s="429">
        <f>IF(BC201=elektriciteit,BC$159-BC$177,BC$75*bibliotheek!$K$223)</f>
        <v>0</v>
      </c>
      <c r="BD202" s="429">
        <f>IF(BD201=elektriciteit,BD$159-BD$177,BD$75*bibliotheek!$K$223)</f>
        <v>0</v>
      </c>
      <c r="BE202" s="429">
        <f>IF(BE201=elektriciteit,BE$159-BE$177,BE$75*bibliotheek!$K$223)</f>
        <v>0</v>
      </c>
      <c r="BF202" s="429">
        <f>IF(BF201=elektriciteit,BF$159-BF$177,BF$75*bibliotheek!$K$223)</f>
        <v>0</v>
      </c>
      <c r="BG202" s="429">
        <f>IF(BG201=elektriciteit,BG$159-BG$177,BG$75*bibliotheek!$K$223)</f>
        <v>0</v>
      </c>
      <c r="BH202" s="267"/>
    </row>
    <row r="203" spans="1:60" ht="18.75" x14ac:dyDescent="0.2">
      <c r="A203" s="648"/>
      <c r="B203" s="492" t="s">
        <v>279</v>
      </c>
      <c r="C203" s="739" t="s">
        <v>104</v>
      </c>
      <c r="D203" s="747"/>
      <c r="E203" s="231" t="s">
        <v>287</v>
      </c>
      <c r="F203" s="231"/>
      <c r="G203" s="231"/>
      <c r="H203" s="89"/>
      <c r="I203" s="232"/>
      <c r="J203" s="285"/>
      <c r="K203" s="285"/>
      <c r="L203" s="285"/>
      <c r="M203" s="285"/>
      <c r="N203" s="285"/>
      <c r="O203" s="285"/>
      <c r="P203" s="285"/>
      <c r="Q203" s="285"/>
      <c r="R203" s="285"/>
      <c r="S203" s="285"/>
      <c r="T203" s="285"/>
      <c r="U203" s="285"/>
      <c r="V203" s="285"/>
      <c r="W203" s="285"/>
      <c r="X203" s="285"/>
      <c r="Y203" s="285"/>
      <c r="Z203" s="285"/>
      <c r="AA203" s="285"/>
      <c r="AB203" s="285"/>
      <c r="AC203" s="285"/>
      <c r="AD203" s="285"/>
      <c r="AE203" s="285"/>
      <c r="AF203" s="285"/>
      <c r="AG203" s="285"/>
      <c r="AH203" s="285"/>
      <c r="AI203" s="285"/>
      <c r="AJ203" s="285"/>
      <c r="AK203" s="285"/>
      <c r="AL203" s="285"/>
      <c r="AM203" s="285"/>
      <c r="AN203" s="285"/>
      <c r="AO203" s="285"/>
      <c r="AP203" s="285"/>
      <c r="AQ203" s="285"/>
      <c r="AR203" s="285"/>
      <c r="AS203" s="285"/>
      <c r="AT203" s="285"/>
      <c r="AU203" s="285"/>
      <c r="AV203" s="285"/>
      <c r="AW203" s="285"/>
      <c r="AX203" s="285"/>
      <c r="AY203" s="285"/>
      <c r="AZ203" s="285"/>
      <c r="BA203" s="285"/>
      <c r="BB203" s="285"/>
      <c r="BC203" s="285"/>
      <c r="BD203" s="285"/>
      <c r="BE203" s="285"/>
      <c r="BF203" s="285"/>
      <c r="BG203" s="285"/>
      <c r="BH203" s="38"/>
    </row>
    <row r="204" spans="1:60" s="38" customFormat="1" x14ac:dyDescent="0.2">
      <c r="A204" s="648"/>
      <c r="B204" s="492" t="s">
        <v>279</v>
      </c>
      <c r="C204" s="656" t="s">
        <v>113</v>
      </c>
      <c r="D204" s="747"/>
      <c r="E204" s="182" t="s">
        <v>288</v>
      </c>
      <c r="F204" s="182" t="s">
        <v>283</v>
      </c>
      <c r="G204" s="182"/>
      <c r="H204" s="281" t="s">
        <v>115</v>
      </c>
      <c r="I204" s="235"/>
      <c r="J204" s="282">
        <f>M204+Y204+AK204+AW204</f>
        <v>0</v>
      </c>
      <c r="K204" s="283"/>
      <c r="L204" s="283"/>
      <c r="M204" s="282">
        <f>SUM(N204:X204)</f>
        <v>0</v>
      </c>
      <c r="N204" s="99"/>
      <c r="O204" s="180">
        <f>O198+O200+O202</f>
        <v>0</v>
      </c>
      <c r="P204" s="180">
        <f t="shared" ref="P204:W204" si="130">P202+IF(P198="",0,P198)+IF(P200="",0,P200)</f>
        <v>0</v>
      </c>
      <c r="Q204" s="180">
        <f t="shared" si="130"/>
        <v>0</v>
      </c>
      <c r="R204" s="180">
        <f t="shared" si="130"/>
        <v>0</v>
      </c>
      <c r="S204" s="180">
        <f t="shared" si="130"/>
        <v>0</v>
      </c>
      <c r="T204" s="180">
        <f t="shared" si="130"/>
        <v>0</v>
      </c>
      <c r="U204" s="180">
        <f t="shared" si="130"/>
        <v>0</v>
      </c>
      <c r="V204" s="180">
        <f t="shared" si="130"/>
        <v>0</v>
      </c>
      <c r="W204" s="180">
        <f t="shared" si="130"/>
        <v>0</v>
      </c>
      <c r="X204" s="284"/>
      <c r="Y204" s="282">
        <f>SUM(Z204:AJ204)</f>
        <v>0</v>
      </c>
      <c r="Z204" s="99"/>
      <c r="AA204" s="180">
        <f>AA198+AA200+AA202</f>
        <v>0</v>
      </c>
      <c r="AB204" s="180">
        <f t="shared" ref="AB204:AI204" si="131">AB202+IF(AB198="",0,AB198)+IF(AB200="",0,AB200)</f>
        <v>0</v>
      </c>
      <c r="AC204" s="180">
        <f t="shared" si="131"/>
        <v>0</v>
      </c>
      <c r="AD204" s="180">
        <f t="shared" si="131"/>
        <v>0</v>
      </c>
      <c r="AE204" s="180">
        <f t="shared" si="131"/>
        <v>0</v>
      </c>
      <c r="AF204" s="180">
        <f t="shared" si="131"/>
        <v>0</v>
      </c>
      <c r="AG204" s="180">
        <f t="shared" si="131"/>
        <v>0</v>
      </c>
      <c r="AH204" s="180">
        <f t="shared" si="131"/>
        <v>0</v>
      </c>
      <c r="AI204" s="180">
        <f t="shared" si="131"/>
        <v>0</v>
      </c>
      <c r="AJ204" s="284"/>
      <c r="AK204" s="282">
        <f>SUM(AL204:AV204)</f>
        <v>0</v>
      </c>
      <c r="AL204" s="99"/>
      <c r="AM204" s="180">
        <f>AM198+AM200+AM202</f>
        <v>0</v>
      </c>
      <c r="AN204" s="180">
        <f t="shared" ref="AN204:AU204" si="132">AN202+IF(AN198="",0,AN198)+IF(AN200="",0,AN200)</f>
        <v>0</v>
      </c>
      <c r="AO204" s="180">
        <f t="shared" si="132"/>
        <v>0</v>
      </c>
      <c r="AP204" s="180">
        <f t="shared" si="132"/>
        <v>0</v>
      </c>
      <c r="AQ204" s="180">
        <f t="shared" si="132"/>
        <v>0</v>
      </c>
      <c r="AR204" s="180">
        <f t="shared" si="132"/>
        <v>0</v>
      </c>
      <c r="AS204" s="180">
        <f t="shared" si="132"/>
        <v>0</v>
      </c>
      <c r="AT204" s="180">
        <f t="shared" si="132"/>
        <v>0</v>
      </c>
      <c r="AU204" s="180">
        <f t="shared" si="132"/>
        <v>0</v>
      </c>
      <c r="AV204" s="284"/>
      <c r="AW204" s="282">
        <f>SUM(AX204:BH204)</f>
        <v>0</v>
      </c>
      <c r="AX204" s="99"/>
      <c r="AY204" s="180">
        <f>AY198+AY200+AY202</f>
        <v>0</v>
      </c>
      <c r="AZ204" s="180">
        <f t="shared" ref="AZ204:BG204" si="133">AZ202+IF(AZ198="",0,AZ198)+IF(AZ200="",0,AZ200)</f>
        <v>0</v>
      </c>
      <c r="BA204" s="180">
        <f t="shared" si="133"/>
        <v>0</v>
      </c>
      <c r="BB204" s="180">
        <f t="shared" si="133"/>
        <v>0</v>
      </c>
      <c r="BC204" s="180">
        <f t="shared" si="133"/>
        <v>0</v>
      </c>
      <c r="BD204" s="180">
        <f t="shared" si="133"/>
        <v>0</v>
      </c>
      <c r="BE204" s="180">
        <f t="shared" si="133"/>
        <v>0</v>
      </c>
      <c r="BF204" s="180">
        <f t="shared" si="133"/>
        <v>0</v>
      </c>
      <c r="BG204" s="180">
        <f t="shared" si="133"/>
        <v>0</v>
      </c>
      <c r="BH204" s="269"/>
    </row>
    <row r="205" spans="1:60" x14ac:dyDescent="0.2">
      <c r="A205" s="648"/>
      <c r="B205" s="492" t="s">
        <v>279</v>
      </c>
      <c r="C205" s="739" t="s">
        <v>104</v>
      </c>
      <c r="D205" s="747"/>
      <c r="E205" s="90"/>
      <c r="F205" s="90"/>
      <c r="G205" s="90"/>
      <c r="H205" s="93"/>
      <c r="I205" s="138"/>
      <c r="J205" s="128"/>
      <c r="K205" s="90"/>
      <c r="L205" s="90"/>
      <c r="M205" s="128"/>
      <c r="N205" s="90"/>
      <c r="O205" s="96"/>
      <c r="P205" s="96"/>
      <c r="Q205" s="93"/>
      <c r="R205" s="93"/>
      <c r="S205" s="93"/>
      <c r="T205" s="93"/>
      <c r="U205" s="93"/>
      <c r="V205" s="93"/>
      <c r="W205" s="93"/>
      <c r="X205" s="93"/>
      <c r="Y205" s="128"/>
      <c r="Z205" s="90"/>
      <c r="AA205" s="96"/>
      <c r="AB205" s="96"/>
      <c r="AC205" s="93"/>
      <c r="AD205" s="93"/>
      <c r="AE205" s="93"/>
      <c r="AF205" s="93"/>
      <c r="AG205" s="93"/>
      <c r="AH205" s="93"/>
      <c r="AI205" s="93"/>
      <c r="AJ205" s="93"/>
      <c r="AK205" s="128"/>
      <c r="AL205" s="90"/>
      <c r="AM205" s="96"/>
      <c r="AN205" s="96"/>
      <c r="AO205" s="93"/>
      <c r="AP205" s="93"/>
      <c r="AQ205" s="93"/>
      <c r="AR205" s="93"/>
      <c r="AS205" s="93"/>
      <c r="AT205" s="93"/>
      <c r="AU205" s="93"/>
      <c r="AV205" s="93"/>
      <c r="AW205" s="128"/>
      <c r="AX205" s="90"/>
      <c r="AY205" s="93"/>
      <c r="AZ205" s="93"/>
      <c r="BA205" s="93"/>
      <c r="BB205" s="93"/>
      <c r="BC205" s="93"/>
      <c r="BD205" s="93"/>
      <c r="BE205" s="93"/>
      <c r="BF205" s="93"/>
      <c r="BG205" s="93"/>
      <c r="BH205" s="1"/>
    </row>
    <row r="206" spans="1:60" x14ac:dyDescent="0.2">
      <c r="A206" s="648"/>
      <c r="B206" s="492" t="s">
        <v>289</v>
      </c>
      <c r="C206" s="739" t="s">
        <v>104</v>
      </c>
      <c r="D206" s="747"/>
      <c r="E206" s="90"/>
      <c r="F206" s="90"/>
      <c r="G206" s="90"/>
      <c r="H206" s="96"/>
      <c r="I206" s="90"/>
      <c r="J206" s="93"/>
      <c r="K206" s="90"/>
      <c r="L206" s="90"/>
      <c r="M206" s="93"/>
      <c r="N206" s="90"/>
      <c r="O206" s="93"/>
      <c r="P206" s="93"/>
      <c r="Q206" s="93"/>
      <c r="R206" s="93"/>
      <c r="S206" s="93"/>
      <c r="T206" s="93"/>
      <c r="U206" s="93"/>
      <c r="V206" s="93"/>
      <c r="W206" s="93"/>
      <c r="X206" s="93"/>
      <c r="Y206" s="93"/>
      <c r="Z206" s="90"/>
      <c r="AA206" s="93"/>
      <c r="AB206" s="93"/>
      <c r="AC206" s="93"/>
      <c r="AD206" s="93"/>
      <c r="AE206" s="93"/>
      <c r="AF206" s="93"/>
      <c r="AG206" s="93"/>
      <c r="AH206" s="93"/>
      <c r="AI206" s="93"/>
      <c r="AJ206" s="93"/>
      <c r="AK206" s="93"/>
      <c r="AL206" s="90"/>
      <c r="AM206" s="93"/>
      <c r="AN206" s="93"/>
      <c r="AO206" s="93"/>
      <c r="AP206" s="93"/>
      <c r="AQ206" s="93"/>
      <c r="AR206" s="93"/>
      <c r="AS206" s="93"/>
      <c r="AT206" s="93"/>
      <c r="AU206" s="93"/>
      <c r="AV206" s="93"/>
      <c r="AW206" s="93"/>
      <c r="AX206" s="90"/>
      <c r="AY206" s="93"/>
      <c r="AZ206" s="93"/>
      <c r="BA206" s="93"/>
      <c r="BB206" s="93"/>
      <c r="BC206" s="93"/>
      <c r="BD206" s="93"/>
      <c r="BE206" s="93"/>
      <c r="BF206" s="93"/>
      <c r="BG206" s="93"/>
      <c r="BH206" s="1"/>
    </row>
    <row r="207" spans="1:60" ht="21" x14ac:dyDescent="0.2">
      <c r="A207" s="648"/>
      <c r="B207" s="492" t="s">
        <v>289</v>
      </c>
      <c r="C207" s="739" t="s">
        <v>104</v>
      </c>
      <c r="D207" s="752"/>
      <c r="E207" s="240" t="s">
        <v>290</v>
      </c>
      <c r="F207" s="240"/>
      <c r="G207" s="240"/>
      <c r="H207" s="240"/>
      <c r="I207" s="88"/>
      <c r="J207" s="216" t="str">
        <f>J$10</f>
        <v>totaal</v>
      </c>
      <c r="K207" s="142"/>
      <c r="L207" s="142"/>
      <c r="M207" s="216" t="str">
        <f>M$10</f>
        <v>totaal</v>
      </c>
      <c r="N207" s="222"/>
      <c r="O207" s="217" t="str">
        <f>O$10</f>
        <v>verwarming</v>
      </c>
      <c r="P207" s="217" t="str">
        <f>P$10</f>
        <v>koeling</v>
      </c>
      <c r="Q207" s="217" t="str">
        <f>Q$10</f>
        <v>tapwater</v>
      </c>
      <c r="R207" s="217"/>
      <c r="S207" s="217"/>
      <c r="T207" s="217"/>
      <c r="U207" s="217"/>
      <c r="V207" s="217"/>
      <c r="W207" s="488" t="str">
        <f>W$10</f>
        <v>zonnepanelen</v>
      </c>
      <c r="X207" s="214"/>
      <c r="Y207" s="216" t="str">
        <f>Y$10</f>
        <v>totaal</v>
      </c>
      <c r="Z207" s="222"/>
      <c r="AA207" s="217" t="str">
        <f>AA$10</f>
        <v>verwarming</v>
      </c>
      <c r="AB207" s="217" t="str">
        <f>AB$10</f>
        <v>koeling</v>
      </c>
      <c r="AC207" s="217" t="str">
        <f>AC$10</f>
        <v>tapwater</v>
      </c>
      <c r="AD207" s="217"/>
      <c r="AE207" s="217"/>
      <c r="AF207" s="217"/>
      <c r="AG207" s="217"/>
      <c r="AH207" s="217"/>
      <c r="AI207" s="488" t="str">
        <f>AI$10</f>
        <v>zonnepanelen</v>
      </c>
      <c r="AJ207" s="214"/>
      <c r="AK207" s="216" t="str">
        <f>AK$10</f>
        <v>totaal</v>
      </c>
      <c r="AL207" s="222"/>
      <c r="AM207" s="217" t="str">
        <f>AM$10</f>
        <v>verwarming</v>
      </c>
      <c r="AN207" s="217" t="str">
        <f>AN$10</f>
        <v>koeling</v>
      </c>
      <c r="AO207" s="217" t="str">
        <f>AO$10</f>
        <v>tapwater</v>
      </c>
      <c r="AP207" s="217"/>
      <c r="AQ207" s="217"/>
      <c r="AR207" s="217"/>
      <c r="AS207" s="217"/>
      <c r="AT207" s="217"/>
      <c r="AU207" s="488" t="str">
        <f>AU$10</f>
        <v>zonnepanelen</v>
      </c>
      <c r="AV207" s="214"/>
      <c r="AW207" s="216" t="str">
        <f>AW$10</f>
        <v>totaal</v>
      </c>
      <c r="AX207" s="222"/>
      <c r="AY207" s="217" t="str">
        <f>AY$10</f>
        <v>verwarming</v>
      </c>
      <c r="AZ207" s="217" t="str">
        <f>AZ$10</f>
        <v>koeling</v>
      </c>
      <c r="BA207" s="217" t="str">
        <f>BA$10</f>
        <v>tapwater</v>
      </c>
      <c r="BB207" s="217"/>
      <c r="BC207" s="217"/>
      <c r="BD207" s="217"/>
      <c r="BE207" s="217"/>
      <c r="BF207" s="217"/>
      <c r="BG207" s="488" t="str">
        <f>BG$10</f>
        <v>zonnepanelen</v>
      </c>
      <c r="BH207" s="1"/>
    </row>
    <row r="208" spans="1:60" ht="18.75" x14ac:dyDescent="0.2">
      <c r="A208" s="648"/>
      <c r="B208" s="492" t="s">
        <v>289</v>
      </c>
      <c r="C208" s="739" t="s">
        <v>104</v>
      </c>
      <c r="D208" s="747"/>
      <c r="E208" s="231" t="s">
        <v>291</v>
      </c>
      <c r="F208" s="231"/>
      <c r="G208" s="231"/>
      <c r="H208" s="89"/>
      <c r="I208" s="232"/>
      <c r="J208" s="231"/>
      <c r="K208" s="232"/>
      <c r="L208" s="232"/>
      <c r="M208" s="231"/>
      <c r="N208" s="232"/>
      <c r="O208" s="232"/>
      <c r="P208" s="232"/>
      <c r="Q208" s="232"/>
      <c r="R208" s="232"/>
      <c r="S208" s="232"/>
      <c r="T208" s="232"/>
      <c r="U208" s="232"/>
      <c r="V208" s="232"/>
      <c r="W208" s="232"/>
      <c r="X208" s="232"/>
      <c r="Y208" s="232"/>
      <c r="Z208" s="232"/>
      <c r="AA208" s="285"/>
      <c r="AB208" s="285"/>
      <c r="AC208" s="285"/>
      <c r="AD208" s="232"/>
      <c r="AE208" s="232"/>
      <c r="AF208" s="232"/>
      <c r="AG208" s="232"/>
      <c r="AH208" s="232"/>
      <c r="AI208" s="232"/>
      <c r="AJ208" s="232"/>
      <c r="AK208" s="232"/>
      <c r="AL208" s="232"/>
      <c r="AM208" s="232"/>
      <c r="AN208" s="232"/>
      <c r="AO208" s="232"/>
      <c r="AP208" s="232"/>
      <c r="AQ208" s="232"/>
      <c r="AR208" s="232"/>
      <c r="AS208" s="232"/>
      <c r="AT208" s="232"/>
      <c r="AU208" s="232"/>
      <c r="AV208" s="232"/>
      <c r="AW208" s="232"/>
      <c r="AX208" s="232"/>
      <c r="AY208" s="232"/>
      <c r="AZ208" s="232"/>
      <c r="BA208" s="232"/>
      <c r="BB208" s="232"/>
      <c r="BC208" s="232"/>
      <c r="BD208" s="232"/>
      <c r="BE208" s="232"/>
      <c r="BF208" s="232"/>
      <c r="BG208" s="232"/>
      <c r="BH208" s="38"/>
    </row>
    <row r="209" spans="1:60" x14ac:dyDescent="0.2">
      <c r="A209" s="648"/>
      <c r="B209" s="492" t="s">
        <v>289</v>
      </c>
      <c r="C209" s="656" t="s">
        <v>113</v>
      </c>
      <c r="D209" s="750" t="s">
        <v>50</v>
      </c>
      <c r="E209" s="220" t="s">
        <v>292</v>
      </c>
      <c r="F209" s="220"/>
      <c r="G209" s="220"/>
      <c r="H209" s="242" t="s">
        <v>177</v>
      </c>
      <c r="I209" s="129"/>
      <c r="J209" s="243">
        <f t="shared" ref="J209:J215" si="134">M209+Y209+AK209+AW209</f>
        <v>0</v>
      </c>
      <c r="K209" s="236"/>
      <c r="L209" s="236"/>
      <c r="M209" s="243">
        <f t="shared" ref="M209:M215" si="135">SUM(N209:X209)</f>
        <v>0</v>
      </c>
      <c r="N209" s="129"/>
      <c r="O209" s="207">
        <f>IF(OR(O$108=0,O$108=""),0,HLOOKUP(IF(O$80="",referentie_verwarming,O$80),toestellen_RV,ROWS(bibliotheek!$E$79:$E$83),FALSE)*O$107*(1-1/O$108)*f_P_renheat)</f>
        <v>0</v>
      </c>
      <c r="P209" s="207">
        <f>IF(OR(P$108=0,P$108=""),0,HLOOKUP(IF(P$80="",referentie_koeling,P$80),toestellen_KOEL,ROWS(bibliotheek!$E$170:$E$173),FALSE)*P$107*(1-1/P$108)*f_P_rencold)</f>
        <v>0</v>
      </c>
      <c r="Q209" s="207">
        <f>IF(OR(Q$108=0,Q$108=""),0,HLOOKUP(IF(Q$80="",referentie_warmtapwater,Q$80),toestellen_TAP,ROWS(bibliotheek!$E$136:$E$140),FALSE)*Q$107*(1-1/Q$108)*f_P_renheat)</f>
        <v>0</v>
      </c>
      <c r="R209" s="335"/>
      <c r="S209" s="335"/>
      <c r="T209" s="335"/>
      <c r="U209" s="335"/>
      <c r="V209" s="335"/>
      <c r="W209" s="335"/>
      <c r="X209" s="128"/>
      <c r="Y209" s="243">
        <f t="shared" ref="Y209:Y215" si="136">SUM(Z209:AJ209)</f>
        <v>0</v>
      </c>
      <c r="Z209" s="129"/>
      <c r="AA209" s="207">
        <f>IF(OR(AA$108=0,AA$108=""),0,HLOOKUP(IF(AA$80="",referentie_verwarming,AA$80),toestellen_RV,ROWS(bibliotheek!$E$79:$E$83),FALSE)*AA$107*(1-1/AA$108)*f_P_renheat)</f>
        <v>0</v>
      </c>
      <c r="AB209" s="207">
        <f>IF(OR(AB$108=0,AB$108=""),0,HLOOKUP(IF(AB$80="",referentie_koeling,AB$80),toestellen_KOEL,ROWS(bibliotheek!$E$170:$E$173),FALSE)*AB$107*(1-1/AB$108)*f_P_rencold)</f>
        <v>0</v>
      </c>
      <c r="AC209" s="207">
        <f>IF(OR(AC$108=0,AC$108=""),0,HLOOKUP(IF(AC$80="",referentie_warmtapwater,AC$80),toestellen_TAP,ROWS(bibliotheek!$E$136:$E$140),FALSE)*AC$107*(1-1/AC$108)*f_P_renheat)</f>
        <v>0</v>
      </c>
      <c r="AD209" s="335"/>
      <c r="AE209" s="335"/>
      <c r="AF209" s="335"/>
      <c r="AG209" s="335"/>
      <c r="AH209" s="335"/>
      <c r="AI209" s="335"/>
      <c r="AJ209" s="128"/>
      <c r="AK209" s="243">
        <f t="shared" ref="AK209:AK215" si="137">SUM(AL209:AV209)</f>
        <v>0</v>
      </c>
      <c r="AL209" s="129"/>
      <c r="AM209" s="207">
        <f>IF(OR(AM$108=0,AM$108=""),0,HLOOKUP(IF(AM$80="",referentie_verwarming,AM$80),toestellen_RV,ROWS(bibliotheek!$E$79:$E$83),FALSE)*AM$107*(1-1/AM$108)*f_P_renheat)</f>
        <v>0</v>
      </c>
      <c r="AN209" s="207">
        <f>IF(OR(AN$108=0,AN$108=""),0,HLOOKUP(IF(AN$80="",referentie_koeling,AN$80),toestellen_KOEL,ROWS(bibliotheek!$E$170:$E$173),FALSE)*AN$107*(1-1/AN$108)*f_P_rencold)</f>
        <v>0</v>
      </c>
      <c r="AO209" s="207">
        <f>IF(OR(AO$108=0,AO$108=""),0,HLOOKUP(IF(AO$80="",referentie_warmtapwater,AO$80),toestellen_TAP,ROWS(bibliotheek!$E$136:$E$140),FALSE)*AO$107*(1-1/AO$108)*f_P_renheat)</f>
        <v>0</v>
      </c>
      <c r="AP209" s="335"/>
      <c r="AQ209" s="335"/>
      <c r="AR209" s="335"/>
      <c r="AS209" s="335"/>
      <c r="AT209" s="335"/>
      <c r="AU209" s="335"/>
      <c r="AV209" s="128"/>
      <c r="AW209" s="243">
        <f t="shared" ref="AW209:AW215" si="138">SUM(AX209:BH209)</f>
        <v>0</v>
      </c>
      <c r="AX209" s="129"/>
      <c r="AY209" s="207">
        <f>IF(OR(AY$108=0,AY$108=""),0,HLOOKUP(IF(AY$80="",referentie_verwarming,AY$80),toestellen_RV,ROWS(bibliotheek!$E$79:$E$83),FALSE)*AY$107*(1-1/AY$108)*f_P_renheat)</f>
        <v>0</v>
      </c>
      <c r="AZ209" s="207">
        <f>IF(OR(AZ$108=0,AZ$108=""),0,HLOOKUP(IF(AZ$80="",referentie_koeling,AZ$80),toestellen_KOEL,ROWS(bibliotheek!$E$170:$E$173),FALSE)*AZ$107*(1-1/AZ$108)*f_P_rencold)</f>
        <v>0</v>
      </c>
      <c r="BA209" s="207">
        <f>IF(OR(BA$108=0,BA$108=""),0,HLOOKUP(IF(BA$80="",referentie_warmtapwater,BA$80),toestellen_TAP,ROWS(bibliotheek!$E$136:$E$140),FALSE)*BA$107*(1-1/BA$108)*f_P_renheat)</f>
        <v>0</v>
      </c>
      <c r="BB209" s="335"/>
      <c r="BC209" s="335"/>
      <c r="BD209" s="335"/>
      <c r="BE209" s="335"/>
      <c r="BF209" s="335"/>
      <c r="BG209" s="335"/>
      <c r="BH209" s="255"/>
    </row>
    <row r="210" spans="1:60" x14ac:dyDescent="0.2">
      <c r="A210" s="648"/>
      <c r="B210" s="492" t="s">
        <v>289</v>
      </c>
      <c r="C210" s="656" t="s">
        <v>113</v>
      </c>
      <c r="D210" s="750" t="s">
        <v>50</v>
      </c>
      <c r="E210" s="220" t="s">
        <v>293</v>
      </c>
      <c r="F210" s="220"/>
      <c r="G210" s="220"/>
      <c r="H210" s="242" t="s">
        <v>177</v>
      </c>
      <c r="I210" s="129"/>
      <c r="J210" s="243">
        <f t="shared" si="134"/>
        <v>0</v>
      </c>
      <c r="K210" s="236"/>
      <c r="L210" s="236"/>
      <c r="M210" s="243">
        <f t="shared" si="135"/>
        <v>0</v>
      </c>
      <c r="N210" s="129"/>
      <c r="O210" s="335"/>
      <c r="P210" s="207">
        <f>IF(OR(P$107=0,P$108&lt;=8),0,P$107*f_P_rencold*INDEX(bibliotheek!$E$175:$AC$175,MATCH(P$80,toestellen_KOEL_kopregel,0)))</f>
        <v>0</v>
      </c>
      <c r="Q210" s="335"/>
      <c r="R210" s="335"/>
      <c r="S210" s="335"/>
      <c r="T210" s="335"/>
      <c r="U210" s="335"/>
      <c r="V210" s="335"/>
      <c r="W210" s="335"/>
      <c r="X210" s="128"/>
      <c r="Y210" s="243">
        <f t="shared" si="136"/>
        <v>0</v>
      </c>
      <c r="Z210" s="129"/>
      <c r="AA210" s="335"/>
      <c r="AB210" s="207">
        <f>IF(OR(AB$107=0,AB$108&lt;=8),0,AB$107*f_P_rencold*INDEX(bibliotheek!$E$175:$AC$175,MATCH(AB$80,toestellen_KOEL_kopregel,0)))</f>
        <v>0</v>
      </c>
      <c r="AC210" s="335"/>
      <c r="AD210" s="335"/>
      <c r="AE210" s="335"/>
      <c r="AF210" s="335"/>
      <c r="AG210" s="335"/>
      <c r="AH210" s="335"/>
      <c r="AI210" s="335"/>
      <c r="AJ210" s="128"/>
      <c r="AK210" s="243">
        <f t="shared" si="137"/>
        <v>0</v>
      </c>
      <c r="AL210" s="129"/>
      <c r="AM210" s="335"/>
      <c r="AN210" s="207">
        <f>IF(OR(AN$107=0,AN$108&lt;=8),0,AN$107*f_P_rencold*INDEX(bibliotheek!$E$175:$AC$175,MATCH(AN$80,toestellen_KOEL_kopregel,0)))</f>
        <v>0</v>
      </c>
      <c r="AO210" s="335"/>
      <c r="AP210" s="335"/>
      <c r="AQ210" s="335"/>
      <c r="AR210" s="335"/>
      <c r="AS210" s="335"/>
      <c r="AT210" s="335"/>
      <c r="AU210" s="335"/>
      <c r="AV210" s="128"/>
      <c r="AW210" s="243">
        <f t="shared" si="138"/>
        <v>0</v>
      </c>
      <c r="AX210" s="129"/>
      <c r="AY210" s="335"/>
      <c r="AZ210" s="207">
        <f>IF(OR(AZ$107=0,AZ$108&lt;=8),0,AZ$107*f_P_rencold*INDEX(bibliotheek!$E$175:$AC$175,MATCH(AZ$80,toestellen_KOEL_kopregel,0)))</f>
        <v>0</v>
      </c>
      <c r="BA210" s="335"/>
      <c r="BB210" s="335"/>
      <c r="BC210" s="335"/>
      <c r="BD210" s="335"/>
      <c r="BE210" s="335"/>
      <c r="BF210" s="335"/>
      <c r="BG210" s="335"/>
      <c r="BH210" s="255"/>
    </row>
    <row r="211" spans="1:60" x14ac:dyDescent="0.2">
      <c r="A211" s="648"/>
      <c r="B211" s="492" t="s">
        <v>289</v>
      </c>
      <c r="C211" s="656" t="s">
        <v>113</v>
      </c>
      <c r="D211" s="750" t="s">
        <v>50</v>
      </c>
      <c r="E211" s="220" t="s">
        <v>294</v>
      </c>
      <c r="F211" s="220"/>
      <c r="G211" s="220"/>
      <c r="H211" s="242" t="s">
        <v>177</v>
      </c>
      <c r="I211" s="129"/>
      <c r="J211" s="243">
        <f t="shared" si="134"/>
        <v>0</v>
      </c>
      <c r="K211" s="236"/>
      <c r="L211" s="236"/>
      <c r="M211" s="243">
        <f t="shared" si="135"/>
        <v>0</v>
      </c>
      <c r="N211" s="129"/>
      <c r="O211" s="207">
        <f>IF(OR(O$107=0,LEFT(O$103,2)&lt;&gt;"bm"),0,O$107*INDEX(energiedragers_fPren,MATCH(O$102,energiedragers_namen,0)))+
IF(OR(O$135=0,LEFT(O$133,2)&lt;&gt;"bm"),0,O$135*INDEX(energiedragers_fPren,MATCH(O$132,energiedragers_namen,0)))</f>
        <v>0</v>
      </c>
      <c r="P211" s="335"/>
      <c r="Q211" s="207">
        <f>IF(OR(Q$107=0,LEFT(Q$103,2)&lt;&gt;"bm"),0,Q$107*INDEX(energiedragers_fPren,MATCH(Q$102,energiedragers_namen,0)))+
IF(OR(Q$135=0,LEFT(Q$133,2)&lt;&gt;"bm"),0,Q$135*INDEX(energiedragers_fPren,MATCH(Q$132,energiedragers_namen,0)))</f>
        <v>0</v>
      </c>
      <c r="R211" s="335"/>
      <c r="S211" s="335"/>
      <c r="T211" s="335"/>
      <c r="U211" s="335"/>
      <c r="V211" s="335"/>
      <c r="W211" s="335"/>
      <c r="X211" s="128"/>
      <c r="Y211" s="243">
        <f t="shared" si="136"/>
        <v>0</v>
      </c>
      <c r="Z211" s="129"/>
      <c r="AA211" s="207">
        <f>IF(OR(AA$107=0,LEFT(AA$103,2)&lt;&gt;"bm"),0,AA$107*INDEX(energiedragers_fPren,MATCH(AA$102,energiedragers_namen,0)))+
IF(OR(AA$135=0,LEFT(AA$133,2)&lt;&gt;"bm"),0,AA$135*INDEX(energiedragers_fPren,MATCH(AA$132,energiedragers_namen,0)))</f>
        <v>0</v>
      </c>
      <c r="AB211" s="335"/>
      <c r="AC211" s="207">
        <f>IF(OR(AC$107=0,LEFT(AC$103,2)&lt;&gt;"bm"),0,AC$107*INDEX(energiedragers_fPren,MATCH(AC$102,energiedragers_namen,0)))+
IF(OR(AC$135=0,LEFT(AC$133,2)&lt;&gt;"bm"),0,AC$135*INDEX(energiedragers_fPren,MATCH(AC$132,energiedragers_namen,0)))</f>
        <v>0</v>
      </c>
      <c r="AD211" s="335"/>
      <c r="AE211" s="335"/>
      <c r="AF211" s="335"/>
      <c r="AG211" s="335"/>
      <c r="AH211" s="335"/>
      <c r="AI211" s="335"/>
      <c r="AJ211" s="128"/>
      <c r="AK211" s="243">
        <f t="shared" si="137"/>
        <v>0</v>
      </c>
      <c r="AL211" s="129"/>
      <c r="AM211" s="207">
        <f>IF(OR(AM$107=0,LEFT(AM$103,2)&lt;&gt;"bm"),0,AM$107*INDEX(energiedragers_fPren,MATCH(AM$102,energiedragers_namen,0)))+
IF(OR(AM$135=0,LEFT(AM$133,2)&lt;&gt;"bm"),0,AM$135*INDEX(energiedragers_fPren,MATCH(AM$132,energiedragers_namen,0)))</f>
        <v>0</v>
      </c>
      <c r="AN211" s="335"/>
      <c r="AO211" s="207">
        <f>IF(OR(AO$107=0,LEFT(AO$103,2)&lt;&gt;"bm"),0,AO$107*INDEX(energiedragers_fPren,MATCH(AO$102,energiedragers_namen,0)))+
IF(OR(AO$135=0,LEFT(AO$133,2)&lt;&gt;"bm"),0,AO$135*INDEX(energiedragers_fPren,MATCH(AO$132,energiedragers_namen,0)))</f>
        <v>0</v>
      </c>
      <c r="AP211" s="335"/>
      <c r="AQ211" s="335"/>
      <c r="AR211" s="335"/>
      <c r="AS211" s="335"/>
      <c r="AT211" s="335"/>
      <c r="AU211" s="335"/>
      <c r="AV211" s="128"/>
      <c r="AW211" s="243">
        <f t="shared" si="138"/>
        <v>0</v>
      </c>
      <c r="AX211" s="129"/>
      <c r="AY211" s="207">
        <f>IF(OR(AY$107=0,LEFT(AY$103,2)&lt;&gt;"bm"),0,AY$107*INDEX(energiedragers_fPren,MATCH(AY$102,energiedragers_namen,0)))+
IF(OR(AY$135=0,LEFT(AY$133,2)&lt;&gt;"bm"),0,AY$135*INDEX(energiedragers_fPren,MATCH(AY$132,energiedragers_namen,0)))</f>
        <v>0</v>
      </c>
      <c r="AZ211" s="335"/>
      <c r="BA211" s="207">
        <f>IF(OR(BA$107=0,LEFT(BA$103,2)&lt;&gt;"bm"),0,BA$107*INDEX(energiedragers_fPren,MATCH(BA$102,energiedragers_namen,0)))+
IF(OR(BA$135=0,LEFT(BA$133,2)&lt;&gt;"bm"),0,BA$135*INDEX(energiedragers_fPren,MATCH(BA$132,energiedragers_namen,0)))</f>
        <v>0</v>
      </c>
      <c r="BB211" s="335"/>
      <c r="BC211" s="335"/>
      <c r="BD211" s="335"/>
      <c r="BE211" s="335"/>
      <c r="BF211" s="335"/>
      <c r="BG211" s="335"/>
      <c r="BH211" s="255"/>
    </row>
    <row r="212" spans="1:60" x14ac:dyDescent="0.2">
      <c r="A212" s="648"/>
      <c r="B212" s="492" t="s">
        <v>289</v>
      </c>
      <c r="C212" s="656" t="s">
        <v>113</v>
      </c>
      <c r="D212" s="750" t="s">
        <v>50</v>
      </c>
      <c r="E212" s="220" t="s">
        <v>295</v>
      </c>
      <c r="F212" s="220"/>
      <c r="G212" s="220"/>
      <c r="H212" s="242" t="s">
        <v>177</v>
      </c>
      <c r="I212" s="129"/>
      <c r="J212" s="243">
        <f t="shared" si="134"/>
        <v>0</v>
      </c>
      <c r="K212" s="236"/>
      <c r="L212" s="236"/>
      <c r="M212" s="243">
        <f t="shared" si="135"/>
        <v>0</v>
      </c>
      <c r="N212" s="129"/>
      <c r="O212" s="207">
        <f>IF(OR(O$107=0,LEFT(O$103,2)&lt;&gt;"dx"),0,O$107*INDEX(energiedragers_fPren,MATCH(O$102,energiedragers_namen,0)))+
IF(OR(O$135=0,LEFT(O$133,2)&lt;&gt;"dx"),0,O$135*INDEX(energiedragers_fPren,MATCH(O$132,energiedragers_namen,0)))</f>
        <v>0</v>
      </c>
      <c r="P212" s="207">
        <f>IF(OR(P$107=0,LEFT(P$103,2)&lt;&gt;"dx"),0,P$107*INDEX(energiedragers_fPren,MATCH(P$102,energiedragers_namen,0)))+
IF(OR(P$135=0,LEFT(P$133,2)&lt;&gt;"dx"),0,P$135*INDEX(energiedragers_fPren,MATCH(P$132,energiedragers_namen,0)))</f>
        <v>0</v>
      </c>
      <c r="Q212" s="207">
        <f>IF(OR(Q$107=0,LEFT(Q$103,2)&lt;&gt;"dx"),0,Q$107*INDEX(energiedragers_fPren,MATCH(Q$102,energiedragers_namen,0)))+
IF(OR(Q$135=0,LEFT(Q$133,2)&lt;&gt;"dx"),0,Q$135*INDEX(energiedragers_fPren,MATCH(Q$132,energiedragers_namen,0)))</f>
        <v>0</v>
      </c>
      <c r="R212" s="335"/>
      <c r="S212" s="335"/>
      <c r="T212" s="335"/>
      <c r="U212" s="335"/>
      <c r="V212" s="335"/>
      <c r="W212" s="335"/>
      <c r="X212" s="128"/>
      <c r="Y212" s="243">
        <f t="shared" si="136"/>
        <v>0</v>
      </c>
      <c r="Z212" s="129"/>
      <c r="AA212" s="207">
        <f>IF(OR(AA$107=0,LEFT(AA$103,2)&lt;&gt;"dx"),0,AA$107*INDEX(energiedragers_fPren,MATCH(AA$102,energiedragers_namen,0)))+
IF(OR(AA$135=0,LEFT(AA$133,2)&lt;&gt;"dx"),0,AA$135*INDEX(energiedragers_fPren,MATCH(AA$132,energiedragers_namen,0)))</f>
        <v>0</v>
      </c>
      <c r="AB212" s="207">
        <f>IF(OR(AB$107=0,LEFT(AB$103,2)&lt;&gt;"dx"),0,AB$107*INDEX(energiedragers_fPren,MATCH(AB$102,energiedragers_namen,0)))+
IF(OR(AB$135=0,LEFT(AB$133,2)&lt;&gt;"dx"),0,AB$135*INDEX(energiedragers_fPren,MATCH(AB$132,energiedragers_namen,0)))</f>
        <v>0</v>
      </c>
      <c r="AC212" s="207">
        <f>IF(OR(AC$107=0,LEFT(AC$103,2)&lt;&gt;"dx"),0,AC$107*INDEX(energiedragers_fPren,MATCH(AC$102,energiedragers_namen,0)))+
IF(OR(AC$135=0,LEFT(AC$133,2)&lt;&gt;"dx"),0,AC$135*INDEX(energiedragers_fPren,MATCH(AC$132,energiedragers_namen,0)))</f>
        <v>0</v>
      </c>
      <c r="AD212" s="335"/>
      <c r="AE212" s="335"/>
      <c r="AF212" s="335"/>
      <c r="AG212" s="335"/>
      <c r="AH212" s="335"/>
      <c r="AI212" s="335"/>
      <c r="AJ212" s="128"/>
      <c r="AK212" s="243">
        <f t="shared" si="137"/>
        <v>0</v>
      </c>
      <c r="AL212" s="129"/>
      <c r="AM212" s="207">
        <f>IF(OR(AM$107=0,LEFT(AM$103,2)&lt;&gt;"dx"),0,AM$107*INDEX(energiedragers_fPren,MATCH(AM$102,energiedragers_namen,0)))+
IF(OR(AM$135=0,LEFT(AM$133,2)&lt;&gt;"dx"),0,AM$135*INDEX(energiedragers_fPren,MATCH(AM$132,energiedragers_namen,0)))</f>
        <v>0</v>
      </c>
      <c r="AN212" s="207">
        <f>IF(OR(AN$107=0,LEFT(AN$103,2)&lt;&gt;"dx"),0,AN$107*INDEX(energiedragers_fPren,MATCH(AN$102,energiedragers_namen,0)))+
IF(OR(AN$135=0,LEFT(AN$133,2)&lt;&gt;"dx"),0,AN$135*INDEX(energiedragers_fPren,MATCH(AN$132,energiedragers_namen,0)))</f>
        <v>0</v>
      </c>
      <c r="AO212" s="207">
        <f>IF(OR(AO$107=0,LEFT(AO$103,2)&lt;&gt;"dx"),0,AO$107*INDEX(energiedragers_fPren,MATCH(AO$102,energiedragers_namen,0)))+
IF(OR(AO$135=0,LEFT(AO$133,2)&lt;&gt;"dx"),0,AO$135*INDEX(energiedragers_fPren,MATCH(AO$132,energiedragers_namen,0)))</f>
        <v>0</v>
      </c>
      <c r="AP212" s="335"/>
      <c r="AQ212" s="335"/>
      <c r="AR212" s="335"/>
      <c r="AS212" s="335"/>
      <c r="AT212" s="335"/>
      <c r="AU212" s="335"/>
      <c r="AV212" s="128"/>
      <c r="AW212" s="243">
        <f t="shared" si="138"/>
        <v>0</v>
      </c>
      <c r="AX212" s="129"/>
      <c r="AY212" s="207">
        <f>IF(OR(AY$107=0,LEFT(AY$103,2)&lt;&gt;"dx"),0,AY$107*INDEX(energiedragers_fPren,MATCH(AY$102,energiedragers_namen,0)))+
IF(OR(AY$135=0,LEFT(AY$133,2)&lt;&gt;"dx"),0,AY$135*INDEX(energiedragers_fPren,MATCH(AY$132,energiedragers_namen,0)))</f>
        <v>0</v>
      </c>
      <c r="AZ212" s="207">
        <f>IF(OR(AZ$107=0,LEFT(AZ$103,2)&lt;&gt;"dx"),0,AZ$107*INDEX(energiedragers_fPren,MATCH(AZ$102,energiedragers_namen,0)))+
IF(OR(AZ$135=0,LEFT(AZ$133,2)&lt;&gt;"dx"),0,AZ$135*INDEX(energiedragers_fPren,MATCH(AZ$132,energiedragers_namen,0)))</f>
        <v>0</v>
      </c>
      <c r="BA212" s="207">
        <f>IF(OR(BA$107=0,LEFT(BA$103,2)&lt;&gt;"dx"),0,BA$107*INDEX(energiedragers_fPren,MATCH(BA$102,energiedragers_namen,0)))+
IF(OR(BA$135=0,LEFT(BA$133,2)&lt;&gt;"dx"),0,BA$135*INDEX(energiedragers_fPren,MATCH(BA$132,energiedragers_namen,0)))</f>
        <v>0</v>
      </c>
      <c r="BB212" s="335"/>
      <c r="BC212" s="335"/>
      <c r="BD212" s="335"/>
      <c r="BE212" s="335"/>
      <c r="BF212" s="335"/>
      <c r="BG212" s="335"/>
      <c r="BH212" s="255"/>
    </row>
    <row r="213" spans="1:60" x14ac:dyDescent="0.2">
      <c r="A213" s="648"/>
      <c r="B213" s="492" t="s">
        <v>289</v>
      </c>
      <c r="C213" s="656" t="s">
        <v>113</v>
      </c>
      <c r="D213" s="750" t="s">
        <v>50</v>
      </c>
      <c r="E213" s="220" t="s">
        <v>296</v>
      </c>
      <c r="F213" s="220"/>
      <c r="G213" s="220"/>
      <c r="H213" s="242" t="s">
        <v>177</v>
      </c>
      <c r="I213" s="129"/>
      <c r="J213" s="243">
        <f t="shared" si="134"/>
        <v>0</v>
      </c>
      <c r="K213" s="236"/>
      <c r="L213" s="236"/>
      <c r="M213" s="243">
        <f t="shared" si="135"/>
        <v>0</v>
      </c>
      <c r="N213" s="129"/>
      <c r="O213" s="335"/>
      <c r="P213" s="207">
        <f>IF(OR(P$107=0,LEFT(P$103,2)&lt;&gt;"dx"),0,P$107*INDEX(energiedragers_fPren,MATCH(P$102,energiedragers_namen,0))+
IF(OR(P$135=0,LEFT(P$133,2)&lt;&gt;"dx"),0,P$135*INDEX(energiedragers_fPren,MATCH(P$132,energiedragers_namen,0))))</f>
        <v>0</v>
      </c>
      <c r="Q213" s="335"/>
      <c r="R213" s="335"/>
      <c r="S213" s="335"/>
      <c r="T213" s="335"/>
      <c r="U213" s="335"/>
      <c r="V213" s="335"/>
      <c r="W213" s="335"/>
      <c r="X213" s="128"/>
      <c r="Y213" s="243">
        <f t="shared" si="136"/>
        <v>0</v>
      </c>
      <c r="Z213" s="129"/>
      <c r="AA213" s="335"/>
      <c r="AB213" s="207">
        <f>IF(OR(AB$107=0,LEFT(AB$103,2)&lt;&gt;"dx"),0,AB$107*INDEX(energiedragers_fPren,MATCH(AB$102,energiedragers_namen,0))+
IF(OR(AB$135=0,LEFT(AB$133,2)&lt;&gt;"dx"),0,AB$135*INDEX(energiedragers_fPren,MATCH(AB$132,energiedragers_namen,0))))</f>
        <v>0</v>
      </c>
      <c r="AC213" s="335"/>
      <c r="AD213" s="335"/>
      <c r="AE213" s="335"/>
      <c r="AF213" s="335"/>
      <c r="AG213" s="335"/>
      <c r="AH213" s="335"/>
      <c r="AI213" s="335"/>
      <c r="AJ213" s="128"/>
      <c r="AK213" s="243">
        <f t="shared" si="137"/>
        <v>0</v>
      </c>
      <c r="AL213" s="129"/>
      <c r="AM213" s="335"/>
      <c r="AN213" s="207">
        <f>IF(OR(AN$107=0,LEFT(AN$103,2)&lt;&gt;"dx"),0,AN$107*INDEX(energiedragers_fPren,MATCH(AN$102,energiedragers_namen,0))+
IF(OR(AN$135=0,LEFT(AN$133,2)&lt;&gt;"dx"),0,AN$135*INDEX(energiedragers_fPren,MATCH(AN$132,energiedragers_namen,0))))</f>
        <v>0</v>
      </c>
      <c r="AO213" s="335"/>
      <c r="AP213" s="335"/>
      <c r="AQ213" s="335"/>
      <c r="AR213" s="335"/>
      <c r="AS213" s="335"/>
      <c r="AT213" s="335"/>
      <c r="AU213" s="335"/>
      <c r="AV213" s="128"/>
      <c r="AW213" s="243">
        <f t="shared" si="138"/>
        <v>0</v>
      </c>
      <c r="AX213" s="129"/>
      <c r="AY213" s="335"/>
      <c r="AZ213" s="207">
        <f>IF(OR(AZ$107=0,LEFT(AZ$103,2)&lt;&gt;"dx"),0,AZ$107*INDEX(energiedragers_fPren,MATCH(AZ$102,energiedragers_namen,0))+
IF(OR(AZ$135=0,LEFT(AZ$133,2)&lt;&gt;"dx"),0,AZ$135*INDEX(energiedragers_fPren,MATCH(AZ$132,energiedragers_namen,0))))</f>
        <v>0</v>
      </c>
      <c r="BA213" s="335"/>
      <c r="BB213" s="335"/>
      <c r="BC213" s="335"/>
      <c r="BD213" s="335"/>
      <c r="BE213" s="335"/>
      <c r="BF213" s="335"/>
      <c r="BG213" s="335"/>
      <c r="BH213" s="255"/>
    </row>
    <row r="214" spans="1:60" x14ac:dyDescent="0.2">
      <c r="A214" s="648"/>
      <c r="B214" s="492" t="s">
        <v>289</v>
      </c>
      <c r="C214" s="656" t="s">
        <v>113</v>
      </c>
      <c r="D214" s="750" t="s">
        <v>50</v>
      </c>
      <c r="E214" s="220" t="s">
        <v>297</v>
      </c>
      <c r="F214" s="220"/>
      <c r="G214" s="220"/>
      <c r="H214" s="242" t="s">
        <v>177</v>
      </c>
      <c r="I214" s="129"/>
      <c r="J214" s="243">
        <f t="shared" si="134"/>
        <v>0</v>
      </c>
      <c r="K214" s="236"/>
      <c r="L214" s="236"/>
      <c r="M214" s="243">
        <f t="shared" si="135"/>
        <v>0</v>
      </c>
      <c r="N214" s="129"/>
      <c r="O214" s="207">
        <f>O$88*f_P_renheat</f>
        <v>0</v>
      </c>
      <c r="P214" s="335"/>
      <c r="Q214" s="207">
        <f>Q$88*f_P_renheat</f>
        <v>0</v>
      </c>
      <c r="R214" s="335"/>
      <c r="S214" s="335"/>
      <c r="T214" s="335"/>
      <c r="U214" s="335"/>
      <c r="V214" s="335"/>
      <c r="W214" s="335"/>
      <c r="X214" s="122"/>
      <c r="Y214" s="243">
        <f t="shared" si="136"/>
        <v>0</v>
      </c>
      <c r="Z214" s="129"/>
      <c r="AA214" s="207">
        <f>AA$88*f_P_renheat</f>
        <v>0</v>
      </c>
      <c r="AB214" s="335"/>
      <c r="AC214" s="207">
        <f>AC$88*f_P_renheat</f>
        <v>0</v>
      </c>
      <c r="AD214" s="335"/>
      <c r="AE214" s="335"/>
      <c r="AF214" s="335"/>
      <c r="AG214" s="335"/>
      <c r="AH214" s="335"/>
      <c r="AI214" s="335"/>
      <c r="AJ214" s="122"/>
      <c r="AK214" s="243">
        <f t="shared" si="137"/>
        <v>0</v>
      </c>
      <c r="AL214" s="129"/>
      <c r="AM214" s="207">
        <f>AM$88*f_P_renheat</f>
        <v>0</v>
      </c>
      <c r="AN214" s="335"/>
      <c r="AO214" s="207">
        <f>AO$88*f_P_renheat</f>
        <v>0</v>
      </c>
      <c r="AP214" s="335"/>
      <c r="AQ214" s="335"/>
      <c r="AR214" s="335"/>
      <c r="AS214" s="335"/>
      <c r="AT214" s="335"/>
      <c r="AU214" s="335"/>
      <c r="AV214" s="122"/>
      <c r="AW214" s="243">
        <f t="shared" si="138"/>
        <v>0</v>
      </c>
      <c r="AX214" s="129"/>
      <c r="AY214" s="207">
        <f>AY$88*f_P_renheat</f>
        <v>0</v>
      </c>
      <c r="AZ214" s="335"/>
      <c r="BA214" s="207">
        <f>BA$88*f_P_renheat</f>
        <v>0</v>
      </c>
      <c r="BB214" s="335"/>
      <c r="BC214" s="335"/>
      <c r="BD214" s="335"/>
      <c r="BE214" s="335"/>
      <c r="BF214" s="335"/>
      <c r="BG214" s="335"/>
      <c r="BH214" s="214"/>
    </row>
    <row r="215" spans="1:60" x14ac:dyDescent="0.2">
      <c r="A215" s="648"/>
      <c r="B215" s="492" t="s">
        <v>289</v>
      </c>
      <c r="C215" s="656" t="s">
        <v>113</v>
      </c>
      <c r="D215" s="750" t="s">
        <v>50</v>
      </c>
      <c r="E215" s="220" t="s">
        <v>298</v>
      </c>
      <c r="F215" s="220"/>
      <c r="G215" s="220"/>
      <c r="H215" s="242" t="s">
        <v>177</v>
      </c>
      <c r="I215" s="129"/>
      <c r="J215" s="243">
        <f t="shared" si="134"/>
        <v>0</v>
      </c>
      <c r="K215" s="236"/>
      <c r="L215" s="236"/>
      <c r="M215" s="243">
        <f t="shared" si="135"/>
        <v>0</v>
      </c>
      <c r="N215" s="129"/>
      <c r="O215" s="335"/>
      <c r="P215" s="335"/>
      <c r="Q215" s="335"/>
      <c r="R215" s="335"/>
      <c r="S215" s="335"/>
      <c r="T215" s="335"/>
      <c r="U215" s="335"/>
      <c r="V215" s="335"/>
      <c r="W215" s="207">
        <f>M70*f_P_renelect</f>
        <v>0</v>
      </c>
      <c r="X215" s="128"/>
      <c r="Y215" s="243">
        <f t="shared" si="136"/>
        <v>0</v>
      </c>
      <c r="Z215" s="129"/>
      <c r="AA215" s="335"/>
      <c r="AB215" s="335"/>
      <c r="AC215" s="335"/>
      <c r="AD215" s="335"/>
      <c r="AE215" s="335"/>
      <c r="AF215" s="335"/>
      <c r="AG215" s="335"/>
      <c r="AH215" s="335"/>
      <c r="AI215" s="207">
        <f>Y70*f_P_renelect</f>
        <v>0</v>
      </c>
      <c r="AJ215" s="128"/>
      <c r="AK215" s="243">
        <f t="shared" si="137"/>
        <v>0</v>
      </c>
      <c r="AL215" s="129"/>
      <c r="AM215" s="335"/>
      <c r="AN215" s="335"/>
      <c r="AO215" s="335"/>
      <c r="AP215" s="335"/>
      <c r="AQ215" s="335"/>
      <c r="AR215" s="335"/>
      <c r="AS215" s="335"/>
      <c r="AT215" s="335"/>
      <c r="AU215" s="207">
        <f>AK70*f_P_renelect</f>
        <v>0</v>
      </c>
      <c r="AV215" s="128"/>
      <c r="AW215" s="243">
        <f t="shared" si="138"/>
        <v>0</v>
      </c>
      <c r="AX215" s="129"/>
      <c r="AY215" s="335"/>
      <c r="AZ215" s="335"/>
      <c r="BA215" s="335"/>
      <c r="BB215" s="335"/>
      <c r="BC215" s="335"/>
      <c r="BD215" s="335"/>
      <c r="BE215" s="335"/>
      <c r="BF215" s="335"/>
      <c r="BG215" s="207">
        <f>AW70*f_P_renelect</f>
        <v>0</v>
      </c>
      <c r="BH215" s="255"/>
    </row>
    <row r="216" spans="1:60" x14ac:dyDescent="0.2">
      <c r="A216" s="648"/>
      <c r="B216" s="492" t="s">
        <v>289</v>
      </c>
      <c r="C216" s="656" t="s">
        <v>113</v>
      </c>
      <c r="D216" s="747"/>
      <c r="E216" s="220" t="s">
        <v>258</v>
      </c>
      <c r="F216" s="220"/>
      <c r="G216" s="220"/>
      <c r="H216" s="242" t="s">
        <v>177</v>
      </c>
      <c r="I216" s="129"/>
      <c r="J216" s="243">
        <f>SUM(J209:J215)</f>
        <v>0</v>
      </c>
      <c r="K216" s="236"/>
      <c r="L216" s="236"/>
      <c r="M216" s="243">
        <f>SUM(M209:M215)</f>
        <v>0</v>
      </c>
      <c r="N216" s="129"/>
      <c r="O216" s="207">
        <f t="shared" ref="O216:W216" si="139">SUM(O209:O215)</f>
        <v>0</v>
      </c>
      <c r="P216" s="207">
        <f t="shared" si="139"/>
        <v>0</v>
      </c>
      <c r="Q216" s="207">
        <f t="shared" si="139"/>
        <v>0</v>
      </c>
      <c r="R216" s="335"/>
      <c r="S216" s="335"/>
      <c r="T216" s="335"/>
      <c r="U216" s="335"/>
      <c r="V216" s="335"/>
      <c r="W216" s="207">
        <f t="shared" si="139"/>
        <v>0</v>
      </c>
      <c r="X216" s="128"/>
      <c r="Y216" s="243">
        <f>SUM(Y209:Y215)</f>
        <v>0</v>
      </c>
      <c r="Z216" s="129"/>
      <c r="AA216" s="207">
        <f>SUM(AA209:AA215)</f>
        <v>0</v>
      </c>
      <c r="AB216" s="207">
        <f>SUM(AB209:AB215)</f>
        <v>0</v>
      </c>
      <c r="AC216" s="207">
        <f>SUM(AC209:AC215)</f>
        <v>0</v>
      </c>
      <c r="AD216" s="335"/>
      <c r="AE216" s="335"/>
      <c r="AF216" s="335"/>
      <c r="AG216" s="335"/>
      <c r="AH216" s="335"/>
      <c r="AI216" s="207">
        <f>SUM(AI209:AI215)</f>
        <v>0</v>
      </c>
      <c r="AJ216" s="128"/>
      <c r="AK216" s="243">
        <f>SUM(AK209:AK215)</f>
        <v>0</v>
      </c>
      <c r="AL216" s="129"/>
      <c r="AM216" s="207">
        <f>SUM(AM209:AM215)</f>
        <v>0</v>
      </c>
      <c r="AN216" s="207">
        <f>SUM(AN209:AN215)</f>
        <v>0</v>
      </c>
      <c r="AO216" s="207">
        <f>SUM(AO209:AO215)</f>
        <v>0</v>
      </c>
      <c r="AP216" s="335"/>
      <c r="AQ216" s="335"/>
      <c r="AR216" s="335"/>
      <c r="AS216" s="335"/>
      <c r="AT216" s="335"/>
      <c r="AU216" s="207">
        <f>SUM(AU209:AU215)</f>
        <v>0</v>
      </c>
      <c r="AV216" s="128"/>
      <c r="AW216" s="243">
        <f>SUM(AW209:AW215)</f>
        <v>0</v>
      </c>
      <c r="AX216" s="129"/>
      <c r="AY216" s="207">
        <f>SUM(AY209:AY215)</f>
        <v>0</v>
      </c>
      <c r="AZ216" s="207">
        <f>SUM(AZ209:AZ215)</f>
        <v>0</v>
      </c>
      <c r="BA216" s="207">
        <f>SUM(BA209:BA215)</f>
        <v>0</v>
      </c>
      <c r="BB216" s="335"/>
      <c r="BC216" s="335"/>
      <c r="BD216" s="335"/>
      <c r="BE216" s="335"/>
      <c r="BF216" s="335"/>
      <c r="BG216" s="207">
        <f>SUM(BG209:BG215)</f>
        <v>0</v>
      </c>
      <c r="BH216" s="255"/>
    </row>
    <row r="217" spans="1:60" x14ac:dyDescent="0.2">
      <c r="A217" s="648"/>
      <c r="B217" s="492" t="s">
        <v>289</v>
      </c>
      <c r="C217" s="739" t="s">
        <v>104</v>
      </c>
      <c r="D217" s="747"/>
      <c r="E217" s="90"/>
      <c r="F217" s="90"/>
      <c r="G217" s="90"/>
      <c r="H217" s="96"/>
      <c r="I217" s="90"/>
      <c r="J217" s="93"/>
      <c r="K217" s="90"/>
      <c r="L217" s="90"/>
      <c r="M217" s="93"/>
      <c r="N217" s="90"/>
      <c r="O217" s="93"/>
      <c r="P217" s="93"/>
      <c r="Q217" s="93"/>
      <c r="R217" s="93"/>
      <c r="S217" s="93"/>
      <c r="T217" s="93"/>
      <c r="U217" s="93"/>
      <c r="V217" s="93"/>
      <c r="W217" s="93"/>
      <c r="X217" s="93"/>
      <c r="Y217" s="93"/>
      <c r="Z217" s="90"/>
      <c r="AA217" s="93"/>
      <c r="AB217" s="93"/>
      <c r="AC217" s="93"/>
      <c r="AD217" s="93"/>
      <c r="AE217" s="93"/>
      <c r="AF217" s="93"/>
      <c r="AG217" s="93"/>
      <c r="AH217" s="93"/>
      <c r="AI217" s="93"/>
      <c r="AJ217" s="93"/>
      <c r="AK217" s="93"/>
      <c r="AL217" s="90"/>
      <c r="AM217" s="93"/>
      <c r="AN217" s="93"/>
      <c r="AO217" s="93"/>
      <c r="AP217" s="93"/>
      <c r="AQ217" s="93"/>
      <c r="AR217" s="93"/>
      <c r="AS217" s="93"/>
      <c r="AT217" s="93"/>
      <c r="AU217" s="93"/>
      <c r="AV217" s="93"/>
      <c r="AW217" s="93"/>
      <c r="AX217" s="90"/>
      <c r="AY217" s="93"/>
      <c r="AZ217" s="93"/>
      <c r="BA217" s="93"/>
      <c r="BB217" s="93"/>
      <c r="BC217" s="93"/>
      <c r="BD217" s="93"/>
      <c r="BE217" s="93"/>
      <c r="BF217" s="93"/>
      <c r="BG217" s="93"/>
      <c r="BH217" s="1"/>
    </row>
    <row r="218" spans="1:60" x14ac:dyDescent="0.2">
      <c r="A218" s="648"/>
      <c r="B218" s="492" t="s">
        <v>299</v>
      </c>
      <c r="C218" s="656" t="s">
        <v>104</v>
      </c>
      <c r="D218" s="747"/>
      <c r="E218" s="275"/>
      <c r="F218" s="90"/>
      <c r="G218" s="90"/>
      <c r="H218" s="96"/>
      <c r="I218" s="138"/>
      <c r="J218" s="93"/>
      <c r="K218" s="90"/>
      <c r="L218" s="90"/>
      <c r="M218" s="93"/>
      <c r="N218" s="90"/>
      <c r="O218" s="96"/>
      <c r="P218" s="96"/>
      <c r="Q218" s="93"/>
      <c r="R218" s="93"/>
      <c r="S218" s="93"/>
      <c r="T218" s="93"/>
      <c r="U218" s="93"/>
      <c r="V218" s="93"/>
      <c r="W218" s="93"/>
      <c r="X218" s="93"/>
      <c r="Y218" s="93"/>
      <c r="Z218" s="90"/>
      <c r="AA218" s="96"/>
      <c r="AB218" s="96"/>
      <c r="AC218" s="93"/>
      <c r="AD218" s="93"/>
      <c r="AE218" s="93"/>
      <c r="AF218" s="93"/>
      <c r="AG218" s="93"/>
      <c r="AH218" s="93"/>
      <c r="AI218" s="93"/>
      <c r="AJ218" s="93"/>
      <c r="AK218" s="93"/>
      <c r="AL218" s="90"/>
      <c r="AM218" s="96"/>
      <c r="AN218" s="96"/>
      <c r="AO218" s="93"/>
      <c r="AP218" s="93"/>
      <c r="AQ218" s="93"/>
      <c r="AR218" s="93"/>
      <c r="AS218" s="93"/>
      <c r="AT218" s="93"/>
      <c r="AU218" s="93"/>
      <c r="AV218" s="93"/>
      <c r="AW218" s="93"/>
      <c r="AX218" s="90"/>
      <c r="AY218" s="128"/>
      <c r="AZ218" s="93"/>
      <c r="BA218" s="93"/>
      <c r="BB218" s="93"/>
      <c r="BC218" s="93"/>
      <c r="BD218" s="93"/>
      <c r="BE218" s="93"/>
      <c r="BF218" s="93"/>
      <c r="BG218" s="93"/>
      <c r="BH218" s="1"/>
    </row>
    <row r="219" spans="1:60" ht="21" x14ac:dyDescent="0.2">
      <c r="A219" s="648"/>
      <c r="B219" s="492" t="s">
        <v>299</v>
      </c>
      <c r="C219" s="739" t="s">
        <v>104</v>
      </c>
      <c r="D219" s="752"/>
      <c r="E219" s="215" t="s">
        <v>300</v>
      </c>
      <c r="F219" s="240"/>
      <c r="G219" s="240"/>
      <c r="H219" s="240"/>
      <c r="I219" s="88"/>
      <c r="J219" s="241" t="str">
        <f>J$10</f>
        <v>totaal</v>
      </c>
      <c r="K219" s="142"/>
      <c r="L219" s="142"/>
      <c r="M219" s="216" t="str">
        <f>M$10</f>
        <v>totaal</v>
      </c>
      <c r="N219" s="222"/>
      <c r="O219" s="217" t="str">
        <f t="shared" ref="O219:W219" si="140">O$10</f>
        <v>verwarming</v>
      </c>
      <c r="P219" s="217" t="str">
        <f t="shared" si="140"/>
        <v>koeling</v>
      </c>
      <c r="Q219" s="217" t="str">
        <f t="shared" si="140"/>
        <v>tapwater</v>
      </c>
      <c r="R219" s="217" t="str">
        <f t="shared" si="140"/>
        <v>verlichting</v>
      </c>
      <c r="S219" s="217" t="str">
        <f t="shared" si="140"/>
        <v>ventilatoren</v>
      </c>
      <c r="T219" s="217" t="str">
        <f t="shared" si="140"/>
        <v>kookgas</v>
      </c>
      <c r="U219" s="217" t="str">
        <f t="shared" si="140"/>
        <v>overig elektra</v>
      </c>
      <c r="V219" s="217" t="str">
        <f t="shared" si="140"/>
        <v>mobiliteit</v>
      </c>
      <c r="W219" s="217" t="str">
        <f t="shared" si="140"/>
        <v>zonnepanelen</v>
      </c>
      <c r="X219" s="214"/>
      <c r="Y219" s="216" t="str">
        <f>Y$10</f>
        <v>totaal</v>
      </c>
      <c r="Z219" s="222"/>
      <c r="AA219" s="217" t="str">
        <f t="shared" ref="AA219:AI219" si="141">AA$10</f>
        <v>verwarming</v>
      </c>
      <c r="AB219" s="217" t="str">
        <f t="shared" si="141"/>
        <v>koeling</v>
      </c>
      <c r="AC219" s="217" t="str">
        <f t="shared" si="141"/>
        <v>tapwater</v>
      </c>
      <c r="AD219" s="217" t="str">
        <f t="shared" si="141"/>
        <v>verlichting</v>
      </c>
      <c r="AE219" s="217" t="str">
        <f t="shared" si="141"/>
        <v>ventilatoren</v>
      </c>
      <c r="AF219" s="217" t="str">
        <f t="shared" si="141"/>
        <v>kookgas</v>
      </c>
      <c r="AG219" s="217" t="str">
        <f t="shared" si="141"/>
        <v>overig elektra</v>
      </c>
      <c r="AH219" s="217" t="str">
        <f t="shared" si="141"/>
        <v>mobiliteit</v>
      </c>
      <c r="AI219" s="217" t="str">
        <f t="shared" si="141"/>
        <v>zonnepanelen</v>
      </c>
      <c r="AJ219" s="214"/>
      <c r="AK219" s="216" t="str">
        <f>AK$10</f>
        <v>totaal</v>
      </c>
      <c r="AL219" s="222"/>
      <c r="AM219" s="217" t="str">
        <f t="shared" ref="AM219:AU219" si="142">AM$10</f>
        <v>verwarming</v>
      </c>
      <c r="AN219" s="217" t="str">
        <f t="shared" si="142"/>
        <v>koeling</v>
      </c>
      <c r="AO219" s="217" t="str">
        <f t="shared" si="142"/>
        <v>tapwater</v>
      </c>
      <c r="AP219" s="217" t="str">
        <f t="shared" si="142"/>
        <v>verlichting</v>
      </c>
      <c r="AQ219" s="217" t="str">
        <f t="shared" si="142"/>
        <v>ventilatoren</v>
      </c>
      <c r="AR219" s="217" t="str">
        <f t="shared" si="142"/>
        <v>kookgas</v>
      </c>
      <c r="AS219" s="217" t="str">
        <f t="shared" si="142"/>
        <v>overig elektra</v>
      </c>
      <c r="AT219" s="217" t="str">
        <f t="shared" si="142"/>
        <v>mobiliteit</v>
      </c>
      <c r="AU219" s="217" t="str">
        <f t="shared" si="142"/>
        <v>zonnepanelen</v>
      </c>
      <c r="AV219" s="214"/>
      <c r="AW219" s="216" t="str">
        <f>AW$10</f>
        <v>totaal</v>
      </c>
      <c r="AX219" s="222"/>
      <c r="AY219" s="217" t="str">
        <f t="shared" ref="AY219:BG219" si="143">AY$10</f>
        <v>verwarming</v>
      </c>
      <c r="AZ219" s="217" t="str">
        <f t="shared" si="143"/>
        <v>koeling</v>
      </c>
      <c r="BA219" s="217" t="str">
        <f t="shared" si="143"/>
        <v>tapwater</v>
      </c>
      <c r="BB219" s="217" t="str">
        <f t="shared" si="143"/>
        <v>verlichting</v>
      </c>
      <c r="BC219" s="217" t="str">
        <f t="shared" si="143"/>
        <v>ventilatoren</v>
      </c>
      <c r="BD219" s="217" t="str">
        <f t="shared" si="143"/>
        <v>kookgas</v>
      </c>
      <c r="BE219" s="217" t="str">
        <f t="shared" si="143"/>
        <v>overig elektra</v>
      </c>
      <c r="BF219" s="217" t="str">
        <f t="shared" si="143"/>
        <v>mobiliteit</v>
      </c>
      <c r="BG219" s="217" t="str">
        <f t="shared" si="143"/>
        <v>zonnepanelen</v>
      </c>
      <c r="BH219" s="1"/>
    </row>
    <row r="220" spans="1:60" ht="18.75" x14ac:dyDescent="0.2">
      <c r="A220" s="648"/>
      <c r="B220" s="492" t="s">
        <v>299</v>
      </c>
      <c r="C220" s="739" t="s">
        <v>104</v>
      </c>
      <c r="D220" s="747"/>
      <c r="E220" s="231" t="s">
        <v>301</v>
      </c>
      <c r="F220" s="231"/>
      <c r="G220" s="231"/>
      <c r="H220" s="89"/>
      <c r="I220" s="232"/>
      <c r="J220" s="231"/>
      <c r="K220" s="232"/>
      <c r="L220" s="232"/>
      <c r="M220" s="231"/>
      <c r="N220" s="232"/>
      <c r="O220" s="285"/>
      <c r="P220" s="285"/>
      <c r="Q220" s="232"/>
      <c r="R220" s="232"/>
      <c r="S220" s="232"/>
      <c r="T220" s="232"/>
      <c r="U220" s="232"/>
      <c r="V220" s="232"/>
      <c r="W220" s="232"/>
      <c r="X220" s="232"/>
      <c r="Y220" s="232"/>
      <c r="Z220" s="232"/>
      <c r="AA220" s="232"/>
      <c r="AB220" s="232"/>
      <c r="AC220" s="232"/>
      <c r="AD220" s="232"/>
      <c r="AE220" s="232"/>
      <c r="AF220" s="232"/>
      <c r="AG220" s="232"/>
      <c r="AH220" s="232"/>
      <c r="AI220" s="232"/>
      <c r="AJ220" s="232"/>
      <c r="AK220" s="232"/>
      <c r="AL220" s="232"/>
      <c r="AM220" s="232"/>
      <c r="AN220" s="232"/>
      <c r="AO220" s="232"/>
      <c r="AP220" s="232"/>
      <c r="AQ220" s="232"/>
      <c r="AR220" s="232"/>
      <c r="AS220" s="232"/>
      <c r="AT220" s="232"/>
      <c r="AU220" s="232"/>
      <c r="AV220" s="232"/>
      <c r="AW220" s="232"/>
      <c r="AX220" s="232"/>
      <c r="AY220" s="232"/>
      <c r="AZ220" s="232"/>
      <c r="BA220" s="232"/>
      <c r="BB220" s="232"/>
      <c r="BC220" s="232"/>
      <c r="BD220" s="232"/>
      <c r="BE220" s="232"/>
      <c r="BF220" s="232"/>
      <c r="BG220" s="232"/>
      <c r="BH220" s="38"/>
    </row>
    <row r="221" spans="1:60" x14ac:dyDescent="0.2">
      <c r="A221" s="648"/>
      <c r="B221" s="492" t="s">
        <v>299</v>
      </c>
      <c r="C221" s="656" t="s">
        <v>113</v>
      </c>
      <c r="D221" s="747"/>
      <c r="E221" s="220" t="s">
        <v>302</v>
      </c>
      <c r="F221" s="220"/>
      <c r="G221" s="220"/>
      <c r="H221" s="242" t="s">
        <v>70</v>
      </c>
      <c r="I221" s="129"/>
      <c r="J221" s="271"/>
      <c r="K221" s="279"/>
      <c r="L221" s="279"/>
      <c r="M221" s="243" t="str">
        <f>CONCATENATE(O221,"/",Q221)</f>
        <v>gebouw/gebouw</v>
      </c>
      <c r="N221" s="100"/>
      <c r="O221" s="207" t="str">
        <f>IF(O80=geen,"-",O81)</f>
        <v>gebouw</v>
      </c>
      <c r="P221" s="207" t="str">
        <f>IF(P80=geen,"-",P81)</f>
        <v>-</v>
      </c>
      <c r="Q221" s="207" t="str">
        <f>IF(Q80=geen,"-",Q81)</f>
        <v>gebouw</v>
      </c>
      <c r="R221" s="335"/>
      <c r="S221" s="335"/>
      <c r="T221" s="335"/>
      <c r="U221" s="335"/>
      <c r="V221" s="335"/>
      <c r="W221" s="335"/>
      <c r="X221" s="128"/>
      <c r="Y221" s="243" t="str">
        <f>CONCATENATE(AA221,"/",AC221)</f>
        <v>gebouw/gebouw</v>
      </c>
      <c r="Z221" s="100"/>
      <c r="AA221" s="207" t="str">
        <f>IF(AA80=geen,"-",AA81)</f>
        <v>gebouw</v>
      </c>
      <c r="AB221" s="207" t="str">
        <f>IF(AB80=geen,"-",AB81)</f>
        <v>-</v>
      </c>
      <c r="AC221" s="207" t="str">
        <f>IF(AC80=geen,"-",AC81)</f>
        <v>gebouw</v>
      </c>
      <c r="AD221" s="335"/>
      <c r="AE221" s="335"/>
      <c r="AF221" s="335"/>
      <c r="AG221" s="335"/>
      <c r="AH221" s="335"/>
      <c r="AI221" s="335"/>
      <c r="AJ221" s="128"/>
      <c r="AK221" s="243" t="str">
        <f>CONCATENATE(AM221,"/",AO221)</f>
        <v>gebouw/gebouw</v>
      </c>
      <c r="AL221" s="100"/>
      <c r="AM221" s="207" t="str">
        <f>IF(AM80=geen,"-",AM81)</f>
        <v>gebouw</v>
      </c>
      <c r="AN221" s="207" t="str">
        <f>IF(AN80=geen,"-",AN81)</f>
        <v>-</v>
      </c>
      <c r="AO221" s="207" t="str">
        <f>IF(AO80=geen,"-",AO81)</f>
        <v>gebouw</v>
      </c>
      <c r="AP221" s="335"/>
      <c r="AQ221" s="335"/>
      <c r="AR221" s="335"/>
      <c r="AS221" s="335"/>
      <c r="AT221" s="335"/>
      <c r="AU221" s="335"/>
      <c r="AV221" s="128"/>
      <c r="AW221" s="243" t="str">
        <f>CONCATENATE(AY221,"/",BA221)</f>
        <v>gebouw/gebouw</v>
      </c>
      <c r="AX221" s="100"/>
      <c r="AY221" s="207" t="str">
        <f>IF(AY80=geen,"-",AY81)</f>
        <v>gebouw</v>
      </c>
      <c r="AZ221" s="207" t="str">
        <f>IF(AZ80=geen,"-",AZ81)</f>
        <v>-</v>
      </c>
      <c r="BA221" s="207" t="str">
        <f>IF(BA80=geen,"-",BA81)</f>
        <v>gebouw</v>
      </c>
      <c r="BB221" s="207"/>
      <c r="BC221" s="335"/>
      <c r="BD221" s="335"/>
      <c r="BE221" s="335"/>
      <c r="BF221" s="335"/>
      <c r="BG221" s="335"/>
      <c r="BH221" s="255"/>
    </row>
    <row r="222" spans="1:60" x14ac:dyDescent="0.2">
      <c r="A222" s="648"/>
      <c r="B222" s="492" t="s">
        <v>299</v>
      </c>
      <c r="C222" s="656" t="s">
        <v>113</v>
      </c>
      <c r="D222" s="747"/>
      <c r="E222" s="220" t="s">
        <v>222</v>
      </c>
      <c r="F222" s="220"/>
      <c r="G222" s="220"/>
      <c r="H222" s="242" t="s">
        <v>70</v>
      </c>
      <c r="I222" s="129"/>
      <c r="J222" s="271"/>
      <c r="K222" s="277"/>
      <c r="L222" s="277"/>
      <c r="M222" s="271" t="str">
        <f>IF(SUM(O222:Q222)=0,"",((O$221&lt;&gt;gebouw)*(O$117+O$142+O$159-O$177) + (P$221&lt;&gt;gebouw)*(P$117+P$142+P$159-P$177) + (Q$221&lt;&gt;gebouw)*(Q$117+Q$142+Q$159-Q$177) )/  ((O$221&lt;&gt;gebouw)*O$75 + AND(P$221&lt;&gt;gebouw,P$221&lt;&gt;"-")*P$75 + (Q$221&lt;&gt;gebouw)*Q$75) )</f>
        <v/>
      </c>
      <c r="N222" s="278"/>
      <c r="O222" s="272" t="str">
        <f>IF(OR(O$204=0,O$221=gebouw),"-",(O$117+O$142+O$159-O$177)/O$75)</f>
        <v>-</v>
      </c>
      <c r="P222" s="272" t="str">
        <f>IF(OR(P$204=0,P$221=gebouw),"-",(P$117+P$142+P$159-P$177)/P$75)</f>
        <v>-</v>
      </c>
      <c r="Q222" s="272" t="str">
        <f>IF(OR(Q$204=0,Q$221=gebouw),"-",(Q$117+Q$142+Q$159-Q$177)/Q$75)</f>
        <v>-</v>
      </c>
      <c r="R222" s="336"/>
      <c r="S222" s="336"/>
      <c r="T222" s="336"/>
      <c r="U222" s="336"/>
      <c r="V222" s="336"/>
      <c r="W222" s="336"/>
      <c r="X222" s="139"/>
      <c r="Y222" s="271" t="str">
        <f>IF(SUM(AA222:AC222)=0,"",((AA$221&lt;&gt;gebouw)*(AA$117+AA$142+AA$159-AA$177) + (AB$221&lt;&gt;gebouw)*(AB$117+AB$142+AB$159-AB$177) + (AC$221&lt;&gt;gebouw)*(AC$117+AC$142+AC$159-AC$177) )/  ((AA$221&lt;&gt;gebouw)*AA$75 + AND(AB$221&lt;&gt;gebouw,AB$221&lt;&gt;"-")*AB$75 + (AC$221&lt;&gt;gebouw)*AC$75) )</f>
        <v/>
      </c>
      <c r="Z222" s="278"/>
      <c r="AA222" s="272" t="str">
        <f>IF(OR(AA$204=0,AA$221=gebouw),"-",(AA$117+AA$142+AA$159-AA$177)/AA$75)</f>
        <v>-</v>
      </c>
      <c r="AB222" s="272" t="str">
        <f>IF(OR(AB$204=0,AB$221=gebouw),"-",(AB$117+AB$142+AB$159-AB$177)/AB$75)</f>
        <v>-</v>
      </c>
      <c r="AC222" s="272" t="str">
        <f>IF(OR(AC$204=0,AC$221=gebouw),"-",(AC$117+AC$142+AC$159-AC$177)/AC$75)</f>
        <v>-</v>
      </c>
      <c r="AD222" s="336"/>
      <c r="AE222" s="336"/>
      <c r="AF222" s="336"/>
      <c r="AG222" s="336"/>
      <c r="AH222" s="336"/>
      <c r="AI222" s="336"/>
      <c r="AJ222" s="139"/>
      <c r="AK222" s="271" t="str">
        <f>IF(SUM(AM222:AO222)=0,"",((AM$221&lt;&gt;gebouw)*(AM$117+AM$142+AM$159-AM$177) + (AN$221&lt;&gt;gebouw)*(AN$117+AN$142+AN$159-AN$177) + (AO$221&lt;&gt;gebouw)*(AO$117+AO$142+AO$159-AO$177) )/  ((AM$221&lt;&gt;gebouw)*AM$75 + AND(AN$221&lt;&gt;gebouw,AN$221&lt;&gt;"-")*AN$75 + (AO$221&lt;&gt;gebouw)*AO$75) )</f>
        <v/>
      </c>
      <c r="AL222" s="278"/>
      <c r="AM222" s="272" t="str">
        <f>IF(OR(AM$204=0,AM$221=gebouw),"-",(AM$117+AM$142+AM$159-AM$177)/AM$75)</f>
        <v>-</v>
      </c>
      <c r="AN222" s="272" t="str">
        <f>IF(OR(AN$204=0,AN$221=gebouw),"-",(AN$117+AN$142+AN$159-AN$177)/AN$75)</f>
        <v>-</v>
      </c>
      <c r="AO222" s="272" t="str">
        <f>IF(OR(AO$204=0,AO$221=gebouw),"-",(AO$117+AO$142+AO$159-AO$177)/AO$75)</f>
        <v>-</v>
      </c>
      <c r="AP222" s="336"/>
      <c r="AQ222" s="336"/>
      <c r="AR222" s="336"/>
      <c r="AS222" s="336"/>
      <c r="AT222" s="336"/>
      <c r="AU222" s="336"/>
      <c r="AV222" s="139"/>
      <c r="AW222" s="271" t="str">
        <f>IF(SUM(AY222:BA222)=0,"",((AY$221&lt;&gt;gebouw)*(AY$117+AY$142+AY$159-AY$177) + (AZ$221&lt;&gt;gebouw)*(AZ$117+AZ$142+AZ$159-AZ$177) + (BA$221&lt;&gt;gebouw)*(BA$117+BA$142+BA$159-BA$177) )/  ((AY$221&lt;&gt;gebouw)*AY$75 + AND(AZ$221&lt;&gt;gebouw,AZ$221&lt;&gt;"-")*AZ$75 + (BA$221&lt;&gt;gebouw)*BA$75) )</f>
        <v/>
      </c>
      <c r="AX222" s="278"/>
      <c r="AY222" s="272" t="str">
        <f>IF(OR(AY$204=0,AY$221=gebouw),"-",(AY$117+AY$142+AY$159-AY$177)/AY$75)</f>
        <v>-</v>
      </c>
      <c r="AZ222" s="272" t="str">
        <f>IF(OR(AZ$204=0,AZ$221=gebouw),"-",(AZ$117+AZ$142+AZ$159-AZ$177)/AZ$75)</f>
        <v>-</v>
      </c>
      <c r="BA222" s="272" t="str">
        <f>IF(OR(BA$204=0,BA$221=gebouw),"-",(BA$117+BA$142+BA$159-BA$177)/BA$75)</f>
        <v>-</v>
      </c>
      <c r="BB222" s="272"/>
      <c r="BC222" s="336"/>
      <c r="BD222" s="336"/>
      <c r="BE222" s="336"/>
      <c r="BF222" s="336"/>
      <c r="BG222" s="336"/>
      <c r="BH222" s="255"/>
    </row>
    <row r="223" spans="1:60" x14ac:dyDescent="0.2">
      <c r="A223" s="648"/>
      <c r="B223" s="492" t="s">
        <v>299</v>
      </c>
      <c r="C223" s="739" t="s">
        <v>104</v>
      </c>
      <c r="D223" s="747"/>
      <c r="E223" s="90"/>
      <c r="F223" s="90"/>
      <c r="G223" s="90"/>
      <c r="H223" s="96"/>
      <c r="I223" s="90"/>
      <c r="J223" s="93"/>
      <c r="K223" s="90"/>
      <c r="L223" s="90"/>
      <c r="M223" s="690"/>
      <c r="N223" s="90"/>
      <c r="O223" s="93"/>
      <c r="P223" s="93"/>
      <c r="Q223" s="93"/>
      <c r="R223" s="93"/>
      <c r="S223" s="93"/>
      <c r="T223" s="93"/>
      <c r="U223" s="93"/>
      <c r="V223" s="93"/>
      <c r="W223" s="93"/>
      <c r="X223" s="93"/>
      <c r="Y223" s="139"/>
      <c r="Z223" s="90"/>
      <c r="AA223" s="93"/>
      <c r="AB223" s="93"/>
      <c r="AC223" s="93"/>
      <c r="AD223" s="93"/>
      <c r="AE223" s="93"/>
      <c r="AF223" s="93"/>
      <c r="AG223" s="93"/>
      <c r="AH223" s="93"/>
      <c r="AI223" s="93"/>
      <c r="AJ223" s="93"/>
      <c r="AK223" s="93"/>
      <c r="AL223" s="90"/>
      <c r="AM223" s="93"/>
      <c r="AN223" s="93"/>
      <c r="AO223" s="93"/>
      <c r="AP223" s="93"/>
      <c r="AQ223" s="93"/>
      <c r="AR223" s="93"/>
      <c r="AS223" s="93"/>
      <c r="AT223" s="93"/>
      <c r="AU223" s="93"/>
      <c r="AV223" s="93"/>
      <c r="AW223" s="93"/>
      <c r="AX223" s="90"/>
      <c r="AY223" s="90"/>
      <c r="AZ223" s="93"/>
      <c r="BA223" s="93"/>
      <c r="BB223" s="93"/>
      <c r="BC223" s="93"/>
      <c r="BD223" s="93"/>
      <c r="BE223" s="93"/>
      <c r="BF223" s="93"/>
      <c r="BG223" s="93"/>
      <c r="BH223" s="1"/>
    </row>
    <row r="224" spans="1:60" x14ac:dyDescent="0.2">
      <c r="A224" s="648"/>
      <c r="B224" s="492" t="s">
        <v>303</v>
      </c>
      <c r="C224" s="656" t="s">
        <v>104</v>
      </c>
      <c r="D224" s="747"/>
      <c r="E224" s="90"/>
      <c r="F224" s="90"/>
      <c r="G224" s="90"/>
      <c r="H224" s="96"/>
      <c r="I224" s="90"/>
      <c r="J224" s="93"/>
      <c r="K224" s="90"/>
      <c r="L224" s="90"/>
      <c r="M224" s="93"/>
      <c r="N224" s="90"/>
      <c r="O224" s="93"/>
      <c r="P224" s="93"/>
      <c r="Q224" s="93"/>
      <c r="R224" s="93"/>
      <c r="S224" s="93"/>
      <c r="T224" s="93"/>
      <c r="U224" s="93"/>
      <c r="V224" s="93"/>
      <c r="W224" s="93"/>
      <c r="X224" s="93"/>
      <c r="Y224" s="93"/>
      <c r="Z224" s="90"/>
      <c r="AA224" s="93"/>
      <c r="AB224" s="93"/>
      <c r="AC224" s="93"/>
      <c r="AD224" s="93"/>
      <c r="AE224" s="93"/>
      <c r="AF224" s="93"/>
      <c r="AG224" s="93"/>
      <c r="AH224" s="93"/>
      <c r="AI224" s="93"/>
      <c r="AJ224" s="93"/>
      <c r="AK224" s="93"/>
      <c r="AL224" s="90"/>
      <c r="AM224" s="93"/>
      <c r="AN224" s="93"/>
      <c r="AO224" s="93"/>
      <c r="AP224" s="93"/>
      <c r="AQ224" s="93"/>
      <c r="AR224" s="93"/>
      <c r="AS224" s="93"/>
      <c r="AT224" s="93"/>
      <c r="AU224" s="93"/>
      <c r="AV224" s="93"/>
      <c r="AW224" s="93"/>
      <c r="AX224" s="90"/>
      <c r="AY224" s="93"/>
      <c r="AZ224" s="93"/>
      <c r="BA224" s="93"/>
      <c r="BB224" s="93"/>
      <c r="BC224" s="93"/>
      <c r="BD224" s="93"/>
      <c r="BE224" s="93"/>
      <c r="BF224" s="93"/>
      <c r="BG224" s="93"/>
      <c r="BH224" s="1"/>
    </row>
    <row r="225" spans="1:60" s="2" customFormat="1" ht="21" x14ac:dyDescent="0.2">
      <c r="A225" s="649"/>
      <c r="B225" s="492" t="s">
        <v>303</v>
      </c>
      <c r="C225" s="739" t="s">
        <v>104</v>
      </c>
      <c r="D225" s="749" t="s">
        <v>50</v>
      </c>
      <c r="E225" s="253" t="s">
        <v>304</v>
      </c>
      <c r="F225" s="253"/>
      <c r="G225" s="253"/>
      <c r="H225" s="253"/>
      <c r="I225" s="146"/>
      <c r="J225" s="318"/>
      <c r="K225" s="142"/>
      <c r="L225" s="142"/>
      <c r="M225" s="318"/>
      <c r="N225" s="222"/>
      <c r="O225" s="320" t="str">
        <f t="shared" ref="O225:W225" si="144">O$17</f>
        <v/>
      </c>
      <c r="P225" s="320" t="str">
        <f t="shared" si="144"/>
        <v/>
      </c>
      <c r="Q225" s="320" t="str">
        <f t="shared" si="144"/>
        <v/>
      </c>
      <c r="R225" s="320" t="str">
        <f t="shared" si="144"/>
        <v/>
      </c>
      <c r="S225" s="320" t="str">
        <f t="shared" si="144"/>
        <v/>
      </c>
      <c r="T225" s="320" t="str">
        <f t="shared" si="144"/>
        <v/>
      </c>
      <c r="U225" s="320" t="str">
        <f t="shared" si="144"/>
        <v/>
      </c>
      <c r="V225" s="320" t="str">
        <f t="shared" si="144"/>
        <v/>
      </c>
      <c r="W225" s="320" t="str">
        <f t="shared" si="144"/>
        <v/>
      </c>
      <c r="X225" s="214"/>
      <c r="Y225" s="318"/>
      <c r="Z225" s="222"/>
      <c r="AA225" s="320" t="str">
        <f t="shared" ref="AA225:AI225" si="145">AA$17</f>
        <v/>
      </c>
      <c r="AB225" s="320" t="str">
        <f t="shared" si="145"/>
        <v/>
      </c>
      <c r="AC225" s="320" t="str">
        <f t="shared" si="145"/>
        <v/>
      </c>
      <c r="AD225" s="320" t="str">
        <f t="shared" si="145"/>
        <v/>
      </c>
      <c r="AE225" s="320" t="str">
        <f t="shared" si="145"/>
        <v/>
      </c>
      <c r="AF225" s="320" t="str">
        <f t="shared" si="145"/>
        <v/>
      </c>
      <c r="AG225" s="320" t="str">
        <f t="shared" si="145"/>
        <v/>
      </c>
      <c r="AH225" s="320" t="str">
        <f t="shared" si="145"/>
        <v/>
      </c>
      <c r="AI225" s="320" t="str">
        <f t="shared" si="145"/>
        <v/>
      </c>
      <c r="AJ225" s="214"/>
      <c r="AK225" s="318"/>
      <c r="AL225" s="222"/>
      <c r="AM225" s="320" t="str">
        <f>AM$17</f>
        <v/>
      </c>
      <c r="AN225" s="320" t="str">
        <f t="shared" ref="AN225:AU225" si="146">AN$17</f>
        <v/>
      </c>
      <c r="AO225" s="320" t="str">
        <f t="shared" si="146"/>
        <v/>
      </c>
      <c r="AP225" s="320" t="str">
        <f t="shared" si="146"/>
        <v/>
      </c>
      <c r="AQ225" s="320" t="str">
        <f t="shared" si="146"/>
        <v/>
      </c>
      <c r="AR225" s="320" t="str">
        <f t="shared" si="146"/>
        <v/>
      </c>
      <c r="AS225" s="320" t="str">
        <f t="shared" si="146"/>
        <v/>
      </c>
      <c r="AT225" s="320" t="str">
        <f t="shared" si="146"/>
        <v/>
      </c>
      <c r="AU225" s="320" t="str">
        <f t="shared" si="146"/>
        <v/>
      </c>
      <c r="AV225" s="214"/>
      <c r="AW225" s="318"/>
      <c r="AX225" s="222"/>
      <c r="AY225" s="374" t="str">
        <f>AY$17</f>
        <v/>
      </c>
      <c r="AZ225" s="374" t="str">
        <f t="shared" ref="AZ225:BG225" si="147">AZ$17</f>
        <v/>
      </c>
      <c r="BA225" s="374" t="str">
        <f t="shared" si="147"/>
        <v/>
      </c>
      <c r="BB225" s="374" t="str">
        <f t="shared" si="147"/>
        <v/>
      </c>
      <c r="BC225" s="374" t="str">
        <f t="shared" si="147"/>
        <v/>
      </c>
      <c r="BD225" s="374" t="str">
        <f t="shared" si="147"/>
        <v/>
      </c>
      <c r="BE225" s="374" t="str">
        <f t="shared" si="147"/>
        <v/>
      </c>
      <c r="BF225" s="374" t="str">
        <f t="shared" si="147"/>
        <v/>
      </c>
      <c r="BG225" s="374" t="str">
        <f t="shared" si="147"/>
        <v/>
      </c>
      <c r="BH225" s="1"/>
    </row>
    <row r="226" spans="1:60" ht="18.75" x14ac:dyDescent="0.2">
      <c r="A226" s="648"/>
      <c r="B226" s="492" t="s">
        <v>303</v>
      </c>
      <c r="C226" s="739" t="s">
        <v>104</v>
      </c>
      <c r="D226" s="747"/>
      <c r="E226" s="236" t="s">
        <v>305</v>
      </c>
      <c r="F226" s="236"/>
      <c r="G226" s="236"/>
      <c r="H226" s="89"/>
      <c r="I226" s="236"/>
      <c r="J226" s="236"/>
      <c r="K226" s="236"/>
      <c r="L226" s="236"/>
      <c r="M226" s="236"/>
      <c r="N226" s="236"/>
      <c r="O226" s="236"/>
      <c r="P226" s="236"/>
      <c r="Q226" s="236"/>
      <c r="R226" s="236"/>
      <c r="S226" s="236"/>
      <c r="T226" s="236"/>
      <c r="U226" s="236"/>
      <c r="V226" s="236"/>
      <c r="W226" s="236"/>
      <c r="X226" s="236"/>
      <c r="Y226" s="236"/>
      <c r="Z226" s="236"/>
      <c r="AA226" s="236"/>
      <c r="AB226" s="236"/>
      <c r="AC226" s="236"/>
      <c r="AD226" s="236"/>
      <c r="AE226" s="236"/>
      <c r="AF226" s="236"/>
      <c r="AG226" s="236"/>
      <c r="AH226" s="236"/>
      <c r="AI226" s="236"/>
      <c r="AJ226" s="236"/>
      <c r="AK226" s="236"/>
      <c r="AL226" s="236"/>
      <c r="AM226" s="236"/>
      <c r="AN226" s="236"/>
      <c r="AO226" s="236"/>
      <c r="AP226" s="236"/>
      <c r="AQ226" s="236"/>
      <c r="AR226" s="236"/>
      <c r="AS226" s="236"/>
      <c r="AT226" s="236"/>
      <c r="AU226" s="236"/>
      <c r="AV226" s="236"/>
      <c r="AW226" s="236"/>
      <c r="AX226" s="236"/>
      <c r="AY226" s="236"/>
      <c r="AZ226" s="236"/>
      <c r="BA226" s="236"/>
      <c r="BB226" s="236"/>
      <c r="BC226" s="236"/>
      <c r="BD226" s="236"/>
      <c r="BE226" s="236"/>
      <c r="BF226" s="236"/>
      <c r="BG226" s="236"/>
      <c r="BH226" s="38"/>
    </row>
    <row r="227" spans="1:60" x14ac:dyDescent="0.2">
      <c r="A227" s="648"/>
      <c r="B227" s="492" t="s">
        <v>303</v>
      </c>
      <c r="C227" s="656" t="s">
        <v>113</v>
      </c>
      <c r="D227" s="750"/>
      <c r="E227" s="220" t="s">
        <v>306</v>
      </c>
      <c r="F227" s="220"/>
      <c r="G227" s="220"/>
      <c r="H227" s="242" t="s">
        <v>169</v>
      </c>
      <c r="I227" s="129"/>
      <c r="J227" s="243"/>
      <c r="K227" s="279"/>
      <c r="L227" s="279"/>
      <c r="M227" s="243"/>
      <c r="N227" s="100"/>
      <c r="O227" s="207" t="str">
        <f t="shared" ref="O227:W227" si="148">IF(O$19="","",O60)</f>
        <v/>
      </c>
      <c r="P227" s="207" t="str">
        <f t="shared" si="148"/>
        <v/>
      </c>
      <c r="Q227" s="207" t="str">
        <f t="shared" si="148"/>
        <v/>
      </c>
      <c r="R227" s="207" t="str">
        <f t="shared" si="148"/>
        <v/>
      </c>
      <c r="S227" s="207" t="str">
        <f t="shared" si="148"/>
        <v/>
      </c>
      <c r="T227" s="207" t="str">
        <f t="shared" si="148"/>
        <v/>
      </c>
      <c r="U227" s="207" t="str">
        <f t="shared" si="148"/>
        <v/>
      </c>
      <c r="V227" s="207" t="str">
        <f t="shared" si="148"/>
        <v/>
      </c>
      <c r="W227" s="207" t="str">
        <f t="shared" si="148"/>
        <v/>
      </c>
      <c r="X227" s="128"/>
      <c r="Y227" s="243"/>
      <c r="Z227" s="100"/>
      <c r="AA227" s="207" t="str">
        <f t="shared" ref="AA227:AI227" si="149">IF(AA$19="","",AA60)</f>
        <v/>
      </c>
      <c r="AB227" s="207" t="str">
        <f t="shared" si="149"/>
        <v/>
      </c>
      <c r="AC227" s="207" t="str">
        <f t="shared" si="149"/>
        <v/>
      </c>
      <c r="AD227" s="207" t="str">
        <f t="shared" si="149"/>
        <v/>
      </c>
      <c r="AE227" s="207" t="str">
        <f t="shared" si="149"/>
        <v/>
      </c>
      <c r="AF227" s="207" t="str">
        <f t="shared" si="149"/>
        <v/>
      </c>
      <c r="AG227" s="207" t="str">
        <f t="shared" si="149"/>
        <v/>
      </c>
      <c r="AH227" s="207" t="str">
        <f t="shared" si="149"/>
        <v/>
      </c>
      <c r="AI227" s="207" t="str">
        <f t="shared" si="149"/>
        <v/>
      </c>
      <c r="AJ227" s="128"/>
      <c r="AK227" s="243"/>
      <c r="AL227" s="100"/>
      <c r="AM227" s="207" t="str">
        <f t="shared" ref="AM227:AU227" si="150">IF(AM$19="","",AM60)</f>
        <v/>
      </c>
      <c r="AN227" s="207" t="str">
        <f t="shared" si="150"/>
        <v/>
      </c>
      <c r="AO227" s="207" t="str">
        <f t="shared" si="150"/>
        <v/>
      </c>
      <c r="AP227" s="207" t="str">
        <f t="shared" si="150"/>
        <v/>
      </c>
      <c r="AQ227" s="207" t="str">
        <f t="shared" si="150"/>
        <v/>
      </c>
      <c r="AR227" s="207" t="str">
        <f t="shared" si="150"/>
        <v/>
      </c>
      <c r="AS227" s="207" t="str">
        <f t="shared" si="150"/>
        <v/>
      </c>
      <c r="AT227" s="207" t="str">
        <f t="shared" si="150"/>
        <v/>
      </c>
      <c r="AU227" s="207" t="str">
        <f t="shared" si="150"/>
        <v/>
      </c>
      <c r="AV227" s="128"/>
      <c r="AW227" s="243"/>
      <c r="AX227" s="100"/>
      <c r="AY227" s="207" t="str">
        <f t="shared" ref="AY227:BG227" si="151">IF(AY$19="","",AY60)</f>
        <v/>
      </c>
      <c r="AZ227" s="207" t="str">
        <f t="shared" si="151"/>
        <v/>
      </c>
      <c r="BA227" s="207" t="str">
        <f t="shared" si="151"/>
        <v/>
      </c>
      <c r="BB227" s="207" t="str">
        <f t="shared" si="151"/>
        <v/>
      </c>
      <c r="BC227" s="207" t="str">
        <f t="shared" si="151"/>
        <v/>
      </c>
      <c r="BD227" s="207" t="str">
        <f t="shared" si="151"/>
        <v/>
      </c>
      <c r="BE227" s="207" t="str">
        <f t="shared" si="151"/>
        <v/>
      </c>
      <c r="BF227" s="207" t="str">
        <f t="shared" si="151"/>
        <v/>
      </c>
      <c r="BG227" s="207" t="str">
        <f t="shared" si="151"/>
        <v/>
      </c>
      <c r="BH227" s="255"/>
    </row>
    <row r="228" spans="1:60" ht="18.75" x14ac:dyDescent="0.2">
      <c r="A228" s="648"/>
      <c r="B228" s="492" t="s">
        <v>303</v>
      </c>
      <c r="C228" s="739" t="s">
        <v>104</v>
      </c>
      <c r="D228" s="747"/>
      <c r="E228" s="236" t="s">
        <v>307</v>
      </c>
      <c r="F228" s="236"/>
      <c r="G228" s="236"/>
      <c r="H228" s="89"/>
      <c r="I228" s="236"/>
      <c r="J228" s="236"/>
      <c r="K228" s="236"/>
      <c r="L228" s="236"/>
      <c r="M228" s="236"/>
      <c r="N228" s="236"/>
      <c r="O228" s="236"/>
      <c r="P228" s="236"/>
      <c r="Q228" s="236"/>
      <c r="R228" s="236"/>
      <c r="S228" s="236"/>
      <c r="T228" s="236"/>
      <c r="U228" s="236"/>
      <c r="V228" s="236"/>
      <c r="W228" s="236"/>
      <c r="X228" s="236"/>
      <c r="Y228" s="236"/>
      <c r="Z228" s="236"/>
      <c r="AA228" s="236"/>
      <c r="AB228" s="236"/>
      <c r="AC228" s="236"/>
      <c r="AD228" s="236"/>
      <c r="AE228" s="236"/>
      <c r="AF228" s="236"/>
      <c r="AG228" s="236"/>
      <c r="AH228" s="236"/>
      <c r="AI228" s="236"/>
      <c r="AJ228" s="236"/>
      <c r="AK228" s="236"/>
      <c r="AL228" s="236"/>
      <c r="AM228" s="236"/>
      <c r="AN228" s="236"/>
      <c r="AO228" s="236"/>
      <c r="AP228" s="236"/>
      <c r="AQ228" s="236"/>
      <c r="AR228" s="236"/>
      <c r="AS228" s="236"/>
      <c r="AT228" s="236"/>
      <c r="AU228" s="236"/>
      <c r="AV228" s="236"/>
      <c r="AW228" s="236"/>
      <c r="AX228" s="236"/>
      <c r="AY228" s="236"/>
      <c r="AZ228" s="236"/>
      <c r="BA228" s="236"/>
      <c r="BB228" s="236"/>
      <c r="BC228" s="236"/>
      <c r="BD228" s="236"/>
      <c r="BE228" s="236"/>
      <c r="BF228" s="236"/>
      <c r="BG228" s="236"/>
      <c r="BH228" s="38"/>
    </row>
    <row r="229" spans="1:60" x14ac:dyDescent="0.2">
      <c r="A229" s="648"/>
      <c r="B229" s="492" t="s">
        <v>303</v>
      </c>
      <c r="C229" s="656" t="s">
        <v>113</v>
      </c>
      <c r="D229" s="750"/>
      <c r="E229" s="220" t="s">
        <v>306</v>
      </c>
      <c r="F229" s="220"/>
      <c r="G229" s="220"/>
      <c r="H229" s="242" t="s">
        <v>169</v>
      </c>
      <c r="I229" s="129"/>
      <c r="J229" s="243"/>
      <c r="K229" s="279"/>
      <c r="L229" s="279"/>
      <c r="M229" s="243"/>
      <c r="N229" s="100"/>
      <c r="O229" s="207" t="str">
        <f t="shared" ref="O229:W229" si="152">IF(O$19="","-",O61)</f>
        <v>-</v>
      </c>
      <c r="P229" s="207" t="str">
        <f t="shared" si="152"/>
        <v>-</v>
      </c>
      <c r="Q229" s="207" t="str">
        <f t="shared" si="152"/>
        <v>-</v>
      </c>
      <c r="R229" s="207" t="str">
        <f t="shared" si="152"/>
        <v>-</v>
      </c>
      <c r="S229" s="207" t="str">
        <f t="shared" si="152"/>
        <v>-</v>
      </c>
      <c r="T229" s="207" t="str">
        <f t="shared" si="152"/>
        <v>-</v>
      </c>
      <c r="U229" s="207" t="str">
        <f t="shared" si="152"/>
        <v>-</v>
      </c>
      <c r="V229" s="207" t="str">
        <f t="shared" si="152"/>
        <v>-</v>
      </c>
      <c r="W229" s="207" t="str">
        <f t="shared" si="152"/>
        <v>-</v>
      </c>
      <c r="X229" s="128"/>
      <c r="Y229" s="243"/>
      <c r="Z229" s="100"/>
      <c r="AA229" s="207" t="str">
        <f t="shared" ref="AA229:AI229" si="153">IF(AA$19="","-",AA61)</f>
        <v>-</v>
      </c>
      <c r="AB229" s="207" t="str">
        <f t="shared" si="153"/>
        <v>-</v>
      </c>
      <c r="AC229" s="207" t="str">
        <f t="shared" si="153"/>
        <v>-</v>
      </c>
      <c r="AD229" s="207" t="str">
        <f t="shared" si="153"/>
        <v>-</v>
      </c>
      <c r="AE229" s="207" t="str">
        <f t="shared" si="153"/>
        <v>-</v>
      </c>
      <c r="AF229" s="207" t="str">
        <f t="shared" si="153"/>
        <v>-</v>
      </c>
      <c r="AG229" s="207" t="str">
        <f t="shared" si="153"/>
        <v>-</v>
      </c>
      <c r="AH229" s="207" t="str">
        <f t="shared" si="153"/>
        <v>-</v>
      </c>
      <c r="AI229" s="207" t="str">
        <f t="shared" si="153"/>
        <v>-</v>
      </c>
      <c r="AJ229" s="128"/>
      <c r="AK229" s="243"/>
      <c r="AL229" s="100"/>
      <c r="AM229" s="207" t="str">
        <f t="shared" ref="AM229:AU229" si="154">IF(AM$19="","-",AM61)</f>
        <v>-</v>
      </c>
      <c r="AN229" s="207" t="str">
        <f t="shared" si="154"/>
        <v>-</v>
      </c>
      <c r="AO229" s="207" t="str">
        <f t="shared" si="154"/>
        <v>-</v>
      </c>
      <c r="AP229" s="207" t="str">
        <f t="shared" si="154"/>
        <v>-</v>
      </c>
      <c r="AQ229" s="207" t="str">
        <f t="shared" si="154"/>
        <v>-</v>
      </c>
      <c r="AR229" s="207" t="str">
        <f t="shared" si="154"/>
        <v>-</v>
      </c>
      <c r="AS229" s="207" t="str">
        <f t="shared" si="154"/>
        <v>-</v>
      </c>
      <c r="AT229" s="207" t="str">
        <f t="shared" si="154"/>
        <v>-</v>
      </c>
      <c r="AU229" s="207" t="str">
        <f t="shared" si="154"/>
        <v>-</v>
      </c>
      <c r="AV229" s="128"/>
      <c r="AW229" s="243"/>
      <c r="AX229" s="100"/>
      <c r="AY229" s="207" t="str">
        <f t="shared" ref="AY229:BG229" si="155">IF(AY$19="","-",AY61)</f>
        <v>-</v>
      </c>
      <c r="AZ229" s="207" t="str">
        <f t="shared" si="155"/>
        <v>-</v>
      </c>
      <c r="BA229" s="207" t="str">
        <f t="shared" si="155"/>
        <v>-</v>
      </c>
      <c r="BB229" s="207" t="str">
        <f t="shared" si="155"/>
        <v>-</v>
      </c>
      <c r="BC229" s="207" t="str">
        <f t="shared" si="155"/>
        <v>-</v>
      </c>
      <c r="BD229" s="207" t="str">
        <f t="shared" si="155"/>
        <v>-</v>
      </c>
      <c r="BE229" s="207" t="str">
        <f t="shared" si="155"/>
        <v>-</v>
      </c>
      <c r="BF229" s="207" t="str">
        <f t="shared" si="155"/>
        <v>-</v>
      </c>
      <c r="BG229" s="207" t="str">
        <f t="shared" si="155"/>
        <v>-</v>
      </c>
      <c r="BH229" s="255"/>
    </row>
    <row r="230" spans="1:60" x14ac:dyDescent="0.2">
      <c r="A230" s="648"/>
      <c r="B230" s="492" t="s">
        <v>303</v>
      </c>
      <c r="C230" s="739" t="s">
        <v>104</v>
      </c>
      <c r="D230" s="747"/>
      <c r="E230" s="90"/>
      <c r="F230" s="90"/>
      <c r="G230" s="90"/>
      <c r="H230" s="96"/>
      <c r="I230" s="90"/>
      <c r="J230" s="93"/>
      <c r="K230" s="90"/>
      <c r="L230" s="90"/>
      <c r="M230" s="93"/>
      <c r="N230" s="90"/>
      <c r="O230" s="92"/>
      <c r="P230" s="93"/>
      <c r="Q230" s="93"/>
      <c r="R230" s="93"/>
      <c r="S230" s="93"/>
      <c r="T230" s="93"/>
      <c r="U230" s="93"/>
      <c r="V230" s="93"/>
      <c r="W230" s="93"/>
      <c r="X230" s="93"/>
      <c r="Y230" s="93"/>
      <c r="Z230" s="90"/>
      <c r="AA230" s="93"/>
      <c r="AB230" s="93"/>
      <c r="AC230" s="93"/>
      <c r="AD230" s="93"/>
      <c r="AE230" s="93"/>
      <c r="AF230" s="93"/>
      <c r="AG230" s="93"/>
      <c r="AH230" s="93"/>
      <c r="AI230" s="93"/>
      <c r="AJ230" s="93"/>
      <c r="AK230" s="93"/>
      <c r="AL230" s="90"/>
      <c r="AM230" s="93"/>
      <c r="AN230" s="93"/>
      <c r="AO230" s="93"/>
      <c r="AP230" s="93"/>
      <c r="AQ230" s="93"/>
      <c r="AR230" s="93"/>
      <c r="AS230" s="93"/>
      <c r="AT230" s="93"/>
      <c r="AU230" s="93"/>
      <c r="AV230" s="93"/>
      <c r="AW230" s="93"/>
      <c r="AX230" s="90"/>
      <c r="AY230" s="93"/>
      <c r="AZ230" s="93"/>
      <c r="BA230" s="93"/>
      <c r="BB230" s="93"/>
      <c r="BC230" s="93"/>
      <c r="BD230" s="93"/>
      <c r="BE230" s="93"/>
      <c r="BF230" s="93"/>
      <c r="BG230" s="93"/>
      <c r="BH230" s="1"/>
    </row>
    <row r="231" spans="1:60" hidden="1" x14ac:dyDescent="0.2">
      <c r="A231" s="648"/>
      <c r="B231" s="492" t="s">
        <v>308</v>
      </c>
      <c r="C231" s="739" t="s">
        <v>309</v>
      </c>
      <c r="D231" s="747"/>
      <c r="E231" s="90"/>
      <c r="F231" s="90"/>
      <c r="G231" s="90"/>
      <c r="H231" s="96"/>
      <c r="I231" s="90"/>
      <c r="J231" s="93"/>
      <c r="K231" s="90"/>
      <c r="L231" s="90"/>
      <c r="M231" s="93"/>
      <c r="N231" s="90"/>
      <c r="O231" s="93"/>
      <c r="P231" s="93"/>
      <c r="Q231" s="93"/>
      <c r="R231" s="93"/>
      <c r="S231" s="93"/>
      <c r="T231" s="93"/>
      <c r="U231" s="93"/>
      <c r="V231" s="93"/>
      <c r="W231" s="93"/>
      <c r="X231" s="93"/>
      <c r="Y231" s="93"/>
      <c r="Z231" s="90"/>
      <c r="AA231" s="93"/>
      <c r="AB231" s="93"/>
      <c r="AC231" s="93"/>
      <c r="AD231" s="93"/>
      <c r="AE231" s="93"/>
      <c r="AF231" s="93"/>
      <c r="AG231" s="93"/>
      <c r="AH231" s="93"/>
      <c r="AI231" s="93"/>
      <c r="AJ231" s="93"/>
      <c r="AK231" s="93"/>
      <c r="AL231" s="90"/>
      <c r="AM231" s="93"/>
      <c r="AN231" s="93"/>
      <c r="AO231" s="93"/>
      <c r="AP231" s="93"/>
      <c r="AQ231" s="93"/>
      <c r="AR231" s="93"/>
      <c r="AS231" s="93"/>
      <c r="AT231" s="93"/>
      <c r="AU231" s="93"/>
      <c r="AV231" s="93"/>
      <c r="AW231" s="93"/>
      <c r="AX231" s="90"/>
      <c r="AY231" s="93"/>
      <c r="AZ231" s="93"/>
      <c r="BA231" s="93"/>
      <c r="BB231" s="93"/>
      <c r="BC231" s="93"/>
      <c r="BD231" s="93"/>
      <c r="BE231" s="93"/>
      <c r="BF231" s="93"/>
      <c r="BG231" s="93"/>
      <c r="BH231" s="1"/>
    </row>
    <row r="232" spans="1:60" s="2" customFormat="1" ht="21" hidden="1" x14ac:dyDescent="0.2">
      <c r="A232" s="649"/>
      <c r="B232" s="492" t="s">
        <v>308</v>
      </c>
      <c r="C232" s="739" t="s">
        <v>309</v>
      </c>
      <c r="D232" s="749"/>
      <c r="E232" s="253" t="s">
        <v>310</v>
      </c>
      <c r="F232" s="253"/>
      <c r="G232" s="253"/>
      <c r="H232" s="253"/>
      <c r="I232" s="146"/>
      <c r="J232" s="318" t="str">
        <f>J$10</f>
        <v>totaal</v>
      </c>
      <c r="K232" s="142"/>
      <c r="L232" s="142"/>
      <c r="M232" s="318" t="str">
        <f>M$10</f>
        <v>totaal</v>
      </c>
      <c r="N232" s="222"/>
      <c r="O232" s="320" t="str">
        <f t="shared" ref="O232:W232" si="156">O$17</f>
        <v/>
      </c>
      <c r="P232" s="320" t="str">
        <f t="shared" si="156"/>
        <v/>
      </c>
      <c r="Q232" s="320" t="str">
        <f t="shared" si="156"/>
        <v/>
      </c>
      <c r="R232" s="320" t="str">
        <f t="shared" si="156"/>
        <v/>
      </c>
      <c r="S232" s="320" t="str">
        <f t="shared" si="156"/>
        <v/>
      </c>
      <c r="T232" s="320" t="str">
        <f t="shared" si="156"/>
        <v/>
      </c>
      <c r="U232" s="320" t="str">
        <f t="shared" si="156"/>
        <v/>
      </c>
      <c r="V232" s="320" t="str">
        <f t="shared" si="156"/>
        <v/>
      </c>
      <c r="W232" s="320" t="str">
        <f t="shared" si="156"/>
        <v/>
      </c>
      <c r="X232" s="214"/>
      <c r="Y232" s="318" t="str">
        <f>Y$10</f>
        <v>totaal</v>
      </c>
      <c r="Z232" s="222"/>
      <c r="AA232" s="320" t="str">
        <f t="shared" ref="AA232:AI232" si="157">AA$17</f>
        <v/>
      </c>
      <c r="AB232" s="320" t="str">
        <f t="shared" si="157"/>
        <v/>
      </c>
      <c r="AC232" s="320" t="str">
        <f t="shared" si="157"/>
        <v/>
      </c>
      <c r="AD232" s="320" t="str">
        <f t="shared" si="157"/>
        <v/>
      </c>
      <c r="AE232" s="320" t="str">
        <f t="shared" si="157"/>
        <v/>
      </c>
      <c r="AF232" s="320" t="str">
        <f t="shared" si="157"/>
        <v/>
      </c>
      <c r="AG232" s="320" t="str">
        <f t="shared" si="157"/>
        <v/>
      </c>
      <c r="AH232" s="320" t="str">
        <f t="shared" si="157"/>
        <v/>
      </c>
      <c r="AI232" s="320" t="str">
        <f t="shared" si="157"/>
        <v/>
      </c>
      <c r="AJ232" s="214"/>
      <c r="AK232" s="318" t="str">
        <f>AK$10</f>
        <v>totaal</v>
      </c>
      <c r="AL232" s="222"/>
      <c r="AM232" s="320" t="str">
        <f>AM$17</f>
        <v/>
      </c>
      <c r="AN232" s="320" t="str">
        <f t="shared" ref="AN232:AU232" si="158">AN$17</f>
        <v/>
      </c>
      <c r="AO232" s="320" t="str">
        <f t="shared" si="158"/>
        <v/>
      </c>
      <c r="AP232" s="320" t="str">
        <f t="shared" si="158"/>
        <v/>
      </c>
      <c r="AQ232" s="320" t="str">
        <f t="shared" si="158"/>
        <v/>
      </c>
      <c r="AR232" s="320" t="str">
        <f t="shared" si="158"/>
        <v/>
      </c>
      <c r="AS232" s="320" t="str">
        <f t="shared" si="158"/>
        <v/>
      </c>
      <c r="AT232" s="320" t="str">
        <f t="shared" si="158"/>
        <v/>
      </c>
      <c r="AU232" s="320" t="str">
        <f t="shared" si="158"/>
        <v/>
      </c>
      <c r="AV232" s="214"/>
      <c r="AW232" s="318" t="str">
        <f>AW$10</f>
        <v>totaal</v>
      </c>
      <c r="AX232" s="222"/>
      <c r="AY232" s="320" t="str">
        <f>AY$17</f>
        <v/>
      </c>
      <c r="AZ232" s="320" t="str">
        <f t="shared" ref="AZ232:BG232" si="159">AZ$17</f>
        <v/>
      </c>
      <c r="BA232" s="320" t="str">
        <f t="shared" si="159"/>
        <v/>
      </c>
      <c r="BB232" s="320" t="str">
        <f t="shared" si="159"/>
        <v/>
      </c>
      <c r="BC232" s="320" t="str">
        <f t="shared" si="159"/>
        <v/>
      </c>
      <c r="BD232" s="320" t="str">
        <f t="shared" si="159"/>
        <v/>
      </c>
      <c r="BE232" s="320" t="str">
        <f t="shared" si="159"/>
        <v/>
      </c>
      <c r="BF232" s="320" t="str">
        <f t="shared" si="159"/>
        <v/>
      </c>
      <c r="BG232" s="320" t="str">
        <f t="shared" si="159"/>
        <v/>
      </c>
      <c r="BH232" s="1"/>
    </row>
    <row r="233" spans="1:60" ht="18.75" hidden="1" x14ac:dyDescent="0.2">
      <c r="A233" s="648"/>
      <c r="B233" s="492" t="s">
        <v>308</v>
      </c>
      <c r="C233" s="739" t="s">
        <v>309</v>
      </c>
      <c r="D233" s="747"/>
      <c r="E233" s="236" t="s">
        <v>311</v>
      </c>
      <c r="F233" s="236"/>
      <c r="G233" s="236"/>
      <c r="H233" s="89"/>
      <c r="I233" s="236"/>
      <c r="J233" s="236"/>
      <c r="K233" s="236"/>
      <c r="L233" s="236"/>
      <c r="M233" s="236"/>
      <c r="N233" s="236"/>
      <c r="O233" s="236"/>
      <c r="P233" s="236"/>
      <c r="Q233" s="236"/>
      <c r="R233" s="236"/>
      <c r="S233" s="236"/>
      <c r="T233" s="236"/>
      <c r="U233" s="236"/>
      <c r="V233" s="236"/>
      <c r="W233" s="236"/>
      <c r="X233" s="236"/>
      <c r="Y233" s="236"/>
      <c r="Z233" s="236"/>
      <c r="AA233" s="236"/>
      <c r="AB233" s="236"/>
      <c r="AC233" s="236"/>
      <c r="AD233" s="236"/>
      <c r="AE233" s="236"/>
      <c r="AF233" s="236"/>
      <c r="AG233" s="236"/>
      <c r="AH233" s="236"/>
      <c r="AI233" s="236"/>
      <c r="AJ233" s="236"/>
      <c r="AK233" s="236"/>
      <c r="AL233" s="236"/>
      <c r="AM233" s="236"/>
      <c r="AN233" s="236"/>
      <c r="AO233" s="236"/>
      <c r="AP233" s="236"/>
      <c r="AQ233" s="236"/>
      <c r="AR233" s="236"/>
      <c r="AS233" s="236"/>
      <c r="AT233" s="236"/>
      <c r="AU233" s="236"/>
      <c r="AV233" s="236"/>
      <c r="AW233" s="236"/>
      <c r="AX233" s="236"/>
      <c r="AY233" s="236"/>
      <c r="AZ233" s="236"/>
      <c r="BA233" s="236"/>
      <c r="BB233" s="236"/>
      <c r="BC233" s="236"/>
      <c r="BD233" s="236"/>
      <c r="BE233" s="236"/>
      <c r="BF233" s="236"/>
      <c r="BG233" s="236"/>
      <c r="BH233" s="38"/>
    </row>
    <row r="234" spans="1:60" hidden="1" x14ac:dyDescent="0.2">
      <c r="A234" s="648"/>
      <c r="B234" s="492" t="s">
        <v>308</v>
      </c>
      <c r="C234" s="739" t="s">
        <v>309</v>
      </c>
      <c r="D234" s="750" t="s">
        <v>50</v>
      </c>
      <c r="E234" s="220" t="s">
        <v>312</v>
      </c>
      <c r="F234" s="220"/>
      <c r="G234" s="220"/>
      <c r="H234" s="242" t="s">
        <v>70</v>
      </c>
      <c r="I234" s="129"/>
      <c r="J234" s="230"/>
      <c r="K234" s="236"/>
      <c r="L234" s="236"/>
      <c r="M234" s="423">
        <f>SUM(N234:X234)</f>
        <v>0</v>
      </c>
      <c r="N234" s="424"/>
      <c r="O234" s="273">
        <f t="shared" ref="O234:W235" si="160">IF(OR(O$19="",$M60=0),0,O$32*O60/$M60/1000)</f>
        <v>0</v>
      </c>
      <c r="P234" s="273">
        <f t="shared" si="160"/>
        <v>0</v>
      </c>
      <c r="Q234" s="273">
        <f t="shared" si="160"/>
        <v>0</v>
      </c>
      <c r="R234" s="273">
        <f t="shared" si="160"/>
        <v>0</v>
      </c>
      <c r="S234" s="273">
        <f t="shared" si="160"/>
        <v>0</v>
      </c>
      <c r="T234" s="273">
        <f t="shared" si="160"/>
        <v>0</v>
      </c>
      <c r="U234" s="273">
        <f t="shared" si="160"/>
        <v>0</v>
      </c>
      <c r="V234" s="273">
        <f t="shared" si="160"/>
        <v>0</v>
      </c>
      <c r="W234" s="273">
        <f t="shared" si="160"/>
        <v>0</v>
      </c>
      <c r="X234" s="422"/>
      <c r="Y234" s="423">
        <f>SUM(Z234:AJ234)</f>
        <v>0</v>
      </c>
      <c r="Z234" s="424"/>
      <c r="AA234" s="273">
        <f t="shared" ref="AA234:AI235" si="161">IF(OR(AA$19="",$Y60=0),0,AA$32*AA60/$Y60/1000)</f>
        <v>0</v>
      </c>
      <c r="AB234" s="273">
        <f t="shared" si="161"/>
        <v>0</v>
      </c>
      <c r="AC234" s="273">
        <f t="shared" si="161"/>
        <v>0</v>
      </c>
      <c r="AD234" s="273">
        <f t="shared" si="161"/>
        <v>0</v>
      </c>
      <c r="AE234" s="273">
        <f t="shared" si="161"/>
        <v>0</v>
      </c>
      <c r="AF234" s="273">
        <f t="shared" si="161"/>
        <v>0</v>
      </c>
      <c r="AG234" s="273">
        <f t="shared" si="161"/>
        <v>0</v>
      </c>
      <c r="AH234" s="273">
        <f t="shared" si="161"/>
        <v>0</v>
      </c>
      <c r="AI234" s="273">
        <f t="shared" si="161"/>
        <v>0</v>
      </c>
      <c r="AJ234" s="422"/>
      <c r="AK234" s="423">
        <f>SUM(AL234:AV234)</f>
        <v>0</v>
      </c>
      <c r="AL234" s="424"/>
      <c r="AM234" s="273">
        <f t="shared" ref="AM234:AU235" si="162">IF(OR(AM$19="",$AK60=0),0,AM$32*AM60/$AK60/1000)</f>
        <v>0</v>
      </c>
      <c r="AN234" s="273">
        <f t="shared" si="162"/>
        <v>0</v>
      </c>
      <c r="AO234" s="273">
        <f t="shared" si="162"/>
        <v>0</v>
      </c>
      <c r="AP234" s="273">
        <f t="shared" si="162"/>
        <v>0</v>
      </c>
      <c r="AQ234" s="273">
        <f t="shared" si="162"/>
        <v>0</v>
      </c>
      <c r="AR234" s="273">
        <f t="shared" si="162"/>
        <v>0</v>
      </c>
      <c r="AS234" s="273">
        <f t="shared" si="162"/>
        <v>0</v>
      </c>
      <c r="AT234" s="273">
        <f t="shared" si="162"/>
        <v>0</v>
      </c>
      <c r="AU234" s="273">
        <f t="shared" si="162"/>
        <v>0</v>
      </c>
      <c r="AV234" s="422"/>
      <c r="AW234" s="423">
        <f>SUM(AX234:BH234)</f>
        <v>0</v>
      </c>
      <c r="AX234" s="424"/>
      <c r="AY234" s="273">
        <f t="shared" ref="AY234:BG235" si="163">IF(OR(AY$19="",$AW60=0),0,AY$32*AY60/$AW60/1000)</f>
        <v>0</v>
      </c>
      <c r="AZ234" s="273">
        <f t="shared" si="163"/>
        <v>0</v>
      </c>
      <c r="BA234" s="273">
        <f t="shared" si="163"/>
        <v>0</v>
      </c>
      <c r="BB234" s="273">
        <f t="shared" si="163"/>
        <v>0</v>
      </c>
      <c r="BC234" s="273">
        <f t="shared" si="163"/>
        <v>0</v>
      </c>
      <c r="BD234" s="273">
        <f t="shared" si="163"/>
        <v>0</v>
      </c>
      <c r="BE234" s="273">
        <f t="shared" si="163"/>
        <v>0</v>
      </c>
      <c r="BF234" s="273">
        <f t="shared" si="163"/>
        <v>0</v>
      </c>
      <c r="BG234" s="273">
        <f t="shared" si="163"/>
        <v>0</v>
      </c>
      <c r="BH234" s="255"/>
    </row>
    <row r="235" spans="1:60" hidden="1" x14ac:dyDescent="0.2">
      <c r="A235" s="648"/>
      <c r="B235" s="492" t="s">
        <v>308</v>
      </c>
      <c r="C235" s="739" t="s">
        <v>309</v>
      </c>
      <c r="D235" s="747"/>
      <c r="E235" s="220" t="s">
        <v>313</v>
      </c>
      <c r="F235" s="220"/>
      <c r="G235" s="220"/>
      <c r="H235" s="242" t="s">
        <v>70</v>
      </c>
      <c r="I235" s="129"/>
      <c r="J235" s="230"/>
      <c r="K235" s="236"/>
      <c r="L235" s="236"/>
      <c r="M235" s="423">
        <f>SUM(N235:X235)</f>
        <v>0</v>
      </c>
      <c r="N235" s="424"/>
      <c r="O235" s="273">
        <f t="shared" si="160"/>
        <v>0</v>
      </c>
      <c r="P235" s="273">
        <f t="shared" si="160"/>
        <v>0</v>
      </c>
      <c r="Q235" s="273">
        <f t="shared" si="160"/>
        <v>0</v>
      </c>
      <c r="R235" s="273">
        <f t="shared" si="160"/>
        <v>0</v>
      </c>
      <c r="S235" s="273">
        <f t="shared" si="160"/>
        <v>0</v>
      </c>
      <c r="T235" s="273">
        <f t="shared" si="160"/>
        <v>0</v>
      </c>
      <c r="U235" s="273">
        <f t="shared" si="160"/>
        <v>0</v>
      </c>
      <c r="V235" s="273">
        <f t="shared" si="160"/>
        <v>0</v>
      </c>
      <c r="W235" s="273">
        <f t="shared" si="160"/>
        <v>0</v>
      </c>
      <c r="X235" s="422"/>
      <c r="Y235" s="423">
        <f>SUM(Z235:AJ235)</f>
        <v>0</v>
      </c>
      <c r="Z235" s="424"/>
      <c r="AA235" s="273">
        <f t="shared" si="161"/>
        <v>0</v>
      </c>
      <c r="AB235" s="273">
        <f t="shared" si="161"/>
        <v>0</v>
      </c>
      <c r="AC235" s="273">
        <f t="shared" si="161"/>
        <v>0</v>
      </c>
      <c r="AD235" s="273">
        <f t="shared" si="161"/>
        <v>0</v>
      </c>
      <c r="AE235" s="273">
        <f t="shared" si="161"/>
        <v>0</v>
      </c>
      <c r="AF235" s="273">
        <f t="shared" si="161"/>
        <v>0</v>
      </c>
      <c r="AG235" s="273">
        <f t="shared" si="161"/>
        <v>0</v>
      </c>
      <c r="AH235" s="273">
        <f t="shared" si="161"/>
        <v>0</v>
      </c>
      <c r="AI235" s="273">
        <f t="shared" si="161"/>
        <v>0</v>
      </c>
      <c r="AJ235" s="422"/>
      <c r="AK235" s="423">
        <f>SUM(AL235:AV235)</f>
        <v>0</v>
      </c>
      <c r="AL235" s="424"/>
      <c r="AM235" s="273">
        <f t="shared" si="162"/>
        <v>0</v>
      </c>
      <c r="AN235" s="273">
        <f t="shared" si="162"/>
        <v>0</v>
      </c>
      <c r="AO235" s="273">
        <f t="shared" si="162"/>
        <v>0</v>
      </c>
      <c r="AP235" s="273">
        <f t="shared" si="162"/>
        <v>0</v>
      </c>
      <c r="AQ235" s="273">
        <f t="shared" si="162"/>
        <v>0</v>
      </c>
      <c r="AR235" s="273">
        <f t="shared" si="162"/>
        <v>0</v>
      </c>
      <c r="AS235" s="273">
        <f t="shared" si="162"/>
        <v>0</v>
      </c>
      <c r="AT235" s="273">
        <f t="shared" si="162"/>
        <v>0</v>
      </c>
      <c r="AU235" s="273">
        <f t="shared" si="162"/>
        <v>0</v>
      </c>
      <c r="AV235" s="422"/>
      <c r="AW235" s="423">
        <f>SUM(AX235:BH235)</f>
        <v>0</v>
      </c>
      <c r="AX235" s="424"/>
      <c r="AY235" s="273">
        <f t="shared" si="163"/>
        <v>0</v>
      </c>
      <c r="AZ235" s="273">
        <f t="shared" si="163"/>
        <v>0</v>
      </c>
      <c r="BA235" s="273">
        <f t="shared" si="163"/>
        <v>0</v>
      </c>
      <c r="BB235" s="273">
        <f t="shared" si="163"/>
        <v>0</v>
      </c>
      <c r="BC235" s="273">
        <f t="shared" si="163"/>
        <v>0</v>
      </c>
      <c r="BD235" s="273">
        <f t="shared" si="163"/>
        <v>0</v>
      </c>
      <c r="BE235" s="273">
        <f t="shared" si="163"/>
        <v>0</v>
      </c>
      <c r="BF235" s="273">
        <f t="shared" si="163"/>
        <v>0</v>
      </c>
      <c r="BG235" s="273">
        <f t="shared" si="163"/>
        <v>0</v>
      </c>
      <c r="BH235" s="255"/>
    </row>
    <row r="236" spans="1:60" hidden="1" x14ac:dyDescent="0.2">
      <c r="A236" s="648"/>
      <c r="B236" s="492" t="s">
        <v>308</v>
      </c>
      <c r="C236" s="739" t="s">
        <v>309</v>
      </c>
      <c r="D236" s="747"/>
      <c r="E236" s="220" t="s">
        <v>314</v>
      </c>
      <c r="F236" s="220"/>
      <c r="G236" s="220"/>
      <c r="H236" s="242" t="s">
        <v>70</v>
      </c>
      <c r="I236" s="129"/>
      <c r="J236" s="230"/>
      <c r="K236" s="236"/>
      <c r="L236" s="236"/>
      <c r="M236" s="423">
        <f>SUM(N236:X236)</f>
        <v>0</v>
      </c>
      <c r="N236" s="424"/>
      <c r="O236" s="273">
        <f t="shared" ref="O236:W236" si="164">IF(OR(O$19="",$M$62=0),0,O$32*O62/$M62/1000)</f>
        <v>0</v>
      </c>
      <c r="P236" s="273">
        <f t="shared" si="164"/>
        <v>0</v>
      </c>
      <c r="Q236" s="273">
        <f t="shared" si="164"/>
        <v>0</v>
      </c>
      <c r="R236" s="273">
        <f t="shared" si="164"/>
        <v>0</v>
      </c>
      <c r="S236" s="273">
        <f t="shared" si="164"/>
        <v>0</v>
      </c>
      <c r="T236" s="273">
        <f t="shared" si="164"/>
        <v>0</v>
      </c>
      <c r="U236" s="273">
        <f t="shared" si="164"/>
        <v>0</v>
      </c>
      <c r="V236" s="273">
        <f t="shared" si="164"/>
        <v>0</v>
      </c>
      <c r="W236" s="273">
        <f t="shared" si="164"/>
        <v>0</v>
      </c>
      <c r="X236" s="422"/>
      <c r="Y236" s="423">
        <f>SUM(Z236:AJ236)</f>
        <v>0</v>
      </c>
      <c r="Z236" s="424"/>
      <c r="AA236" s="273">
        <f t="shared" ref="AA236:AI236" si="165">IF(OR(AA$19="",$Y$62=0),0,AA$32*AA62/$Y62/1000)</f>
        <v>0</v>
      </c>
      <c r="AB236" s="273">
        <f t="shared" si="165"/>
        <v>0</v>
      </c>
      <c r="AC236" s="273">
        <f t="shared" si="165"/>
        <v>0</v>
      </c>
      <c r="AD236" s="273">
        <f t="shared" si="165"/>
        <v>0</v>
      </c>
      <c r="AE236" s="273">
        <f t="shared" si="165"/>
        <v>0</v>
      </c>
      <c r="AF236" s="273">
        <f t="shared" si="165"/>
        <v>0</v>
      </c>
      <c r="AG236" s="273">
        <f t="shared" si="165"/>
        <v>0</v>
      </c>
      <c r="AH236" s="273">
        <f t="shared" si="165"/>
        <v>0</v>
      </c>
      <c r="AI236" s="273">
        <f t="shared" si="165"/>
        <v>0</v>
      </c>
      <c r="AJ236" s="422"/>
      <c r="AK236" s="423">
        <f>SUM(AL236:AV236)</f>
        <v>0</v>
      </c>
      <c r="AL236" s="424"/>
      <c r="AM236" s="273">
        <f t="shared" ref="AM236:AU236" si="166">IF(OR(AM$19="",$AK$62=0),0,AM$32*AM62/$AK62/1000)</f>
        <v>0</v>
      </c>
      <c r="AN236" s="273">
        <f t="shared" si="166"/>
        <v>0</v>
      </c>
      <c r="AO236" s="273">
        <f t="shared" si="166"/>
        <v>0</v>
      </c>
      <c r="AP236" s="273">
        <f t="shared" si="166"/>
        <v>0</v>
      </c>
      <c r="AQ236" s="273">
        <f t="shared" si="166"/>
        <v>0</v>
      </c>
      <c r="AR236" s="273">
        <f t="shared" si="166"/>
        <v>0</v>
      </c>
      <c r="AS236" s="273">
        <f t="shared" si="166"/>
        <v>0</v>
      </c>
      <c r="AT236" s="273">
        <f t="shared" si="166"/>
        <v>0</v>
      </c>
      <c r="AU236" s="273">
        <f t="shared" si="166"/>
        <v>0</v>
      </c>
      <c r="AV236" s="422"/>
      <c r="AW236" s="423">
        <f>SUM(AX236:BH236)</f>
        <v>0</v>
      </c>
      <c r="AX236" s="424"/>
      <c r="AY236" s="273">
        <f t="shared" ref="AY236:BG236" si="167">IF(OR(AY$19="",$AW$62=0),0,AY$32*AY62/$AW62/1000)</f>
        <v>0</v>
      </c>
      <c r="AZ236" s="273">
        <f t="shared" si="167"/>
        <v>0</v>
      </c>
      <c r="BA236" s="273">
        <f t="shared" si="167"/>
        <v>0</v>
      </c>
      <c r="BB236" s="273">
        <f t="shared" si="167"/>
        <v>0</v>
      </c>
      <c r="BC236" s="273">
        <f t="shared" si="167"/>
        <v>0</v>
      </c>
      <c r="BD236" s="273">
        <f t="shared" si="167"/>
        <v>0</v>
      </c>
      <c r="BE236" s="273">
        <f t="shared" si="167"/>
        <v>0</v>
      </c>
      <c r="BF236" s="273">
        <f t="shared" si="167"/>
        <v>0</v>
      </c>
      <c r="BG236" s="273">
        <f t="shared" si="167"/>
        <v>0</v>
      </c>
      <c r="BH236" s="255"/>
    </row>
    <row r="237" spans="1:60" hidden="1" x14ac:dyDescent="0.2">
      <c r="A237" s="648"/>
      <c r="B237" s="492" t="s">
        <v>308</v>
      </c>
      <c r="C237" s="739" t="s">
        <v>309</v>
      </c>
      <c r="D237" s="747"/>
      <c r="E237" s="90"/>
      <c r="F237" s="90"/>
      <c r="G237" s="90"/>
      <c r="H237" s="96"/>
      <c r="I237" s="90"/>
      <c r="J237" s="93"/>
      <c r="K237" s="90"/>
      <c r="L237" s="90"/>
      <c r="M237" s="93"/>
      <c r="N237" s="90"/>
      <c r="O237" s="92"/>
      <c r="P237" s="93"/>
      <c r="Q237" s="93"/>
      <c r="R237" s="93"/>
      <c r="S237" s="93"/>
      <c r="T237" s="93"/>
      <c r="U237" s="93"/>
      <c r="V237" s="93"/>
      <c r="W237" s="93"/>
      <c r="X237" s="93"/>
      <c r="Y237" s="93"/>
      <c r="Z237" s="90"/>
      <c r="AA237" s="93"/>
      <c r="AB237" s="93"/>
      <c r="AC237" s="93"/>
      <c r="AD237" s="93"/>
      <c r="AE237" s="93"/>
      <c r="AF237" s="93"/>
      <c r="AG237" s="93"/>
      <c r="AH237" s="93"/>
      <c r="AI237" s="93"/>
      <c r="AJ237" s="93"/>
      <c r="AK237" s="93"/>
      <c r="AL237" s="90"/>
      <c r="AM237" s="93"/>
      <c r="AN237" s="93"/>
      <c r="AO237" s="93"/>
      <c r="AP237" s="93"/>
      <c r="AQ237" s="93"/>
      <c r="AR237" s="93"/>
      <c r="AS237" s="93"/>
      <c r="AT237" s="93"/>
      <c r="AU237" s="93"/>
      <c r="AV237" s="93"/>
      <c r="AW237" s="93"/>
      <c r="AX237" s="90"/>
      <c r="AY237" s="93"/>
      <c r="AZ237" s="93"/>
      <c r="BA237" s="93"/>
      <c r="BB237" s="93"/>
      <c r="BC237" s="93"/>
      <c r="BD237" s="93"/>
      <c r="BE237" s="93"/>
      <c r="BF237" s="93"/>
      <c r="BG237" s="93"/>
      <c r="BH237" s="1"/>
    </row>
    <row r="238" spans="1:60" x14ac:dyDescent="0.2">
      <c r="A238" s="648"/>
      <c r="B238" s="492" t="s">
        <v>315</v>
      </c>
      <c r="C238" s="656" t="s">
        <v>104</v>
      </c>
      <c r="D238" s="747"/>
      <c r="E238" s="90"/>
      <c r="F238" s="90"/>
      <c r="G238" s="90"/>
      <c r="H238" s="96"/>
      <c r="I238" s="90"/>
      <c r="J238" s="93"/>
      <c r="K238" s="90"/>
      <c r="L238" s="90"/>
      <c r="M238" s="93"/>
      <c r="N238" s="90"/>
      <c r="O238" s="93"/>
      <c r="P238" s="93"/>
      <c r="Q238" s="93"/>
      <c r="R238" s="93"/>
      <c r="S238" s="93"/>
      <c r="T238" s="93"/>
      <c r="U238" s="93"/>
      <c r="V238" s="93"/>
      <c r="W238" s="93"/>
      <c r="X238" s="93"/>
      <c r="Y238" s="93"/>
      <c r="Z238" s="90"/>
      <c r="AA238" s="93"/>
      <c r="AB238" s="93"/>
      <c r="AC238" s="93"/>
      <c r="AD238" s="93"/>
      <c r="AE238" s="93"/>
      <c r="AF238" s="93"/>
      <c r="AG238" s="93"/>
      <c r="AH238" s="93"/>
      <c r="AI238" s="93"/>
      <c r="AJ238" s="93"/>
      <c r="AK238" s="93"/>
      <c r="AL238" s="90"/>
      <c r="AM238" s="93"/>
      <c r="AN238" s="93"/>
      <c r="AO238" s="93"/>
      <c r="AP238" s="93"/>
      <c r="AQ238" s="93"/>
      <c r="AR238" s="93"/>
      <c r="AS238" s="93"/>
      <c r="AT238" s="93"/>
      <c r="AU238" s="93"/>
      <c r="AV238" s="93"/>
      <c r="AW238" s="93"/>
      <c r="AX238" s="90"/>
      <c r="AY238" s="93"/>
      <c r="AZ238" s="93"/>
      <c r="BA238" s="93"/>
      <c r="BB238" s="93"/>
      <c r="BC238" s="93"/>
      <c r="BD238" s="93"/>
      <c r="BE238" s="93"/>
      <c r="BF238" s="93"/>
      <c r="BG238" s="93"/>
      <c r="BH238" s="1"/>
    </row>
    <row r="239" spans="1:60" s="2" customFormat="1" ht="21" x14ac:dyDescent="0.2">
      <c r="A239" s="649"/>
      <c r="B239" s="492" t="s">
        <v>315</v>
      </c>
      <c r="C239" s="739" t="s">
        <v>104</v>
      </c>
      <c r="D239" s="749" t="s">
        <v>50</v>
      </c>
      <c r="E239" s="253" t="s">
        <v>114</v>
      </c>
      <c r="F239" s="253"/>
      <c r="G239" s="253"/>
      <c r="H239" s="253"/>
      <c r="I239" s="146"/>
      <c r="J239" s="318" t="str">
        <f>J$10&amp;" MWh"</f>
        <v>totaal MWh</v>
      </c>
      <c r="K239" s="142"/>
      <c r="L239" s="142"/>
      <c r="M239" s="318" t="str">
        <f>M$10&amp;" MWh"</f>
        <v>totaal MWh</v>
      </c>
      <c r="N239" s="222"/>
      <c r="O239" s="320" t="str">
        <f t="shared" ref="O239:W239" si="168">O$17</f>
        <v/>
      </c>
      <c r="P239" s="320" t="str">
        <f t="shared" si="168"/>
        <v/>
      </c>
      <c r="Q239" s="320" t="str">
        <f t="shared" si="168"/>
        <v/>
      </c>
      <c r="R239" s="320" t="str">
        <f t="shared" si="168"/>
        <v/>
      </c>
      <c r="S239" s="320" t="str">
        <f t="shared" si="168"/>
        <v/>
      </c>
      <c r="T239" s="320" t="str">
        <f t="shared" si="168"/>
        <v/>
      </c>
      <c r="U239" s="320" t="str">
        <f t="shared" si="168"/>
        <v/>
      </c>
      <c r="V239" s="320" t="str">
        <f t="shared" si="168"/>
        <v/>
      </c>
      <c r="W239" s="320" t="str">
        <f t="shared" si="168"/>
        <v/>
      </c>
      <c r="X239" s="214"/>
      <c r="Y239" s="318" t="str">
        <f>Y$10&amp;" MWh"</f>
        <v>totaal MWh</v>
      </c>
      <c r="Z239" s="222"/>
      <c r="AA239" s="320" t="str">
        <f t="shared" ref="AA239:AI239" si="169">AA$17</f>
        <v/>
      </c>
      <c r="AB239" s="320" t="str">
        <f t="shared" si="169"/>
        <v/>
      </c>
      <c r="AC239" s="320" t="str">
        <f t="shared" si="169"/>
        <v/>
      </c>
      <c r="AD239" s="320" t="str">
        <f t="shared" si="169"/>
        <v/>
      </c>
      <c r="AE239" s="320" t="str">
        <f t="shared" si="169"/>
        <v/>
      </c>
      <c r="AF239" s="320" t="str">
        <f t="shared" si="169"/>
        <v/>
      </c>
      <c r="AG239" s="320" t="str">
        <f t="shared" si="169"/>
        <v/>
      </c>
      <c r="AH239" s="320" t="str">
        <f t="shared" si="169"/>
        <v/>
      </c>
      <c r="AI239" s="320" t="str">
        <f t="shared" si="169"/>
        <v/>
      </c>
      <c r="AJ239" s="214"/>
      <c r="AK239" s="318" t="str">
        <f>AK$10&amp;" MWh"</f>
        <v>totaal MWh</v>
      </c>
      <c r="AL239" s="222"/>
      <c r="AM239" s="320" t="str">
        <f>AM$17</f>
        <v/>
      </c>
      <c r="AN239" s="320" t="str">
        <f t="shared" ref="AN239:AU239" si="170">AN$17</f>
        <v/>
      </c>
      <c r="AO239" s="320" t="str">
        <f t="shared" si="170"/>
        <v/>
      </c>
      <c r="AP239" s="320" t="str">
        <f t="shared" si="170"/>
        <v/>
      </c>
      <c r="AQ239" s="320" t="str">
        <f t="shared" si="170"/>
        <v/>
      </c>
      <c r="AR239" s="320" t="str">
        <f t="shared" si="170"/>
        <v/>
      </c>
      <c r="AS239" s="320" t="str">
        <f t="shared" si="170"/>
        <v/>
      </c>
      <c r="AT239" s="320" t="str">
        <f t="shared" si="170"/>
        <v/>
      </c>
      <c r="AU239" s="320" t="str">
        <f t="shared" si="170"/>
        <v/>
      </c>
      <c r="AV239" s="214"/>
      <c r="AW239" s="318" t="str">
        <f>AW$10&amp;" MWh"</f>
        <v>totaal MWh</v>
      </c>
      <c r="AX239" s="222"/>
      <c r="AY239" s="320" t="str">
        <f>AY$17</f>
        <v/>
      </c>
      <c r="AZ239" s="320" t="str">
        <f t="shared" ref="AZ239:BG239" si="171">AZ$17</f>
        <v/>
      </c>
      <c r="BA239" s="320" t="str">
        <f t="shared" si="171"/>
        <v/>
      </c>
      <c r="BB239" s="320" t="str">
        <f t="shared" si="171"/>
        <v/>
      </c>
      <c r="BC239" s="320" t="str">
        <f t="shared" si="171"/>
        <v/>
      </c>
      <c r="BD239" s="320" t="str">
        <f t="shared" si="171"/>
        <v/>
      </c>
      <c r="BE239" s="320" t="str">
        <f t="shared" si="171"/>
        <v/>
      </c>
      <c r="BF239" s="320" t="str">
        <f t="shared" si="171"/>
        <v/>
      </c>
      <c r="BG239" s="320" t="str">
        <f t="shared" si="171"/>
        <v/>
      </c>
      <c r="BH239" s="1"/>
    </row>
    <row r="240" spans="1:60" ht="18.75" x14ac:dyDescent="0.2">
      <c r="A240" s="648"/>
      <c r="B240" s="492" t="s">
        <v>315</v>
      </c>
      <c r="C240" s="739" t="s">
        <v>104</v>
      </c>
      <c r="D240" s="747"/>
      <c r="E240" s="236" t="s">
        <v>316</v>
      </c>
      <c r="F240" s="236"/>
      <c r="G240" s="236"/>
      <c r="H240" s="89"/>
      <c r="I240" s="236"/>
      <c r="J240" s="236"/>
      <c r="K240" s="236"/>
      <c r="L240" s="236"/>
      <c r="M240" s="236"/>
      <c r="N240" s="236"/>
      <c r="O240" s="236"/>
      <c r="P240" s="236"/>
      <c r="Q240" s="236"/>
      <c r="R240" s="236"/>
      <c r="S240" s="236"/>
      <c r="T240" s="236"/>
      <c r="U240" s="236"/>
      <c r="V240" s="236"/>
      <c r="W240" s="236"/>
      <c r="X240" s="236"/>
      <c r="Y240" s="236"/>
      <c r="Z240" s="236"/>
      <c r="AA240" s="236"/>
      <c r="AB240" s="236"/>
      <c r="AC240" s="236"/>
      <c r="AD240" s="236"/>
      <c r="AE240" s="236"/>
      <c r="AF240" s="236"/>
      <c r="AG240" s="236"/>
      <c r="AH240" s="236"/>
      <c r="AI240" s="236"/>
      <c r="AJ240" s="236"/>
      <c r="AK240" s="236"/>
      <c r="AL240" s="236"/>
      <c r="AM240" s="236"/>
      <c r="AN240" s="236"/>
      <c r="AO240" s="236"/>
      <c r="AP240" s="236"/>
      <c r="AQ240" s="236"/>
      <c r="AR240" s="236"/>
      <c r="AS240" s="236"/>
      <c r="AT240" s="236"/>
      <c r="AU240" s="236"/>
      <c r="AV240" s="236"/>
      <c r="AW240" s="236"/>
      <c r="AX240" s="236"/>
      <c r="AY240" s="236"/>
      <c r="AZ240" s="236"/>
      <c r="BA240" s="236"/>
      <c r="BB240" s="236"/>
      <c r="BC240" s="236"/>
      <c r="BD240" s="236"/>
      <c r="BE240" s="236"/>
      <c r="BF240" s="236"/>
      <c r="BG240" s="236"/>
      <c r="BH240" s="38"/>
    </row>
    <row r="241" spans="1:60" x14ac:dyDescent="0.2">
      <c r="A241" s="648"/>
      <c r="B241" s="492" t="s">
        <v>315</v>
      </c>
      <c r="C241" s="656" t="s">
        <v>113</v>
      </c>
      <c r="D241" s="750"/>
      <c r="E241" s="367" t="str">
        <f>$O$73</f>
        <v>verwarming</v>
      </c>
      <c r="F241" s="220"/>
      <c r="G241" s="220"/>
      <c r="H241" s="242" t="s">
        <v>317</v>
      </c>
      <c r="I241" s="129"/>
      <c r="J241" s="243">
        <f t="shared" ref="J241:J249" si="172">M241+Y241+AK241+AW241</f>
        <v>0</v>
      </c>
      <c r="K241" s="236"/>
      <c r="L241" s="236"/>
      <c r="M241" s="243">
        <f t="shared" ref="M241:M248" si="173">SUMPRODUCT(N241:X241,N$24:X$24,N$31:X$31)/1000</f>
        <v>0</v>
      </c>
      <c r="N241" s="129"/>
      <c r="O241" s="207">
        <f t="shared" ref="O241:W241" si="174">IF(OR(O$24=0,$O$75=0),0,
(($O$117+$O$142+$O$159)/$O$75)*O60)</f>
        <v>0</v>
      </c>
      <c r="P241" s="207">
        <f t="shared" si="174"/>
        <v>0</v>
      </c>
      <c r="Q241" s="207">
        <f t="shared" si="174"/>
        <v>0</v>
      </c>
      <c r="R241" s="207">
        <f t="shared" si="174"/>
        <v>0</v>
      </c>
      <c r="S241" s="207">
        <f t="shared" si="174"/>
        <v>0</v>
      </c>
      <c r="T241" s="207">
        <f t="shared" si="174"/>
        <v>0</v>
      </c>
      <c r="U241" s="207">
        <f t="shared" si="174"/>
        <v>0</v>
      </c>
      <c r="V241" s="207">
        <f t="shared" si="174"/>
        <v>0</v>
      </c>
      <c r="W241" s="207">
        <f t="shared" si="174"/>
        <v>0</v>
      </c>
      <c r="X241" s="128"/>
      <c r="Y241" s="243">
        <f t="shared" ref="Y241:Y248" si="175">SUMPRODUCT(Z241:AJ241,Z$24:AJ$24,Z$31:AJ$31)/1000</f>
        <v>0</v>
      </c>
      <c r="Z241" s="129"/>
      <c r="AA241" s="207">
        <f t="shared" ref="AA241:AI241" si="176">IF(AA$24=0,0,
(($AA$117+$AA$142+$AA$159)/$AA$75)*AA60)</f>
        <v>0</v>
      </c>
      <c r="AB241" s="207">
        <f t="shared" si="176"/>
        <v>0</v>
      </c>
      <c r="AC241" s="207">
        <f t="shared" si="176"/>
        <v>0</v>
      </c>
      <c r="AD241" s="207">
        <f t="shared" si="176"/>
        <v>0</v>
      </c>
      <c r="AE241" s="207">
        <f t="shared" si="176"/>
        <v>0</v>
      </c>
      <c r="AF241" s="207">
        <f t="shared" si="176"/>
        <v>0</v>
      </c>
      <c r="AG241" s="207">
        <f t="shared" si="176"/>
        <v>0</v>
      </c>
      <c r="AH241" s="207">
        <f t="shared" si="176"/>
        <v>0</v>
      </c>
      <c r="AI241" s="207">
        <f t="shared" si="176"/>
        <v>0</v>
      </c>
      <c r="AJ241" s="128"/>
      <c r="AK241" s="243">
        <f t="shared" ref="AK241:AK248" si="177">SUMPRODUCT(AL241:AV241,AL$24:AV$24,AL$31:AV$31)/1000</f>
        <v>0</v>
      </c>
      <c r="AL241" s="129"/>
      <c r="AM241" s="207">
        <f t="shared" ref="AM241:AU241" si="178">IF(AM$24=0,0,
(($AM$117+$AM$142+$AM$159)/$AM$75)*AM60)</f>
        <v>0</v>
      </c>
      <c r="AN241" s="207">
        <f t="shared" si="178"/>
        <v>0</v>
      </c>
      <c r="AO241" s="207">
        <f t="shared" si="178"/>
        <v>0</v>
      </c>
      <c r="AP241" s="207">
        <f t="shared" si="178"/>
        <v>0</v>
      </c>
      <c r="AQ241" s="207">
        <f t="shared" si="178"/>
        <v>0</v>
      </c>
      <c r="AR241" s="207">
        <f t="shared" si="178"/>
        <v>0</v>
      </c>
      <c r="AS241" s="207">
        <f t="shared" si="178"/>
        <v>0</v>
      </c>
      <c r="AT241" s="207">
        <f t="shared" si="178"/>
        <v>0</v>
      </c>
      <c r="AU241" s="207">
        <f t="shared" si="178"/>
        <v>0</v>
      </c>
      <c r="AV241" s="128"/>
      <c r="AW241" s="243">
        <f t="shared" ref="AW241:AW248" si="179">SUMPRODUCT(AX241:BH241,AX$24:BH$24,AX$31:BH$31)/1000</f>
        <v>0</v>
      </c>
      <c r="AX241" s="129"/>
      <c r="AY241" s="207">
        <f t="shared" ref="AY241:BG241" si="180">IF(AY$24=0,0,
(($AY$117+$AY$142+$AY$159)/$AY$75)*AY60)</f>
        <v>0</v>
      </c>
      <c r="AZ241" s="207">
        <f t="shared" si="180"/>
        <v>0</v>
      </c>
      <c r="BA241" s="207">
        <f t="shared" si="180"/>
        <v>0</v>
      </c>
      <c r="BB241" s="207">
        <f t="shared" si="180"/>
        <v>0</v>
      </c>
      <c r="BC241" s="207">
        <f t="shared" si="180"/>
        <v>0</v>
      </c>
      <c r="BD241" s="207">
        <f t="shared" si="180"/>
        <v>0</v>
      </c>
      <c r="BE241" s="207">
        <f t="shared" si="180"/>
        <v>0</v>
      </c>
      <c r="BF241" s="207">
        <f t="shared" si="180"/>
        <v>0</v>
      </c>
      <c r="BG241" s="207">
        <f t="shared" si="180"/>
        <v>0</v>
      </c>
      <c r="BH241" s="255"/>
    </row>
    <row r="242" spans="1:60" x14ac:dyDescent="0.2">
      <c r="A242" s="648"/>
      <c r="B242" s="492" t="s">
        <v>315</v>
      </c>
      <c r="C242" s="656" t="s">
        <v>113</v>
      </c>
      <c r="D242" s="750"/>
      <c r="E242" s="367" t="str">
        <f>$P$73</f>
        <v>koeling</v>
      </c>
      <c r="F242" s="220"/>
      <c r="G242" s="220"/>
      <c r="H242" s="242" t="s">
        <v>317</v>
      </c>
      <c r="I242" s="129"/>
      <c r="J242" s="243">
        <f t="shared" si="172"/>
        <v>0</v>
      </c>
      <c r="K242" s="236"/>
      <c r="L242" s="236"/>
      <c r="M242" s="243">
        <f t="shared" si="173"/>
        <v>0</v>
      </c>
      <c r="N242" s="129"/>
      <c r="O242" s="207">
        <f t="shared" ref="O242:W242" si="181">IF(OR(O$24=0,$P$75=0),0,
(($P$117+$P$142+$P$159)/$P$75)*O61)</f>
        <v>0</v>
      </c>
      <c r="P242" s="207">
        <f t="shared" si="181"/>
        <v>0</v>
      </c>
      <c r="Q242" s="207">
        <f t="shared" si="181"/>
        <v>0</v>
      </c>
      <c r="R242" s="207">
        <f t="shared" si="181"/>
        <v>0</v>
      </c>
      <c r="S242" s="207">
        <f t="shared" si="181"/>
        <v>0</v>
      </c>
      <c r="T242" s="207">
        <f t="shared" si="181"/>
        <v>0</v>
      </c>
      <c r="U242" s="207">
        <f t="shared" si="181"/>
        <v>0</v>
      </c>
      <c r="V242" s="207">
        <f t="shared" si="181"/>
        <v>0</v>
      </c>
      <c r="W242" s="207">
        <f t="shared" si="181"/>
        <v>0</v>
      </c>
      <c r="X242" s="128"/>
      <c r="Y242" s="243">
        <f t="shared" si="175"/>
        <v>0</v>
      </c>
      <c r="Z242" s="129"/>
      <c r="AA242" s="207">
        <f t="shared" ref="AA242:AI242" si="182">IF(OR(AA$24=0,$AB$75=0),0,
(($AB$117+$AB$142+$AB$159)/$AB$75)*AA61)</f>
        <v>0</v>
      </c>
      <c r="AB242" s="207">
        <f t="shared" si="182"/>
        <v>0</v>
      </c>
      <c r="AC242" s="207">
        <f t="shared" si="182"/>
        <v>0</v>
      </c>
      <c r="AD242" s="207">
        <f t="shared" si="182"/>
        <v>0</v>
      </c>
      <c r="AE242" s="207">
        <f t="shared" si="182"/>
        <v>0</v>
      </c>
      <c r="AF242" s="207">
        <f t="shared" si="182"/>
        <v>0</v>
      </c>
      <c r="AG242" s="207">
        <f t="shared" si="182"/>
        <v>0</v>
      </c>
      <c r="AH242" s="207">
        <f t="shared" si="182"/>
        <v>0</v>
      </c>
      <c r="AI242" s="207">
        <f t="shared" si="182"/>
        <v>0</v>
      </c>
      <c r="AJ242" s="128"/>
      <c r="AK242" s="243">
        <f t="shared" si="177"/>
        <v>0</v>
      </c>
      <c r="AL242" s="129"/>
      <c r="AM242" s="207">
        <f t="shared" ref="AM242:AU242" si="183">IF(OR(AM$24=0,$AN$75=0),0,
(($AN$117+$AN$142+$AN$159)/$AN$75)*AM61)</f>
        <v>0</v>
      </c>
      <c r="AN242" s="207">
        <f t="shared" si="183"/>
        <v>0</v>
      </c>
      <c r="AO242" s="207">
        <f t="shared" si="183"/>
        <v>0</v>
      </c>
      <c r="AP242" s="207">
        <f t="shared" si="183"/>
        <v>0</v>
      </c>
      <c r="AQ242" s="207">
        <f t="shared" si="183"/>
        <v>0</v>
      </c>
      <c r="AR242" s="207">
        <f t="shared" si="183"/>
        <v>0</v>
      </c>
      <c r="AS242" s="207">
        <f t="shared" si="183"/>
        <v>0</v>
      </c>
      <c r="AT242" s="207">
        <f t="shared" si="183"/>
        <v>0</v>
      </c>
      <c r="AU242" s="207">
        <f t="shared" si="183"/>
        <v>0</v>
      </c>
      <c r="AV242" s="128"/>
      <c r="AW242" s="243">
        <f t="shared" si="179"/>
        <v>0</v>
      </c>
      <c r="AX242" s="129"/>
      <c r="AY242" s="207">
        <f t="shared" ref="AY242:BG242" si="184">IF(OR(AY$24=0,$AZ$75=0),0,
(($AZ$117+$AZ$142+$AZ$159)/$AZ$75)*AY61)</f>
        <v>0</v>
      </c>
      <c r="AZ242" s="207">
        <f t="shared" si="184"/>
        <v>0</v>
      </c>
      <c r="BA242" s="207">
        <f t="shared" si="184"/>
        <v>0</v>
      </c>
      <c r="BB242" s="207">
        <f t="shared" si="184"/>
        <v>0</v>
      </c>
      <c r="BC242" s="207">
        <f t="shared" si="184"/>
        <v>0</v>
      </c>
      <c r="BD242" s="207">
        <f t="shared" si="184"/>
        <v>0</v>
      </c>
      <c r="BE242" s="207">
        <f t="shared" si="184"/>
        <v>0</v>
      </c>
      <c r="BF242" s="207">
        <f t="shared" si="184"/>
        <v>0</v>
      </c>
      <c r="BG242" s="207">
        <f t="shared" si="184"/>
        <v>0</v>
      </c>
      <c r="BH242" s="255"/>
    </row>
    <row r="243" spans="1:60" x14ac:dyDescent="0.2">
      <c r="A243" s="648"/>
      <c r="B243" s="492" t="s">
        <v>315</v>
      </c>
      <c r="C243" s="656" t="s">
        <v>113</v>
      </c>
      <c r="D243" s="750"/>
      <c r="E243" s="367" t="str">
        <f>$Q$73</f>
        <v>tapwater</v>
      </c>
      <c r="F243" s="220"/>
      <c r="G243" s="220"/>
      <c r="H243" s="242" t="s">
        <v>317</v>
      </c>
      <c r="I243" s="129"/>
      <c r="J243" s="243">
        <f t="shared" si="172"/>
        <v>0</v>
      </c>
      <c r="K243" s="236"/>
      <c r="L243" s="236"/>
      <c r="M243" s="243">
        <f t="shared" si="173"/>
        <v>0</v>
      </c>
      <c r="N243" s="129"/>
      <c r="O243" s="207">
        <f t="shared" ref="O243:W243" si="185">IF(O$24=0,0,
(($Q$117+$Q$142+$Q$159)/$Q$75)*O62)</f>
        <v>0</v>
      </c>
      <c r="P243" s="207">
        <f t="shared" si="185"/>
        <v>0</v>
      </c>
      <c r="Q243" s="207">
        <f t="shared" si="185"/>
        <v>0</v>
      </c>
      <c r="R243" s="207">
        <f t="shared" si="185"/>
        <v>0</v>
      </c>
      <c r="S243" s="207">
        <f t="shared" si="185"/>
        <v>0</v>
      </c>
      <c r="T243" s="207">
        <f t="shared" si="185"/>
        <v>0</v>
      </c>
      <c r="U243" s="207">
        <f t="shared" si="185"/>
        <v>0</v>
      </c>
      <c r="V243" s="207">
        <f t="shared" si="185"/>
        <v>0</v>
      </c>
      <c r="W243" s="207">
        <f t="shared" si="185"/>
        <v>0</v>
      </c>
      <c r="X243" s="128"/>
      <c r="Y243" s="243">
        <f t="shared" si="175"/>
        <v>0</v>
      </c>
      <c r="Z243" s="129"/>
      <c r="AA243" s="207">
        <f t="shared" ref="AA243:AI243" si="186">IF(AA$24=0,0,
(($AC$117+$AC$142+$AC$159)/$AC$75)*AA62)</f>
        <v>0</v>
      </c>
      <c r="AB243" s="207">
        <f t="shared" si="186"/>
        <v>0</v>
      </c>
      <c r="AC243" s="207">
        <f t="shared" si="186"/>
        <v>0</v>
      </c>
      <c r="AD243" s="207">
        <f t="shared" si="186"/>
        <v>0</v>
      </c>
      <c r="AE243" s="207">
        <f t="shared" si="186"/>
        <v>0</v>
      </c>
      <c r="AF243" s="207">
        <f t="shared" si="186"/>
        <v>0</v>
      </c>
      <c r="AG243" s="207">
        <f t="shared" si="186"/>
        <v>0</v>
      </c>
      <c r="AH243" s="207">
        <f t="shared" si="186"/>
        <v>0</v>
      </c>
      <c r="AI243" s="207">
        <f t="shared" si="186"/>
        <v>0</v>
      </c>
      <c r="AJ243" s="128"/>
      <c r="AK243" s="243">
        <f t="shared" si="177"/>
        <v>0</v>
      </c>
      <c r="AL243" s="129"/>
      <c r="AM243" s="207">
        <f t="shared" ref="AM243:AU243" si="187">IF(AM$24=0,0,
(($AO$117+$AO$142+$AO$159)/$AO$75)*AM62)</f>
        <v>0</v>
      </c>
      <c r="AN243" s="207">
        <f t="shared" si="187"/>
        <v>0</v>
      </c>
      <c r="AO243" s="207">
        <f t="shared" si="187"/>
        <v>0</v>
      </c>
      <c r="AP243" s="207">
        <f t="shared" si="187"/>
        <v>0</v>
      </c>
      <c r="AQ243" s="207">
        <f t="shared" si="187"/>
        <v>0</v>
      </c>
      <c r="AR243" s="207">
        <f t="shared" si="187"/>
        <v>0</v>
      </c>
      <c r="AS243" s="207">
        <f t="shared" si="187"/>
        <v>0</v>
      </c>
      <c r="AT243" s="207">
        <f t="shared" si="187"/>
        <v>0</v>
      </c>
      <c r="AU243" s="207">
        <f t="shared" si="187"/>
        <v>0</v>
      </c>
      <c r="AV243" s="128"/>
      <c r="AW243" s="243">
        <f t="shared" si="179"/>
        <v>0</v>
      </c>
      <c r="AX243" s="129"/>
      <c r="AY243" s="207">
        <f t="shared" ref="AY243:BG243" si="188">IF(AY$24=0,0,
(($BA$117+$BA$142+$BA$159)/$BA$75)*AY62)</f>
        <v>0</v>
      </c>
      <c r="AZ243" s="207">
        <f t="shared" si="188"/>
        <v>0</v>
      </c>
      <c r="BA243" s="207">
        <f t="shared" si="188"/>
        <v>0</v>
      </c>
      <c r="BB243" s="207">
        <f t="shared" si="188"/>
        <v>0</v>
      </c>
      <c r="BC243" s="207">
        <f t="shared" si="188"/>
        <v>0</v>
      </c>
      <c r="BD243" s="207">
        <f t="shared" si="188"/>
        <v>0</v>
      </c>
      <c r="BE243" s="207">
        <f t="shared" si="188"/>
        <v>0</v>
      </c>
      <c r="BF243" s="207">
        <f t="shared" si="188"/>
        <v>0</v>
      </c>
      <c r="BG243" s="207">
        <f t="shared" si="188"/>
        <v>0</v>
      </c>
      <c r="BH243" s="255"/>
    </row>
    <row r="244" spans="1:60" x14ac:dyDescent="0.2">
      <c r="A244" s="648"/>
      <c r="B244" s="492" t="s">
        <v>315</v>
      </c>
      <c r="C244" s="656" t="s">
        <v>113</v>
      </c>
      <c r="D244" s="750"/>
      <c r="E244" s="367" t="str">
        <f>$R$73</f>
        <v>verlichting</v>
      </c>
      <c r="F244" s="220"/>
      <c r="G244" s="220"/>
      <c r="H244" s="242" t="s">
        <v>317</v>
      </c>
      <c r="I244" s="129"/>
      <c r="J244" s="243">
        <f t="shared" si="172"/>
        <v>0</v>
      </c>
      <c r="K244" s="236"/>
      <c r="L244" s="236"/>
      <c r="M244" s="243">
        <f t="shared" si="173"/>
        <v>0</v>
      </c>
      <c r="N244" s="129"/>
      <c r="O244" s="207">
        <f t="shared" ref="O244:W244" si="189">IF(O$24=0,0,$R$159/$R$75*O63)</f>
        <v>0</v>
      </c>
      <c r="P244" s="207">
        <f t="shared" si="189"/>
        <v>0</v>
      </c>
      <c r="Q244" s="207">
        <f t="shared" si="189"/>
        <v>0</v>
      </c>
      <c r="R244" s="207">
        <f t="shared" si="189"/>
        <v>0</v>
      </c>
      <c r="S244" s="207">
        <f t="shared" si="189"/>
        <v>0</v>
      </c>
      <c r="T244" s="207">
        <f t="shared" si="189"/>
        <v>0</v>
      </c>
      <c r="U244" s="207">
        <f t="shared" si="189"/>
        <v>0</v>
      </c>
      <c r="V244" s="207">
        <f t="shared" si="189"/>
        <v>0</v>
      </c>
      <c r="W244" s="207">
        <f t="shared" si="189"/>
        <v>0</v>
      </c>
      <c r="X244" s="128"/>
      <c r="Y244" s="243">
        <f t="shared" si="175"/>
        <v>0</v>
      </c>
      <c r="Z244" s="129"/>
      <c r="AA244" s="207">
        <f t="shared" ref="AA244:AI244" si="190">IF(AA$24=0,0,$AD$159/$AD$75*AA63)</f>
        <v>0</v>
      </c>
      <c r="AB244" s="207">
        <f t="shared" si="190"/>
        <v>0</v>
      </c>
      <c r="AC244" s="207">
        <f t="shared" si="190"/>
        <v>0</v>
      </c>
      <c r="AD244" s="207">
        <f t="shared" si="190"/>
        <v>0</v>
      </c>
      <c r="AE244" s="207">
        <f t="shared" si="190"/>
        <v>0</v>
      </c>
      <c r="AF244" s="207">
        <f t="shared" si="190"/>
        <v>0</v>
      </c>
      <c r="AG244" s="207">
        <f t="shared" si="190"/>
        <v>0</v>
      </c>
      <c r="AH244" s="207">
        <f t="shared" si="190"/>
        <v>0</v>
      </c>
      <c r="AI244" s="207">
        <f t="shared" si="190"/>
        <v>0</v>
      </c>
      <c r="AJ244" s="128"/>
      <c r="AK244" s="243">
        <f t="shared" si="177"/>
        <v>0</v>
      </c>
      <c r="AL244" s="129"/>
      <c r="AM244" s="207">
        <f t="shared" ref="AM244:AU244" si="191">IF(AM$24=0,0,$AP$159/$AP$75*AM63)</f>
        <v>0</v>
      </c>
      <c r="AN244" s="207">
        <f t="shared" si="191"/>
        <v>0</v>
      </c>
      <c r="AO244" s="207">
        <f t="shared" si="191"/>
        <v>0</v>
      </c>
      <c r="AP244" s="207">
        <f t="shared" si="191"/>
        <v>0</v>
      </c>
      <c r="AQ244" s="207">
        <f t="shared" si="191"/>
        <v>0</v>
      </c>
      <c r="AR244" s="207">
        <f t="shared" si="191"/>
        <v>0</v>
      </c>
      <c r="AS244" s="207">
        <f t="shared" si="191"/>
        <v>0</v>
      </c>
      <c r="AT244" s="207">
        <f t="shared" si="191"/>
        <v>0</v>
      </c>
      <c r="AU244" s="207">
        <f t="shared" si="191"/>
        <v>0</v>
      </c>
      <c r="AV244" s="128"/>
      <c r="AW244" s="243">
        <f t="shared" si="179"/>
        <v>0</v>
      </c>
      <c r="AX244" s="129"/>
      <c r="AY244" s="207">
        <f t="shared" ref="AY244:BG244" si="192">IF(AY$24=0,0,$BB$159/$BB$75*AY63)</f>
        <v>0</v>
      </c>
      <c r="AZ244" s="207">
        <f t="shared" si="192"/>
        <v>0</v>
      </c>
      <c r="BA244" s="207">
        <f t="shared" si="192"/>
        <v>0</v>
      </c>
      <c r="BB244" s="207">
        <f t="shared" si="192"/>
        <v>0</v>
      </c>
      <c r="BC244" s="207">
        <f t="shared" si="192"/>
        <v>0</v>
      </c>
      <c r="BD244" s="207">
        <f t="shared" si="192"/>
        <v>0</v>
      </c>
      <c r="BE244" s="207">
        <f t="shared" si="192"/>
        <v>0</v>
      </c>
      <c r="BF244" s="207">
        <f t="shared" si="192"/>
        <v>0</v>
      </c>
      <c r="BG244" s="207">
        <f t="shared" si="192"/>
        <v>0</v>
      </c>
      <c r="BH244" s="255"/>
    </row>
    <row r="245" spans="1:60" x14ac:dyDescent="0.2">
      <c r="A245" s="648"/>
      <c r="B245" s="492" t="s">
        <v>315</v>
      </c>
      <c r="C245" s="656" t="s">
        <v>113</v>
      </c>
      <c r="D245" s="750"/>
      <c r="E245" s="367" t="str">
        <f>$S$73</f>
        <v>ventilatoren</v>
      </c>
      <c r="F245" s="220"/>
      <c r="G245" s="220"/>
      <c r="H245" s="242" t="s">
        <v>317</v>
      </c>
      <c r="I245" s="129"/>
      <c r="J245" s="243">
        <f t="shared" si="172"/>
        <v>0</v>
      </c>
      <c r="K245" s="236"/>
      <c r="L245" s="236"/>
      <c r="M245" s="243">
        <f t="shared" si="173"/>
        <v>0</v>
      </c>
      <c r="N245" s="129"/>
      <c r="O245" s="207">
        <f t="shared" ref="O245:W245" si="193">IF(OR(O$24=0,$S$75=0),0,$S$159/$S$75*O64)</f>
        <v>0</v>
      </c>
      <c r="P245" s="207">
        <f t="shared" si="193"/>
        <v>0</v>
      </c>
      <c r="Q245" s="207">
        <f t="shared" si="193"/>
        <v>0</v>
      </c>
      <c r="R245" s="207">
        <f t="shared" si="193"/>
        <v>0</v>
      </c>
      <c r="S245" s="207">
        <f t="shared" si="193"/>
        <v>0</v>
      </c>
      <c r="T245" s="207">
        <f t="shared" si="193"/>
        <v>0</v>
      </c>
      <c r="U245" s="207">
        <f t="shared" si="193"/>
        <v>0</v>
      </c>
      <c r="V245" s="207">
        <f t="shared" si="193"/>
        <v>0</v>
      </c>
      <c r="W245" s="207">
        <f t="shared" si="193"/>
        <v>0</v>
      </c>
      <c r="X245" s="128"/>
      <c r="Y245" s="243">
        <f t="shared" si="175"/>
        <v>0</v>
      </c>
      <c r="Z245" s="129"/>
      <c r="AA245" s="207">
        <f t="shared" ref="AA245:AI245" si="194">IF(OR(AA$24=0,$AE$75=0),0,$AE$159/$AE$75*AA64)</f>
        <v>0</v>
      </c>
      <c r="AB245" s="207">
        <f t="shared" si="194"/>
        <v>0</v>
      </c>
      <c r="AC245" s="207">
        <f t="shared" si="194"/>
        <v>0</v>
      </c>
      <c r="AD245" s="207">
        <f t="shared" si="194"/>
        <v>0</v>
      </c>
      <c r="AE245" s="207">
        <f t="shared" si="194"/>
        <v>0</v>
      </c>
      <c r="AF245" s="207">
        <f t="shared" si="194"/>
        <v>0</v>
      </c>
      <c r="AG245" s="207">
        <f t="shared" si="194"/>
        <v>0</v>
      </c>
      <c r="AH245" s="207">
        <f t="shared" si="194"/>
        <v>0</v>
      </c>
      <c r="AI245" s="207">
        <f t="shared" si="194"/>
        <v>0</v>
      </c>
      <c r="AJ245" s="128"/>
      <c r="AK245" s="243">
        <f t="shared" si="177"/>
        <v>0</v>
      </c>
      <c r="AL245" s="129"/>
      <c r="AM245" s="207">
        <f t="shared" ref="AM245:AU245" si="195">IF(OR(AM$24=0,$AQ$75=0),0,$AQ$159/$AQ$75*AM64)</f>
        <v>0</v>
      </c>
      <c r="AN245" s="207">
        <f t="shared" si="195"/>
        <v>0</v>
      </c>
      <c r="AO245" s="207">
        <f t="shared" si="195"/>
        <v>0</v>
      </c>
      <c r="AP245" s="207">
        <f t="shared" si="195"/>
        <v>0</v>
      </c>
      <c r="AQ245" s="207">
        <f t="shared" si="195"/>
        <v>0</v>
      </c>
      <c r="AR245" s="207">
        <f t="shared" si="195"/>
        <v>0</v>
      </c>
      <c r="AS245" s="207">
        <f t="shared" si="195"/>
        <v>0</v>
      </c>
      <c r="AT245" s="207">
        <f t="shared" si="195"/>
        <v>0</v>
      </c>
      <c r="AU245" s="207">
        <f t="shared" si="195"/>
        <v>0</v>
      </c>
      <c r="AV245" s="128"/>
      <c r="AW245" s="243">
        <f t="shared" si="179"/>
        <v>0</v>
      </c>
      <c r="AX245" s="129"/>
      <c r="AY245" s="207">
        <f t="shared" ref="AY245:BG245" si="196">IF(OR(AY$24=0,$BC$75=0),0,$BC$159/$BC$75*AY64)</f>
        <v>0</v>
      </c>
      <c r="AZ245" s="207">
        <f t="shared" si="196"/>
        <v>0</v>
      </c>
      <c r="BA245" s="207">
        <f t="shared" si="196"/>
        <v>0</v>
      </c>
      <c r="BB245" s="207">
        <f t="shared" si="196"/>
        <v>0</v>
      </c>
      <c r="BC245" s="207">
        <f t="shared" si="196"/>
        <v>0</v>
      </c>
      <c r="BD245" s="207">
        <f t="shared" si="196"/>
        <v>0</v>
      </c>
      <c r="BE245" s="207">
        <f t="shared" si="196"/>
        <v>0</v>
      </c>
      <c r="BF245" s="207">
        <f t="shared" si="196"/>
        <v>0</v>
      </c>
      <c r="BG245" s="207">
        <f t="shared" si="196"/>
        <v>0</v>
      </c>
      <c r="BH245" s="255"/>
    </row>
    <row r="246" spans="1:60" x14ac:dyDescent="0.2">
      <c r="A246" s="648"/>
      <c r="B246" s="492" t="s">
        <v>315</v>
      </c>
      <c r="C246" s="656" t="s">
        <v>113</v>
      </c>
      <c r="D246" s="750"/>
      <c r="E246" s="367" t="str">
        <f>$T$73</f>
        <v>kookgas</v>
      </c>
      <c r="F246" s="220"/>
      <c r="G246" s="220"/>
      <c r="H246" s="242" t="s">
        <v>317</v>
      </c>
      <c r="I246" s="129"/>
      <c r="J246" s="243">
        <f t="shared" si="172"/>
        <v>0</v>
      </c>
      <c r="K246" s="236"/>
      <c r="L246" s="236"/>
      <c r="M246" s="243">
        <f t="shared" si="173"/>
        <v>0</v>
      </c>
      <c r="N246" s="129"/>
      <c r="O246" s="207">
        <f t="shared" ref="O246:W246" si="197">IF(OR(O$24=0,$T$75=0),0,$T$204/$T$75*O65)</f>
        <v>0</v>
      </c>
      <c r="P246" s="207">
        <f t="shared" si="197"/>
        <v>0</v>
      </c>
      <c r="Q246" s="207">
        <f t="shared" si="197"/>
        <v>0</v>
      </c>
      <c r="R246" s="207">
        <f t="shared" si="197"/>
        <v>0</v>
      </c>
      <c r="S246" s="207">
        <f t="shared" si="197"/>
        <v>0</v>
      </c>
      <c r="T246" s="207">
        <f t="shared" si="197"/>
        <v>0</v>
      </c>
      <c r="U246" s="207">
        <f t="shared" si="197"/>
        <v>0</v>
      </c>
      <c r="V246" s="207">
        <f t="shared" si="197"/>
        <v>0</v>
      </c>
      <c r="W246" s="207">
        <f t="shared" si="197"/>
        <v>0</v>
      </c>
      <c r="X246" s="128"/>
      <c r="Y246" s="243">
        <f t="shared" si="175"/>
        <v>0</v>
      </c>
      <c r="Z246" s="129"/>
      <c r="AA246" s="207">
        <f t="shared" ref="AA246:AI246" si="198">IF(OR(AA$24=0,$AF$75=0),0,$AF$204/$AF$75*AA65)</f>
        <v>0</v>
      </c>
      <c r="AB246" s="207">
        <f t="shared" si="198"/>
        <v>0</v>
      </c>
      <c r="AC246" s="207">
        <f t="shared" si="198"/>
        <v>0</v>
      </c>
      <c r="AD246" s="207">
        <f t="shared" si="198"/>
        <v>0</v>
      </c>
      <c r="AE246" s="207">
        <f t="shared" si="198"/>
        <v>0</v>
      </c>
      <c r="AF246" s="207">
        <f t="shared" si="198"/>
        <v>0</v>
      </c>
      <c r="AG246" s="207">
        <f t="shared" si="198"/>
        <v>0</v>
      </c>
      <c r="AH246" s="207">
        <f t="shared" si="198"/>
        <v>0</v>
      </c>
      <c r="AI246" s="207">
        <f t="shared" si="198"/>
        <v>0</v>
      </c>
      <c r="AJ246" s="128"/>
      <c r="AK246" s="243">
        <f t="shared" si="177"/>
        <v>0</v>
      </c>
      <c r="AL246" s="129"/>
      <c r="AM246" s="207">
        <f t="shared" ref="AM246:AU246" si="199">IF(OR(AM$24=0,$AR$75=0),0,$AR$204/$AR$75*AM65)</f>
        <v>0</v>
      </c>
      <c r="AN246" s="207">
        <f t="shared" si="199"/>
        <v>0</v>
      </c>
      <c r="AO246" s="207">
        <f t="shared" si="199"/>
        <v>0</v>
      </c>
      <c r="AP246" s="207">
        <f t="shared" si="199"/>
        <v>0</v>
      </c>
      <c r="AQ246" s="207">
        <f t="shared" si="199"/>
        <v>0</v>
      </c>
      <c r="AR246" s="207">
        <f t="shared" si="199"/>
        <v>0</v>
      </c>
      <c r="AS246" s="207">
        <f t="shared" si="199"/>
        <v>0</v>
      </c>
      <c r="AT246" s="207">
        <f t="shared" si="199"/>
        <v>0</v>
      </c>
      <c r="AU246" s="207">
        <f t="shared" si="199"/>
        <v>0</v>
      </c>
      <c r="AV246" s="128"/>
      <c r="AW246" s="243">
        <f t="shared" si="179"/>
        <v>0</v>
      </c>
      <c r="AX246" s="129">
        <f>IF(AX$24=0,0,$BD$204/$BD$75*AX65)</f>
        <v>0</v>
      </c>
      <c r="AY246" s="207">
        <f t="shared" ref="AY246:BG246" si="200">IF(OR(AY$24=0,$BD$75=0),0,$BD$204/$BD$75*AY65)</f>
        <v>0</v>
      </c>
      <c r="AZ246" s="207">
        <f t="shared" si="200"/>
        <v>0</v>
      </c>
      <c r="BA246" s="207">
        <f t="shared" si="200"/>
        <v>0</v>
      </c>
      <c r="BB246" s="207">
        <f t="shared" si="200"/>
        <v>0</v>
      </c>
      <c r="BC246" s="207">
        <f t="shared" si="200"/>
        <v>0</v>
      </c>
      <c r="BD246" s="207">
        <f t="shared" si="200"/>
        <v>0</v>
      </c>
      <c r="BE246" s="207">
        <f t="shared" si="200"/>
        <v>0</v>
      </c>
      <c r="BF246" s="207">
        <f t="shared" si="200"/>
        <v>0</v>
      </c>
      <c r="BG246" s="207">
        <f t="shared" si="200"/>
        <v>0</v>
      </c>
      <c r="BH246" s="255"/>
    </row>
    <row r="247" spans="1:60" x14ac:dyDescent="0.2">
      <c r="A247" s="648"/>
      <c r="B247" s="492" t="s">
        <v>315</v>
      </c>
      <c r="C247" s="656" t="s">
        <v>113</v>
      </c>
      <c r="D247" s="750"/>
      <c r="E247" s="367" t="str">
        <f>$U$73</f>
        <v>overig elektra</v>
      </c>
      <c r="F247" s="220"/>
      <c r="G247" s="220"/>
      <c r="H247" s="242" t="s">
        <v>317</v>
      </c>
      <c r="I247" s="129"/>
      <c r="J247" s="243">
        <f t="shared" si="172"/>
        <v>0</v>
      </c>
      <c r="K247" s="236"/>
      <c r="L247" s="236"/>
      <c r="M247" s="243">
        <f t="shared" si="173"/>
        <v>0</v>
      </c>
      <c r="N247" s="129"/>
      <c r="O247" s="207">
        <f t="shared" ref="O247:W247" si="201">IF(OR(O$24=0,$U$75=0),0,$U$159/$U$75*O66)</f>
        <v>0</v>
      </c>
      <c r="P247" s="207">
        <f t="shared" si="201"/>
        <v>0</v>
      </c>
      <c r="Q247" s="207">
        <f t="shared" si="201"/>
        <v>0</v>
      </c>
      <c r="R247" s="207">
        <f t="shared" si="201"/>
        <v>0</v>
      </c>
      <c r="S247" s="207">
        <f t="shared" si="201"/>
        <v>0</v>
      </c>
      <c r="T247" s="207">
        <f t="shared" si="201"/>
        <v>0</v>
      </c>
      <c r="U247" s="207">
        <f t="shared" si="201"/>
        <v>0</v>
      </c>
      <c r="V247" s="207">
        <f t="shared" si="201"/>
        <v>0</v>
      </c>
      <c r="W247" s="207">
        <f t="shared" si="201"/>
        <v>0</v>
      </c>
      <c r="X247" s="128"/>
      <c r="Y247" s="243">
        <f t="shared" si="175"/>
        <v>0</v>
      </c>
      <c r="Z247" s="129"/>
      <c r="AA247" s="207">
        <f t="shared" ref="AA247:AI247" si="202">IF(OR(AA$24=0,$U$75=0),0,$AG$159/$U$75*AA66)</f>
        <v>0</v>
      </c>
      <c r="AB247" s="207">
        <f t="shared" si="202"/>
        <v>0</v>
      </c>
      <c r="AC247" s="207">
        <f t="shared" si="202"/>
        <v>0</v>
      </c>
      <c r="AD247" s="207">
        <f t="shared" si="202"/>
        <v>0</v>
      </c>
      <c r="AE247" s="207">
        <f t="shared" si="202"/>
        <v>0</v>
      </c>
      <c r="AF247" s="207">
        <f t="shared" si="202"/>
        <v>0</v>
      </c>
      <c r="AG247" s="207">
        <f t="shared" si="202"/>
        <v>0</v>
      </c>
      <c r="AH247" s="207">
        <f t="shared" si="202"/>
        <v>0</v>
      </c>
      <c r="AI247" s="207">
        <f t="shared" si="202"/>
        <v>0</v>
      </c>
      <c r="AJ247" s="128"/>
      <c r="AK247" s="243">
        <f t="shared" si="177"/>
        <v>0</v>
      </c>
      <c r="AL247" s="129"/>
      <c r="AM247" s="207">
        <f t="shared" ref="AM247:AU247" si="203">IF(OR(AM$24=0,$U$75=0),0,$AS$159/$U$75*AM66)</f>
        <v>0</v>
      </c>
      <c r="AN247" s="207">
        <f t="shared" si="203"/>
        <v>0</v>
      </c>
      <c r="AO247" s="207">
        <f t="shared" si="203"/>
        <v>0</v>
      </c>
      <c r="AP247" s="207">
        <f t="shared" si="203"/>
        <v>0</v>
      </c>
      <c r="AQ247" s="207">
        <f t="shared" si="203"/>
        <v>0</v>
      </c>
      <c r="AR247" s="207">
        <f t="shared" si="203"/>
        <v>0</v>
      </c>
      <c r="AS247" s="207">
        <f t="shared" si="203"/>
        <v>0</v>
      </c>
      <c r="AT247" s="207">
        <f t="shared" si="203"/>
        <v>0</v>
      </c>
      <c r="AU247" s="207">
        <f t="shared" si="203"/>
        <v>0</v>
      </c>
      <c r="AV247" s="128"/>
      <c r="AW247" s="243">
        <f t="shared" si="179"/>
        <v>0</v>
      </c>
      <c r="AX247" s="129"/>
      <c r="AY247" s="207">
        <f t="shared" ref="AY247:BG247" si="204">IF(OR(AY$24=0,$U$75=0),0,$BE$159/$U$75*AY66)</f>
        <v>0</v>
      </c>
      <c r="AZ247" s="207">
        <f t="shared" si="204"/>
        <v>0</v>
      </c>
      <c r="BA247" s="207">
        <f t="shared" si="204"/>
        <v>0</v>
      </c>
      <c r="BB247" s="207">
        <f t="shared" si="204"/>
        <v>0</v>
      </c>
      <c r="BC247" s="207">
        <f t="shared" si="204"/>
        <v>0</v>
      </c>
      <c r="BD247" s="207">
        <f t="shared" si="204"/>
        <v>0</v>
      </c>
      <c r="BE247" s="207">
        <f t="shared" si="204"/>
        <v>0</v>
      </c>
      <c r="BF247" s="207">
        <f t="shared" si="204"/>
        <v>0</v>
      </c>
      <c r="BG247" s="207">
        <f t="shared" si="204"/>
        <v>0</v>
      </c>
      <c r="BH247" s="255"/>
    </row>
    <row r="248" spans="1:60" x14ac:dyDescent="0.2">
      <c r="A248" s="648"/>
      <c r="B248" s="492" t="s">
        <v>315</v>
      </c>
      <c r="C248" s="656" t="s">
        <v>113</v>
      </c>
      <c r="D248" s="750"/>
      <c r="E248" s="367" t="str">
        <f>$V$73</f>
        <v>mobiliteit</v>
      </c>
      <c r="F248" s="220"/>
      <c r="G248" s="220"/>
      <c r="H248" s="242" t="s">
        <v>317</v>
      </c>
      <c r="I248" s="129"/>
      <c r="J248" s="243">
        <f t="shared" si="172"/>
        <v>0</v>
      </c>
      <c r="K248" s="236"/>
      <c r="L248" s="236"/>
      <c r="M248" s="243">
        <f t="shared" si="173"/>
        <v>0</v>
      </c>
      <c r="N248" s="129"/>
      <c r="O248" s="207">
        <f t="shared" ref="O248:W248" si="205">IF(OR($V$154=0,O$31=0),0,$V$159/$V$154*O$68/O$31)</f>
        <v>0</v>
      </c>
      <c r="P248" s="207">
        <f t="shared" si="205"/>
        <v>0</v>
      </c>
      <c r="Q248" s="207">
        <f t="shared" si="205"/>
        <v>0</v>
      </c>
      <c r="R248" s="207">
        <f t="shared" si="205"/>
        <v>0</v>
      </c>
      <c r="S248" s="207">
        <f t="shared" si="205"/>
        <v>0</v>
      </c>
      <c r="T248" s="207">
        <f t="shared" si="205"/>
        <v>0</v>
      </c>
      <c r="U248" s="207">
        <f t="shared" si="205"/>
        <v>0</v>
      </c>
      <c r="V248" s="207">
        <f t="shared" si="205"/>
        <v>0</v>
      </c>
      <c r="W248" s="207">
        <f t="shared" si="205"/>
        <v>0</v>
      </c>
      <c r="X248" s="128"/>
      <c r="Y248" s="243">
        <f t="shared" si="175"/>
        <v>0</v>
      </c>
      <c r="Z248" s="129"/>
      <c r="AA248" s="207">
        <f t="shared" ref="AA248:AI248" si="206">IF(OR($AH$154=0,AA$31=0),0,$AH$159/$AH$154*AA$68/AA$31)</f>
        <v>0</v>
      </c>
      <c r="AB248" s="207">
        <f t="shared" si="206"/>
        <v>0</v>
      </c>
      <c r="AC248" s="207">
        <f t="shared" si="206"/>
        <v>0</v>
      </c>
      <c r="AD248" s="207">
        <f t="shared" si="206"/>
        <v>0</v>
      </c>
      <c r="AE248" s="207">
        <f t="shared" si="206"/>
        <v>0</v>
      </c>
      <c r="AF248" s="207">
        <f t="shared" si="206"/>
        <v>0</v>
      </c>
      <c r="AG248" s="207">
        <f t="shared" si="206"/>
        <v>0</v>
      </c>
      <c r="AH248" s="207">
        <f t="shared" si="206"/>
        <v>0</v>
      </c>
      <c r="AI248" s="207">
        <f t="shared" si="206"/>
        <v>0</v>
      </c>
      <c r="AJ248" s="128"/>
      <c r="AK248" s="243">
        <f t="shared" si="177"/>
        <v>0</v>
      </c>
      <c r="AL248" s="129"/>
      <c r="AM248" s="207">
        <f t="shared" ref="AM248:AU248" si="207">IF(OR($AT$154=0,AM$31=0),0,$AT$159/$AT$154*AM$68/AM$31)</f>
        <v>0</v>
      </c>
      <c r="AN248" s="207">
        <f t="shared" si="207"/>
        <v>0</v>
      </c>
      <c r="AO248" s="207">
        <f t="shared" si="207"/>
        <v>0</v>
      </c>
      <c r="AP248" s="207">
        <f t="shared" si="207"/>
        <v>0</v>
      </c>
      <c r="AQ248" s="207">
        <f t="shared" si="207"/>
        <v>0</v>
      </c>
      <c r="AR248" s="207">
        <f t="shared" si="207"/>
        <v>0</v>
      </c>
      <c r="AS248" s="207">
        <f t="shared" si="207"/>
        <v>0</v>
      </c>
      <c r="AT248" s="207">
        <f t="shared" si="207"/>
        <v>0</v>
      </c>
      <c r="AU248" s="207">
        <f t="shared" si="207"/>
        <v>0</v>
      </c>
      <c r="AV248" s="128"/>
      <c r="AW248" s="243">
        <f t="shared" si="179"/>
        <v>0</v>
      </c>
      <c r="AX248" s="129"/>
      <c r="AY248" s="207">
        <f>IF(OR($BF$154=0,AY$24=0),0,$BF$159/$BF$154*AY$68/AY$31)</f>
        <v>0</v>
      </c>
      <c r="AZ248" s="207">
        <f t="shared" ref="AZ248:BG248" si="208">IF(OR($BF$154=0,AZ$31=0),0,$BF$159/$BF$154*AZ$68/AZ$31)</f>
        <v>0</v>
      </c>
      <c r="BA248" s="207">
        <f t="shared" si="208"/>
        <v>0</v>
      </c>
      <c r="BB248" s="207">
        <f t="shared" si="208"/>
        <v>0</v>
      </c>
      <c r="BC248" s="207">
        <f t="shared" si="208"/>
        <v>0</v>
      </c>
      <c r="BD248" s="207">
        <f t="shared" si="208"/>
        <v>0</v>
      </c>
      <c r="BE248" s="207">
        <f t="shared" si="208"/>
        <v>0</v>
      </c>
      <c r="BF248" s="207">
        <f t="shared" si="208"/>
        <v>0</v>
      </c>
      <c r="BG248" s="207">
        <f t="shared" si="208"/>
        <v>0</v>
      </c>
      <c r="BH248" s="255"/>
    </row>
    <row r="249" spans="1:60" x14ac:dyDescent="0.2">
      <c r="A249" s="648"/>
      <c r="B249" s="492" t="s">
        <v>315</v>
      </c>
      <c r="C249" s="656" t="s">
        <v>113</v>
      </c>
      <c r="D249" s="750"/>
      <c r="E249" s="220" t="s">
        <v>318</v>
      </c>
      <c r="F249" s="220"/>
      <c r="G249" s="220"/>
      <c r="H249" s="242" t="s">
        <v>317</v>
      </c>
      <c r="I249" s="129"/>
      <c r="J249" s="243">
        <f t="shared" si="172"/>
        <v>0</v>
      </c>
      <c r="K249" s="236"/>
      <c r="L249" s="236"/>
      <c r="M249" s="243">
        <f>SUM(M241:M248)</f>
        <v>0</v>
      </c>
      <c r="N249" s="129"/>
      <c r="O249" s="207">
        <f t="shared" ref="O249:W249" si="209">SUM(O241:O248)</f>
        <v>0</v>
      </c>
      <c r="P249" s="207">
        <f t="shared" si="209"/>
        <v>0</v>
      </c>
      <c r="Q249" s="207">
        <f t="shared" si="209"/>
        <v>0</v>
      </c>
      <c r="R249" s="207">
        <f t="shared" si="209"/>
        <v>0</v>
      </c>
      <c r="S249" s="207">
        <f t="shared" si="209"/>
        <v>0</v>
      </c>
      <c r="T249" s="207">
        <f>SUM(T241:T248)</f>
        <v>0</v>
      </c>
      <c r="U249" s="207">
        <f t="shared" si="209"/>
        <v>0</v>
      </c>
      <c r="V249" s="207">
        <f t="shared" si="209"/>
        <v>0</v>
      </c>
      <c r="W249" s="207">
        <f t="shared" si="209"/>
        <v>0</v>
      </c>
      <c r="X249" s="128"/>
      <c r="Y249" s="243">
        <f>SUM(Y241:Y248)</f>
        <v>0</v>
      </c>
      <c r="Z249" s="129"/>
      <c r="AA249" s="207">
        <f t="shared" ref="AA249:AI249" si="210">SUM(AA241:AA248)</f>
        <v>0</v>
      </c>
      <c r="AB249" s="207">
        <f t="shared" si="210"/>
        <v>0</v>
      </c>
      <c r="AC249" s="207">
        <f t="shared" si="210"/>
        <v>0</v>
      </c>
      <c r="AD249" s="207">
        <f t="shared" si="210"/>
        <v>0</v>
      </c>
      <c r="AE249" s="207">
        <f t="shared" si="210"/>
        <v>0</v>
      </c>
      <c r="AF249" s="207">
        <f>SUM(AF241:AF248)</f>
        <v>0</v>
      </c>
      <c r="AG249" s="207">
        <f t="shared" si="210"/>
        <v>0</v>
      </c>
      <c r="AH249" s="207">
        <f t="shared" si="210"/>
        <v>0</v>
      </c>
      <c r="AI249" s="207">
        <f t="shared" si="210"/>
        <v>0</v>
      </c>
      <c r="AJ249" s="128"/>
      <c r="AK249" s="243">
        <f t="shared" ref="AK249:AU249" si="211">SUM(AK241:AK248)</f>
        <v>0</v>
      </c>
      <c r="AL249" s="129"/>
      <c r="AM249" s="207">
        <f t="shared" si="211"/>
        <v>0</v>
      </c>
      <c r="AN249" s="207">
        <f t="shared" si="211"/>
        <v>0</v>
      </c>
      <c r="AO249" s="207">
        <f t="shared" si="211"/>
        <v>0</v>
      </c>
      <c r="AP249" s="207">
        <f t="shared" si="211"/>
        <v>0</v>
      </c>
      <c r="AQ249" s="207">
        <f t="shared" si="211"/>
        <v>0</v>
      </c>
      <c r="AR249" s="207">
        <f>SUM(AR241:AR248)</f>
        <v>0</v>
      </c>
      <c r="AS249" s="207">
        <f t="shared" si="211"/>
        <v>0</v>
      </c>
      <c r="AT249" s="207">
        <f t="shared" si="211"/>
        <v>0</v>
      </c>
      <c r="AU249" s="207">
        <f t="shared" si="211"/>
        <v>0</v>
      </c>
      <c r="AV249" s="128"/>
      <c r="AW249" s="243">
        <f>SUM(AW241:AW248)</f>
        <v>0</v>
      </c>
      <c r="AX249" s="129"/>
      <c r="AY249" s="207">
        <f t="shared" ref="AY249:BG249" si="212">SUM(AY241:AY248)</f>
        <v>0</v>
      </c>
      <c r="AZ249" s="207">
        <f t="shared" si="212"/>
        <v>0</v>
      </c>
      <c r="BA249" s="207">
        <f t="shared" si="212"/>
        <v>0</v>
      </c>
      <c r="BB249" s="207">
        <f t="shared" si="212"/>
        <v>0</v>
      </c>
      <c r="BC249" s="207">
        <f t="shared" si="212"/>
        <v>0</v>
      </c>
      <c r="BD249" s="207">
        <f>SUM(BD241:BD248)</f>
        <v>0</v>
      </c>
      <c r="BE249" s="207">
        <f t="shared" si="212"/>
        <v>0</v>
      </c>
      <c r="BF249" s="207">
        <f t="shared" si="212"/>
        <v>0</v>
      </c>
      <c r="BG249" s="207">
        <f t="shared" si="212"/>
        <v>0</v>
      </c>
      <c r="BH249" s="255"/>
    </row>
    <row r="250" spans="1:60" ht="18.75" x14ac:dyDescent="0.2">
      <c r="A250" s="648"/>
      <c r="B250" s="492" t="s">
        <v>315</v>
      </c>
      <c r="C250" s="739" t="s">
        <v>104</v>
      </c>
      <c r="D250" s="747"/>
      <c r="E250" s="236" t="s">
        <v>319</v>
      </c>
      <c r="F250" s="236"/>
      <c r="G250" s="236"/>
      <c r="H250" s="89"/>
      <c r="I250" s="236"/>
      <c r="J250" s="279"/>
      <c r="K250" s="236"/>
      <c r="L250" s="236"/>
      <c r="M250" s="279"/>
      <c r="N250" s="236"/>
      <c r="O250" s="236"/>
      <c r="P250" s="236"/>
      <c r="Q250" s="236"/>
      <c r="R250" s="236"/>
      <c r="S250" s="236"/>
      <c r="T250" s="236"/>
      <c r="U250" s="236"/>
      <c r="V250" s="236"/>
      <c r="W250" s="236"/>
      <c r="X250" s="236"/>
      <c r="Y250" s="279"/>
      <c r="Z250" s="236"/>
      <c r="AA250" s="236"/>
      <c r="AB250" s="236"/>
      <c r="AC250" s="236"/>
      <c r="AD250" s="236"/>
      <c r="AE250" s="236"/>
      <c r="AF250" s="236"/>
      <c r="AG250" s="236"/>
      <c r="AH250" s="236"/>
      <c r="AI250" s="236"/>
      <c r="AJ250" s="236"/>
      <c r="AK250" s="279"/>
      <c r="AL250" s="236"/>
      <c r="AM250" s="236"/>
      <c r="AN250" s="236"/>
      <c r="AO250" s="236"/>
      <c r="AP250" s="236"/>
      <c r="AQ250" s="236"/>
      <c r="AR250" s="236"/>
      <c r="AS250" s="236"/>
      <c r="AT250" s="236"/>
      <c r="AU250" s="236"/>
      <c r="AV250" s="236"/>
      <c r="AW250" s="279"/>
      <c r="AX250" s="236"/>
      <c r="AY250" s="236"/>
      <c r="AZ250" s="236"/>
      <c r="BA250" s="236"/>
      <c r="BB250" s="236"/>
      <c r="BC250" s="236"/>
      <c r="BD250" s="236"/>
      <c r="BE250" s="236"/>
      <c r="BF250" s="236"/>
      <c r="BG250" s="236"/>
      <c r="BH250" s="38"/>
    </row>
    <row r="251" spans="1:60" x14ac:dyDescent="0.2">
      <c r="A251" s="648"/>
      <c r="B251" s="492" t="s">
        <v>315</v>
      </c>
      <c r="C251" s="656" t="s">
        <v>113</v>
      </c>
      <c r="D251" s="750"/>
      <c r="E251" s="220" t="s">
        <v>320</v>
      </c>
      <c r="F251" s="220"/>
      <c r="G251" s="220"/>
      <c r="H251" s="242" t="s">
        <v>317</v>
      </c>
      <c r="I251" s="129"/>
      <c r="J251" s="243">
        <f>M251+Y251+AK251+AW251</f>
        <v>0</v>
      </c>
      <c r="K251" s="236"/>
      <c r="L251" s="236"/>
      <c r="M251" s="243">
        <f>SUMPRODUCT(N251:X251,N$24:X$24,N$31:X$31)/1000</f>
        <v>0</v>
      </c>
      <c r="N251" s="129"/>
      <c r="O251" s="207">
        <f t="shared" ref="O251:W251" si="213">IF(OR(O$24=0,O$31=0,$M$167+$M$168=0),0,
-(O234*($M$167/($M$167+$M$168))*$M$177*1000)/(O24*O31))</f>
        <v>0</v>
      </c>
      <c r="P251" s="207">
        <f t="shared" si="213"/>
        <v>0</v>
      </c>
      <c r="Q251" s="207">
        <f t="shared" si="213"/>
        <v>0</v>
      </c>
      <c r="R251" s="207">
        <f t="shared" si="213"/>
        <v>0</v>
      </c>
      <c r="S251" s="207">
        <f t="shared" si="213"/>
        <v>0</v>
      </c>
      <c r="T251" s="207">
        <f t="shared" si="213"/>
        <v>0</v>
      </c>
      <c r="U251" s="207">
        <f t="shared" si="213"/>
        <v>0</v>
      </c>
      <c r="V251" s="207">
        <f t="shared" si="213"/>
        <v>0</v>
      </c>
      <c r="W251" s="207">
        <f t="shared" si="213"/>
        <v>0</v>
      </c>
      <c r="X251" s="128"/>
      <c r="Y251" s="243">
        <f>SUMPRODUCT(Z251:AJ251,Z$24:AJ$24,Z$31:AJ$31)/1000</f>
        <v>0</v>
      </c>
      <c r="Z251" s="129"/>
      <c r="AA251" s="207">
        <f t="shared" ref="AA251:AI251" si="214">IF(OR(AA$19="-",AA$24=0,AA$31=0,$Y$167+$Y$168=0),0,
-(AA234*($Y$167/($Y$167+$Y$168))*$Y$177*1000)/(AA24*AA31))</f>
        <v>0</v>
      </c>
      <c r="AB251" s="207">
        <f t="shared" si="214"/>
        <v>0</v>
      </c>
      <c r="AC251" s="207">
        <f t="shared" si="214"/>
        <v>0</v>
      </c>
      <c r="AD251" s="207">
        <f t="shared" si="214"/>
        <v>0</v>
      </c>
      <c r="AE251" s="207">
        <f t="shared" si="214"/>
        <v>0</v>
      </c>
      <c r="AF251" s="207">
        <f t="shared" si="214"/>
        <v>0</v>
      </c>
      <c r="AG251" s="207">
        <f t="shared" si="214"/>
        <v>0</v>
      </c>
      <c r="AH251" s="207">
        <f t="shared" si="214"/>
        <v>0</v>
      </c>
      <c r="AI251" s="207">
        <f t="shared" si="214"/>
        <v>0</v>
      </c>
      <c r="AJ251" s="128"/>
      <c r="AK251" s="243">
        <f>SUMPRODUCT(AL251:AV251,AL$24:AV$24,AL$31:AV$31)/1000</f>
        <v>0</v>
      </c>
      <c r="AL251" s="129"/>
      <c r="AM251" s="207">
        <f t="shared" ref="AM251:AU251" si="215">IF(OR(AM$24=0,AM$31=0,$AK$167+$AK$168=0),0,
-AM234*($AK$167/($AK$167+$AK$168))*$AK$177*1000/(AM24*AM31))</f>
        <v>0</v>
      </c>
      <c r="AN251" s="207">
        <f t="shared" si="215"/>
        <v>0</v>
      </c>
      <c r="AO251" s="207">
        <f t="shared" si="215"/>
        <v>0</v>
      </c>
      <c r="AP251" s="207">
        <f t="shared" si="215"/>
        <v>0</v>
      </c>
      <c r="AQ251" s="207">
        <f t="shared" si="215"/>
        <v>0</v>
      </c>
      <c r="AR251" s="207">
        <f t="shared" si="215"/>
        <v>0</v>
      </c>
      <c r="AS251" s="207">
        <f t="shared" si="215"/>
        <v>0</v>
      </c>
      <c r="AT251" s="207">
        <f t="shared" si="215"/>
        <v>0</v>
      </c>
      <c r="AU251" s="207">
        <f t="shared" si="215"/>
        <v>0</v>
      </c>
      <c r="AV251" s="128"/>
      <c r="AW251" s="243">
        <f>SUMPRODUCT(AX251:BH251,AX$24:BH$24,AX$31:BH$31)/1000</f>
        <v>0</v>
      </c>
      <c r="AX251" s="129"/>
      <c r="AY251" s="207">
        <f t="shared" ref="AY251:BG251" si="216">IF(OR(AY$24=0,AY$31=0,$AW$167+$AW$168=0),0,
-AY234*($AW$167/($AW$167+$AW$168))*$AW$177*1000/(AY24*AY31))</f>
        <v>0</v>
      </c>
      <c r="AZ251" s="207">
        <f t="shared" si="216"/>
        <v>0</v>
      </c>
      <c r="BA251" s="207">
        <f t="shared" si="216"/>
        <v>0</v>
      </c>
      <c r="BB251" s="207">
        <f t="shared" si="216"/>
        <v>0</v>
      </c>
      <c r="BC251" s="207">
        <f t="shared" si="216"/>
        <v>0</v>
      </c>
      <c r="BD251" s="207">
        <f t="shared" si="216"/>
        <v>0</v>
      </c>
      <c r="BE251" s="207">
        <f t="shared" si="216"/>
        <v>0</v>
      </c>
      <c r="BF251" s="207">
        <f t="shared" si="216"/>
        <v>0</v>
      </c>
      <c r="BG251" s="207">
        <f t="shared" si="216"/>
        <v>0</v>
      </c>
      <c r="BH251" s="255"/>
    </row>
    <row r="252" spans="1:60" x14ac:dyDescent="0.2">
      <c r="A252" s="648"/>
      <c r="B252" s="492" t="s">
        <v>315</v>
      </c>
      <c r="C252" s="656" t="s">
        <v>113</v>
      </c>
      <c r="D252" s="750"/>
      <c r="E252" s="220" t="s">
        <v>321</v>
      </c>
      <c r="F252" s="220"/>
      <c r="G252" s="220"/>
      <c r="H252" s="242" t="s">
        <v>317</v>
      </c>
      <c r="I252" s="129"/>
      <c r="J252" s="243">
        <f>M252+Y252+AK252+AW252</f>
        <v>0</v>
      </c>
      <c r="K252" s="236"/>
      <c r="L252" s="236"/>
      <c r="M252" s="243">
        <f>SUMPRODUCT(N252:X252,N$24:X$24,N$31:X$31)/1000</f>
        <v>0</v>
      </c>
      <c r="N252" s="129"/>
      <c r="O252" s="207">
        <f t="shared" ref="O252:W252" si="217">IF(OR(O$24=0,O$31=0,$M$167+$M$168=0),0,
-O70*($M$177/($M$167+$M$168))/O31)</f>
        <v>0</v>
      </c>
      <c r="P252" s="207">
        <f t="shared" si="217"/>
        <v>0</v>
      </c>
      <c r="Q252" s="207">
        <f t="shared" si="217"/>
        <v>0</v>
      </c>
      <c r="R252" s="207">
        <f t="shared" si="217"/>
        <v>0</v>
      </c>
      <c r="S252" s="207">
        <f t="shared" si="217"/>
        <v>0</v>
      </c>
      <c r="T252" s="207">
        <f t="shared" si="217"/>
        <v>0</v>
      </c>
      <c r="U252" s="207">
        <f t="shared" si="217"/>
        <v>0</v>
      </c>
      <c r="V252" s="207">
        <f t="shared" si="217"/>
        <v>0</v>
      </c>
      <c r="W252" s="207">
        <f t="shared" si="217"/>
        <v>0</v>
      </c>
      <c r="X252" s="128"/>
      <c r="Y252" s="243">
        <f>SUMPRODUCT(Z252:AJ252,Z$24:AJ$24,Z$31:AJ$31)/1000</f>
        <v>0</v>
      </c>
      <c r="Z252" s="129"/>
      <c r="AA252" s="207">
        <f t="shared" ref="AA252:AI252" si="218">IF(OR(AA$24=0,AA$31=0,$Y$167+$Y$168=0),0,
-AA70*($Y$177/($Y$167+$Y$168))/AA31)</f>
        <v>0</v>
      </c>
      <c r="AB252" s="207">
        <f t="shared" si="218"/>
        <v>0</v>
      </c>
      <c r="AC252" s="207">
        <f t="shared" si="218"/>
        <v>0</v>
      </c>
      <c r="AD252" s="207">
        <f t="shared" si="218"/>
        <v>0</v>
      </c>
      <c r="AE252" s="207">
        <f t="shared" si="218"/>
        <v>0</v>
      </c>
      <c r="AF252" s="207">
        <f t="shared" si="218"/>
        <v>0</v>
      </c>
      <c r="AG252" s="207">
        <f t="shared" si="218"/>
        <v>0</v>
      </c>
      <c r="AH252" s="207">
        <f t="shared" si="218"/>
        <v>0</v>
      </c>
      <c r="AI252" s="207">
        <f t="shared" si="218"/>
        <v>0</v>
      </c>
      <c r="AJ252" s="128"/>
      <c r="AK252" s="243">
        <f>SUMPRODUCT(AL252:AV252,AL$24:AV$24,AL$31:AV$31)/1000</f>
        <v>0</v>
      </c>
      <c r="AL252" s="129"/>
      <c r="AM252" s="207">
        <f t="shared" ref="AM252:AU252" si="219">IF(OR(AM$24=0,AM$31=0,$AK$167+$AK$168=0),0,
-AM70*($AK$177/($AK$167+$AK$168))/AM31)</f>
        <v>0</v>
      </c>
      <c r="AN252" s="207">
        <f t="shared" si="219"/>
        <v>0</v>
      </c>
      <c r="AO252" s="207">
        <f t="shared" si="219"/>
        <v>0</v>
      </c>
      <c r="AP252" s="207">
        <f t="shared" si="219"/>
        <v>0</v>
      </c>
      <c r="AQ252" s="207">
        <f t="shared" si="219"/>
        <v>0</v>
      </c>
      <c r="AR252" s="207">
        <f t="shared" si="219"/>
        <v>0</v>
      </c>
      <c r="AS252" s="207">
        <f t="shared" si="219"/>
        <v>0</v>
      </c>
      <c r="AT252" s="207">
        <f t="shared" si="219"/>
        <v>0</v>
      </c>
      <c r="AU252" s="207">
        <f t="shared" si="219"/>
        <v>0</v>
      </c>
      <c r="AV252" s="128"/>
      <c r="AW252" s="243">
        <f>SUMPRODUCT(AX252:BH252,AX$24:BH$24,AX$31:BH$31)/1000</f>
        <v>0</v>
      </c>
      <c r="AX252" s="129"/>
      <c r="AY252" s="207">
        <f t="shared" ref="AY252:BG252" si="220">IF(OR(AY$24=0,AY$31=0,$AW$167+$AW$168=0),0,
-AY70*($AW$177/($AW$167+$AW$168))/AY31)</f>
        <v>0</v>
      </c>
      <c r="AZ252" s="207">
        <f t="shared" si="220"/>
        <v>0</v>
      </c>
      <c r="BA252" s="207">
        <f t="shared" si="220"/>
        <v>0</v>
      </c>
      <c r="BB252" s="207">
        <f t="shared" si="220"/>
        <v>0</v>
      </c>
      <c r="BC252" s="207">
        <f t="shared" si="220"/>
        <v>0</v>
      </c>
      <c r="BD252" s="207">
        <f t="shared" si="220"/>
        <v>0</v>
      </c>
      <c r="BE252" s="207">
        <f t="shared" si="220"/>
        <v>0</v>
      </c>
      <c r="BF252" s="207">
        <f t="shared" si="220"/>
        <v>0</v>
      </c>
      <c r="BG252" s="207">
        <f t="shared" si="220"/>
        <v>0</v>
      </c>
      <c r="BH252" s="255"/>
    </row>
    <row r="253" spans="1:60" x14ac:dyDescent="0.2">
      <c r="A253" s="648"/>
      <c r="B253" s="492" t="s">
        <v>315</v>
      </c>
      <c r="C253" s="656" t="s">
        <v>113</v>
      </c>
      <c r="D253" s="750"/>
      <c r="E253" s="220" t="s">
        <v>322</v>
      </c>
      <c r="F253" s="220"/>
      <c r="G253" s="220"/>
      <c r="H253" s="242" t="s">
        <v>317</v>
      </c>
      <c r="I253" s="129"/>
      <c r="J253" s="243">
        <f>M253+Y253+AK253+AW253</f>
        <v>0</v>
      </c>
      <c r="K253" s="236"/>
      <c r="L253" s="236"/>
      <c r="M253" s="243">
        <f>M251+M252</f>
        <v>0</v>
      </c>
      <c r="N253" s="129"/>
      <c r="O253" s="207">
        <f>O251+O252</f>
        <v>0</v>
      </c>
      <c r="P253" s="207">
        <f t="shared" ref="P253:W253" si="221">P251+P252</f>
        <v>0</v>
      </c>
      <c r="Q253" s="207">
        <f t="shared" si="221"/>
        <v>0</v>
      </c>
      <c r="R253" s="207">
        <f t="shared" si="221"/>
        <v>0</v>
      </c>
      <c r="S253" s="207">
        <f t="shared" si="221"/>
        <v>0</v>
      </c>
      <c r="T253" s="207">
        <f>T251+T252</f>
        <v>0</v>
      </c>
      <c r="U253" s="207">
        <f t="shared" si="221"/>
        <v>0</v>
      </c>
      <c r="V253" s="207">
        <f t="shared" si="221"/>
        <v>0</v>
      </c>
      <c r="W253" s="207">
        <f t="shared" si="221"/>
        <v>0</v>
      </c>
      <c r="X253" s="128"/>
      <c r="Y253" s="243">
        <f>Y251+Y252</f>
        <v>0</v>
      </c>
      <c r="Z253" s="129"/>
      <c r="AA253" s="207">
        <f>AA251+AA252</f>
        <v>0</v>
      </c>
      <c r="AB253" s="207">
        <f t="shared" ref="AB253:AI253" si="222">AB251+AB252</f>
        <v>0</v>
      </c>
      <c r="AC253" s="207">
        <f t="shared" si="222"/>
        <v>0</v>
      </c>
      <c r="AD253" s="207">
        <f t="shared" si="222"/>
        <v>0</v>
      </c>
      <c r="AE253" s="207">
        <f t="shared" si="222"/>
        <v>0</v>
      </c>
      <c r="AF253" s="207">
        <f>AF251+AF252</f>
        <v>0</v>
      </c>
      <c r="AG253" s="207">
        <f t="shared" si="222"/>
        <v>0</v>
      </c>
      <c r="AH253" s="207">
        <f t="shared" si="222"/>
        <v>0</v>
      </c>
      <c r="AI253" s="207">
        <f t="shared" si="222"/>
        <v>0</v>
      </c>
      <c r="AJ253" s="128"/>
      <c r="AK253" s="243">
        <f>AK251+AK252</f>
        <v>0</v>
      </c>
      <c r="AL253" s="129"/>
      <c r="AM253" s="207">
        <f>AM251+AM252</f>
        <v>0</v>
      </c>
      <c r="AN253" s="207">
        <f t="shared" ref="AN253:AU253" si="223">AN251+AN252</f>
        <v>0</v>
      </c>
      <c r="AO253" s="207">
        <f t="shared" si="223"/>
        <v>0</v>
      </c>
      <c r="AP253" s="207">
        <f t="shared" si="223"/>
        <v>0</v>
      </c>
      <c r="AQ253" s="207">
        <f t="shared" si="223"/>
        <v>0</v>
      </c>
      <c r="AR253" s="207">
        <f>AR251+AR252</f>
        <v>0</v>
      </c>
      <c r="AS253" s="207">
        <f t="shared" si="223"/>
        <v>0</v>
      </c>
      <c r="AT253" s="207">
        <f t="shared" si="223"/>
        <v>0</v>
      </c>
      <c r="AU253" s="207">
        <f t="shared" si="223"/>
        <v>0</v>
      </c>
      <c r="AV253" s="128"/>
      <c r="AW253" s="243">
        <f>AW251+AW252</f>
        <v>0</v>
      </c>
      <c r="AX253" s="129"/>
      <c r="AY253" s="207">
        <f>AY251+AY252</f>
        <v>0</v>
      </c>
      <c r="AZ253" s="207">
        <f t="shared" ref="AZ253:BG253" si="224">AZ251+AZ252</f>
        <v>0</v>
      </c>
      <c r="BA253" s="207">
        <f t="shared" si="224"/>
        <v>0</v>
      </c>
      <c r="BB253" s="207">
        <f t="shared" si="224"/>
        <v>0</v>
      </c>
      <c r="BC253" s="207">
        <f t="shared" si="224"/>
        <v>0</v>
      </c>
      <c r="BD253" s="207">
        <f>BD251+BD252</f>
        <v>0</v>
      </c>
      <c r="BE253" s="207">
        <f t="shared" si="224"/>
        <v>0</v>
      </c>
      <c r="BF253" s="207">
        <f t="shared" si="224"/>
        <v>0</v>
      </c>
      <c r="BG253" s="207">
        <f t="shared" si="224"/>
        <v>0</v>
      </c>
      <c r="BH253" s="255"/>
    </row>
    <row r="254" spans="1:60" ht="18.75" x14ac:dyDescent="0.2">
      <c r="A254" s="648"/>
      <c r="B254" s="492" t="s">
        <v>315</v>
      </c>
      <c r="C254" s="739" t="s">
        <v>104</v>
      </c>
      <c r="D254" s="747"/>
      <c r="E254" s="236" t="s">
        <v>287</v>
      </c>
      <c r="F254" s="236"/>
      <c r="G254" s="236"/>
      <c r="H254" s="89"/>
      <c r="I254" s="236"/>
      <c r="J254" s="279"/>
      <c r="K254" s="236"/>
      <c r="L254" s="236"/>
      <c r="M254" s="279"/>
      <c r="N254" s="236"/>
      <c r="O254" s="236"/>
      <c r="P254" s="236"/>
      <c r="Q254" s="236"/>
      <c r="R254" s="236"/>
      <c r="S254" s="236"/>
      <c r="T254" s="236"/>
      <c r="U254" s="236"/>
      <c r="V254" s="236"/>
      <c r="W254" s="236"/>
      <c r="X254" s="236"/>
      <c r="Y254" s="279"/>
      <c r="Z254" s="236"/>
      <c r="AA254" s="236"/>
      <c r="AB254" s="236"/>
      <c r="AC254" s="236"/>
      <c r="AD254" s="236"/>
      <c r="AE254" s="236"/>
      <c r="AF254" s="236"/>
      <c r="AG254" s="236"/>
      <c r="AH254" s="236"/>
      <c r="AI254" s="236"/>
      <c r="AJ254" s="236"/>
      <c r="AK254" s="279"/>
      <c r="AL254" s="236"/>
      <c r="AM254" s="236"/>
      <c r="AN254" s="236"/>
      <c r="AO254" s="236"/>
      <c r="AP254" s="236"/>
      <c r="AQ254" s="236"/>
      <c r="AR254" s="236"/>
      <c r="AS254" s="236"/>
      <c r="AT254" s="236"/>
      <c r="AU254" s="236"/>
      <c r="AV254" s="236"/>
      <c r="AW254" s="279"/>
      <c r="AX254" s="236"/>
      <c r="AY254" s="236"/>
      <c r="AZ254" s="236"/>
      <c r="BA254" s="236"/>
      <c r="BB254" s="236"/>
      <c r="BC254" s="236"/>
      <c r="BD254" s="236"/>
      <c r="BE254" s="236"/>
      <c r="BF254" s="236"/>
      <c r="BG254" s="236"/>
      <c r="BH254" s="38"/>
    </row>
    <row r="255" spans="1:60" x14ac:dyDescent="0.2">
      <c r="A255" s="648"/>
      <c r="B255" s="492" t="s">
        <v>315</v>
      </c>
      <c r="C255" s="656" t="s">
        <v>113</v>
      </c>
      <c r="D255" s="750"/>
      <c r="E255" s="220" t="s">
        <v>258</v>
      </c>
      <c r="F255" s="220"/>
      <c r="G255" s="220"/>
      <c r="H255" s="242" t="s">
        <v>317</v>
      </c>
      <c r="I255" s="129"/>
      <c r="J255" s="243">
        <f>M255+Y255+AK255+AW255</f>
        <v>0</v>
      </c>
      <c r="K255" s="236"/>
      <c r="L255" s="236"/>
      <c r="M255" s="243">
        <f>M249+M253</f>
        <v>0</v>
      </c>
      <c r="N255" s="129"/>
      <c r="O255" s="207">
        <f>O249+O253</f>
        <v>0</v>
      </c>
      <c r="P255" s="207">
        <f t="shared" ref="P255:W255" si="225">P249+P253</f>
        <v>0</v>
      </c>
      <c r="Q255" s="207">
        <f t="shared" si="225"/>
        <v>0</v>
      </c>
      <c r="R255" s="207">
        <f t="shared" si="225"/>
        <v>0</v>
      </c>
      <c r="S255" s="207">
        <f t="shared" si="225"/>
        <v>0</v>
      </c>
      <c r="T255" s="207">
        <f>T249+T253</f>
        <v>0</v>
      </c>
      <c r="U255" s="207">
        <f t="shared" si="225"/>
        <v>0</v>
      </c>
      <c r="V255" s="207">
        <f t="shared" si="225"/>
        <v>0</v>
      </c>
      <c r="W255" s="207">
        <f t="shared" si="225"/>
        <v>0</v>
      </c>
      <c r="X255" s="128"/>
      <c r="Y255" s="243">
        <f>Y249+Y253</f>
        <v>0</v>
      </c>
      <c r="Z255" s="129"/>
      <c r="AA255" s="207">
        <f>AA249+AA253</f>
        <v>0</v>
      </c>
      <c r="AB255" s="207">
        <f t="shared" ref="AB255:AI255" si="226">AB249+AB253</f>
        <v>0</v>
      </c>
      <c r="AC255" s="207">
        <f t="shared" si="226"/>
        <v>0</v>
      </c>
      <c r="AD255" s="207">
        <f t="shared" si="226"/>
        <v>0</v>
      </c>
      <c r="AE255" s="207">
        <f t="shared" si="226"/>
        <v>0</v>
      </c>
      <c r="AF255" s="207">
        <f>AF249+AF253</f>
        <v>0</v>
      </c>
      <c r="AG255" s="207">
        <f t="shared" si="226"/>
        <v>0</v>
      </c>
      <c r="AH255" s="207">
        <f t="shared" si="226"/>
        <v>0</v>
      </c>
      <c r="AI255" s="207">
        <f t="shared" si="226"/>
        <v>0</v>
      </c>
      <c r="AJ255" s="128"/>
      <c r="AK255" s="243">
        <f>AK249+AK253</f>
        <v>0</v>
      </c>
      <c r="AL255" s="129"/>
      <c r="AM255" s="207">
        <f>AM249+AM253</f>
        <v>0</v>
      </c>
      <c r="AN255" s="207">
        <f t="shared" ref="AN255:AU255" si="227">AN249+AN253</f>
        <v>0</v>
      </c>
      <c r="AO255" s="207">
        <f t="shared" si="227"/>
        <v>0</v>
      </c>
      <c r="AP255" s="207">
        <f t="shared" si="227"/>
        <v>0</v>
      </c>
      <c r="AQ255" s="207">
        <f t="shared" si="227"/>
        <v>0</v>
      </c>
      <c r="AR255" s="207">
        <f>AR249+AR253</f>
        <v>0</v>
      </c>
      <c r="AS255" s="207">
        <f t="shared" si="227"/>
        <v>0</v>
      </c>
      <c r="AT255" s="207">
        <f t="shared" si="227"/>
        <v>0</v>
      </c>
      <c r="AU255" s="207">
        <f t="shared" si="227"/>
        <v>0</v>
      </c>
      <c r="AV255" s="128"/>
      <c r="AW255" s="243">
        <f>AW249+AW253</f>
        <v>0</v>
      </c>
      <c r="AX255" s="129"/>
      <c r="AY255" s="207">
        <f>AY249+AY253</f>
        <v>0</v>
      </c>
      <c r="AZ255" s="207">
        <f t="shared" ref="AZ255:BG255" si="228">AZ249+AZ253</f>
        <v>0</v>
      </c>
      <c r="BA255" s="207">
        <f t="shared" si="228"/>
        <v>0</v>
      </c>
      <c r="BB255" s="207">
        <f t="shared" si="228"/>
        <v>0</v>
      </c>
      <c r="BC255" s="207">
        <f t="shared" si="228"/>
        <v>0</v>
      </c>
      <c r="BD255" s="207">
        <f>BD249+BD253</f>
        <v>0</v>
      </c>
      <c r="BE255" s="207">
        <f t="shared" si="228"/>
        <v>0</v>
      </c>
      <c r="BF255" s="207">
        <f t="shared" si="228"/>
        <v>0</v>
      </c>
      <c r="BG255" s="207">
        <f t="shared" si="228"/>
        <v>0</v>
      </c>
      <c r="BH255" s="255"/>
    </row>
    <row r="256" spans="1:60" ht="18.75" x14ac:dyDescent="0.2">
      <c r="A256" s="648"/>
      <c r="B256" s="492" t="s">
        <v>315</v>
      </c>
      <c r="C256" s="739" t="s">
        <v>104</v>
      </c>
      <c r="D256" s="747"/>
      <c r="E256" s="236" t="s">
        <v>323</v>
      </c>
      <c r="F256" s="236"/>
      <c r="G256" s="236"/>
      <c r="H256" s="89"/>
      <c r="I256" s="236"/>
      <c r="J256" s="279"/>
      <c r="K256" s="236"/>
      <c r="L256" s="236"/>
      <c r="M256" s="279"/>
      <c r="N256" s="236"/>
      <c r="O256" s="236"/>
      <c r="P256" s="236"/>
      <c r="Q256" s="236"/>
      <c r="R256" s="236"/>
      <c r="S256" s="236"/>
      <c r="T256" s="236"/>
      <c r="U256" s="236"/>
      <c r="V256" s="236"/>
      <c r="W256" s="236"/>
      <c r="X256" s="236"/>
      <c r="Y256" s="279"/>
      <c r="Z256" s="236"/>
      <c r="AA256" s="236"/>
      <c r="AB256" s="236"/>
      <c r="AC256" s="236"/>
      <c r="AD256" s="236"/>
      <c r="AE256" s="236"/>
      <c r="AF256" s="236"/>
      <c r="AG256" s="236"/>
      <c r="AH256" s="236"/>
      <c r="AI256" s="236"/>
      <c r="AJ256" s="236"/>
      <c r="AK256" s="279"/>
      <c r="AL256" s="236"/>
      <c r="AM256" s="236"/>
      <c r="AN256" s="236"/>
      <c r="AO256" s="236"/>
      <c r="AP256" s="236"/>
      <c r="AQ256" s="236"/>
      <c r="AR256" s="236"/>
      <c r="AS256" s="236"/>
      <c r="AT256" s="236"/>
      <c r="AU256" s="236"/>
      <c r="AV256" s="236"/>
      <c r="AW256" s="279"/>
      <c r="AX256" s="236"/>
      <c r="AY256" s="236"/>
      <c r="AZ256" s="236"/>
      <c r="BA256" s="236"/>
      <c r="BB256" s="236"/>
      <c r="BC256" s="236"/>
      <c r="BD256" s="236"/>
      <c r="BE256" s="236"/>
      <c r="BF256" s="236"/>
      <c r="BG256" s="236"/>
      <c r="BH256" s="38"/>
    </row>
    <row r="257" spans="1:60" x14ac:dyDescent="0.2">
      <c r="A257" s="648"/>
      <c r="B257" s="492" t="s">
        <v>315</v>
      </c>
      <c r="C257" s="656" t="s">
        <v>113</v>
      </c>
      <c r="D257" s="750"/>
      <c r="E257" s="220" t="s">
        <v>258</v>
      </c>
      <c r="F257" s="220"/>
      <c r="G257" s="220"/>
      <c r="H257" s="242" t="s">
        <v>317</v>
      </c>
      <c r="I257" s="129"/>
      <c r="J257" s="243">
        <f>M257+Y257+AK257+AW257</f>
        <v>0</v>
      </c>
      <c r="K257" s="236"/>
      <c r="L257" s="236"/>
      <c r="M257" s="375">
        <f>SUMPRODUCT(N257:X257,N$24:X$24,N$31:X$31)/1000</f>
        <v>0</v>
      </c>
      <c r="N257" s="129"/>
      <c r="O257" s="207">
        <f t="shared" ref="O257:W257" si="229">O255+(O241+O251)*($M$53-1)</f>
        <v>0</v>
      </c>
      <c r="P257" s="207">
        <f t="shared" si="229"/>
        <v>0</v>
      </c>
      <c r="Q257" s="207">
        <f t="shared" si="229"/>
        <v>0</v>
      </c>
      <c r="R257" s="207">
        <f t="shared" si="229"/>
        <v>0</v>
      </c>
      <c r="S257" s="207">
        <f t="shared" si="229"/>
        <v>0</v>
      </c>
      <c r="T257" s="207">
        <f t="shared" si="229"/>
        <v>0</v>
      </c>
      <c r="U257" s="207">
        <f t="shared" si="229"/>
        <v>0</v>
      </c>
      <c r="V257" s="207">
        <f t="shared" si="229"/>
        <v>0</v>
      </c>
      <c r="W257" s="207">
        <f t="shared" si="229"/>
        <v>0</v>
      </c>
      <c r="X257" s="128"/>
      <c r="Y257" s="375">
        <f>SUMPRODUCT(Z257:AJ257,Z$24:AJ$24,Z$31:AJ$31)/1000</f>
        <v>0</v>
      </c>
      <c r="Z257" s="129"/>
      <c r="AA257" s="207">
        <f t="shared" ref="AA257:AI257" si="230">AA255+(AA241+AA251)*($Y$53-1)</f>
        <v>0</v>
      </c>
      <c r="AB257" s="207">
        <f t="shared" si="230"/>
        <v>0</v>
      </c>
      <c r="AC257" s="207">
        <f t="shared" si="230"/>
        <v>0</v>
      </c>
      <c r="AD257" s="207">
        <f t="shared" si="230"/>
        <v>0</v>
      </c>
      <c r="AE257" s="207">
        <f t="shared" si="230"/>
        <v>0</v>
      </c>
      <c r="AF257" s="207">
        <f t="shared" si="230"/>
        <v>0</v>
      </c>
      <c r="AG257" s="207">
        <f t="shared" si="230"/>
        <v>0</v>
      </c>
      <c r="AH257" s="207">
        <f t="shared" si="230"/>
        <v>0</v>
      </c>
      <c r="AI257" s="207">
        <f t="shared" si="230"/>
        <v>0</v>
      </c>
      <c r="AJ257" s="128"/>
      <c r="AK257" s="375">
        <f>SUMPRODUCT(AL257:AV257,AL$24:AV$24,AL$31:AV$31)/1000</f>
        <v>0</v>
      </c>
      <c r="AL257" s="129"/>
      <c r="AM257" s="207">
        <f t="shared" ref="AM257:AU257" si="231">AM255+(AM241+AM251)*($AK$53-1)</f>
        <v>0</v>
      </c>
      <c r="AN257" s="207">
        <f t="shared" si="231"/>
        <v>0</v>
      </c>
      <c r="AO257" s="207">
        <f t="shared" si="231"/>
        <v>0</v>
      </c>
      <c r="AP257" s="207">
        <f t="shared" si="231"/>
        <v>0</v>
      </c>
      <c r="AQ257" s="207">
        <f t="shared" si="231"/>
        <v>0</v>
      </c>
      <c r="AR257" s="207">
        <f t="shared" si="231"/>
        <v>0</v>
      </c>
      <c r="AS257" s="207">
        <f t="shared" si="231"/>
        <v>0</v>
      </c>
      <c r="AT257" s="207">
        <f t="shared" si="231"/>
        <v>0</v>
      </c>
      <c r="AU257" s="207">
        <f t="shared" si="231"/>
        <v>0</v>
      </c>
      <c r="AV257" s="128"/>
      <c r="AW257" s="375">
        <f>SUMPRODUCT(AX257:BH257,AX$24:BH$24,AX$31:BH$31)/1000</f>
        <v>0</v>
      </c>
      <c r="AX257" s="129"/>
      <c r="AY257" s="207">
        <f t="shared" ref="AY257:BG257" si="232">AY255+(AY241+AY251)*($AW$53-1)</f>
        <v>0</v>
      </c>
      <c r="AZ257" s="207">
        <f t="shared" si="232"/>
        <v>0</v>
      </c>
      <c r="BA257" s="207">
        <f t="shared" si="232"/>
        <v>0</v>
      </c>
      <c r="BB257" s="207">
        <f t="shared" si="232"/>
        <v>0</v>
      </c>
      <c r="BC257" s="207">
        <f t="shared" si="232"/>
        <v>0</v>
      </c>
      <c r="BD257" s="207">
        <f t="shared" si="232"/>
        <v>0</v>
      </c>
      <c r="BE257" s="207">
        <f t="shared" si="232"/>
        <v>0</v>
      </c>
      <c r="BF257" s="207">
        <f t="shared" si="232"/>
        <v>0</v>
      </c>
      <c r="BG257" s="207">
        <f t="shared" si="232"/>
        <v>0</v>
      </c>
      <c r="BH257" s="255"/>
    </row>
    <row r="258" spans="1:60" x14ac:dyDescent="0.2">
      <c r="A258" s="648"/>
      <c r="B258" s="492" t="s">
        <v>315</v>
      </c>
      <c r="C258" s="739" t="s">
        <v>104</v>
      </c>
      <c r="D258" s="747"/>
      <c r="E258" s="90"/>
      <c r="F258" s="90"/>
      <c r="G258" s="90"/>
      <c r="H258" s="96"/>
      <c r="I258" s="90"/>
      <c r="J258" s="93"/>
      <c r="K258" s="90"/>
      <c r="L258" s="90"/>
      <c r="M258" s="93"/>
      <c r="N258" s="90"/>
      <c r="O258" s="92"/>
      <c r="P258" s="93"/>
      <c r="Q258" s="93"/>
      <c r="R258" s="93"/>
      <c r="S258" s="93"/>
      <c r="T258" s="93"/>
      <c r="U258" s="93"/>
      <c r="V258" s="93"/>
      <c r="W258" s="93"/>
      <c r="X258" s="93"/>
      <c r="Y258" s="93"/>
      <c r="Z258" s="90"/>
      <c r="AA258" s="93"/>
      <c r="AB258" s="93"/>
      <c r="AC258" s="93"/>
      <c r="AD258" s="93"/>
      <c r="AE258" s="93"/>
      <c r="AF258" s="93"/>
      <c r="AG258" s="93"/>
      <c r="AH258" s="93"/>
      <c r="AI258" s="93"/>
      <c r="AJ258" s="93"/>
      <c r="AK258" s="128"/>
      <c r="AL258" s="90"/>
      <c r="AM258" s="93"/>
      <c r="AN258" s="93"/>
      <c r="AO258" s="93"/>
      <c r="AP258" s="93"/>
      <c r="AQ258" s="93"/>
      <c r="AR258" s="93"/>
      <c r="AS258" s="93"/>
      <c r="AT258" s="93"/>
      <c r="AU258" s="93"/>
      <c r="AV258" s="93"/>
      <c r="AW258" s="93"/>
      <c r="AX258" s="90"/>
      <c r="AY258" s="93"/>
      <c r="AZ258" s="93"/>
      <c r="BA258" s="93"/>
      <c r="BB258" s="93"/>
      <c r="BC258" s="93"/>
      <c r="BD258" s="93"/>
      <c r="BE258" s="93"/>
      <c r="BF258" s="93"/>
      <c r="BG258" s="93"/>
      <c r="BH258" s="1"/>
    </row>
    <row r="259" spans="1:60" x14ac:dyDescent="0.2">
      <c r="A259" s="648"/>
      <c r="B259" s="492" t="s">
        <v>324</v>
      </c>
      <c r="C259" s="656" t="s">
        <v>104</v>
      </c>
      <c r="D259" s="747"/>
      <c r="E259" s="90"/>
      <c r="F259" s="90"/>
      <c r="G259" s="90"/>
      <c r="H259" s="96"/>
      <c r="I259" s="90"/>
      <c r="J259" s="93"/>
      <c r="K259" s="90"/>
      <c r="L259" s="90"/>
      <c r="M259" s="93"/>
      <c r="N259" s="90"/>
      <c r="O259" s="93"/>
      <c r="P259" s="93"/>
      <c r="Q259" s="93"/>
      <c r="R259" s="93"/>
      <c r="S259" s="93"/>
      <c r="T259" s="93"/>
      <c r="U259" s="93"/>
      <c r="V259" s="93"/>
      <c r="W259" s="93"/>
      <c r="X259" s="93"/>
      <c r="Y259" s="93"/>
      <c r="Z259" s="90"/>
      <c r="AA259" s="93"/>
      <c r="AB259" s="128"/>
      <c r="AC259" s="93"/>
      <c r="AD259" s="93"/>
      <c r="AE259" s="93"/>
      <c r="AF259" s="93"/>
      <c r="AG259" s="93"/>
      <c r="AH259" s="93"/>
      <c r="AI259" s="93"/>
      <c r="AJ259" s="93"/>
      <c r="AK259" s="93"/>
      <c r="AL259" s="90"/>
      <c r="AM259" s="93"/>
      <c r="AN259" s="93"/>
      <c r="AO259" s="93"/>
      <c r="AP259" s="93"/>
      <c r="AQ259" s="93"/>
      <c r="AR259" s="93"/>
      <c r="AS259" s="93"/>
      <c r="AT259" s="93"/>
      <c r="AU259" s="93"/>
      <c r="AV259" s="93"/>
      <c r="AW259" s="93"/>
      <c r="AX259" s="90"/>
      <c r="AY259" s="93"/>
      <c r="AZ259" s="93"/>
      <c r="BA259" s="93"/>
      <c r="BB259" s="93"/>
      <c r="BC259" s="93"/>
      <c r="BD259" s="93"/>
      <c r="BE259" s="93"/>
      <c r="BF259" s="93"/>
      <c r="BG259" s="93"/>
      <c r="BH259" s="1"/>
    </row>
    <row r="260" spans="1:60" s="2" customFormat="1" ht="21" x14ac:dyDescent="0.2">
      <c r="A260" s="649"/>
      <c r="B260" s="492" t="s">
        <v>324</v>
      </c>
      <c r="C260" s="739" t="s">
        <v>104</v>
      </c>
      <c r="D260" s="750" t="s">
        <v>50</v>
      </c>
      <c r="E260" s="253" t="s">
        <v>325</v>
      </c>
      <c r="F260" s="253"/>
      <c r="G260" s="253"/>
      <c r="H260" s="253"/>
      <c r="I260" s="146"/>
      <c r="J260" s="318" t="str">
        <f>J$10&amp;" MWh"</f>
        <v>totaal MWh</v>
      </c>
      <c r="K260" s="142"/>
      <c r="L260" s="142"/>
      <c r="M260" s="318" t="str">
        <f>M$10&amp;" MWh"</f>
        <v>totaal MWh</v>
      </c>
      <c r="N260" s="222"/>
      <c r="O260" s="320" t="str">
        <f t="shared" ref="O260:W260" si="233">O$17</f>
        <v/>
      </c>
      <c r="P260" s="320" t="str">
        <f t="shared" si="233"/>
        <v/>
      </c>
      <c r="Q260" s="320" t="str">
        <f t="shared" si="233"/>
        <v/>
      </c>
      <c r="R260" s="320" t="str">
        <f t="shared" si="233"/>
        <v/>
      </c>
      <c r="S260" s="320" t="str">
        <f t="shared" si="233"/>
        <v/>
      </c>
      <c r="T260" s="320" t="str">
        <f t="shared" si="233"/>
        <v/>
      </c>
      <c r="U260" s="320" t="str">
        <f t="shared" si="233"/>
        <v/>
      </c>
      <c r="V260" s="320" t="str">
        <f t="shared" si="233"/>
        <v/>
      </c>
      <c r="W260" s="320" t="str">
        <f t="shared" si="233"/>
        <v/>
      </c>
      <c r="X260" s="214"/>
      <c r="Y260" s="318"/>
      <c r="Z260" s="222"/>
      <c r="AA260" s="320" t="str">
        <f t="shared" ref="AA260:AI260" si="234">AA$17</f>
        <v/>
      </c>
      <c r="AB260" s="320" t="str">
        <f t="shared" si="234"/>
        <v/>
      </c>
      <c r="AC260" s="320" t="str">
        <f t="shared" si="234"/>
        <v/>
      </c>
      <c r="AD260" s="320" t="str">
        <f t="shared" si="234"/>
        <v/>
      </c>
      <c r="AE260" s="320" t="str">
        <f t="shared" si="234"/>
        <v/>
      </c>
      <c r="AF260" s="320" t="str">
        <f t="shared" si="234"/>
        <v/>
      </c>
      <c r="AG260" s="320" t="str">
        <f t="shared" si="234"/>
        <v/>
      </c>
      <c r="AH260" s="320" t="str">
        <f t="shared" si="234"/>
        <v/>
      </c>
      <c r="AI260" s="320" t="str">
        <f t="shared" si="234"/>
        <v/>
      </c>
      <c r="AJ260" s="214"/>
      <c r="AK260" s="318"/>
      <c r="AL260" s="222"/>
      <c r="AM260" s="320" t="str">
        <f>AM$17</f>
        <v/>
      </c>
      <c r="AN260" s="320" t="str">
        <f t="shared" ref="AN260:AU260" si="235">AN$17</f>
        <v/>
      </c>
      <c r="AO260" s="320" t="str">
        <f t="shared" si="235"/>
        <v/>
      </c>
      <c r="AP260" s="320" t="str">
        <f t="shared" si="235"/>
        <v/>
      </c>
      <c r="AQ260" s="320" t="str">
        <f t="shared" si="235"/>
        <v/>
      </c>
      <c r="AR260" s="320" t="str">
        <f t="shared" si="235"/>
        <v/>
      </c>
      <c r="AS260" s="320" t="str">
        <f t="shared" si="235"/>
        <v/>
      </c>
      <c r="AT260" s="320" t="str">
        <f t="shared" si="235"/>
        <v/>
      </c>
      <c r="AU260" s="320" t="str">
        <f t="shared" si="235"/>
        <v/>
      </c>
      <c r="AV260" s="214"/>
      <c r="AW260" s="318"/>
      <c r="AX260" s="222"/>
      <c r="AY260" s="320" t="str">
        <f>AY$17</f>
        <v/>
      </c>
      <c r="AZ260" s="320" t="str">
        <f t="shared" ref="AZ260:BG260" si="236">AZ$17</f>
        <v/>
      </c>
      <c r="BA260" s="320" t="str">
        <f t="shared" si="236"/>
        <v/>
      </c>
      <c r="BB260" s="320" t="str">
        <f t="shared" si="236"/>
        <v/>
      </c>
      <c r="BC260" s="320" t="str">
        <f t="shared" si="236"/>
        <v/>
      </c>
      <c r="BD260" s="320" t="str">
        <f t="shared" si="236"/>
        <v/>
      </c>
      <c r="BE260" s="320" t="str">
        <f t="shared" si="236"/>
        <v/>
      </c>
      <c r="BF260" s="320" t="str">
        <f t="shared" si="236"/>
        <v/>
      </c>
      <c r="BG260" s="320" t="str">
        <f t="shared" si="236"/>
        <v/>
      </c>
      <c r="BH260" s="1"/>
    </row>
    <row r="261" spans="1:60" ht="18.75" x14ac:dyDescent="0.2">
      <c r="A261" s="648"/>
      <c r="B261" s="492" t="s">
        <v>324</v>
      </c>
      <c r="C261" s="739" t="s">
        <v>104</v>
      </c>
      <c r="D261" s="747"/>
      <c r="E261" s="236" t="s">
        <v>326</v>
      </c>
      <c r="F261" s="236"/>
      <c r="G261" s="236"/>
      <c r="H261" s="89"/>
      <c r="I261" s="236"/>
      <c r="J261" s="236"/>
      <c r="K261" s="236"/>
      <c r="L261" s="236"/>
      <c r="M261" s="236"/>
      <c r="N261" s="236"/>
      <c r="O261" s="236"/>
      <c r="P261" s="236"/>
      <c r="Q261" s="236"/>
      <c r="R261" s="236"/>
      <c r="S261" s="236"/>
      <c r="T261" s="236"/>
      <c r="U261" s="236"/>
      <c r="V261" s="236"/>
      <c r="W261" s="236"/>
      <c r="X261" s="236"/>
      <c r="Y261" s="236"/>
      <c r="Z261" s="236"/>
      <c r="AA261" s="236"/>
      <c r="AB261" s="279"/>
      <c r="AC261" s="236"/>
      <c r="AD261" s="236"/>
      <c r="AE261" s="236"/>
      <c r="AF261" s="236"/>
      <c r="AG261" s="236"/>
      <c r="AH261" s="236"/>
      <c r="AI261" s="236"/>
      <c r="AJ261" s="236"/>
      <c r="AK261" s="236"/>
      <c r="AL261" s="236"/>
      <c r="AM261" s="236"/>
      <c r="AN261" s="236"/>
      <c r="AO261" s="279"/>
      <c r="AP261" s="236"/>
      <c r="AQ261" s="236"/>
      <c r="AR261" s="236"/>
      <c r="AS261" s="236"/>
      <c r="AT261" s="236"/>
      <c r="AU261" s="236"/>
      <c r="AV261" s="236"/>
      <c r="AW261" s="236"/>
      <c r="AX261" s="236"/>
      <c r="AY261" s="236"/>
      <c r="AZ261" s="236"/>
      <c r="BA261" s="236"/>
      <c r="BB261" s="236"/>
      <c r="BC261" s="236"/>
      <c r="BD261" s="236"/>
      <c r="BE261" s="236"/>
      <c r="BF261" s="236"/>
      <c r="BG261" s="236"/>
      <c r="BH261" s="38"/>
    </row>
    <row r="262" spans="1:60" x14ac:dyDescent="0.2">
      <c r="A262" s="648"/>
      <c r="B262" s="492" t="s">
        <v>324</v>
      </c>
      <c r="C262" s="656" t="s">
        <v>113</v>
      </c>
      <c r="D262" s="750" t="s">
        <v>50</v>
      </c>
      <c r="E262" s="220" t="s">
        <v>327</v>
      </c>
      <c r="F262" s="220"/>
      <c r="G262" s="220"/>
      <c r="H262" s="242" t="s">
        <v>317</v>
      </c>
      <c r="I262" s="129"/>
      <c r="J262" s="243">
        <f>M262+Y262+AK262+AW262</f>
        <v>0</v>
      </c>
      <c r="K262" s="236"/>
      <c r="L262" s="236"/>
      <c r="M262" s="243">
        <f>SUMPRODUCT(N262:X262,N$32:X$32)/1000</f>
        <v>0</v>
      </c>
      <c r="N262" s="129"/>
      <c r="O262" s="207" t="str">
        <f t="shared" ref="O262:W262" si="237">IF(OR(O$19="",O$24=0,O$31=0),"",O$255-O$248-O$247-IF(OR(O$21=woning,O$21=woongebouw),O244,0))</f>
        <v/>
      </c>
      <c r="P262" s="207" t="str">
        <f t="shared" si="237"/>
        <v/>
      </c>
      <c r="Q262" s="207" t="str">
        <f t="shared" si="237"/>
        <v/>
      </c>
      <c r="R262" s="207" t="str">
        <f t="shared" si="237"/>
        <v/>
      </c>
      <c r="S262" s="207" t="str">
        <f t="shared" si="237"/>
        <v/>
      </c>
      <c r="T262" s="207" t="str">
        <f t="shared" si="237"/>
        <v/>
      </c>
      <c r="U262" s="207" t="str">
        <f t="shared" si="237"/>
        <v/>
      </c>
      <c r="V262" s="207" t="str">
        <f t="shared" si="237"/>
        <v/>
      </c>
      <c r="W262" s="207" t="str">
        <f t="shared" si="237"/>
        <v/>
      </c>
      <c r="X262" s="128"/>
      <c r="Y262" s="243">
        <f>SUMPRODUCT(Z262:AJ262,Z$32:AJ$32)/1000</f>
        <v>0</v>
      </c>
      <c r="Z262" s="129"/>
      <c r="AA262" s="207" t="str">
        <f t="shared" ref="AA262:AI262" si="238">IF(OR(AA$19="",AA$24=0,AA$31=0),"",AA$255-AA$248-AA$247-IF(OR(AA$21=woning,AA$21=woongebouw),AA244,0))</f>
        <v/>
      </c>
      <c r="AB262" s="207" t="str">
        <f t="shared" si="238"/>
        <v/>
      </c>
      <c r="AC262" s="207" t="str">
        <f t="shared" si="238"/>
        <v/>
      </c>
      <c r="AD262" s="207" t="str">
        <f t="shared" si="238"/>
        <v/>
      </c>
      <c r="AE262" s="207" t="str">
        <f t="shared" si="238"/>
        <v/>
      </c>
      <c r="AF262" s="207" t="str">
        <f t="shared" si="238"/>
        <v/>
      </c>
      <c r="AG262" s="207" t="str">
        <f t="shared" si="238"/>
        <v/>
      </c>
      <c r="AH262" s="207" t="str">
        <f t="shared" si="238"/>
        <v/>
      </c>
      <c r="AI262" s="207" t="str">
        <f t="shared" si="238"/>
        <v/>
      </c>
      <c r="AJ262" s="128"/>
      <c r="AK262" s="243">
        <f>SUMPRODUCT(AL262:AV262,AL$32:AV$32)/1000</f>
        <v>0</v>
      </c>
      <c r="AL262" s="129"/>
      <c r="AM262" s="207" t="str">
        <f t="shared" ref="AM262:AU262" si="239">IF(OR(AM$19="",AM$24=0,AM$31=0),"",AM$255-AM$248-AM$247-IF(OR(AM$21=woning,AM$21=woongebouw),AM244,0))</f>
        <v/>
      </c>
      <c r="AN262" s="207" t="str">
        <f t="shared" si="239"/>
        <v/>
      </c>
      <c r="AO262" s="207" t="str">
        <f t="shared" si="239"/>
        <v/>
      </c>
      <c r="AP262" s="207" t="str">
        <f t="shared" si="239"/>
        <v/>
      </c>
      <c r="AQ262" s="207" t="str">
        <f t="shared" si="239"/>
        <v/>
      </c>
      <c r="AR262" s="207" t="str">
        <f t="shared" si="239"/>
        <v/>
      </c>
      <c r="AS262" s="207" t="str">
        <f t="shared" si="239"/>
        <v/>
      </c>
      <c r="AT262" s="207" t="str">
        <f t="shared" si="239"/>
        <v/>
      </c>
      <c r="AU262" s="207" t="str">
        <f t="shared" si="239"/>
        <v/>
      </c>
      <c r="AV262" s="128"/>
      <c r="AW262" s="243">
        <f>SUMPRODUCT(AX262:BH262,AX$32:BH$32)/1000</f>
        <v>0</v>
      </c>
      <c r="AX262" s="129"/>
      <c r="AY262" s="207" t="str">
        <f t="shared" ref="AY262:BG262" si="240">IF(OR(AY$19="",AY$24=0,AY$31=0),"",AY$255-AY$248-AY$247-IF(OR(AY$21=woning,AY$21=woongebouw),AY244,0))</f>
        <v/>
      </c>
      <c r="AZ262" s="207" t="str">
        <f t="shared" si="240"/>
        <v/>
      </c>
      <c r="BA262" s="207" t="str">
        <f t="shared" si="240"/>
        <v/>
      </c>
      <c r="BB262" s="207" t="str">
        <f t="shared" si="240"/>
        <v/>
      </c>
      <c r="BC262" s="207" t="str">
        <f t="shared" si="240"/>
        <v/>
      </c>
      <c r="BD262" s="207" t="str">
        <f t="shared" si="240"/>
        <v/>
      </c>
      <c r="BE262" s="207" t="str">
        <f t="shared" si="240"/>
        <v/>
      </c>
      <c r="BF262" s="207" t="str">
        <f t="shared" si="240"/>
        <v/>
      </c>
      <c r="BG262" s="207" t="str">
        <f t="shared" si="240"/>
        <v/>
      </c>
      <c r="BH262" s="255"/>
    </row>
    <row r="263" spans="1:60" ht="18.75" x14ac:dyDescent="0.2">
      <c r="A263" s="648"/>
      <c r="B263" s="492" t="s">
        <v>324</v>
      </c>
      <c r="C263" s="739" t="s">
        <v>104</v>
      </c>
      <c r="D263" s="747"/>
      <c r="E263" s="236" t="s">
        <v>328</v>
      </c>
      <c r="F263" s="236"/>
      <c r="G263" s="236"/>
      <c r="H263" s="89"/>
      <c r="I263" s="236"/>
      <c r="J263" s="236"/>
      <c r="K263" s="236"/>
      <c r="L263" s="236"/>
      <c r="M263" s="236"/>
      <c r="N263" s="236"/>
      <c r="O263" s="236"/>
      <c r="P263" s="236"/>
      <c r="Q263" s="236"/>
      <c r="R263" s="236"/>
      <c r="S263" s="236"/>
      <c r="T263" s="236"/>
      <c r="U263" s="236"/>
      <c r="V263" s="236"/>
      <c r="W263" s="236"/>
      <c r="X263" s="236"/>
      <c r="Y263" s="236"/>
      <c r="Z263" s="236"/>
      <c r="AA263" s="236"/>
      <c r="AB263" s="236"/>
      <c r="AC263" s="236"/>
      <c r="AD263" s="236"/>
      <c r="AE263" s="236"/>
      <c r="AF263" s="236"/>
      <c r="AG263" s="236"/>
      <c r="AH263" s="236"/>
      <c r="AI263" s="236"/>
      <c r="AJ263" s="236"/>
      <c r="AK263" s="236"/>
      <c r="AL263" s="236"/>
      <c r="AM263" s="236"/>
      <c r="AN263" s="236"/>
      <c r="AO263" s="236"/>
      <c r="AP263" s="236"/>
      <c r="AQ263" s="236"/>
      <c r="AR263" s="236"/>
      <c r="AS263" s="236"/>
      <c r="AT263" s="236"/>
      <c r="AU263" s="236"/>
      <c r="AV263" s="236"/>
      <c r="AW263" s="236"/>
      <c r="AX263" s="236"/>
      <c r="AY263" s="236"/>
      <c r="AZ263" s="236"/>
      <c r="BA263" s="236"/>
      <c r="BB263" s="236"/>
      <c r="BC263" s="236"/>
      <c r="BD263" s="236"/>
      <c r="BE263" s="236"/>
      <c r="BF263" s="236"/>
      <c r="BG263" s="236"/>
      <c r="BH263" s="38"/>
    </row>
    <row r="264" spans="1:60" x14ac:dyDescent="0.2">
      <c r="A264" s="648"/>
      <c r="B264" s="492" t="s">
        <v>324</v>
      </c>
      <c r="C264" s="656" t="s">
        <v>113</v>
      </c>
      <c r="D264" s="750" t="s">
        <v>50</v>
      </c>
      <c r="E264" s="220" t="s">
        <v>329</v>
      </c>
      <c r="F264" s="220"/>
      <c r="G264" s="220"/>
      <c r="H264" s="242" t="s">
        <v>317</v>
      </c>
      <c r="I264" s="129"/>
      <c r="J264" s="243">
        <f t="shared" ref="J264:J269" si="241">M264+Y264+AK264+AW264</f>
        <v>0</v>
      </c>
      <c r="K264" s="236"/>
      <c r="L264" s="236"/>
      <c r="M264" s="243">
        <f t="shared" ref="M264:M269" si="242">SUMPRODUCT(N264:X264,N$32:X$32)/1000</f>
        <v>0</v>
      </c>
      <c r="N264" s="129"/>
      <c r="O264" s="207" t="str">
        <f t="shared" ref="O264:W264" si="243">IF(OR(O$19="",O$24=0,O$31=0),"",
(O$234*$O209+O$235*$P209+O$236*$Q209)*1000/(O$24*O$31))</f>
        <v/>
      </c>
      <c r="P264" s="207" t="str">
        <f t="shared" si="243"/>
        <v/>
      </c>
      <c r="Q264" s="207" t="str">
        <f t="shared" si="243"/>
        <v/>
      </c>
      <c r="R264" s="207" t="str">
        <f t="shared" si="243"/>
        <v/>
      </c>
      <c r="S264" s="207" t="str">
        <f t="shared" si="243"/>
        <v/>
      </c>
      <c r="T264" s="207" t="str">
        <f t="shared" si="243"/>
        <v/>
      </c>
      <c r="U264" s="207" t="str">
        <f t="shared" si="243"/>
        <v/>
      </c>
      <c r="V264" s="207" t="str">
        <f t="shared" si="243"/>
        <v/>
      </c>
      <c r="W264" s="207" t="str">
        <f t="shared" si="243"/>
        <v/>
      </c>
      <c r="X264" s="128"/>
      <c r="Y264" s="243">
        <f t="shared" ref="Y264:Y269" si="244">SUMPRODUCT(Z264:AJ264,Z$32:AJ$32)/1000</f>
        <v>0</v>
      </c>
      <c r="Z264" s="129"/>
      <c r="AA264" s="207" t="str">
        <f t="shared" ref="AA264:AI264" si="245">IF(OR(AA$19="",AA$24=0,AA$31=0),"",
(AA$234*$AA209+AA$235*$AB209+AA$236*$AC209)*1000/(AA$24*AA$31))</f>
        <v/>
      </c>
      <c r="AB264" s="207" t="str">
        <f t="shared" si="245"/>
        <v/>
      </c>
      <c r="AC264" s="207" t="str">
        <f t="shared" si="245"/>
        <v/>
      </c>
      <c r="AD264" s="207" t="str">
        <f t="shared" si="245"/>
        <v/>
      </c>
      <c r="AE264" s="207" t="str">
        <f t="shared" si="245"/>
        <v/>
      </c>
      <c r="AF264" s="207" t="str">
        <f t="shared" si="245"/>
        <v/>
      </c>
      <c r="AG264" s="207" t="str">
        <f t="shared" si="245"/>
        <v/>
      </c>
      <c r="AH264" s="207" t="str">
        <f t="shared" si="245"/>
        <v/>
      </c>
      <c r="AI264" s="207" t="str">
        <f t="shared" si="245"/>
        <v/>
      </c>
      <c r="AJ264" s="128"/>
      <c r="AK264" s="243">
        <f t="shared" ref="AK264:AK269" si="246">SUMPRODUCT(AL264:AV264,AL$32:AV$32)/1000</f>
        <v>0</v>
      </c>
      <c r="AL264" s="129"/>
      <c r="AM264" s="207" t="str">
        <f t="shared" ref="AM264:AU264" si="247">IF(OR(AM$19="",AM$24=0,AM$31=0),"",
(AM$234*$AM209+AM$235*$AN209+AM$236*$AO209)*1000/(AM$24*AM$31))</f>
        <v/>
      </c>
      <c r="AN264" s="207" t="str">
        <f t="shared" si="247"/>
        <v/>
      </c>
      <c r="AO264" s="207" t="str">
        <f t="shared" si="247"/>
        <v/>
      </c>
      <c r="AP264" s="207" t="str">
        <f t="shared" si="247"/>
        <v/>
      </c>
      <c r="AQ264" s="207" t="str">
        <f t="shared" si="247"/>
        <v/>
      </c>
      <c r="AR264" s="207" t="str">
        <f t="shared" si="247"/>
        <v/>
      </c>
      <c r="AS264" s="207" t="str">
        <f t="shared" si="247"/>
        <v/>
      </c>
      <c r="AT264" s="207" t="str">
        <f t="shared" si="247"/>
        <v/>
      </c>
      <c r="AU264" s="207" t="str">
        <f t="shared" si="247"/>
        <v/>
      </c>
      <c r="AV264" s="128"/>
      <c r="AW264" s="243">
        <f t="shared" ref="AW264:AW269" si="248">SUMPRODUCT(AX264:BH264,AX$32:BH$32)/1000</f>
        <v>0</v>
      </c>
      <c r="AX264" s="129"/>
      <c r="AY264" s="207" t="str">
        <f t="shared" ref="AY264:BG264" si="249">IF(OR(AY$19="",AY$24=0,AY$31=0),"",
(AY$234*$AY209+AY$235*$AZ209+AY$236*$BA209)*1000/(AY$24*AY$31))</f>
        <v/>
      </c>
      <c r="AZ264" s="207" t="str">
        <f t="shared" si="249"/>
        <v/>
      </c>
      <c r="BA264" s="207" t="str">
        <f t="shared" si="249"/>
        <v/>
      </c>
      <c r="BB264" s="207" t="str">
        <f t="shared" si="249"/>
        <v/>
      </c>
      <c r="BC264" s="207" t="str">
        <f t="shared" si="249"/>
        <v/>
      </c>
      <c r="BD264" s="207" t="str">
        <f t="shared" si="249"/>
        <v/>
      </c>
      <c r="BE264" s="207" t="str">
        <f t="shared" si="249"/>
        <v/>
      </c>
      <c r="BF264" s="207" t="str">
        <f t="shared" si="249"/>
        <v/>
      </c>
      <c r="BG264" s="207" t="str">
        <f t="shared" si="249"/>
        <v/>
      </c>
      <c r="BH264" s="255"/>
    </row>
    <row r="265" spans="1:60" x14ac:dyDescent="0.2">
      <c r="A265" s="648"/>
      <c r="B265" s="492" t="s">
        <v>324</v>
      </c>
      <c r="C265" s="656" t="s">
        <v>113</v>
      </c>
      <c r="D265" s="750" t="s">
        <v>50</v>
      </c>
      <c r="E265" s="220" t="s">
        <v>330</v>
      </c>
      <c r="F265" s="220"/>
      <c r="G265" s="220"/>
      <c r="H265" s="242" t="s">
        <v>317</v>
      </c>
      <c r="I265" s="129"/>
      <c r="J265" s="243">
        <f t="shared" si="241"/>
        <v>0</v>
      </c>
      <c r="K265" s="236"/>
      <c r="L265" s="236"/>
      <c r="M265" s="243">
        <f t="shared" si="242"/>
        <v>0</v>
      </c>
      <c r="N265" s="129"/>
      <c r="O265" s="207" t="str">
        <f t="shared" ref="O265:W265" si="250">IF(OR(O$19="",O$24=0,O$31=0),"",
(O$235*$P210)*1000/(O$24*O$31))</f>
        <v/>
      </c>
      <c r="P265" s="207" t="str">
        <f t="shared" si="250"/>
        <v/>
      </c>
      <c r="Q265" s="207" t="str">
        <f t="shared" si="250"/>
        <v/>
      </c>
      <c r="R265" s="207" t="str">
        <f t="shared" si="250"/>
        <v/>
      </c>
      <c r="S265" s="207" t="str">
        <f t="shared" si="250"/>
        <v/>
      </c>
      <c r="T265" s="207" t="str">
        <f t="shared" si="250"/>
        <v/>
      </c>
      <c r="U265" s="207" t="str">
        <f t="shared" si="250"/>
        <v/>
      </c>
      <c r="V265" s="207" t="str">
        <f t="shared" si="250"/>
        <v/>
      </c>
      <c r="W265" s="207" t="str">
        <f t="shared" si="250"/>
        <v/>
      </c>
      <c r="X265" s="128"/>
      <c r="Y265" s="243">
        <f t="shared" si="244"/>
        <v>0</v>
      </c>
      <c r="Z265" s="129"/>
      <c r="AA265" s="207" t="str">
        <f t="shared" ref="AA265:AI265" si="251">IF(OR(AA$19="",AA$24=0,AA$31=0),"",
(AA$235*$AB210)*1000/(AA$24*AA$31))</f>
        <v/>
      </c>
      <c r="AB265" s="207" t="str">
        <f t="shared" si="251"/>
        <v/>
      </c>
      <c r="AC265" s="207" t="str">
        <f t="shared" si="251"/>
        <v/>
      </c>
      <c r="AD265" s="207" t="str">
        <f t="shared" si="251"/>
        <v/>
      </c>
      <c r="AE265" s="207" t="str">
        <f t="shared" si="251"/>
        <v/>
      </c>
      <c r="AF265" s="207" t="str">
        <f t="shared" si="251"/>
        <v/>
      </c>
      <c r="AG265" s="207" t="str">
        <f t="shared" si="251"/>
        <v/>
      </c>
      <c r="AH265" s="207" t="str">
        <f t="shared" si="251"/>
        <v/>
      </c>
      <c r="AI265" s="207" t="str">
        <f t="shared" si="251"/>
        <v/>
      </c>
      <c r="AJ265" s="128"/>
      <c r="AK265" s="243">
        <f t="shared" si="246"/>
        <v>0</v>
      </c>
      <c r="AL265" s="129"/>
      <c r="AM265" s="207" t="str">
        <f t="shared" ref="AM265:AU265" si="252">IF(OR(AM$19="",AM$24=0,AM$31=0),"",
(AM$235*$AN210)*1000/(AM$24*AM$31))</f>
        <v/>
      </c>
      <c r="AN265" s="207" t="str">
        <f t="shared" si="252"/>
        <v/>
      </c>
      <c r="AO265" s="207" t="str">
        <f t="shared" si="252"/>
        <v/>
      </c>
      <c r="AP265" s="207" t="str">
        <f t="shared" si="252"/>
        <v/>
      </c>
      <c r="AQ265" s="207" t="str">
        <f t="shared" si="252"/>
        <v/>
      </c>
      <c r="AR265" s="207" t="str">
        <f t="shared" si="252"/>
        <v/>
      </c>
      <c r="AS265" s="207" t="str">
        <f t="shared" si="252"/>
        <v/>
      </c>
      <c r="AT265" s="207" t="str">
        <f t="shared" si="252"/>
        <v/>
      </c>
      <c r="AU265" s="207" t="str">
        <f t="shared" si="252"/>
        <v/>
      </c>
      <c r="AV265" s="128"/>
      <c r="AW265" s="243">
        <f t="shared" si="248"/>
        <v>0</v>
      </c>
      <c r="AX265" s="129"/>
      <c r="AY265" s="207" t="str">
        <f t="shared" ref="AY265:BG265" si="253">IF(OR(AY$19="",AY$24=0,AY$31=0),"",
(AY$235*$AZ210)*1000/(AY$24*AY$31))</f>
        <v/>
      </c>
      <c r="AZ265" s="207" t="str">
        <f t="shared" si="253"/>
        <v/>
      </c>
      <c r="BA265" s="207" t="str">
        <f t="shared" si="253"/>
        <v/>
      </c>
      <c r="BB265" s="207" t="str">
        <f t="shared" si="253"/>
        <v/>
      </c>
      <c r="BC265" s="207" t="str">
        <f t="shared" si="253"/>
        <v/>
      </c>
      <c r="BD265" s="207" t="str">
        <f t="shared" si="253"/>
        <v/>
      </c>
      <c r="BE265" s="207" t="str">
        <f t="shared" si="253"/>
        <v/>
      </c>
      <c r="BF265" s="207" t="str">
        <f t="shared" si="253"/>
        <v/>
      </c>
      <c r="BG265" s="207" t="str">
        <f t="shared" si="253"/>
        <v/>
      </c>
      <c r="BH265" s="255"/>
    </row>
    <row r="266" spans="1:60" x14ac:dyDescent="0.2">
      <c r="A266" s="648"/>
      <c r="B266" s="492" t="s">
        <v>324</v>
      </c>
      <c r="C266" s="656" t="s">
        <v>113</v>
      </c>
      <c r="D266" s="750" t="s">
        <v>50</v>
      </c>
      <c r="E266" s="220" t="s">
        <v>294</v>
      </c>
      <c r="F266" s="220"/>
      <c r="G266" s="220"/>
      <c r="H266" s="242" t="s">
        <v>317</v>
      </c>
      <c r="I266" s="129"/>
      <c r="J266" s="243">
        <f t="shared" si="241"/>
        <v>0</v>
      </c>
      <c r="K266" s="236"/>
      <c r="L266" s="236"/>
      <c r="M266" s="243">
        <f t="shared" si="242"/>
        <v>0</v>
      </c>
      <c r="N266" s="129"/>
      <c r="O266" s="207" t="str">
        <f t="shared" ref="O266:W266" si="254">IF(OR(O$19="",O$24=0,O$31=0),"",
(O$234*$O211+O$236*$Q211)*1000/(O$24*O$31))</f>
        <v/>
      </c>
      <c r="P266" s="207" t="str">
        <f t="shared" si="254"/>
        <v/>
      </c>
      <c r="Q266" s="207" t="str">
        <f t="shared" si="254"/>
        <v/>
      </c>
      <c r="R266" s="207" t="str">
        <f t="shared" si="254"/>
        <v/>
      </c>
      <c r="S266" s="207" t="str">
        <f t="shared" si="254"/>
        <v/>
      </c>
      <c r="T266" s="207" t="str">
        <f t="shared" si="254"/>
        <v/>
      </c>
      <c r="U266" s="207" t="str">
        <f t="shared" si="254"/>
        <v/>
      </c>
      <c r="V266" s="207" t="str">
        <f t="shared" si="254"/>
        <v/>
      </c>
      <c r="W266" s="207" t="str">
        <f t="shared" si="254"/>
        <v/>
      </c>
      <c r="X266" s="128"/>
      <c r="Y266" s="243">
        <f t="shared" si="244"/>
        <v>0</v>
      </c>
      <c r="Z266" s="129"/>
      <c r="AA266" s="207" t="str">
        <f t="shared" ref="AA266:AI266" si="255">IF(OR(AA$19="",AA$24=0,AA$31=0),"",
(AA$234*$AA211+AA$236*$AC211)*1000/(AA$24*AA$31))</f>
        <v/>
      </c>
      <c r="AB266" s="207" t="str">
        <f t="shared" si="255"/>
        <v/>
      </c>
      <c r="AC266" s="207" t="str">
        <f t="shared" si="255"/>
        <v/>
      </c>
      <c r="AD266" s="207" t="str">
        <f t="shared" si="255"/>
        <v/>
      </c>
      <c r="AE266" s="207" t="str">
        <f t="shared" si="255"/>
        <v/>
      </c>
      <c r="AF266" s="207" t="str">
        <f t="shared" si="255"/>
        <v/>
      </c>
      <c r="AG266" s="207" t="str">
        <f t="shared" si="255"/>
        <v/>
      </c>
      <c r="AH266" s="207" t="str">
        <f t="shared" si="255"/>
        <v/>
      </c>
      <c r="AI266" s="207" t="str">
        <f t="shared" si="255"/>
        <v/>
      </c>
      <c r="AJ266" s="128"/>
      <c r="AK266" s="243">
        <f t="shared" si="246"/>
        <v>0</v>
      </c>
      <c r="AL266" s="129"/>
      <c r="AM266" s="207" t="str">
        <f t="shared" ref="AM266:AU266" si="256">IF(OR(AM$19="",AM$24=0,AM$31=0),"",
(AM$234*$AM211+AM$236*$AO211)*1000/(AM$24*AM$31))</f>
        <v/>
      </c>
      <c r="AN266" s="207" t="str">
        <f t="shared" si="256"/>
        <v/>
      </c>
      <c r="AO266" s="207" t="str">
        <f t="shared" si="256"/>
        <v/>
      </c>
      <c r="AP266" s="207" t="str">
        <f t="shared" si="256"/>
        <v/>
      </c>
      <c r="AQ266" s="207" t="str">
        <f t="shared" si="256"/>
        <v/>
      </c>
      <c r="AR266" s="207" t="str">
        <f t="shared" si="256"/>
        <v/>
      </c>
      <c r="AS266" s="207" t="str">
        <f t="shared" si="256"/>
        <v/>
      </c>
      <c r="AT266" s="207" t="str">
        <f t="shared" si="256"/>
        <v/>
      </c>
      <c r="AU266" s="207" t="str">
        <f t="shared" si="256"/>
        <v/>
      </c>
      <c r="AV266" s="128"/>
      <c r="AW266" s="243">
        <f t="shared" si="248"/>
        <v>0</v>
      </c>
      <c r="AX266" s="129"/>
      <c r="AY266" s="207" t="str">
        <f t="shared" ref="AY266:BG266" si="257">IF(OR(AY$19="",AY$24=0,AY$31=0),"",
(AY$234*$AY211+AY$236*$BA211)*1000/(AY$24*AY$31))</f>
        <v/>
      </c>
      <c r="AZ266" s="207" t="str">
        <f t="shared" si="257"/>
        <v/>
      </c>
      <c r="BA266" s="207" t="str">
        <f t="shared" si="257"/>
        <v/>
      </c>
      <c r="BB266" s="207" t="str">
        <f t="shared" si="257"/>
        <v/>
      </c>
      <c r="BC266" s="207" t="str">
        <f t="shared" si="257"/>
        <v/>
      </c>
      <c r="BD266" s="207" t="str">
        <f t="shared" si="257"/>
        <v/>
      </c>
      <c r="BE266" s="207" t="str">
        <f t="shared" si="257"/>
        <v/>
      </c>
      <c r="BF266" s="207" t="str">
        <f t="shared" si="257"/>
        <v/>
      </c>
      <c r="BG266" s="207" t="str">
        <f t="shared" si="257"/>
        <v/>
      </c>
      <c r="BH266" s="255"/>
    </row>
    <row r="267" spans="1:60" x14ac:dyDescent="0.2">
      <c r="A267" s="648"/>
      <c r="B267" s="492" t="s">
        <v>324</v>
      </c>
      <c r="C267" s="656" t="s">
        <v>113</v>
      </c>
      <c r="D267" s="750" t="s">
        <v>50</v>
      </c>
      <c r="E267" s="220" t="s">
        <v>295</v>
      </c>
      <c r="F267" s="220"/>
      <c r="G267" s="220"/>
      <c r="H267" s="242" t="s">
        <v>317</v>
      </c>
      <c r="I267" s="129"/>
      <c r="J267" s="243">
        <f t="shared" si="241"/>
        <v>0</v>
      </c>
      <c r="K267" s="236"/>
      <c r="L267" s="236"/>
      <c r="M267" s="243">
        <f t="shared" si="242"/>
        <v>0</v>
      </c>
      <c r="N267" s="129"/>
      <c r="O267" s="207" t="str">
        <f t="shared" ref="O267:W267" si="258">IF(OR(O$19="",O$24=0,O$31=0),"",
(O$234*$O212+O$235*$P212+O$236*$Q212)*1000/(O$24*O$31))</f>
        <v/>
      </c>
      <c r="P267" s="207" t="str">
        <f t="shared" si="258"/>
        <v/>
      </c>
      <c r="Q267" s="207" t="str">
        <f t="shared" si="258"/>
        <v/>
      </c>
      <c r="R267" s="207" t="str">
        <f t="shared" si="258"/>
        <v/>
      </c>
      <c r="S267" s="207" t="str">
        <f t="shared" si="258"/>
        <v/>
      </c>
      <c r="T267" s="207" t="str">
        <f t="shared" si="258"/>
        <v/>
      </c>
      <c r="U267" s="207" t="str">
        <f t="shared" si="258"/>
        <v/>
      </c>
      <c r="V267" s="207" t="str">
        <f t="shared" si="258"/>
        <v/>
      </c>
      <c r="W267" s="207" t="str">
        <f t="shared" si="258"/>
        <v/>
      </c>
      <c r="X267" s="128"/>
      <c r="Y267" s="243">
        <f t="shared" si="244"/>
        <v>0</v>
      </c>
      <c r="Z267" s="129"/>
      <c r="AA267" s="207" t="str">
        <f t="shared" ref="AA267:AI267" si="259">IF(OR(AA$19="",AA$24=0,AA$31=0),"",
(AA$234*$AA212+AA$235*$AB212+AA$236*$AC212)*1000/(AA$24*AA$31))</f>
        <v/>
      </c>
      <c r="AB267" s="207" t="str">
        <f t="shared" si="259"/>
        <v/>
      </c>
      <c r="AC267" s="207" t="str">
        <f t="shared" si="259"/>
        <v/>
      </c>
      <c r="AD267" s="207" t="str">
        <f t="shared" si="259"/>
        <v/>
      </c>
      <c r="AE267" s="207" t="str">
        <f t="shared" si="259"/>
        <v/>
      </c>
      <c r="AF267" s="207" t="str">
        <f t="shared" si="259"/>
        <v/>
      </c>
      <c r="AG267" s="207" t="str">
        <f t="shared" si="259"/>
        <v/>
      </c>
      <c r="AH267" s="207" t="str">
        <f t="shared" si="259"/>
        <v/>
      </c>
      <c r="AI267" s="207" t="str">
        <f t="shared" si="259"/>
        <v/>
      </c>
      <c r="AJ267" s="128"/>
      <c r="AK267" s="243">
        <f t="shared" si="246"/>
        <v>0</v>
      </c>
      <c r="AL267" s="129"/>
      <c r="AM267" s="207" t="str">
        <f t="shared" ref="AM267:AU267" si="260">IF(OR(AM$19="",AM$24=0,AM$31=0),"",
(AM$234*$AM212+AM$235*$AN212+AM$236*$AO212)*1000/(AM$24*AM$31))</f>
        <v/>
      </c>
      <c r="AN267" s="207" t="str">
        <f t="shared" si="260"/>
        <v/>
      </c>
      <c r="AO267" s="207" t="str">
        <f t="shared" si="260"/>
        <v/>
      </c>
      <c r="AP267" s="207" t="str">
        <f t="shared" si="260"/>
        <v/>
      </c>
      <c r="AQ267" s="207" t="str">
        <f t="shared" si="260"/>
        <v/>
      </c>
      <c r="AR267" s="207" t="str">
        <f t="shared" si="260"/>
        <v/>
      </c>
      <c r="AS267" s="207" t="str">
        <f t="shared" si="260"/>
        <v/>
      </c>
      <c r="AT267" s="207" t="str">
        <f t="shared" si="260"/>
        <v/>
      </c>
      <c r="AU267" s="207" t="str">
        <f t="shared" si="260"/>
        <v/>
      </c>
      <c r="AV267" s="128"/>
      <c r="AW267" s="243">
        <f t="shared" si="248"/>
        <v>0</v>
      </c>
      <c r="AX267" s="129"/>
      <c r="AY267" s="207" t="str">
        <f t="shared" ref="AY267:BG267" si="261">IF(OR(AY$19="",AY$24=0,AY$31=0),"",
(AY$234*$AY212+AY$235*$AZ212+AY$236*$BA212)*1000/(AY$24*AY$31))</f>
        <v/>
      </c>
      <c r="AZ267" s="207" t="str">
        <f t="shared" si="261"/>
        <v/>
      </c>
      <c r="BA267" s="207" t="str">
        <f t="shared" si="261"/>
        <v/>
      </c>
      <c r="BB267" s="207" t="str">
        <f t="shared" si="261"/>
        <v/>
      </c>
      <c r="BC267" s="207" t="str">
        <f t="shared" si="261"/>
        <v/>
      </c>
      <c r="BD267" s="207" t="str">
        <f t="shared" si="261"/>
        <v/>
      </c>
      <c r="BE267" s="207" t="str">
        <f t="shared" si="261"/>
        <v/>
      </c>
      <c r="BF267" s="207" t="str">
        <f t="shared" si="261"/>
        <v/>
      </c>
      <c r="BG267" s="207" t="str">
        <f t="shared" si="261"/>
        <v/>
      </c>
      <c r="BH267" s="255"/>
    </row>
    <row r="268" spans="1:60" x14ac:dyDescent="0.2">
      <c r="A268" s="648"/>
      <c r="B268" s="492" t="s">
        <v>324</v>
      </c>
      <c r="C268" s="656" t="s">
        <v>113</v>
      </c>
      <c r="D268" s="750" t="s">
        <v>50</v>
      </c>
      <c r="E268" s="220" t="s">
        <v>296</v>
      </c>
      <c r="F268" s="220"/>
      <c r="G268" s="220"/>
      <c r="H268" s="242" t="s">
        <v>317</v>
      </c>
      <c r="I268" s="129"/>
      <c r="J268" s="243">
        <f t="shared" si="241"/>
        <v>0</v>
      </c>
      <c r="K268" s="236"/>
      <c r="L268" s="236"/>
      <c r="M268" s="243">
        <f t="shared" si="242"/>
        <v>0</v>
      </c>
      <c r="N268" s="129"/>
      <c r="O268" s="207" t="str">
        <f t="shared" ref="O268:W268" si="262">IF(OR(O$19="",O$24=0,O$31=0),"",
(O$235*$P213)*1000/(O$24*O$31))</f>
        <v/>
      </c>
      <c r="P268" s="207" t="str">
        <f t="shared" si="262"/>
        <v/>
      </c>
      <c r="Q268" s="207" t="str">
        <f t="shared" si="262"/>
        <v/>
      </c>
      <c r="R268" s="207" t="str">
        <f t="shared" si="262"/>
        <v/>
      </c>
      <c r="S268" s="207" t="str">
        <f t="shared" si="262"/>
        <v/>
      </c>
      <c r="T268" s="207" t="str">
        <f t="shared" si="262"/>
        <v/>
      </c>
      <c r="U268" s="207" t="str">
        <f t="shared" si="262"/>
        <v/>
      </c>
      <c r="V268" s="207" t="str">
        <f t="shared" si="262"/>
        <v/>
      </c>
      <c r="W268" s="207" t="str">
        <f t="shared" si="262"/>
        <v/>
      </c>
      <c r="X268" s="128"/>
      <c r="Y268" s="243">
        <f t="shared" si="244"/>
        <v>0</v>
      </c>
      <c r="Z268" s="129"/>
      <c r="AA268" s="207" t="str">
        <f t="shared" ref="AA268:AI268" si="263">IF(OR(AA$19="",AA$24=0,AA$31=0),"",
(AA$235*$AB213)*1000/(AA$24*AA$31))</f>
        <v/>
      </c>
      <c r="AB268" s="207" t="str">
        <f t="shared" si="263"/>
        <v/>
      </c>
      <c r="AC268" s="207" t="str">
        <f t="shared" si="263"/>
        <v/>
      </c>
      <c r="AD268" s="207" t="str">
        <f t="shared" si="263"/>
        <v/>
      </c>
      <c r="AE268" s="207" t="str">
        <f t="shared" si="263"/>
        <v/>
      </c>
      <c r="AF268" s="207" t="str">
        <f t="shared" si="263"/>
        <v/>
      </c>
      <c r="AG268" s="207" t="str">
        <f t="shared" si="263"/>
        <v/>
      </c>
      <c r="AH268" s="207" t="str">
        <f t="shared" si="263"/>
        <v/>
      </c>
      <c r="AI268" s="207" t="str">
        <f t="shared" si="263"/>
        <v/>
      </c>
      <c r="AJ268" s="128"/>
      <c r="AK268" s="243">
        <f t="shared" si="246"/>
        <v>0</v>
      </c>
      <c r="AL268" s="129"/>
      <c r="AM268" s="207" t="str">
        <f t="shared" ref="AM268:AU268" si="264">IF(OR(AM$19="",AM$24=0,AM$31=0),"",
(AM$235*$AN213)*1000/(AM$24*AM$31))</f>
        <v/>
      </c>
      <c r="AN268" s="207" t="str">
        <f t="shared" si="264"/>
        <v/>
      </c>
      <c r="AO268" s="207" t="str">
        <f t="shared" si="264"/>
        <v/>
      </c>
      <c r="AP268" s="207" t="str">
        <f t="shared" si="264"/>
        <v/>
      </c>
      <c r="AQ268" s="207" t="str">
        <f t="shared" si="264"/>
        <v/>
      </c>
      <c r="AR268" s="207" t="str">
        <f t="shared" si="264"/>
        <v/>
      </c>
      <c r="AS268" s="207" t="str">
        <f t="shared" si="264"/>
        <v/>
      </c>
      <c r="AT268" s="207" t="str">
        <f t="shared" si="264"/>
        <v/>
      </c>
      <c r="AU268" s="207" t="str">
        <f t="shared" si="264"/>
        <v/>
      </c>
      <c r="AV268" s="128"/>
      <c r="AW268" s="243">
        <f t="shared" si="248"/>
        <v>0</v>
      </c>
      <c r="AX268" s="129"/>
      <c r="AY268" s="207" t="str">
        <f t="shared" ref="AY268:BG268" si="265">IF(OR(AY$19="",AY$24=0,AY$31=0),"",
(AY$235*$AZ213)*1000/(AY$24*AY$31))</f>
        <v/>
      </c>
      <c r="AZ268" s="207" t="str">
        <f t="shared" si="265"/>
        <v/>
      </c>
      <c r="BA268" s="207" t="str">
        <f t="shared" si="265"/>
        <v/>
      </c>
      <c r="BB268" s="207" t="str">
        <f t="shared" si="265"/>
        <v/>
      </c>
      <c r="BC268" s="207" t="str">
        <f t="shared" si="265"/>
        <v/>
      </c>
      <c r="BD268" s="207" t="str">
        <f t="shared" si="265"/>
        <v/>
      </c>
      <c r="BE268" s="207" t="str">
        <f t="shared" si="265"/>
        <v/>
      </c>
      <c r="BF268" s="207" t="str">
        <f t="shared" si="265"/>
        <v/>
      </c>
      <c r="BG268" s="207" t="str">
        <f t="shared" si="265"/>
        <v/>
      </c>
      <c r="BH268" s="255"/>
    </row>
    <row r="269" spans="1:60" x14ac:dyDescent="0.2">
      <c r="A269" s="648"/>
      <c r="B269" s="492" t="s">
        <v>324</v>
      </c>
      <c r="C269" s="656" t="s">
        <v>113</v>
      </c>
      <c r="D269" s="750" t="s">
        <v>50</v>
      </c>
      <c r="E269" s="220" t="s">
        <v>297</v>
      </c>
      <c r="F269" s="220"/>
      <c r="G269" s="220"/>
      <c r="H269" s="242" t="s">
        <v>317</v>
      </c>
      <c r="I269" s="129"/>
      <c r="J269" s="243">
        <f t="shared" si="241"/>
        <v>0</v>
      </c>
      <c r="K269" s="236"/>
      <c r="L269" s="236"/>
      <c r="M269" s="243">
        <f t="shared" si="242"/>
        <v>0</v>
      </c>
      <c r="N269" s="129"/>
      <c r="O269" s="207" t="str">
        <f t="shared" ref="O269:W269" si="266">IF(OR(O$19="",O$24=0,O$31=0),"",
(O$234*$O214+O$236*$Q214)*1000/(O$24*O$31))</f>
        <v/>
      </c>
      <c r="P269" s="207" t="str">
        <f t="shared" si="266"/>
        <v/>
      </c>
      <c r="Q269" s="207" t="str">
        <f t="shared" si="266"/>
        <v/>
      </c>
      <c r="R269" s="207" t="str">
        <f t="shared" si="266"/>
        <v/>
      </c>
      <c r="S269" s="207" t="str">
        <f t="shared" si="266"/>
        <v/>
      </c>
      <c r="T269" s="207" t="str">
        <f t="shared" si="266"/>
        <v/>
      </c>
      <c r="U269" s="207" t="str">
        <f t="shared" si="266"/>
        <v/>
      </c>
      <c r="V269" s="207" t="str">
        <f t="shared" si="266"/>
        <v/>
      </c>
      <c r="W269" s="207" t="str">
        <f t="shared" si="266"/>
        <v/>
      </c>
      <c r="X269" s="122"/>
      <c r="Y269" s="243">
        <f t="shared" si="244"/>
        <v>0</v>
      </c>
      <c r="Z269" s="129"/>
      <c r="AA269" s="207" t="str">
        <f t="shared" ref="AA269:AI269" si="267">IF(OR(AA$19="",AA$24=0,AA$31=0),"",
(AA$234*$AA214+AA$236*$AC214)*1000/(AA$24*AA$31))</f>
        <v/>
      </c>
      <c r="AB269" s="207" t="str">
        <f t="shared" si="267"/>
        <v/>
      </c>
      <c r="AC269" s="207" t="str">
        <f t="shared" si="267"/>
        <v/>
      </c>
      <c r="AD269" s="207" t="str">
        <f t="shared" si="267"/>
        <v/>
      </c>
      <c r="AE269" s="207" t="str">
        <f t="shared" si="267"/>
        <v/>
      </c>
      <c r="AF269" s="207" t="str">
        <f t="shared" si="267"/>
        <v/>
      </c>
      <c r="AG269" s="207" t="str">
        <f t="shared" si="267"/>
        <v/>
      </c>
      <c r="AH269" s="207" t="str">
        <f t="shared" si="267"/>
        <v/>
      </c>
      <c r="AI269" s="207" t="str">
        <f t="shared" si="267"/>
        <v/>
      </c>
      <c r="AJ269" s="122"/>
      <c r="AK269" s="243">
        <f t="shared" si="246"/>
        <v>0</v>
      </c>
      <c r="AL269" s="129"/>
      <c r="AM269" s="207" t="str">
        <f t="shared" ref="AM269:AU269" si="268">IF(OR(AM$19="",AM$24=0,AM$31=0),"",
(AM$234*$AM214+AM$236*$AO214)*1000/(AM$24*AM$31))</f>
        <v/>
      </c>
      <c r="AN269" s="207" t="str">
        <f t="shared" si="268"/>
        <v/>
      </c>
      <c r="AO269" s="207" t="str">
        <f t="shared" si="268"/>
        <v/>
      </c>
      <c r="AP269" s="207" t="str">
        <f t="shared" si="268"/>
        <v/>
      </c>
      <c r="AQ269" s="207" t="str">
        <f t="shared" si="268"/>
        <v/>
      </c>
      <c r="AR269" s="207" t="str">
        <f t="shared" si="268"/>
        <v/>
      </c>
      <c r="AS269" s="207" t="str">
        <f t="shared" si="268"/>
        <v/>
      </c>
      <c r="AT269" s="207" t="str">
        <f t="shared" si="268"/>
        <v/>
      </c>
      <c r="AU269" s="207" t="str">
        <f t="shared" si="268"/>
        <v/>
      </c>
      <c r="AV269" s="122"/>
      <c r="AW269" s="243">
        <f t="shared" si="248"/>
        <v>0</v>
      </c>
      <c r="AX269" s="129"/>
      <c r="AY269" s="207" t="str">
        <f t="shared" ref="AY269:BG269" si="269">IF(OR(AY$19="",AY$24=0,AY$31=0),"",
(AY$234*$AY214+AY$236*$BA214)*1000/(AY$24*AY$31))</f>
        <v/>
      </c>
      <c r="AZ269" s="207" t="str">
        <f t="shared" si="269"/>
        <v/>
      </c>
      <c r="BA269" s="207" t="str">
        <f t="shared" si="269"/>
        <v/>
      </c>
      <c r="BB269" s="207" t="str">
        <f t="shared" si="269"/>
        <v/>
      </c>
      <c r="BC269" s="207" t="str">
        <f t="shared" si="269"/>
        <v/>
      </c>
      <c r="BD269" s="207" t="str">
        <f t="shared" si="269"/>
        <v/>
      </c>
      <c r="BE269" s="207" t="str">
        <f t="shared" si="269"/>
        <v/>
      </c>
      <c r="BF269" s="207" t="str">
        <f t="shared" si="269"/>
        <v/>
      </c>
      <c r="BG269" s="207" t="str">
        <f t="shared" si="269"/>
        <v/>
      </c>
      <c r="BH269" s="214"/>
    </row>
    <row r="270" spans="1:60" ht="18.75" x14ac:dyDescent="0.2">
      <c r="A270" s="648"/>
      <c r="B270" s="492" t="s">
        <v>324</v>
      </c>
      <c r="C270" s="739" t="s">
        <v>104</v>
      </c>
      <c r="D270" s="747"/>
      <c r="E270" s="236" t="s">
        <v>331</v>
      </c>
      <c r="F270" s="236"/>
      <c r="G270" s="236"/>
      <c r="H270" s="89"/>
      <c r="I270" s="236"/>
      <c r="J270" s="236"/>
      <c r="K270" s="236"/>
      <c r="L270" s="236"/>
      <c r="M270" s="236"/>
      <c r="N270" s="236"/>
      <c r="O270" s="236"/>
      <c r="P270" s="236"/>
      <c r="Q270" s="236"/>
      <c r="R270" s="236"/>
      <c r="S270" s="236"/>
      <c r="T270" s="236"/>
      <c r="U270" s="236"/>
      <c r="V270" s="236"/>
      <c r="W270" s="236"/>
      <c r="X270" s="236"/>
      <c r="Y270" s="236"/>
      <c r="Z270" s="236"/>
      <c r="AA270" s="236"/>
      <c r="AB270" s="236"/>
      <c r="AC270" s="236"/>
      <c r="AD270" s="236"/>
      <c r="AE270" s="236"/>
      <c r="AF270" s="236"/>
      <c r="AG270" s="236"/>
      <c r="AH270" s="236"/>
      <c r="AI270" s="236"/>
      <c r="AJ270" s="236"/>
      <c r="AK270" s="236"/>
      <c r="AL270" s="236"/>
      <c r="AM270" s="236"/>
      <c r="AN270" s="236"/>
      <c r="AO270" s="236"/>
      <c r="AP270" s="236"/>
      <c r="AQ270" s="236"/>
      <c r="AR270" s="236"/>
      <c r="AS270" s="236"/>
      <c r="AT270" s="236"/>
      <c r="AU270" s="236"/>
      <c r="AV270" s="236"/>
      <c r="AW270" s="236"/>
      <c r="AX270" s="236"/>
      <c r="AY270" s="236"/>
      <c r="AZ270" s="236"/>
      <c r="BA270" s="236"/>
      <c r="BB270" s="236"/>
      <c r="BC270" s="236"/>
      <c r="BD270" s="236"/>
      <c r="BE270" s="236"/>
      <c r="BF270" s="236"/>
      <c r="BG270" s="236"/>
      <c r="BH270" s="38"/>
    </row>
    <row r="271" spans="1:60" x14ac:dyDescent="0.2">
      <c r="A271" s="648"/>
      <c r="B271" s="492" t="s">
        <v>324</v>
      </c>
      <c r="C271" s="656" t="s">
        <v>113</v>
      </c>
      <c r="D271" s="750" t="s">
        <v>50</v>
      </c>
      <c r="E271" s="220" t="s">
        <v>298</v>
      </c>
      <c r="F271" s="220"/>
      <c r="G271" s="220"/>
      <c r="H271" s="242" t="s">
        <v>317</v>
      </c>
      <c r="I271" s="129"/>
      <c r="J271" s="243">
        <f>M271+Y271+AK271+AW271</f>
        <v>0</v>
      </c>
      <c r="K271" s="236"/>
      <c r="L271" s="236"/>
      <c r="M271" s="243">
        <f>SUMPRODUCT(N271:X271,N$32:X$32)/1000</f>
        <v>0</v>
      </c>
      <c r="N271" s="129"/>
      <c r="O271" s="207" t="str">
        <f t="shared" ref="O271:W271" si="270">IF(OR(O$19="",O$24=0,O$31=0),"",
O$70/O$31*f_P_renelect)</f>
        <v/>
      </c>
      <c r="P271" s="207" t="str">
        <f t="shared" si="270"/>
        <v/>
      </c>
      <c r="Q271" s="207" t="str">
        <f t="shared" si="270"/>
        <v/>
      </c>
      <c r="R271" s="207" t="str">
        <f t="shared" si="270"/>
        <v/>
      </c>
      <c r="S271" s="207" t="str">
        <f t="shared" si="270"/>
        <v/>
      </c>
      <c r="T271" s="207" t="str">
        <f t="shared" si="270"/>
        <v/>
      </c>
      <c r="U271" s="207" t="str">
        <f t="shared" si="270"/>
        <v/>
      </c>
      <c r="V271" s="207" t="str">
        <f t="shared" si="270"/>
        <v/>
      </c>
      <c r="W271" s="207" t="str">
        <f t="shared" si="270"/>
        <v/>
      </c>
      <c r="X271" s="128"/>
      <c r="Y271" s="243">
        <f>SUMPRODUCT(Z271:AJ271,Z$32:AJ$32)/1000</f>
        <v>0</v>
      </c>
      <c r="Z271" s="129"/>
      <c r="AA271" s="207" t="str">
        <f t="shared" ref="AA271:AI271" si="271">IF(OR(AA$19="",AA$24=0,AA$31=0),"",
AA$70/AA$31*f_P_renelect)</f>
        <v/>
      </c>
      <c r="AB271" s="207" t="str">
        <f t="shared" si="271"/>
        <v/>
      </c>
      <c r="AC271" s="207" t="str">
        <f t="shared" si="271"/>
        <v/>
      </c>
      <c r="AD271" s="207" t="str">
        <f t="shared" si="271"/>
        <v/>
      </c>
      <c r="AE271" s="207" t="str">
        <f t="shared" si="271"/>
        <v/>
      </c>
      <c r="AF271" s="207" t="str">
        <f t="shared" si="271"/>
        <v/>
      </c>
      <c r="AG271" s="207" t="str">
        <f t="shared" si="271"/>
        <v/>
      </c>
      <c r="AH271" s="207" t="str">
        <f t="shared" si="271"/>
        <v/>
      </c>
      <c r="AI271" s="207" t="str">
        <f t="shared" si="271"/>
        <v/>
      </c>
      <c r="AJ271" s="128"/>
      <c r="AK271" s="243">
        <f>SUMPRODUCT(AL271:AV271,AL$32:AV$32)/1000</f>
        <v>0</v>
      </c>
      <c r="AL271" s="129"/>
      <c r="AM271" s="207" t="str">
        <f t="shared" ref="AM271:AU271" si="272">IF(OR(AM$19="",AM$24=0,AM$31=0),"",
AM$70/AM$31*f_P_renelect)</f>
        <v/>
      </c>
      <c r="AN271" s="207" t="str">
        <f t="shared" si="272"/>
        <v/>
      </c>
      <c r="AO271" s="207" t="str">
        <f t="shared" si="272"/>
        <v/>
      </c>
      <c r="AP271" s="207" t="str">
        <f t="shared" si="272"/>
        <v/>
      </c>
      <c r="AQ271" s="207" t="str">
        <f t="shared" si="272"/>
        <v/>
      </c>
      <c r="AR271" s="207" t="str">
        <f t="shared" si="272"/>
        <v/>
      </c>
      <c r="AS271" s="207" t="str">
        <f t="shared" si="272"/>
        <v/>
      </c>
      <c r="AT271" s="207" t="str">
        <f t="shared" si="272"/>
        <v/>
      </c>
      <c r="AU271" s="207" t="str">
        <f t="shared" si="272"/>
        <v/>
      </c>
      <c r="AV271" s="128"/>
      <c r="AW271" s="243">
        <f>SUMPRODUCT(AX271:BH271,AX$32:BH$32)/1000</f>
        <v>0</v>
      </c>
      <c r="AX271" s="129"/>
      <c r="AY271" s="207" t="str">
        <f t="shared" ref="AY271:BG271" si="273">IF(OR(AY$19="",AY$24=0,AY$31=0),"",
AY$70/AY$31*f_P_renelect)</f>
        <v/>
      </c>
      <c r="AZ271" s="207" t="str">
        <f t="shared" si="273"/>
        <v/>
      </c>
      <c r="BA271" s="207" t="str">
        <f t="shared" si="273"/>
        <v/>
      </c>
      <c r="BB271" s="207" t="str">
        <f t="shared" si="273"/>
        <v/>
      </c>
      <c r="BC271" s="207" t="str">
        <f t="shared" si="273"/>
        <v/>
      </c>
      <c r="BD271" s="207" t="str">
        <f t="shared" si="273"/>
        <v/>
      </c>
      <c r="BE271" s="207" t="str">
        <f t="shared" si="273"/>
        <v/>
      </c>
      <c r="BF271" s="207" t="str">
        <f t="shared" si="273"/>
        <v/>
      </c>
      <c r="BG271" s="207" t="str">
        <f t="shared" si="273"/>
        <v/>
      </c>
      <c r="BH271" s="255"/>
    </row>
    <row r="272" spans="1:60" ht="18.75" x14ac:dyDescent="0.2">
      <c r="A272" s="648"/>
      <c r="B272" s="492" t="s">
        <v>324</v>
      </c>
      <c r="C272" s="739" t="s">
        <v>104</v>
      </c>
      <c r="D272" s="747"/>
      <c r="E272" s="236" t="s">
        <v>258</v>
      </c>
      <c r="F272" s="236"/>
      <c r="G272" s="236"/>
      <c r="H272" s="89"/>
      <c r="I272" s="236"/>
      <c r="J272" s="236"/>
      <c r="K272" s="236"/>
      <c r="L272" s="236"/>
      <c r="M272" s="236"/>
      <c r="N272" s="236"/>
      <c r="O272" s="236"/>
      <c r="P272" s="236"/>
      <c r="Q272" s="236"/>
      <c r="R272" s="236"/>
      <c r="S272" s="236"/>
      <c r="T272" s="236"/>
      <c r="U272" s="236"/>
      <c r="V272" s="236"/>
      <c r="W272" s="236"/>
      <c r="X272" s="236"/>
      <c r="Y272" s="236"/>
      <c r="Z272" s="236"/>
      <c r="AA272" s="236"/>
      <c r="AB272" s="279"/>
      <c r="AC272" s="236"/>
      <c r="AD272" s="236"/>
      <c r="AE272" s="236"/>
      <c r="AF272" s="236"/>
      <c r="AG272" s="236"/>
      <c r="AH272" s="236"/>
      <c r="AI272" s="236"/>
      <c r="AJ272" s="236"/>
      <c r="AK272" s="236"/>
      <c r="AL272" s="236"/>
      <c r="AM272" s="236"/>
      <c r="AN272" s="236"/>
      <c r="AO272" s="236"/>
      <c r="AP272" s="236"/>
      <c r="AQ272" s="236"/>
      <c r="AR272" s="236"/>
      <c r="AS272" s="236"/>
      <c r="AT272" s="236"/>
      <c r="AU272" s="236"/>
      <c r="AV272" s="236"/>
      <c r="AW272" s="236"/>
      <c r="AX272" s="236"/>
      <c r="AY272" s="236"/>
      <c r="AZ272" s="236"/>
      <c r="BA272" s="236"/>
      <c r="BB272" s="236"/>
      <c r="BC272" s="236"/>
      <c r="BD272" s="236"/>
      <c r="BE272" s="236"/>
      <c r="BF272" s="236"/>
      <c r="BG272" s="236"/>
      <c r="BH272" s="38"/>
    </row>
    <row r="273" spans="1:60" x14ac:dyDescent="0.2">
      <c r="A273" s="648"/>
      <c r="B273" s="492" t="s">
        <v>324</v>
      </c>
      <c r="C273" s="656" t="s">
        <v>113</v>
      </c>
      <c r="D273" s="750" t="s">
        <v>50</v>
      </c>
      <c r="E273" s="220" t="s">
        <v>332</v>
      </c>
      <c r="F273" s="220"/>
      <c r="G273" s="220"/>
      <c r="H273" s="242" t="s">
        <v>317</v>
      </c>
      <c r="I273" s="129"/>
      <c r="J273" s="243">
        <f>M273+Y273+AK273+AW273</f>
        <v>0</v>
      </c>
      <c r="K273" s="236"/>
      <c r="L273" s="236"/>
      <c r="M273" s="243">
        <f>SUMPRODUCT(N273:X273,N$32:X$32)/1000</f>
        <v>0</v>
      </c>
      <c r="N273" s="129"/>
      <c r="O273" s="207" t="str">
        <f t="shared" ref="O273:W273" si="274">IF(OR(O$19="",O$24=0,O$31=0),"",SUM(O264:O269)+O271)</f>
        <v/>
      </c>
      <c r="P273" s="207" t="str">
        <f t="shared" si="274"/>
        <v/>
      </c>
      <c r="Q273" s="207" t="str">
        <f t="shared" si="274"/>
        <v/>
      </c>
      <c r="R273" s="207" t="str">
        <f t="shared" si="274"/>
        <v/>
      </c>
      <c r="S273" s="207" t="str">
        <f t="shared" si="274"/>
        <v/>
      </c>
      <c r="T273" s="207" t="str">
        <f t="shared" si="274"/>
        <v/>
      </c>
      <c r="U273" s="207" t="str">
        <f t="shared" si="274"/>
        <v/>
      </c>
      <c r="V273" s="207" t="str">
        <f t="shared" si="274"/>
        <v/>
      </c>
      <c r="W273" s="207" t="str">
        <f t="shared" si="274"/>
        <v/>
      </c>
      <c r="X273" s="128"/>
      <c r="Y273" s="243">
        <f>SUMPRODUCT(Z273:AJ273,Z$32:AJ$32)/1000</f>
        <v>0</v>
      </c>
      <c r="Z273" s="129"/>
      <c r="AA273" s="207" t="str">
        <f t="shared" ref="AA273:AI273" si="275">IF(OR(AA$19="",AA$24=0,AA$31=0),"",SUM(AA264:AA269)+AA271)</f>
        <v/>
      </c>
      <c r="AB273" s="207" t="str">
        <f t="shared" si="275"/>
        <v/>
      </c>
      <c r="AC273" s="207" t="str">
        <f t="shared" si="275"/>
        <v/>
      </c>
      <c r="AD273" s="207" t="str">
        <f t="shared" si="275"/>
        <v/>
      </c>
      <c r="AE273" s="207" t="str">
        <f t="shared" si="275"/>
        <v/>
      </c>
      <c r="AF273" s="207" t="str">
        <f t="shared" si="275"/>
        <v/>
      </c>
      <c r="AG273" s="207" t="str">
        <f t="shared" si="275"/>
        <v/>
      </c>
      <c r="AH273" s="207" t="str">
        <f t="shared" si="275"/>
        <v/>
      </c>
      <c r="AI273" s="207" t="str">
        <f t="shared" si="275"/>
        <v/>
      </c>
      <c r="AJ273" s="128"/>
      <c r="AK273" s="243">
        <f>SUMPRODUCT(AL273:AV273,AL$32:AV$32)/1000</f>
        <v>0</v>
      </c>
      <c r="AL273" s="129"/>
      <c r="AM273" s="207" t="str">
        <f>IF(OR(AM$19="",AM$24=0,AM$31=0),"",SUM(AM264:AM269)+AM271)</f>
        <v/>
      </c>
      <c r="AN273" s="207" t="str">
        <f t="shared" ref="AN273:AU273" si="276">IF(OR(AN$19="",AN$24=0,AN$31=0),"",SUM(AN264:AN269)+AN271)</f>
        <v/>
      </c>
      <c r="AO273" s="207" t="str">
        <f t="shared" si="276"/>
        <v/>
      </c>
      <c r="AP273" s="207" t="str">
        <f t="shared" si="276"/>
        <v/>
      </c>
      <c r="AQ273" s="207" t="str">
        <f t="shared" si="276"/>
        <v/>
      </c>
      <c r="AR273" s="207" t="str">
        <f t="shared" si="276"/>
        <v/>
      </c>
      <c r="AS273" s="207" t="str">
        <f t="shared" si="276"/>
        <v/>
      </c>
      <c r="AT273" s="207" t="str">
        <f t="shared" si="276"/>
        <v/>
      </c>
      <c r="AU273" s="207" t="str">
        <f t="shared" si="276"/>
        <v/>
      </c>
      <c r="AV273" s="128"/>
      <c r="AW273" s="243">
        <f>SUMPRODUCT(AX273:BH273,AX$32:BH$32)/1000</f>
        <v>0</v>
      </c>
      <c r="AX273" s="129"/>
      <c r="AY273" s="207" t="str">
        <f>IF(OR(AY$19="",AY$24=0,AY$31=0),"",SUM(AY264:AY269)+AY271)</f>
        <v/>
      </c>
      <c r="AZ273" s="207" t="str">
        <f t="shared" ref="AZ273:BG273" si="277">IF(OR(AZ$19="",AZ$24=0,AZ$31=0),"",SUM(AZ264:AZ269)+AZ271)</f>
        <v/>
      </c>
      <c r="BA273" s="207" t="str">
        <f t="shared" si="277"/>
        <v/>
      </c>
      <c r="BB273" s="207" t="str">
        <f t="shared" si="277"/>
        <v/>
      </c>
      <c r="BC273" s="207" t="str">
        <f t="shared" si="277"/>
        <v/>
      </c>
      <c r="BD273" s="207" t="str">
        <f t="shared" si="277"/>
        <v/>
      </c>
      <c r="BE273" s="207" t="str">
        <f t="shared" si="277"/>
        <v/>
      </c>
      <c r="BF273" s="207" t="str">
        <f t="shared" si="277"/>
        <v/>
      </c>
      <c r="BG273" s="207" t="str">
        <f t="shared" si="277"/>
        <v/>
      </c>
      <c r="BH273" s="255"/>
    </row>
    <row r="274" spans="1:60" ht="18.75" x14ac:dyDescent="0.2">
      <c r="A274" s="648"/>
      <c r="B274" s="492" t="s">
        <v>324</v>
      </c>
      <c r="C274" s="739" t="s">
        <v>104</v>
      </c>
      <c r="D274" s="747"/>
      <c r="E274" s="236" t="s">
        <v>333</v>
      </c>
      <c r="F274" s="236"/>
      <c r="G274" s="236"/>
      <c r="H274" s="89"/>
      <c r="I274" s="236"/>
      <c r="J274" s="236"/>
      <c r="K274" s="236"/>
      <c r="L274" s="236"/>
      <c r="M274" s="236"/>
      <c r="N274" s="236"/>
      <c r="O274" s="236"/>
      <c r="P274" s="236"/>
      <c r="Q274" s="236"/>
      <c r="R274" s="236"/>
      <c r="S274" s="236"/>
      <c r="T274" s="236"/>
      <c r="U274" s="236"/>
      <c r="V274" s="236"/>
      <c r="W274" s="236"/>
      <c r="X274" s="236"/>
      <c r="Y274" s="236"/>
      <c r="Z274" s="236"/>
      <c r="AA274" s="236"/>
      <c r="AB274" s="236"/>
      <c r="AC274" s="236"/>
      <c r="AD274" s="236"/>
      <c r="AE274" s="236"/>
      <c r="AF274" s="236"/>
      <c r="AG274" s="236"/>
      <c r="AH274" s="236"/>
      <c r="AI274" s="236"/>
      <c r="AJ274" s="236"/>
      <c r="AK274" s="236"/>
      <c r="AL274" s="236"/>
      <c r="AM274" s="236"/>
      <c r="AN274" s="236"/>
      <c r="AO274" s="236"/>
      <c r="AP274" s="236"/>
      <c r="AQ274" s="236"/>
      <c r="AR274" s="236"/>
      <c r="AS274" s="236"/>
      <c r="AT274" s="236"/>
      <c r="AU274" s="236"/>
      <c r="AV274" s="236"/>
      <c r="AW274" s="236"/>
      <c r="AX274" s="236"/>
      <c r="AY274" s="236"/>
      <c r="AZ274" s="236"/>
      <c r="BA274" s="236"/>
      <c r="BB274" s="236"/>
      <c r="BC274" s="236"/>
      <c r="BD274" s="236"/>
      <c r="BE274" s="236"/>
      <c r="BF274" s="236"/>
      <c r="BG274" s="236"/>
      <c r="BH274" s="38"/>
    </row>
    <row r="275" spans="1:60" x14ac:dyDescent="0.2">
      <c r="A275" s="648"/>
      <c r="B275" s="492" t="s">
        <v>324</v>
      </c>
      <c r="C275" s="656" t="s">
        <v>113</v>
      </c>
      <c r="D275" s="750" t="s">
        <v>50</v>
      </c>
      <c r="E275" s="220" t="s">
        <v>334</v>
      </c>
      <c r="F275" s="220"/>
      <c r="G275" s="220"/>
      <c r="H275" s="242" t="s">
        <v>150</v>
      </c>
      <c r="I275" s="129"/>
      <c r="J275" s="244" t="str">
        <f>IF(J$24=0,"",
IF(J262+J273=0,0,J273/(J262+J273)))</f>
        <v/>
      </c>
      <c r="K275" s="236"/>
      <c r="L275" s="236"/>
      <c r="M275" s="244" t="str">
        <f>IF(M$24=0,"",
IF(M262+M273=0,0,M273/(M262+M273)))</f>
        <v/>
      </c>
      <c r="N275" s="129"/>
      <c r="O275" s="245" t="str">
        <f t="shared" ref="O275:W275" si="278">IF(OR(O$19="",O$24=0,O$31=0),"",
IF(O262+O273=0,0,O273/(O262+O273)))</f>
        <v/>
      </c>
      <c r="P275" s="245" t="str">
        <f t="shared" si="278"/>
        <v/>
      </c>
      <c r="Q275" s="245" t="str">
        <f t="shared" si="278"/>
        <v/>
      </c>
      <c r="R275" s="245" t="str">
        <f t="shared" si="278"/>
        <v/>
      </c>
      <c r="S275" s="245" t="str">
        <f t="shared" si="278"/>
        <v/>
      </c>
      <c r="T275" s="245" t="str">
        <f t="shared" si="278"/>
        <v/>
      </c>
      <c r="U275" s="245" t="str">
        <f t="shared" si="278"/>
        <v/>
      </c>
      <c r="V275" s="245" t="str">
        <f t="shared" si="278"/>
        <v/>
      </c>
      <c r="W275" s="245" t="str">
        <f t="shared" si="278"/>
        <v/>
      </c>
      <c r="X275" s="140"/>
      <c r="Y275" s="244" t="str">
        <f>IF(Y$24=0,"",
IF(Y262+Y273=0,0,Y273/(Y262+Y273)))</f>
        <v/>
      </c>
      <c r="Z275" s="129"/>
      <c r="AA275" s="245" t="str">
        <f t="shared" ref="AA275:AI275" si="279">IF(OR(AA$19="",AA$24=0,AA$31=0),"",
IF(AA262+AA273=0,0,AA273/(AA262+AA273)))</f>
        <v/>
      </c>
      <c r="AB275" s="245" t="str">
        <f t="shared" si="279"/>
        <v/>
      </c>
      <c r="AC275" s="245" t="str">
        <f t="shared" si="279"/>
        <v/>
      </c>
      <c r="AD275" s="245" t="str">
        <f t="shared" si="279"/>
        <v/>
      </c>
      <c r="AE275" s="245" t="str">
        <f t="shared" si="279"/>
        <v/>
      </c>
      <c r="AF275" s="245" t="str">
        <f t="shared" si="279"/>
        <v/>
      </c>
      <c r="AG275" s="245" t="str">
        <f t="shared" si="279"/>
        <v/>
      </c>
      <c r="AH275" s="245" t="str">
        <f t="shared" si="279"/>
        <v/>
      </c>
      <c r="AI275" s="245" t="str">
        <f t="shared" si="279"/>
        <v/>
      </c>
      <c r="AJ275" s="140"/>
      <c r="AK275" s="244" t="str">
        <f>IF(AK$24=0,"",
IF(AK262+AK273=0,0,AK273/(AK262+AK273)))</f>
        <v/>
      </c>
      <c r="AL275" s="129"/>
      <c r="AM275" s="245" t="str">
        <f>IF(OR(AM$19="",AM$24=0,AM$31=0),"",
IF(AM262+AM273=0,0,AM273/(AM262+AM273)))</f>
        <v/>
      </c>
      <c r="AN275" s="245" t="str">
        <f t="shared" ref="AN275:AU275" si="280">IF(OR(AN$19="",AN$24=0,AN$31=0),"",
IF(AN262+AN273=0,0,AN273/(AN262+AN273)))</f>
        <v/>
      </c>
      <c r="AO275" s="245" t="str">
        <f>IF(OR(AO$19="",AO$24=0,AO$31=0),"",
IF(AO262+AO273=0,0,AO273/(AO262+AO273)))</f>
        <v/>
      </c>
      <c r="AP275" s="245" t="str">
        <f t="shared" si="280"/>
        <v/>
      </c>
      <c r="AQ275" s="245" t="str">
        <f t="shared" si="280"/>
        <v/>
      </c>
      <c r="AR275" s="245" t="str">
        <f t="shared" si="280"/>
        <v/>
      </c>
      <c r="AS275" s="245" t="str">
        <f t="shared" si="280"/>
        <v/>
      </c>
      <c r="AT275" s="245" t="str">
        <f t="shared" si="280"/>
        <v/>
      </c>
      <c r="AU275" s="245" t="str">
        <f t="shared" si="280"/>
        <v/>
      </c>
      <c r="AV275" s="140"/>
      <c r="AW275" s="244" t="str">
        <f>IF(AW$24=0,"",
IF(AW262+AW273=0,0,AW273/(AW262+AW273)))</f>
        <v/>
      </c>
      <c r="AX275" s="129"/>
      <c r="AY275" s="245" t="str">
        <f>IF(OR(AY$19="",AY$24=0,AY$31=0),"",
IF(AY262+AY273=0,0,AY273/(AY262+AY273)))</f>
        <v/>
      </c>
      <c r="AZ275" s="245" t="str">
        <f t="shared" ref="AZ275:BG275" si="281">IF(OR(AZ$19="",AZ$24=0,AZ$31=0),"",
IF(AZ262+AZ273=0,0,AZ273/(AZ262+AZ273)))</f>
        <v/>
      </c>
      <c r="BA275" s="245" t="str">
        <f t="shared" si="281"/>
        <v/>
      </c>
      <c r="BB275" s="245" t="str">
        <f t="shared" si="281"/>
        <v/>
      </c>
      <c r="BC275" s="245" t="str">
        <f t="shared" si="281"/>
        <v/>
      </c>
      <c r="BD275" s="245" t="str">
        <f t="shared" si="281"/>
        <v/>
      </c>
      <c r="BE275" s="245" t="str">
        <f t="shared" si="281"/>
        <v/>
      </c>
      <c r="BF275" s="245" t="str">
        <f t="shared" si="281"/>
        <v/>
      </c>
      <c r="BG275" s="245" t="str">
        <f t="shared" si="281"/>
        <v/>
      </c>
      <c r="BH275" s="257"/>
    </row>
    <row r="276" spans="1:60" x14ac:dyDescent="0.2">
      <c r="A276" s="648"/>
      <c r="B276" s="492" t="s">
        <v>324</v>
      </c>
      <c r="C276" s="739" t="s">
        <v>104</v>
      </c>
      <c r="D276" s="747"/>
      <c r="E276" s="90"/>
      <c r="F276" s="90"/>
      <c r="G276" s="90"/>
      <c r="H276" s="96"/>
      <c r="I276" s="90"/>
      <c r="J276" s="93"/>
      <c r="K276" s="236"/>
      <c r="L276" s="236"/>
      <c r="M276" s="93"/>
      <c r="N276" s="90"/>
      <c r="O276" s="122"/>
      <c r="P276" s="122"/>
      <c r="Q276" s="122"/>
      <c r="R276" s="122"/>
      <c r="S276" s="122"/>
      <c r="T276" s="122"/>
      <c r="U276" s="122"/>
      <c r="V276" s="122"/>
      <c r="W276" s="122"/>
      <c r="X276" s="93"/>
      <c r="Y276" s="93"/>
      <c r="Z276" s="90"/>
      <c r="AA276" s="122"/>
      <c r="AB276" s="122"/>
      <c r="AC276" s="122"/>
      <c r="AD276" s="122"/>
      <c r="AE276" s="122"/>
      <c r="AF276" s="122"/>
      <c r="AG276" s="122"/>
      <c r="AH276" s="122"/>
      <c r="AI276" s="122"/>
      <c r="AJ276" s="93"/>
      <c r="AK276" s="93"/>
      <c r="AL276" s="90"/>
      <c r="AM276" s="122"/>
      <c r="AN276" s="122"/>
      <c r="AO276" s="122"/>
      <c r="AP276" s="122"/>
      <c r="AQ276" s="122"/>
      <c r="AR276" s="122"/>
      <c r="AS276" s="122"/>
      <c r="AT276" s="122"/>
      <c r="AU276" s="122"/>
      <c r="AV276" s="93"/>
      <c r="AW276" s="93"/>
      <c r="AX276" s="90"/>
      <c r="AY276" s="122"/>
      <c r="AZ276" s="122"/>
      <c r="BA276" s="122"/>
      <c r="BB276" s="122"/>
      <c r="BC276" s="122"/>
      <c r="BD276" s="122"/>
      <c r="BE276" s="122"/>
      <c r="BF276" s="122"/>
      <c r="BG276" s="122"/>
      <c r="BH276" s="1"/>
    </row>
    <row r="277" spans="1:60" x14ac:dyDescent="0.2">
      <c r="A277" s="648"/>
      <c r="B277" s="492" t="s">
        <v>335</v>
      </c>
      <c r="C277" s="656" t="s">
        <v>104</v>
      </c>
      <c r="D277" s="747"/>
      <c r="E277" s="90"/>
      <c r="F277" s="90"/>
      <c r="G277" s="90"/>
      <c r="H277" s="96"/>
      <c r="I277" s="90"/>
      <c r="J277" s="93"/>
      <c r="K277" s="90"/>
      <c r="L277" s="90"/>
      <c r="M277" s="93"/>
      <c r="N277" s="90"/>
      <c r="O277" s="93"/>
      <c r="P277" s="93"/>
      <c r="Q277" s="93"/>
      <c r="R277" s="93"/>
      <c r="S277" s="93"/>
      <c r="T277" s="93"/>
      <c r="U277" s="93"/>
      <c r="V277" s="93"/>
      <c r="W277" s="93"/>
      <c r="X277" s="93"/>
      <c r="Y277" s="93"/>
      <c r="Z277" s="90"/>
      <c r="AA277" s="93"/>
      <c r="AB277" s="93"/>
      <c r="AC277" s="93"/>
      <c r="AD277" s="93"/>
      <c r="AE277" s="93"/>
      <c r="AF277" s="93"/>
      <c r="AG277" s="93"/>
      <c r="AH277" s="93"/>
      <c r="AI277" s="93"/>
      <c r="AJ277" s="93"/>
      <c r="AK277" s="93"/>
      <c r="AL277" s="90"/>
      <c r="AM277" s="93"/>
      <c r="AN277" s="93"/>
      <c r="AO277" s="93"/>
      <c r="AP277" s="93"/>
      <c r="AQ277" s="93"/>
      <c r="AR277" s="93"/>
      <c r="AS277" s="93"/>
      <c r="AT277" s="93"/>
      <c r="AU277" s="93"/>
      <c r="AV277" s="93"/>
      <c r="AW277" s="93"/>
      <c r="AX277" s="90"/>
      <c r="AY277" s="93"/>
      <c r="AZ277" s="93"/>
      <c r="BA277" s="93"/>
      <c r="BB277" s="93"/>
      <c r="BC277" s="93"/>
      <c r="BD277" s="93"/>
      <c r="BE277" s="93"/>
      <c r="BF277" s="93"/>
      <c r="BG277" s="93"/>
      <c r="BH277" s="1"/>
    </row>
    <row r="278" spans="1:60" s="2" customFormat="1" ht="21" x14ac:dyDescent="0.2">
      <c r="A278" s="649"/>
      <c r="B278" s="492" t="s">
        <v>335</v>
      </c>
      <c r="C278" s="739" t="s">
        <v>104</v>
      </c>
      <c r="D278" s="749" t="s">
        <v>50</v>
      </c>
      <c r="E278" s="253" t="str">
        <f>"energieprestatie indicatoren"&amp;IF($G$6=TRUE," niet correct: warmtebehoefte RV gecorrigeerd","")</f>
        <v>energieprestatie indicatoren</v>
      </c>
      <c r="F278" s="253"/>
      <c r="G278" s="253"/>
      <c r="H278" s="253"/>
      <c r="I278" s="146"/>
      <c r="J278" s="318"/>
      <c r="K278" s="142"/>
      <c r="L278" s="142"/>
      <c r="M278" s="318"/>
      <c r="N278" s="222"/>
      <c r="O278" s="320" t="str">
        <f t="shared" ref="O278:W278" si="282">O$17</f>
        <v/>
      </c>
      <c r="P278" s="320" t="str">
        <f t="shared" si="282"/>
        <v/>
      </c>
      <c r="Q278" s="320" t="str">
        <f t="shared" si="282"/>
        <v/>
      </c>
      <c r="R278" s="320" t="str">
        <f t="shared" si="282"/>
        <v/>
      </c>
      <c r="S278" s="320" t="str">
        <f t="shared" si="282"/>
        <v/>
      </c>
      <c r="T278" s="320" t="str">
        <f t="shared" si="282"/>
        <v/>
      </c>
      <c r="U278" s="320" t="str">
        <f t="shared" si="282"/>
        <v/>
      </c>
      <c r="V278" s="320" t="str">
        <f t="shared" si="282"/>
        <v/>
      </c>
      <c r="W278" s="320" t="str">
        <f t="shared" si="282"/>
        <v/>
      </c>
      <c r="X278" s="214"/>
      <c r="Y278" s="318"/>
      <c r="Z278" s="222"/>
      <c r="AA278" s="320" t="str">
        <f t="shared" ref="AA278:AI278" si="283">AA$17</f>
        <v/>
      </c>
      <c r="AB278" s="320" t="str">
        <f t="shared" si="283"/>
        <v/>
      </c>
      <c r="AC278" s="320" t="str">
        <f t="shared" si="283"/>
        <v/>
      </c>
      <c r="AD278" s="320" t="str">
        <f t="shared" si="283"/>
        <v/>
      </c>
      <c r="AE278" s="320" t="str">
        <f t="shared" si="283"/>
        <v/>
      </c>
      <c r="AF278" s="320" t="str">
        <f t="shared" si="283"/>
        <v/>
      </c>
      <c r="AG278" s="320" t="str">
        <f t="shared" si="283"/>
        <v/>
      </c>
      <c r="AH278" s="320" t="str">
        <f t="shared" si="283"/>
        <v/>
      </c>
      <c r="AI278" s="320" t="str">
        <f t="shared" si="283"/>
        <v/>
      </c>
      <c r="AJ278" s="214"/>
      <c r="AK278" s="318"/>
      <c r="AL278" s="222"/>
      <c r="AM278" s="320" t="str">
        <f>AM$17</f>
        <v/>
      </c>
      <c r="AN278" s="320" t="str">
        <f t="shared" ref="AN278:AU278" si="284">AN$17</f>
        <v/>
      </c>
      <c r="AO278" s="320" t="str">
        <f t="shared" si="284"/>
        <v/>
      </c>
      <c r="AP278" s="320" t="str">
        <f t="shared" si="284"/>
        <v/>
      </c>
      <c r="AQ278" s="320" t="str">
        <f t="shared" si="284"/>
        <v/>
      </c>
      <c r="AR278" s="320" t="str">
        <f t="shared" si="284"/>
        <v/>
      </c>
      <c r="AS278" s="320" t="str">
        <f t="shared" si="284"/>
        <v/>
      </c>
      <c r="AT278" s="320" t="str">
        <f t="shared" si="284"/>
        <v/>
      </c>
      <c r="AU278" s="320" t="str">
        <f t="shared" si="284"/>
        <v/>
      </c>
      <c r="AV278" s="214"/>
      <c r="AW278" s="318"/>
      <c r="AX278" s="222"/>
      <c r="AY278" s="320" t="str">
        <f>AY$17</f>
        <v/>
      </c>
      <c r="AZ278" s="320" t="str">
        <f t="shared" ref="AZ278:BG278" si="285">AZ$17</f>
        <v/>
      </c>
      <c r="BA278" s="320" t="str">
        <f t="shared" si="285"/>
        <v/>
      </c>
      <c r="BB278" s="320" t="str">
        <f t="shared" si="285"/>
        <v/>
      </c>
      <c r="BC278" s="320" t="str">
        <f t="shared" si="285"/>
        <v/>
      </c>
      <c r="BD278" s="320" t="str">
        <f t="shared" si="285"/>
        <v/>
      </c>
      <c r="BE278" s="320" t="str">
        <f t="shared" si="285"/>
        <v/>
      </c>
      <c r="BF278" s="320" t="str">
        <f t="shared" si="285"/>
        <v/>
      </c>
      <c r="BG278" s="320" t="str">
        <f t="shared" si="285"/>
        <v/>
      </c>
      <c r="BH278" s="1"/>
    </row>
    <row r="279" spans="1:60" ht="18.75" hidden="1" x14ac:dyDescent="0.2">
      <c r="A279" s="648"/>
      <c r="B279" s="492" t="s">
        <v>335</v>
      </c>
      <c r="C279" s="739" t="s">
        <v>309</v>
      </c>
      <c r="D279" s="750"/>
      <c r="E279" s="236" t="s">
        <v>336</v>
      </c>
      <c r="F279" s="236"/>
      <c r="G279" s="236"/>
      <c r="H279" s="89"/>
      <c r="I279" s="236"/>
      <c r="J279" s="236"/>
      <c r="K279" s="236"/>
      <c r="L279" s="236"/>
      <c r="M279" s="236"/>
      <c r="N279" s="236"/>
      <c r="O279" s="236"/>
      <c r="P279" s="236"/>
      <c r="Q279" s="236"/>
      <c r="R279" s="236"/>
      <c r="S279" s="236"/>
      <c r="T279" s="236"/>
      <c r="U279" s="236"/>
      <c r="V279" s="236"/>
      <c r="W279" s="236"/>
      <c r="X279" s="236"/>
      <c r="Y279" s="236"/>
      <c r="Z279" s="236"/>
      <c r="AA279" s="236"/>
      <c r="AB279" s="236"/>
      <c r="AC279" s="236"/>
      <c r="AD279" s="236"/>
      <c r="AE279" s="236"/>
      <c r="AF279" s="236"/>
      <c r="AG279" s="236"/>
      <c r="AH279" s="236"/>
      <c r="AI279" s="236"/>
      <c r="AJ279" s="236"/>
      <c r="AK279" s="236"/>
      <c r="AL279" s="236"/>
      <c r="AM279" s="236"/>
      <c r="AN279" s="236"/>
      <c r="AO279" s="236"/>
      <c r="AP279" s="236"/>
      <c r="AQ279" s="236"/>
      <c r="AR279" s="236"/>
      <c r="AS279" s="236"/>
      <c r="AT279" s="236"/>
      <c r="AU279" s="236"/>
      <c r="AV279" s="236"/>
      <c r="AW279" s="236"/>
      <c r="AX279" s="236"/>
      <c r="AY279" s="236"/>
      <c r="AZ279" s="236"/>
      <c r="BA279" s="236"/>
      <c r="BB279" s="236"/>
      <c r="BC279" s="236"/>
      <c r="BD279" s="236"/>
      <c r="BE279" s="236"/>
      <c r="BF279" s="236"/>
      <c r="BG279" s="236"/>
      <c r="BH279" s="38"/>
    </row>
    <row r="280" spans="1:60" hidden="1" x14ac:dyDescent="0.2">
      <c r="A280" s="648"/>
      <c r="B280" s="492" t="s">
        <v>335</v>
      </c>
      <c r="C280" s="739" t="s">
        <v>309</v>
      </c>
      <c r="D280" s="750"/>
      <c r="E280" s="246" t="s">
        <v>337</v>
      </c>
      <c r="F280" s="246"/>
      <c r="G280" s="246"/>
      <c r="H280" s="247" t="s">
        <v>70</v>
      </c>
      <c r="I280" s="248"/>
      <c r="J280" s="249"/>
      <c r="K280" s="90"/>
      <c r="L280" s="90"/>
      <c r="M280" s="249"/>
      <c r="N280" s="248"/>
      <c r="O280" s="250" t="str">
        <f t="shared" ref="O280:W280" si="286">IF(OR(O$19="",O$24=0,O$31=0),"",MATCH(O$21,BENG_gebruiksfuncties,0))</f>
        <v/>
      </c>
      <c r="P280" s="250" t="str">
        <f t="shared" si="286"/>
        <v/>
      </c>
      <c r="Q280" s="250" t="str">
        <f t="shared" si="286"/>
        <v/>
      </c>
      <c r="R280" s="250" t="str">
        <f t="shared" si="286"/>
        <v/>
      </c>
      <c r="S280" s="250" t="str">
        <f t="shared" si="286"/>
        <v/>
      </c>
      <c r="T280" s="250" t="str">
        <f t="shared" si="286"/>
        <v/>
      </c>
      <c r="U280" s="250" t="str">
        <f t="shared" si="286"/>
        <v/>
      </c>
      <c r="V280" s="250" t="str">
        <f t="shared" si="286"/>
        <v/>
      </c>
      <c r="W280" s="250" t="str">
        <f t="shared" si="286"/>
        <v/>
      </c>
      <c r="X280" s="122"/>
      <c r="Y280" s="249"/>
      <c r="Z280" s="248"/>
      <c r="AA280" s="250" t="str">
        <f t="shared" ref="AA280:AI280" si="287">IF(OR(AA$19="",AA$24=0,AA$31=0),"",MATCH(AA$21,BENG_gebruiksfuncties,0))</f>
        <v/>
      </c>
      <c r="AB280" s="250" t="str">
        <f t="shared" si="287"/>
        <v/>
      </c>
      <c r="AC280" s="250" t="str">
        <f t="shared" si="287"/>
        <v/>
      </c>
      <c r="AD280" s="250" t="str">
        <f t="shared" si="287"/>
        <v/>
      </c>
      <c r="AE280" s="250" t="str">
        <f t="shared" si="287"/>
        <v/>
      </c>
      <c r="AF280" s="250" t="str">
        <f t="shared" si="287"/>
        <v/>
      </c>
      <c r="AG280" s="250" t="str">
        <f t="shared" si="287"/>
        <v/>
      </c>
      <c r="AH280" s="250" t="str">
        <f t="shared" si="287"/>
        <v/>
      </c>
      <c r="AI280" s="250" t="str">
        <f t="shared" si="287"/>
        <v/>
      </c>
      <c r="AJ280" s="122"/>
      <c r="AK280" s="249"/>
      <c r="AL280" s="248"/>
      <c r="AM280" s="250" t="str">
        <f>IF(OR(AM$19="",AM$24=0,AM$31=0),"",MATCH(AM$21,BENG_gebruiksfuncties,0))</f>
        <v/>
      </c>
      <c r="AN280" s="250" t="str">
        <f t="shared" ref="AN280:AU280" si="288">IF(OR(AN$19="",AN$24=0,AN$31=0),"",MATCH(AN$21,BENG_gebruiksfuncties,0))</f>
        <v/>
      </c>
      <c r="AO280" s="250" t="str">
        <f t="shared" si="288"/>
        <v/>
      </c>
      <c r="AP280" s="250" t="str">
        <f t="shared" si="288"/>
        <v/>
      </c>
      <c r="AQ280" s="250" t="str">
        <f t="shared" si="288"/>
        <v/>
      </c>
      <c r="AR280" s="250" t="str">
        <f t="shared" si="288"/>
        <v/>
      </c>
      <c r="AS280" s="250" t="str">
        <f t="shared" si="288"/>
        <v/>
      </c>
      <c r="AT280" s="250" t="str">
        <f t="shared" si="288"/>
        <v/>
      </c>
      <c r="AU280" s="250" t="str">
        <f t="shared" si="288"/>
        <v/>
      </c>
      <c r="AV280" s="122"/>
      <c r="AW280" s="249"/>
      <c r="AX280" s="248"/>
      <c r="AY280" s="250" t="str">
        <f t="shared" ref="AY280:BG280" si="289">IF(OR(AY$19="",AY$24=0,AY$31=0),"",MATCH(AY$21,BENG_gebruiksfuncties,0))</f>
        <v/>
      </c>
      <c r="AZ280" s="250" t="str">
        <f t="shared" si="289"/>
        <v/>
      </c>
      <c r="BA280" s="250" t="str">
        <f t="shared" si="289"/>
        <v/>
      </c>
      <c r="BB280" s="250" t="str">
        <f t="shared" si="289"/>
        <v/>
      </c>
      <c r="BC280" s="250" t="str">
        <f t="shared" si="289"/>
        <v/>
      </c>
      <c r="BD280" s="250" t="str">
        <f t="shared" si="289"/>
        <v/>
      </c>
      <c r="BE280" s="250" t="str">
        <f t="shared" si="289"/>
        <v/>
      </c>
      <c r="BF280" s="250" t="str">
        <f t="shared" si="289"/>
        <v/>
      </c>
      <c r="BG280" s="250" t="str">
        <f t="shared" si="289"/>
        <v/>
      </c>
      <c r="BH280" s="255"/>
    </row>
    <row r="281" spans="1:60" ht="18.75" x14ac:dyDescent="0.2">
      <c r="A281" s="648"/>
      <c r="B281" s="492" t="s">
        <v>335</v>
      </c>
      <c r="C281" s="739" t="s">
        <v>104</v>
      </c>
      <c r="D281" s="749" t="s">
        <v>50</v>
      </c>
      <c r="E281" s="236" t="s">
        <v>338</v>
      </c>
      <c r="F281" s="236"/>
      <c r="G281" s="236"/>
      <c r="H281" s="89"/>
      <c r="I281" s="236"/>
      <c r="J281" s="236"/>
      <c r="K281" s="236"/>
      <c r="L281" s="236"/>
      <c r="M281" s="236"/>
      <c r="N281" s="236"/>
      <c r="O281" s="236"/>
      <c r="P281" s="236"/>
      <c r="Q281" s="236"/>
      <c r="R281" s="236"/>
      <c r="S281" s="236"/>
      <c r="T281" s="236"/>
      <c r="U281" s="236"/>
      <c r="V281" s="236"/>
      <c r="W281" s="236"/>
      <c r="X281" s="236"/>
      <c r="Y281" s="236"/>
      <c r="Z281" s="236"/>
      <c r="AA281" s="236"/>
      <c r="AB281" s="236"/>
      <c r="AC281" s="236"/>
      <c r="AD281" s="236"/>
      <c r="AE281" s="236"/>
      <c r="AF281" s="236"/>
      <c r="AG281" s="236"/>
      <c r="AH281" s="236"/>
      <c r="AI281" s="236"/>
      <c r="AJ281" s="236"/>
      <c r="AK281" s="236"/>
      <c r="AL281" s="236"/>
      <c r="AM281" s="236"/>
      <c r="AN281" s="236"/>
      <c r="AO281" s="236"/>
      <c r="AP281" s="236"/>
      <c r="AQ281" s="236"/>
      <c r="AR281" s="236"/>
      <c r="AS281" s="236"/>
      <c r="AT281" s="236"/>
      <c r="AU281" s="236"/>
      <c r="AV281" s="236"/>
      <c r="AW281" s="236"/>
      <c r="AX281" s="236"/>
      <c r="AY281" s="236"/>
      <c r="AZ281" s="236"/>
      <c r="BA281" s="236"/>
      <c r="BB281" s="236"/>
      <c r="BC281" s="236"/>
      <c r="BD281" s="236"/>
      <c r="BE281" s="236"/>
      <c r="BF281" s="236"/>
      <c r="BG281" s="236"/>
      <c r="BH281" s="38"/>
    </row>
    <row r="282" spans="1:60" x14ac:dyDescent="0.2">
      <c r="A282" s="648"/>
      <c r="B282" s="492" t="s">
        <v>335</v>
      </c>
      <c r="C282" s="656" t="s">
        <v>113</v>
      </c>
      <c r="D282" s="750"/>
      <c r="E282" s="246" t="s">
        <v>339</v>
      </c>
      <c r="F282" s="246"/>
      <c r="G282" s="246"/>
      <c r="H282" s="247" t="s">
        <v>169</v>
      </c>
      <c r="I282" s="248"/>
      <c r="J282" s="249"/>
      <c r="K282" s="90"/>
      <c r="L282" s="90"/>
      <c r="M282" s="249"/>
      <c r="N282" s="248"/>
      <c r="O282" s="251" t="str" cm="1">
        <f t="array" ref="O282">IF(OR(O$19="",O$40="",O$42="",O$280=""),"",
IF(O$34&lt;=INDEX(BENG1_eis_grenswaarde_1,O$280),
      INDEX(BENG1_eis_Als_deeldoor_Ag_kleiner_dan_grenswaarde_1,O$280),
IF(O$34&lt;=INDEX(BENG1_eis_grenswaarde_2,O$280),
      INDEX(BENG1_eis_C1,O$280) + INDEX(BENG1_eis_C2,O$280) * (O$34 - INDEX(BENG1_eis_C3,O$280) ),
      INDEX(BENG1_eis_C4,O$280)  + INDEX(BENG1_eis_C5,O$280) * (O$34 - INDEX(BENG1_eis_C6,O$280) ))))</f>
        <v/>
      </c>
      <c r="P282" s="251" t="str" cm="1">
        <f t="array" ref="P282">IF(OR(P$19="",P$40="",P$42="",P$280=""),"",
IF(P$34&lt;=INDEX(BENG1_eis_grenswaarde_1,P$280),
      INDEX(BENG1_eis_Als_deeldoor_Ag_kleiner_dan_grenswaarde_1,P$280),
IF(P$34&lt;=INDEX(BENG1_eis_grenswaarde_2,P$280),
      INDEX(BENG1_eis_C1,P$280) + INDEX(BENG1_eis_C2,P$280) * (P$34 - INDEX(BENG1_eis_C3,P$280) ),
      INDEX(BENG1_eis_C4,P$280)  + INDEX(BENG1_eis_C5,P$280) * (P$34 - INDEX(BENG1_eis_C6,P$280) ))))</f>
        <v/>
      </c>
      <c r="Q282" s="251" t="str" cm="1">
        <f t="array" ref="Q282">IF(OR(Q$19="",Q$40="",Q$42="",Q$280=""),"",
IF(Q$34&lt;=INDEX(BENG1_eis_grenswaarde_1,Q$280),
      INDEX(BENG1_eis_Als_deeldoor_Ag_kleiner_dan_grenswaarde_1,Q$280),
IF(Q$34&lt;=INDEX(BENG1_eis_grenswaarde_2,Q$280),
      INDEX(BENG1_eis_C1,Q$280) + INDEX(BENG1_eis_C2,Q$280) * (Q$34 - INDEX(BENG1_eis_C3,Q$280) ),
      INDEX(BENG1_eis_C4,Q$280)  + INDEX(BENG1_eis_C5,Q$280) * (Q$34 - INDEX(BENG1_eis_C6,Q$280) ))))</f>
        <v/>
      </c>
      <c r="R282" s="251" t="str" cm="1">
        <f t="array" ref="R282">IF(OR(R$19="",R$40="",R$42="",R$280=""),"",
IF(R$34&lt;=INDEX(BENG1_eis_grenswaarde_1,R$280),
      INDEX(BENG1_eis_Als_deeldoor_Ag_kleiner_dan_grenswaarde_1,R$280),
IF(R$34&lt;=INDEX(BENG1_eis_grenswaarde_2,R$280),
      INDEX(BENG1_eis_C1,R$280) + INDEX(BENG1_eis_C2,R$280) * (R$34 - INDEX(BENG1_eis_C3,R$280) ),
      INDEX(BENG1_eis_C4,R$280)  + INDEX(BENG1_eis_C5,R$280) * (R$34 - INDEX(BENG1_eis_C6,R$280) ))))</f>
        <v/>
      </c>
      <c r="S282" s="251" t="str" cm="1">
        <f t="array" ref="S282">IF(OR(S$19="",S$40="",S$42="",S$280=""),"",
IF(S$34&lt;=INDEX(BENG1_eis_grenswaarde_1,S$280),
      INDEX(BENG1_eis_Als_deeldoor_Ag_kleiner_dan_grenswaarde_1,S$280),
IF(S$34&lt;=INDEX(BENG1_eis_grenswaarde_2,S$280),
      INDEX(BENG1_eis_C1,S$280) + INDEX(BENG1_eis_C2,S$280) * (S$34 - INDEX(BENG1_eis_C3,S$280) ),
      INDEX(BENG1_eis_C4,S$280)  + INDEX(BENG1_eis_C5,S$280) * (S$34 - INDEX(BENG1_eis_C6,S$280) ))))</f>
        <v/>
      </c>
      <c r="T282" s="251" t="str" cm="1">
        <f t="array" ref="T282">IF(OR(T$19="",T$40="",T$42="",T$280=""),"",
IF(T$34&lt;=INDEX(BENG1_eis_grenswaarde_1,T$280),
      INDEX(BENG1_eis_Als_deeldoor_Ag_kleiner_dan_grenswaarde_1,T$280),
IF(T$34&lt;=INDEX(BENG1_eis_grenswaarde_2,T$280),
      INDEX(BENG1_eis_C1,T$280) + INDEX(BENG1_eis_C2,T$280) * (T$34 - INDEX(BENG1_eis_C3,T$280) ),
      INDEX(BENG1_eis_C4,T$280)  + INDEX(BENG1_eis_C5,T$280) * (T$34 - INDEX(BENG1_eis_C6,T$280) ))))</f>
        <v/>
      </c>
      <c r="U282" s="251" t="str" cm="1">
        <f t="array" ref="U282">IF(OR(U$19="",U$40="",U$42="",U$280=""),"",
IF(U$34&lt;=INDEX(BENG1_eis_grenswaarde_1,U$280),
      INDEX(BENG1_eis_Als_deeldoor_Ag_kleiner_dan_grenswaarde_1,U$280),
IF(U$34&lt;=INDEX(BENG1_eis_grenswaarde_2,U$280),
      INDEX(BENG1_eis_C1,U$280) + INDEX(BENG1_eis_C2,U$280) * (U$34 - INDEX(BENG1_eis_C3,U$280) ),
      INDEX(BENG1_eis_C4,U$280)  + INDEX(BENG1_eis_C5,U$280) * (U$34 - INDEX(BENG1_eis_C6,U$280) ))))</f>
        <v/>
      </c>
      <c r="V282" s="251" t="str" cm="1">
        <f t="array" ref="V282">IF(OR(V$19="",V$40="",V$42="",V$280=""),"",
IF(V$34&lt;=INDEX(BENG1_eis_grenswaarde_1,V$280),
      INDEX(BENG1_eis_Als_deeldoor_Ag_kleiner_dan_grenswaarde_1,V$280),
IF(V$34&lt;=INDEX(BENG1_eis_grenswaarde_2,V$280),
      INDEX(BENG1_eis_C1,V$280) + INDEX(BENG1_eis_C2,V$280) * (V$34 - INDEX(BENG1_eis_C3,V$280) ),
      INDEX(BENG1_eis_C4,V$280)  + INDEX(BENG1_eis_C5,V$280) * (V$34 - INDEX(BENG1_eis_C6,V$280) ))))</f>
        <v/>
      </c>
      <c r="W282" s="251" t="str" cm="1">
        <f t="array" ref="W282">IF(OR(W$19="",W$40="",W$42="",W$280=""),"",
IF(W$34&lt;=INDEX(BENG1_eis_grenswaarde_1,W$280),
      INDEX(BENG1_eis_Als_deeldoor_Ag_kleiner_dan_grenswaarde_1,W$280),
IF(W$34&lt;=INDEX(BENG1_eis_grenswaarde_2,W$280),
      INDEX(BENG1_eis_C1,W$280) + INDEX(BENG1_eis_C2,W$280) * (W$34 - INDEX(BENG1_eis_C3,W$280) ),
      INDEX(BENG1_eis_C4,W$280)  + INDEX(BENG1_eis_C5,W$280) * (W$34 - INDEX(BENG1_eis_C6,W$280) ))))</f>
        <v/>
      </c>
      <c r="X282" s="122"/>
      <c r="Y282" s="249"/>
      <c r="Z282" s="248"/>
      <c r="AA282" s="251" t="str" cm="1">
        <f t="array" ref="AA282">IF(OR(AA$19="",AA$40="",AA$42="",AA$280=""),"",
IF(AA$34&lt;=INDEX(BENG1_eis_grenswaarde_1,AA$280),
      INDEX(BENG1_eis_Als_deeldoor_Ag_kleiner_dan_grenswaarde_1,AA$280),
IF(AA$34&lt;=INDEX(BENG1_eis_grenswaarde_2,AA$280),
      INDEX(BENG1_eis_C1,AA$280) + INDEX(BENG1_eis_C2,AA$280) * (AA$34 - INDEX(BENG1_eis_C3,AA$280) ),
      INDEX(BENG1_eis_C4,AA$280)  + INDEX(BENG1_eis_C5,AA$280) * (AA$34 - INDEX(BENG1_eis_C6,AA$280) ))))</f>
        <v/>
      </c>
      <c r="AB282" s="251" t="str" cm="1">
        <f t="array" ref="AB282">IF(OR(AB$19="",AB$40="",AB$42="",AB$280=""),"",
IF(AB$34&lt;=INDEX(BENG1_eis_grenswaarde_1,AB$280),
      INDEX(BENG1_eis_Als_deeldoor_Ag_kleiner_dan_grenswaarde_1,AB$280),
IF(AB$34&lt;=INDEX(BENG1_eis_grenswaarde_2,AB$280),
      INDEX(BENG1_eis_C1,AB$280) + INDEX(BENG1_eis_C2,AB$280) * (AB$34 - INDEX(BENG1_eis_C3,AB$280) ),
      INDEX(BENG1_eis_C4,AB$280)  + INDEX(BENG1_eis_C5,AB$280) * (AB$34 - INDEX(BENG1_eis_C6,AB$280) ))))</f>
        <v/>
      </c>
      <c r="AC282" s="251" t="str" cm="1">
        <f t="array" ref="AC282">IF(OR(AC$19="",AC$40="",AC$42="",AC$280=""),"",
IF(AC$34&lt;=INDEX(BENG1_eis_grenswaarde_1,AC$280),
      INDEX(BENG1_eis_Als_deeldoor_Ag_kleiner_dan_grenswaarde_1,AC$280),
IF(AC$34&lt;=INDEX(BENG1_eis_grenswaarde_2,AC$280),
      INDEX(BENG1_eis_C1,AC$280) + INDEX(BENG1_eis_C2,AC$280) * (AC$34 - INDEX(BENG1_eis_C3,AC$280) ),
      INDEX(BENG1_eis_C4,AC$280)  + INDEX(BENG1_eis_C5,AC$280) * (AC$34 - INDEX(BENG1_eis_C6,AC$280) ))))</f>
        <v/>
      </c>
      <c r="AD282" s="251" t="str" cm="1">
        <f t="array" ref="AD282">IF(OR(AD$19="",AD$40="",AD$42="",AD$280=""),"",
IF(AD$34&lt;=INDEX(BENG1_eis_grenswaarde_1,AD$280),
      INDEX(BENG1_eis_Als_deeldoor_Ag_kleiner_dan_grenswaarde_1,AD$280),
IF(AD$34&lt;=INDEX(BENG1_eis_grenswaarde_2,AD$280),
      INDEX(BENG1_eis_C1,AD$280) + INDEX(BENG1_eis_C2,AD$280) * (AD$34 - INDEX(BENG1_eis_C3,AD$280) ),
      INDEX(BENG1_eis_C4,AD$280)  + INDEX(BENG1_eis_C5,AD$280) * (AD$34 - INDEX(BENG1_eis_C6,AD$280) ))))</f>
        <v/>
      </c>
      <c r="AE282" s="251" t="str" cm="1">
        <f t="array" ref="AE282">IF(OR(AE$19="",AE$40="",AE$42="",AE$280=""),"",
IF(AE$34&lt;=INDEX(BENG1_eis_grenswaarde_1,AE$280),
      INDEX(BENG1_eis_Als_deeldoor_Ag_kleiner_dan_grenswaarde_1,AE$280),
IF(AE$34&lt;=INDEX(BENG1_eis_grenswaarde_2,AE$280),
      INDEX(BENG1_eis_C1,AE$280) + INDEX(BENG1_eis_C2,AE$280) * (AE$34 - INDEX(BENG1_eis_C3,AE$280) ),
      INDEX(BENG1_eis_C4,AE$280)  + INDEX(BENG1_eis_C5,AE$280) * (AE$34 - INDEX(BENG1_eis_C6,AE$280) ))))</f>
        <v/>
      </c>
      <c r="AF282" s="251" t="str" cm="1">
        <f t="array" ref="AF282">IF(OR(AF$19="",AF$40="",AF$42="",AF$280=""),"",
IF(AF$34&lt;=INDEX(BENG1_eis_grenswaarde_1,AF$280),
      INDEX(BENG1_eis_Als_deeldoor_Ag_kleiner_dan_grenswaarde_1,AF$280),
IF(AF$34&lt;=INDEX(BENG1_eis_grenswaarde_2,AF$280),
      INDEX(BENG1_eis_C1,AF$280) + INDEX(BENG1_eis_C2,AF$280) * (AF$34 - INDEX(BENG1_eis_C3,AF$280) ),
      INDEX(BENG1_eis_C4,AF$280)  + INDEX(BENG1_eis_C5,AF$280) * (AF$34 - INDEX(BENG1_eis_C6,AF$280) ))))</f>
        <v/>
      </c>
      <c r="AG282" s="251" t="str" cm="1">
        <f t="array" ref="AG282">IF(OR(AG$19="",AG$40="",AG$42="",AG$280=""),"",
IF(AG$34&lt;=INDEX(BENG1_eis_grenswaarde_1,AG$280),
      INDEX(BENG1_eis_Als_deeldoor_Ag_kleiner_dan_grenswaarde_1,AG$280),
IF(AG$34&lt;=INDEX(BENG1_eis_grenswaarde_2,AG$280),
      INDEX(BENG1_eis_C1,AG$280) + INDEX(BENG1_eis_C2,AG$280) * (AG$34 - INDEX(BENG1_eis_C3,AG$280) ),
      INDEX(BENG1_eis_C4,AG$280)  + INDEX(BENG1_eis_C5,AG$280) * (AG$34 - INDEX(BENG1_eis_C6,AG$280) ))))</f>
        <v/>
      </c>
      <c r="AH282" s="251" t="str" cm="1">
        <f t="array" ref="AH282">IF(OR(AH$19="",AH$40="",AH$42="",AH$280=""),"",
IF(AH$34&lt;=INDEX(BENG1_eis_grenswaarde_1,AH$280),
      INDEX(BENG1_eis_Als_deeldoor_Ag_kleiner_dan_grenswaarde_1,AH$280),
IF(AH$34&lt;=INDEX(BENG1_eis_grenswaarde_2,AH$280),
      INDEX(BENG1_eis_C1,AH$280) + INDEX(BENG1_eis_C2,AH$280) * (AH$34 - INDEX(BENG1_eis_C3,AH$280) ),
      INDEX(BENG1_eis_C4,AH$280)  + INDEX(BENG1_eis_C5,AH$280) * (AH$34 - INDEX(BENG1_eis_C6,AH$280) ))))</f>
        <v/>
      </c>
      <c r="AI282" s="251" t="str" cm="1">
        <f t="array" ref="AI282">IF(OR(AI$19="",AI$40="",AI$42="",AI$280=""),"",
IF(AI$34&lt;=INDEX(BENG1_eis_grenswaarde_1,AI$280),
      INDEX(BENG1_eis_Als_deeldoor_Ag_kleiner_dan_grenswaarde_1,AI$280),
IF(AI$34&lt;=INDEX(BENG1_eis_grenswaarde_2,AI$280),
      INDEX(BENG1_eis_C1,AI$280) + INDEX(BENG1_eis_C2,AI$280) * (AI$34 - INDEX(BENG1_eis_C3,AI$280) ),
      INDEX(BENG1_eis_C4,AI$280)  + INDEX(BENG1_eis_C5,AI$280) * (AI$34 - INDEX(BENG1_eis_C6,AI$280) ))))</f>
        <v/>
      </c>
      <c r="AJ282" s="122"/>
      <c r="AK282" s="249"/>
      <c r="AL282" s="248"/>
      <c r="AM282" s="251" t="str" cm="1">
        <f t="array" ref="AM282">IF(OR(AM$19="",AM$40="",AM$42="",AM$280=""),"",
IF(AM$34&lt;=INDEX(BENG1_eis_grenswaarde_1,AM$280),
      INDEX(BENG1_eis_Als_deeldoor_Ag_kleiner_dan_grenswaarde_1,AM$280),
IF(AM$34&lt;=INDEX(BENG1_eis_grenswaarde_2,AM$280),
      INDEX(BENG1_eis_C1,AM$280) + INDEX(BENG1_eis_C2,AM$280) * (AM$34 - INDEX(BENG1_eis_C3,AM$280) ),
      INDEX(BENG1_eis_C4,AM$280)  + INDEX(BENG1_eis_C5,AM$280) * (AM$34 - INDEX(BENG1_eis_C6,AM$280) ))))</f>
        <v/>
      </c>
      <c r="AN282" s="251" t="str" cm="1">
        <f t="array" ref="AN282">IF(OR(AN$19="",AN$40="",AN$42="",AN$280=""),"",
IF(AN$34&lt;=INDEX(BENG1_eis_grenswaarde_1,AN$280),
      INDEX(BENG1_eis_Als_deeldoor_Ag_kleiner_dan_grenswaarde_1,AN$280),
IF(AN$34&lt;=INDEX(BENG1_eis_grenswaarde_2,AN$280),
      INDEX(BENG1_eis_C1,AN$280) + INDEX(BENG1_eis_C2,AN$280) * (AN$34 - INDEX(BENG1_eis_C3,AN$280) ),
      INDEX(BENG1_eis_C4,AN$280)  + INDEX(BENG1_eis_C5,AN$280) * (AN$34 - INDEX(BENG1_eis_C6,AN$280) ))))</f>
        <v/>
      </c>
      <c r="AO282" s="251" t="str" cm="1">
        <f t="array" ref="AO282">IF(OR(AO$19="",AO$40="",AO$42="",AO$280=""),"",
IF(AO$34&lt;=INDEX(BENG1_eis_grenswaarde_1,AO$280),
      INDEX(BENG1_eis_Als_deeldoor_Ag_kleiner_dan_grenswaarde_1,AO$280),
IF(AO$34&lt;=INDEX(BENG1_eis_grenswaarde_2,AO$280),
      INDEX(BENG1_eis_C1,AO$280) + INDEX(BENG1_eis_C2,AO$280) * (AO$34 - INDEX(BENG1_eis_C3,AO$280) ),
      INDEX(BENG1_eis_C4,AO$280)  + INDEX(BENG1_eis_C5,AO$280) * (AO$34 - INDEX(BENG1_eis_C6,AO$280) ))))</f>
        <v/>
      </c>
      <c r="AP282" s="251" t="str" cm="1">
        <f t="array" ref="AP282">IF(OR(AP$19="",AP$40="",AP$42="",AP$280=""),"",
IF(AP$34&lt;=INDEX(BENG1_eis_grenswaarde_1,AP$280),
      INDEX(BENG1_eis_Als_deeldoor_Ag_kleiner_dan_grenswaarde_1,AP$280),
IF(AP$34&lt;=INDEX(BENG1_eis_grenswaarde_2,AP$280),
      INDEX(BENG1_eis_C1,AP$280) + INDEX(BENG1_eis_C2,AP$280) * (AP$34 - INDEX(BENG1_eis_C3,AP$280) ),
      INDEX(BENG1_eis_C4,AP$280)  + INDEX(BENG1_eis_C5,AP$280) * (AP$34 - INDEX(BENG1_eis_C6,AP$280) ))))</f>
        <v/>
      </c>
      <c r="AQ282" s="251" t="str" cm="1">
        <f t="array" ref="AQ282">IF(OR(AQ$19="",AQ$40="",AQ$42="",AQ$280=""),"",
IF(AQ$34&lt;=INDEX(BENG1_eis_grenswaarde_1,AQ$280),
      INDEX(BENG1_eis_Als_deeldoor_Ag_kleiner_dan_grenswaarde_1,AQ$280),
IF(AQ$34&lt;=INDEX(BENG1_eis_grenswaarde_2,AQ$280),
      INDEX(BENG1_eis_C1,AQ$280) + INDEX(BENG1_eis_C2,AQ$280) * (AQ$34 - INDEX(BENG1_eis_C3,AQ$280) ),
      INDEX(BENG1_eis_C4,AQ$280)  + INDEX(BENG1_eis_C5,AQ$280) * (AQ$34 - INDEX(BENG1_eis_C6,AQ$280) ))))</f>
        <v/>
      </c>
      <c r="AR282" s="251" t="str" cm="1">
        <f t="array" ref="AR282">IF(OR(AR$19="",AR$40="",AR$42="",AR$280=""),"",
IF(AR$34&lt;=INDEX(BENG1_eis_grenswaarde_1,AR$280),
      INDEX(BENG1_eis_Als_deeldoor_Ag_kleiner_dan_grenswaarde_1,AR$280),
IF(AR$34&lt;=INDEX(BENG1_eis_grenswaarde_2,AR$280),
      INDEX(BENG1_eis_C1,AR$280) + INDEX(BENG1_eis_C2,AR$280) * (AR$34 - INDEX(BENG1_eis_C3,AR$280) ),
      INDEX(BENG1_eis_C4,AR$280)  + INDEX(BENG1_eis_C5,AR$280) * (AR$34 - INDEX(BENG1_eis_C6,AR$280) ))))</f>
        <v/>
      </c>
      <c r="AS282" s="251" t="str" cm="1">
        <f t="array" ref="AS282">IF(OR(AS$19="",AS$40="",AS$42="",AS$280=""),"",
IF(AS$34&lt;=INDEX(BENG1_eis_grenswaarde_1,AS$280),
      INDEX(BENG1_eis_Als_deeldoor_Ag_kleiner_dan_grenswaarde_1,AS$280),
IF(AS$34&lt;=INDEX(BENG1_eis_grenswaarde_2,AS$280),
      INDEX(BENG1_eis_C1,AS$280) + INDEX(BENG1_eis_C2,AS$280) * (AS$34 - INDEX(BENG1_eis_C3,AS$280) ),
      INDEX(BENG1_eis_C4,AS$280)  + INDEX(BENG1_eis_C5,AS$280) * (AS$34 - INDEX(BENG1_eis_C6,AS$280) ))))</f>
        <v/>
      </c>
      <c r="AT282" s="251" t="str" cm="1">
        <f t="array" ref="AT282">IF(OR(AT$19="",AT$40="",AT$42="",AT$280=""),"",
IF(AT$34&lt;=INDEX(BENG1_eis_grenswaarde_1,AT$280),
      INDEX(BENG1_eis_Als_deeldoor_Ag_kleiner_dan_grenswaarde_1,AT$280),
IF(AT$34&lt;=INDEX(BENG1_eis_grenswaarde_2,AT$280),
      INDEX(BENG1_eis_C1,AT$280) + INDEX(BENG1_eis_C2,AT$280) * (AT$34 - INDEX(BENG1_eis_C3,AT$280) ),
      INDEX(BENG1_eis_C4,AT$280)  + INDEX(BENG1_eis_C5,AT$280) * (AT$34 - INDEX(BENG1_eis_C6,AT$280) ))))</f>
        <v/>
      </c>
      <c r="AU282" s="251" t="str" cm="1">
        <f t="array" ref="AU282">IF(OR(AU$19="",AU$40="",AU$42="",AU$280=""),"",
IF(AU$34&lt;=INDEX(BENG1_eis_grenswaarde_1,AU$280),
      INDEX(BENG1_eis_Als_deeldoor_Ag_kleiner_dan_grenswaarde_1,AU$280),
IF(AU$34&lt;=INDEX(BENG1_eis_grenswaarde_2,AU$280),
      INDEX(BENG1_eis_C1,AU$280) + INDEX(BENG1_eis_C2,AU$280) * (AU$34 - INDEX(BENG1_eis_C3,AU$280) ),
      INDEX(BENG1_eis_C4,AU$280)  + INDEX(BENG1_eis_C5,AU$280) * (AU$34 - INDEX(BENG1_eis_C6,AU$280) ))))</f>
        <v/>
      </c>
      <c r="AV282" s="122"/>
      <c r="AW282" s="249"/>
      <c r="AX282" s="248"/>
      <c r="AY282" s="251" t="str" cm="1">
        <f t="array" ref="AY282">IF(OR(AY$19="",AY$40="",AY$42="",AY$280=""),"",
IF(AY$34&lt;=INDEX(BENG1_eis_grenswaarde_1,AY$280),
      INDEX(BENG1_eis_Als_deeldoor_Ag_kleiner_dan_grenswaarde_1,AY$280),
IF(AY$34&lt;=INDEX(BENG1_eis_grenswaarde_2,AY$280),
      INDEX(BENG1_eis_C1,AY$280) + INDEX(BENG1_eis_C2,AY$280) * (AY$34 - INDEX(BENG1_eis_C3,AY$280) ),
      INDEX(BENG1_eis_C4,AY$280)  + INDEX(BENG1_eis_C5,AY$280) * (AY$34 - INDEX(BENG1_eis_C6,AY$280) ))))</f>
        <v/>
      </c>
      <c r="AZ282" s="251" t="str" cm="1">
        <f t="array" ref="AZ282">IF(OR(AZ$19="",AZ$40="",AZ$42="",AZ$280=""),"",
IF(AZ$34&lt;=INDEX(BENG1_eis_grenswaarde_1,AZ$280),
      INDEX(BENG1_eis_Als_deeldoor_Ag_kleiner_dan_grenswaarde_1,AZ$280),
IF(AZ$34&lt;=INDEX(BENG1_eis_grenswaarde_2,AZ$280),
      INDEX(BENG1_eis_C1,AZ$280) + INDEX(BENG1_eis_C2,AZ$280) * (AZ$34 - INDEX(BENG1_eis_C3,AZ$280) ),
      INDEX(BENG1_eis_C4,AZ$280)  + INDEX(BENG1_eis_C5,AZ$280) * (AZ$34 - INDEX(BENG1_eis_C6,AZ$280) ))))</f>
        <v/>
      </c>
      <c r="BA282" s="251" t="str" cm="1">
        <f t="array" ref="BA282">IF(OR(BA$19="",BA$40="",BA$42="",BA$280=""),"",
IF(BA$34&lt;=INDEX(BENG1_eis_grenswaarde_1,BA$280),
      INDEX(BENG1_eis_Als_deeldoor_Ag_kleiner_dan_grenswaarde_1,BA$280),
IF(BA$34&lt;=INDEX(BENG1_eis_grenswaarde_2,BA$280),
      INDEX(BENG1_eis_C1,BA$280) + INDEX(BENG1_eis_C2,BA$280) * (BA$34 - INDEX(BENG1_eis_C3,BA$280) ),
      INDEX(BENG1_eis_C4,BA$280)  + INDEX(BENG1_eis_C5,BA$280) * (BA$34 - INDEX(BENG1_eis_C6,BA$280) ))))</f>
        <v/>
      </c>
      <c r="BB282" s="251" t="str" cm="1">
        <f t="array" ref="BB282">IF(OR(BB$19="",BB$40="",BB$42="",BB$280=""),"",
IF(BB$34&lt;=INDEX(BENG1_eis_grenswaarde_1,BB$280),
      INDEX(BENG1_eis_Als_deeldoor_Ag_kleiner_dan_grenswaarde_1,BB$280),
IF(BB$34&lt;=INDEX(BENG1_eis_grenswaarde_2,BB$280),
      INDEX(BENG1_eis_C1,BB$280) + INDEX(BENG1_eis_C2,BB$280) * (BB$34 - INDEX(BENG1_eis_C3,BB$280) ),
      INDEX(BENG1_eis_C4,BB$280)  + INDEX(BENG1_eis_C5,BB$280) * (BB$34 - INDEX(BENG1_eis_C6,BB$280) ))))</f>
        <v/>
      </c>
      <c r="BC282" s="251" t="str" cm="1">
        <f t="array" ref="BC282">IF(OR(BC$19="",BC$40="",BC$42="",BC$280=""),"",
IF(BC$34&lt;=INDEX(BENG1_eis_grenswaarde_1,BC$280),
      INDEX(BENG1_eis_Als_deeldoor_Ag_kleiner_dan_grenswaarde_1,BC$280),
IF(BC$34&lt;=INDEX(BENG1_eis_grenswaarde_2,BC$280),
      INDEX(BENG1_eis_C1,BC$280) + INDEX(BENG1_eis_C2,BC$280) * (BC$34 - INDEX(BENG1_eis_C3,BC$280) ),
      INDEX(BENG1_eis_C4,BC$280)  + INDEX(BENG1_eis_C5,BC$280) * (BC$34 - INDEX(BENG1_eis_C6,BC$280) ))))</f>
        <v/>
      </c>
      <c r="BD282" s="251" t="str" cm="1">
        <f t="array" ref="BD282">IF(OR(BD$19="",BD$40="",BD$42="",BD$280=""),"",
IF(BD$34&lt;=INDEX(BENG1_eis_grenswaarde_1,BD$280),
      INDEX(BENG1_eis_Als_deeldoor_Ag_kleiner_dan_grenswaarde_1,BD$280),
IF(BD$34&lt;=INDEX(BENG1_eis_grenswaarde_2,BD$280),
      INDEX(BENG1_eis_C1,BD$280) + INDEX(BENG1_eis_C2,BD$280) * (BD$34 - INDEX(BENG1_eis_C3,BD$280) ),
      INDEX(BENG1_eis_C4,BD$280)  + INDEX(BENG1_eis_C5,BD$280) * (BD$34 - INDEX(BENG1_eis_C6,BD$280) ))))</f>
        <v/>
      </c>
      <c r="BE282" s="251" t="str" cm="1">
        <f t="array" ref="BE282">IF(OR(BE$19="",BE$40="",BE$42="",BE$280=""),"",
IF(BE$34&lt;=INDEX(BENG1_eis_grenswaarde_1,BE$280),
      INDEX(BENG1_eis_Als_deeldoor_Ag_kleiner_dan_grenswaarde_1,BE$280),
IF(BE$34&lt;=INDEX(BENG1_eis_grenswaarde_2,BE$280),
      INDEX(BENG1_eis_C1,BE$280) + INDEX(BENG1_eis_C2,BE$280) * (BE$34 - INDEX(BENG1_eis_C3,BE$280) ),
      INDEX(BENG1_eis_C4,BE$280)  + INDEX(BENG1_eis_C5,BE$280) * (BE$34 - INDEX(BENG1_eis_C6,BE$280) ))))</f>
        <v/>
      </c>
      <c r="BF282" s="251" t="str" cm="1">
        <f t="array" ref="BF282">IF(OR(BF$19="",BF$40="",BF$42="",BF$280=""),"",
IF(BF$34&lt;=INDEX(BENG1_eis_grenswaarde_1,BF$280),
      INDEX(BENG1_eis_Als_deeldoor_Ag_kleiner_dan_grenswaarde_1,BF$280),
IF(BF$34&lt;=INDEX(BENG1_eis_grenswaarde_2,BF$280),
      INDEX(BENG1_eis_C1,BF$280) + INDEX(BENG1_eis_C2,BF$280) * (BF$34 - INDEX(BENG1_eis_C3,BF$280) ),
      INDEX(BENG1_eis_C4,BF$280)  + INDEX(BENG1_eis_C5,BF$280) * (BF$34 - INDEX(BENG1_eis_C6,BF$280) ))))</f>
        <v/>
      </c>
      <c r="BG282" s="251" t="str" cm="1">
        <f t="array" ref="BG282">IF(OR(BG$19="",BG$40="",BG$42="",BG$280=""),"",
IF(BG$34&lt;=INDEX(BENG1_eis_grenswaarde_1,BG$280),
      INDEX(BENG1_eis_Als_deeldoor_Ag_kleiner_dan_grenswaarde_1,BG$280),
IF(BG$34&lt;=INDEX(BENG1_eis_grenswaarde_2,BG$280),
      INDEX(BENG1_eis_C1,BG$280) + INDEX(BENG1_eis_C2,BG$280) * (BG$34 - INDEX(BENG1_eis_C3,BG$280) ),
      INDEX(BENG1_eis_C4,BG$280)  + INDEX(BENG1_eis_C5,BG$280) * (BG$34 - INDEX(BENG1_eis_C6,BG$280) ))))</f>
        <v/>
      </c>
      <c r="BH282" s="255"/>
    </row>
    <row r="283" spans="1:60" x14ac:dyDescent="0.2">
      <c r="A283" s="648"/>
      <c r="B283" s="492" t="s">
        <v>335</v>
      </c>
      <c r="C283" s="656" t="s">
        <v>113</v>
      </c>
      <c r="D283" s="750"/>
      <c r="E283" s="246" t="s">
        <v>340</v>
      </c>
      <c r="F283" s="246"/>
      <c r="G283" s="246"/>
      <c r="H283" s="247" t="s">
        <v>317</v>
      </c>
      <c r="I283" s="248"/>
      <c r="J283" s="249"/>
      <c r="K283" s="90"/>
      <c r="L283" s="90"/>
      <c r="M283" s="249"/>
      <c r="N283" s="248"/>
      <c r="O283" s="251" t="str" cm="1">
        <f t="array" ref="O283">IF(O$280="","",INDEX(BENG2_eis,O$280))</f>
        <v/>
      </c>
      <c r="P283" s="251" t="str" cm="1">
        <f t="array" ref="P283">IF(P$280="","",INDEX(BENG2_eis,P$280))</f>
        <v/>
      </c>
      <c r="Q283" s="251" t="str" cm="1">
        <f t="array" ref="Q283">IF(Q$280="","",INDEX(BENG2_eis,Q$280))</f>
        <v/>
      </c>
      <c r="R283" s="251" t="str" cm="1">
        <f t="array" ref="R283">IF(R$280="","",INDEX(BENG2_eis,R$280))</f>
        <v/>
      </c>
      <c r="S283" s="251" t="str" cm="1">
        <f t="array" ref="S283">IF(S$280="","",INDEX(BENG2_eis,S$280))</f>
        <v/>
      </c>
      <c r="T283" s="251" t="str" cm="1">
        <f t="array" ref="T283">IF(T$280="","",INDEX(BENG2_eis,T$280))</f>
        <v/>
      </c>
      <c r="U283" s="251" t="str" cm="1">
        <f t="array" ref="U283">IF(U$280="","",INDEX(BENG2_eis,U$280))</f>
        <v/>
      </c>
      <c r="V283" s="251" t="str" cm="1">
        <f t="array" ref="V283">IF(V$280="","",INDEX(BENG2_eis,V$280))</f>
        <v/>
      </c>
      <c r="W283" s="251" t="str" cm="1">
        <f t="array" ref="W283">IF(W$280="","",INDEX(BENG2_eis,W$280))</f>
        <v/>
      </c>
      <c r="X283" s="122"/>
      <c r="Y283" s="249"/>
      <c r="Z283" s="248"/>
      <c r="AA283" s="251" t="str" cm="1">
        <f t="array" ref="AA283">IF(AA$280="","",INDEX(BENG2_eis,AA$280))</f>
        <v/>
      </c>
      <c r="AB283" s="251" t="str" cm="1">
        <f t="array" ref="AB283">IF(AB$280="","",INDEX(BENG2_eis,AB$280))</f>
        <v/>
      </c>
      <c r="AC283" s="251" t="str" cm="1">
        <f t="array" ref="AC283">IF(AC$280="","",INDEX(BENG2_eis,AC$280))</f>
        <v/>
      </c>
      <c r="AD283" s="251" t="str" cm="1">
        <f t="array" ref="AD283">IF(AD$280="","",INDEX(BENG2_eis,AD$280))</f>
        <v/>
      </c>
      <c r="AE283" s="251" t="str" cm="1">
        <f t="array" ref="AE283">IF(AE$280="","",INDEX(BENG2_eis,AE$280))</f>
        <v/>
      </c>
      <c r="AF283" s="251" t="str" cm="1">
        <f t="array" ref="AF283">IF(AF$280="","",INDEX(BENG2_eis,AF$280))</f>
        <v/>
      </c>
      <c r="AG283" s="251" t="str" cm="1">
        <f t="array" ref="AG283">IF(AG$280="","",INDEX(BENG2_eis,AG$280))</f>
        <v/>
      </c>
      <c r="AH283" s="251" t="str" cm="1">
        <f t="array" ref="AH283">IF(AH$280="","",INDEX(BENG2_eis,AH$280))</f>
        <v/>
      </c>
      <c r="AI283" s="251" t="str" cm="1">
        <f t="array" ref="AI283">IF(AI$280="","",INDEX(BENG2_eis,AI$280))</f>
        <v/>
      </c>
      <c r="AJ283" s="122"/>
      <c r="AK283" s="249"/>
      <c r="AL283" s="248"/>
      <c r="AM283" s="251" t="str" cm="1">
        <f t="array" ref="AM283">IF(AM$280="","",INDEX(BENG2_eis,AM$280))</f>
        <v/>
      </c>
      <c r="AN283" s="251" t="str" cm="1">
        <f t="array" ref="AN283">IF(AN$280="","",INDEX(BENG2_eis,AN$280))</f>
        <v/>
      </c>
      <c r="AO283" s="251" t="str" cm="1">
        <f t="array" ref="AO283">IF(AO$280="","",INDEX(BENG2_eis,AO$280))</f>
        <v/>
      </c>
      <c r="AP283" s="251" t="str" cm="1">
        <f t="array" ref="AP283">IF(AP$280="","",INDEX(BENG2_eis,AP$280))</f>
        <v/>
      </c>
      <c r="AQ283" s="251" t="str" cm="1">
        <f t="array" ref="AQ283">IF(AQ$280="","",INDEX(BENG2_eis,AQ$280))</f>
        <v/>
      </c>
      <c r="AR283" s="251" t="str" cm="1">
        <f t="array" ref="AR283">IF(AR$280="","",INDEX(BENG2_eis,AR$280))</f>
        <v/>
      </c>
      <c r="AS283" s="251" t="str" cm="1">
        <f t="array" ref="AS283">IF(AS$280="","",INDEX(BENG2_eis,AS$280))</f>
        <v/>
      </c>
      <c r="AT283" s="251" t="str" cm="1">
        <f t="array" ref="AT283">IF(AT$280="","",INDEX(BENG2_eis,AT$280))</f>
        <v/>
      </c>
      <c r="AU283" s="251" t="str" cm="1">
        <f t="array" ref="AU283">IF(AU$280="","",INDEX(BENG2_eis,AU$280))</f>
        <v/>
      </c>
      <c r="AV283" s="122"/>
      <c r="AW283" s="249"/>
      <c r="AX283" s="248"/>
      <c r="AY283" s="251" t="str" cm="1">
        <f t="array" ref="AY283">IF(AY$280="","",INDEX(BENG2_eis,AY$280))</f>
        <v/>
      </c>
      <c r="AZ283" s="251" t="str" cm="1">
        <f t="array" ref="AZ283">IF(AZ$280="","",INDEX(BENG2_eis,AZ$280))</f>
        <v/>
      </c>
      <c r="BA283" s="251" t="str" cm="1">
        <f t="array" ref="BA283">IF(BA$280="","",INDEX(BENG2_eis,BA$280))</f>
        <v/>
      </c>
      <c r="BB283" s="251" t="str" cm="1">
        <f t="array" ref="BB283">IF(BB$280="","",INDEX(BENG2_eis,BB$280))</f>
        <v/>
      </c>
      <c r="BC283" s="251" t="str" cm="1">
        <f t="array" ref="BC283">IF(BC$280="","",INDEX(BENG2_eis,BC$280))</f>
        <v/>
      </c>
      <c r="BD283" s="251" t="str" cm="1">
        <f t="array" ref="BD283">IF(BD$280="","",INDEX(BENG2_eis,BD$280))</f>
        <v/>
      </c>
      <c r="BE283" s="251" t="str" cm="1">
        <f t="array" ref="BE283">IF(BE$280="","",INDEX(BENG2_eis,BE$280))</f>
        <v/>
      </c>
      <c r="BF283" s="251" t="str" cm="1">
        <f t="array" ref="BF283">IF(BF$280="","",INDEX(BENG2_eis,BF$280))</f>
        <v/>
      </c>
      <c r="BG283" s="251" t="str" cm="1">
        <f t="array" ref="BG283">IF(BG$280="","",INDEX(BENG2_eis,BG$280))</f>
        <v/>
      </c>
      <c r="BH283" s="255"/>
    </row>
    <row r="284" spans="1:60" x14ac:dyDescent="0.2">
      <c r="A284" s="648"/>
      <c r="B284" s="492" t="s">
        <v>335</v>
      </c>
      <c r="C284" s="656" t="s">
        <v>113</v>
      </c>
      <c r="D284" s="750"/>
      <c r="E284" s="246" t="s">
        <v>341</v>
      </c>
      <c r="F284" s="246"/>
      <c r="G284" s="246"/>
      <c r="H284" s="247" t="s">
        <v>150</v>
      </c>
      <c r="I284" s="248"/>
      <c r="J284" s="249"/>
      <c r="K284" s="90"/>
      <c r="L284" s="90"/>
      <c r="M284" s="249"/>
      <c r="N284" s="248"/>
      <c r="O284" s="252" t="str" cm="1">
        <f t="array" ref="O284">IF(O$280="","",INDEX(BENG3_eis,O$280))</f>
        <v/>
      </c>
      <c r="P284" s="252" t="str" cm="1">
        <f t="array" ref="P284">IF(P$280="","",INDEX(BENG3_eis,P$280))</f>
        <v/>
      </c>
      <c r="Q284" s="252" t="str" cm="1">
        <f t="array" ref="Q284">IF(Q$280="","",INDEX(BENG3_eis,Q$280))</f>
        <v/>
      </c>
      <c r="R284" s="252" t="str" cm="1">
        <f t="array" ref="R284">IF(R$280="","",INDEX(BENG3_eis,R$280))</f>
        <v/>
      </c>
      <c r="S284" s="252" t="str" cm="1">
        <f t="array" ref="S284">IF(S$280="","",INDEX(BENG3_eis,S$280))</f>
        <v/>
      </c>
      <c r="T284" s="252" t="str" cm="1">
        <f t="array" ref="T284">IF(T$280="","",INDEX(BENG3_eis,T$280))</f>
        <v/>
      </c>
      <c r="U284" s="252" t="str" cm="1">
        <f t="array" ref="U284">IF(U$280="","",INDEX(BENG3_eis,U$280))</f>
        <v/>
      </c>
      <c r="V284" s="252" t="str" cm="1">
        <f t="array" ref="V284">IF(V$280="","",INDEX(BENG3_eis,V$280))</f>
        <v/>
      </c>
      <c r="W284" s="252" t="str" cm="1">
        <f t="array" ref="W284">IF(W$280="","",INDEX(BENG3_eis,W$280))</f>
        <v/>
      </c>
      <c r="X284" s="122"/>
      <c r="Y284" s="249"/>
      <c r="Z284" s="248"/>
      <c r="AA284" s="252" t="str" cm="1">
        <f t="array" ref="AA284">IF(AA$280="","",INDEX(BENG3_eis,AA$280))</f>
        <v/>
      </c>
      <c r="AB284" s="252" t="str" cm="1">
        <f t="array" ref="AB284">IF(AB$280="","",INDEX(BENG3_eis,AB$280))</f>
        <v/>
      </c>
      <c r="AC284" s="252" t="str" cm="1">
        <f t="array" ref="AC284">IF(AC$280="","",INDEX(BENG3_eis,AC$280))</f>
        <v/>
      </c>
      <c r="AD284" s="252" t="str" cm="1">
        <f t="array" ref="AD284">IF(AD$280="","",INDEX(BENG3_eis,AD$280))</f>
        <v/>
      </c>
      <c r="AE284" s="252" t="str" cm="1">
        <f t="array" ref="AE284">IF(AE$280="","",INDEX(BENG3_eis,AE$280))</f>
        <v/>
      </c>
      <c r="AF284" s="252" t="str" cm="1">
        <f t="array" ref="AF284">IF(AF$280="","",INDEX(BENG3_eis,AF$280))</f>
        <v/>
      </c>
      <c r="AG284" s="252" t="str" cm="1">
        <f t="array" ref="AG284">IF(AG$280="","",INDEX(BENG3_eis,AG$280))</f>
        <v/>
      </c>
      <c r="AH284" s="252" t="str" cm="1">
        <f t="array" ref="AH284">IF(AH$280="","",INDEX(BENG3_eis,AH$280))</f>
        <v/>
      </c>
      <c r="AI284" s="252" t="str" cm="1">
        <f t="array" ref="AI284">IF(AI$280="","",INDEX(BENG3_eis,AI$280))</f>
        <v/>
      </c>
      <c r="AJ284" s="122"/>
      <c r="AK284" s="249"/>
      <c r="AL284" s="248"/>
      <c r="AM284" s="252" t="str" cm="1">
        <f t="array" ref="AM284">IF(AM$280="","",INDEX(BENG3_eis,AM$280))</f>
        <v/>
      </c>
      <c r="AN284" s="252" t="str" cm="1">
        <f t="array" ref="AN284">IF(AN$280="","",INDEX(BENG3_eis,AN$280))</f>
        <v/>
      </c>
      <c r="AO284" s="252" t="str" cm="1">
        <f t="array" ref="AO284">IF(AO$280="","",INDEX(BENG3_eis,AO$280))</f>
        <v/>
      </c>
      <c r="AP284" s="252" t="str" cm="1">
        <f t="array" ref="AP284">IF(AP$280="","",INDEX(BENG3_eis,AP$280))</f>
        <v/>
      </c>
      <c r="AQ284" s="252" t="str" cm="1">
        <f t="array" ref="AQ284">IF(AQ$280="","",INDEX(BENG3_eis,AQ$280))</f>
        <v/>
      </c>
      <c r="AR284" s="252" t="str" cm="1">
        <f t="array" ref="AR284">IF(AR$280="","",INDEX(BENG3_eis,AR$280))</f>
        <v/>
      </c>
      <c r="AS284" s="252" t="str" cm="1">
        <f t="array" ref="AS284">IF(AS$280="","",INDEX(BENG3_eis,AS$280))</f>
        <v/>
      </c>
      <c r="AT284" s="252" t="str" cm="1">
        <f t="array" ref="AT284">IF(AT$280="","",INDEX(BENG3_eis,AT$280))</f>
        <v/>
      </c>
      <c r="AU284" s="252" t="str" cm="1">
        <f t="array" ref="AU284">IF(AU$280="","",INDEX(BENG3_eis,AU$280))</f>
        <v/>
      </c>
      <c r="AV284" s="122"/>
      <c r="AW284" s="249"/>
      <c r="AX284" s="248"/>
      <c r="AY284" s="252" t="str" cm="1">
        <f t="array" ref="AY284">IF(AY$280="","",INDEX(BENG3_eis,AY$280))</f>
        <v/>
      </c>
      <c r="AZ284" s="252" t="str" cm="1">
        <f t="array" ref="AZ284">IF(AZ$280="","",INDEX(BENG3_eis,AZ$280))</f>
        <v/>
      </c>
      <c r="BA284" s="252" t="str" cm="1">
        <f t="array" ref="BA284">IF(BA$280="","",INDEX(BENG3_eis,BA$280))</f>
        <v/>
      </c>
      <c r="BB284" s="252" t="str" cm="1">
        <f t="array" ref="BB284">IF(BB$280="","",INDEX(BENG3_eis,BB$280))</f>
        <v/>
      </c>
      <c r="BC284" s="252" t="str" cm="1">
        <f t="array" ref="BC284">IF(BC$280="","",INDEX(BENG3_eis,BC$280))</f>
        <v/>
      </c>
      <c r="BD284" s="252" t="str" cm="1">
        <f t="array" ref="BD284">IF(BD$280="","",INDEX(BENG3_eis,BD$280))</f>
        <v/>
      </c>
      <c r="BE284" s="252" t="str" cm="1">
        <f t="array" ref="BE284">IF(BE$280="","",INDEX(BENG3_eis,BE$280))</f>
        <v/>
      </c>
      <c r="BF284" s="252" t="str" cm="1">
        <f t="array" ref="BF284">IF(BF$280="","",INDEX(BENG3_eis,BF$280))</f>
        <v/>
      </c>
      <c r="BG284" s="252" t="str" cm="1">
        <f t="array" ref="BG284">IF(BG$280="","",INDEX(BENG3_eis,BG$280))</f>
        <v/>
      </c>
      <c r="BH284" s="255"/>
    </row>
    <row r="285" spans="1:60" ht="18.75" x14ac:dyDescent="0.2">
      <c r="A285" s="648"/>
      <c r="B285" s="492" t="s">
        <v>335</v>
      </c>
      <c r="C285" s="739" t="s">
        <v>104</v>
      </c>
      <c r="D285" s="749" t="s">
        <v>50</v>
      </c>
      <c r="E285" s="236" t="s">
        <v>342</v>
      </c>
      <c r="F285" s="236"/>
      <c r="G285" s="236"/>
      <c r="H285" s="89"/>
      <c r="I285" s="236"/>
      <c r="J285" s="236"/>
      <c r="K285" s="236"/>
      <c r="L285" s="236"/>
      <c r="M285" s="236"/>
      <c r="N285" s="236"/>
      <c r="O285" s="236"/>
      <c r="P285" s="236"/>
      <c r="Q285" s="236"/>
      <c r="R285" s="236"/>
      <c r="S285" s="236"/>
      <c r="T285" s="236"/>
      <c r="U285" s="236"/>
      <c r="V285" s="236"/>
      <c r="W285" s="236"/>
      <c r="X285" s="236"/>
      <c r="Y285" s="236"/>
      <c r="Z285" s="236"/>
      <c r="AA285" s="236"/>
      <c r="AB285" s="236"/>
      <c r="AC285" s="236"/>
      <c r="AD285" s="236"/>
      <c r="AE285" s="236"/>
      <c r="AF285" s="236"/>
      <c r="AG285" s="236"/>
      <c r="AH285" s="236"/>
      <c r="AI285" s="236"/>
      <c r="AJ285" s="236"/>
      <c r="AK285" s="236"/>
      <c r="AL285" s="236"/>
      <c r="AM285" s="236"/>
      <c r="AN285" s="236"/>
      <c r="AO285" s="236"/>
      <c r="AP285" s="236"/>
      <c r="AQ285" s="236"/>
      <c r="AR285" s="236"/>
      <c r="AS285" s="236"/>
      <c r="AT285" s="236"/>
      <c r="AU285" s="236"/>
      <c r="AV285" s="236"/>
      <c r="AW285" s="236"/>
      <c r="AX285" s="236"/>
      <c r="AY285" s="236"/>
      <c r="AZ285" s="236"/>
      <c r="BA285" s="236"/>
      <c r="BB285" s="236"/>
      <c r="BC285" s="236"/>
      <c r="BD285" s="236"/>
      <c r="BE285" s="236"/>
      <c r="BF285" s="236"/>
      <c r="BG285" s="236"/>
      <c r="BH285" s="38"/>
    </row>
    <row r="286" spans="1:60" x14ac:dyDescent="0.2">
      <c r="A286" s="648"/>
      <c r="B286" s="492" t="s">
        <v>335</v>
      </c>
      <c r="C286" s="656" t="s">
        <v>113</v>
      </c>
      <c r="D286" s="749" t="s">
        <v>50</v>
      </c>
      <c r="E286" s="246" t="s">
        <v>343</v>
      </c>
      <c r="F286" s="246"/>
      <c r="G286" s="246"/>
      <c r="H286" s="247" t="s">
        <v>169</v>
      </c>
      <c r="I286" s="248"/>
      <c r="J286" s="249"/>
      <c r="K286" s="90"/>
      <c r="L286" s="90"/>
      <c r="M286" s="249"/>
      <c r="N286" s="248"/>
      <c r="O286" s="302" t="str" cm="1">
        <f t="array" ref="O286">IF(OR(O$19="",O$24=0,O$31=0),"",
      INDEX(warmtebehoefte_plus_koudebehoefte_ventsysC1_EP1_snijpunt,O$280)
   + INDEX(warmtebehoefte_plus_koudebehoefte_ventsysC1_EP1_C,O$280)*O$52*O$34^INDEX(warmtebehoefte_plus_koudebehoefte_ventsysC1_EP1_n,O$280))</f>
        <v/>
      </c>
      <c r="P286" s="302" t="str" cm="1">
        <f t="array" ref="P286">IF(OR(P$19="",P$24=0,P$31=0),"",
      INDEX(warmtebehoefte_plus_koudebehoefte_ventsysC1_EP1_snijpunt,P$280)
   + INDEX(warmtebehoefte_plus_koudebehoefte_ventsysC1_EP1_C,P$280)*P$52*P$34^INDEX(warmtebehoefte_plus_koudebehoefte_ventsysC1_EP1_n,P$280))</f>
        <v/>
      </c>
      <c r="Q286" s="302" t="str" cm="1">
        <f t="array" ref="Q286">IF(OR(Q$19="",Q$24=0,Q$31=0),"",
      INDEX(warmtebehoefte_plus_koudebehoefte_ventsysC1_EP1_snijpunt,Q$280)
   + INDEX(warmtebehoefte_plus_koudebehoefte_ventsysC1_EP1_C,Q$280)*Q$52*Q$34^INDEX(warmtebehoefte_plus_koudebehoefte_ventsysC1_EP1_n,Q$280))</f>
        <v/>
      </c>
      <c r="R286" s="302" t="str" cm="1">
        <f t="array" ref="R286">IF(OR(R$19="",R$24=0,R$31=0),"",
      INDEX(warmtebehoefte_plus_koudebehoefte_ventsysC1_EP1_snijpunt,R$280)
   + INDEX(warmtebehoefte_plus_koudebehoefte_ventsysC1_EP1_C,R$280)*R$52*R$34^INDEX(warmtebehoefte_plus_koudebehoefte_ventsysC1_EP1_n,R$280))</f>
        <v/>
      </c>
      <c r="S286" s="302" t="str" cm="1">
        <f t="array" ref="S286">IF(OR(S$19="",S$24=0,S$31=0),"",
      INDEX(warmtebehoefte_plus_koudebehoefte_ventsysC1_EP1_snijpunt,S$280)
   + INDEX(warmtebehoefte_plus_koudebehoefte_ventsysC1_EP1_C,S$280)*S$52*S$34^INDEX(warmtebehoefte_plus_koudebehoefte_ventsysC1_EP1_n,S$280))</f>
        <v/>
      </c>
      <c r="T286" s="302" t="str" cm="1">
        <f t="array" ref="T286">IF(OR(T$19="",T$24=0,T$31=0),"",
      INDEX(warmtebehoefte_plus_koudebehoefte_ventsysC1_EP1_snijpunt,T$280)
   + INDEX(warmtebehoefte_plus_koudebehoefte_ventsysC1_EP1_C,T$280)*T$52*T$34^INDEX(warmtebehoefte_plus_koudebehoefte_ventsysC1_EP1_n,T$280))</f>
        <v/>
      </c>
      <c r="U286" s="302" t="str" cm="1">
        <f t="array" ref="U286">IF(OR(U$19="",U$24=0,U$31=0),"",
      INDEX(warmtebehoefte_plus_koudebehoefte_ventsysC1_EP1_snijpunt,U$280)
   + INDEX(warmtebehoefte_plus_koudebehoefte_ventsysC1_EP1_C,U$280)*U$52*U$34^INDEX(warmtebehoefte_plus_koudebehoefte_ventsysC1_EP1_n,U$280))</f>
        <v/>
      </c>
      <c r="V286" s="302" t="str" cm="1">
        <f t="array" ref="V286">IF(OR(V$19="",V$24=0,V$31=0),"",
      INDEX(warmtebehoefte_plus_koudebehoefte_ventsysC1_EP1_snijpunt,V$280)
   + INDEX(warmtebehoefte_plus_koudebehoefte_ventsysC1_EP1_C,V$280)*V$52*V$34^INDEX(warmtebehoefte_plus_koudebehoefte_ventsysC1_EP1_n,V$280))</f>
        <v/>
      </c>
      <c r="W286" s="302" t="str" cm="1">
        <f t="array" ref="W286">IF(OR(W$19="",W$24=0,W$31=0),"",
      INDEX(warmtebehoefte_plus_koudebehoefte_ventsysC1_EP1_snijpunt,W$280)
   + INDEX(warmtebehoefte_plus_koudebehoefte_ventsysC1_EP1_C,W$280)*W$52*W$34^INDEX(warmtebehoefte_plus_koudebehoefte_ventsysC1_EP1_n,W$280))</f>
        <v/>
      </c>
      <c r="X286" s="122"/>
      <c r="Y286" s="249"/>
      <c r="Z286" s="248"/>
      <c r="AA286" s="302" t="str" cm="1">
        <f t="array" ref="AA286">IF(OR(AA$19="",AA$24=0,AA$31=0),"",
      INDEX(warmtebehoefte_plus_koudebehoefte_ventsysC1_EP1_snijpunt,AA$280)
   + INDEX(warmtebehoefte_plus_koudebehoefte_ventsysC1_EP1_C,AA$280)*AA$52*AA$34^INDEX(warmtebehoefte_plus_koudebehoefte_ventsysC1_EP1_n,AA$280))</f>
        <v/>
      </c>
      <c r="AB286" s="302" t="str" cm="1">
        <f t="array" ref="AB286">IF(OR(AB$19="",AB$24=0,AB$31=0),"",
      INDEX(warmtebehoefte_plus_koudebehoefte_ventsysC1_EP1_snijpunt,AB$280)
   + INDEX(warmtebehoefte_plus_koudebehoefte_ventsysC1_EP1_C,AB$280)*AB$52*AB$34^INDEX(warmtebehoefte_plus_koudebehoefte_ventsysC1_EP1_n,AB$280))</f>
        <v/>
      </c>
      <c r="AC286" s="302" t="str" cm="1">
        <f t="array" ref="AC286">IF(OR(AC$19="",AC$24=0,AC$31=0),"",
      INDEX(warmtebehoefte_plus_koudebehoefte_ventsysC1_EP1_snijpunt,AC$280)
   + INDEX(warmtebehoefte_plus_koudebehoefte_ventsysC1_EP1_C,AC$280)*AC$52*AC$34^INDEX(warmtebehoefte_plus_koudebehoefte_ventsysC1_EP1_n,AC$280))</f>
        <v/>
      </c>
      <c r="AD286" s="302" t="str" cm="1">
        <f t="array" ref="AD286">IF(OR(AD$19="",AD$24=0,AD$31=0),"",
      INDEX(warmtebehoefte_plus_koudebehoefte_ventsysC1_EP1_snijpunt,AD$280)
   + INDEX(warmtebehoefte_plus_koudebehoefte_ventsysC1_EP1_C,AD$280)*AD$52*AD$34^INDEX(warmtebehoefte_plus_koudebehoefte_ventsysC1_EP1_n,AD$280))</f>
        <v/>
      </c>
      <c r="AE286" s="302" t="str" cm="1">
        <f t="array" ref="AE286">IF(OR(AE$19="",AE$24=0,AE$31=0),"",
      INDEX(warmtebehoefte_plus_koudebehoefte_ventsysC1_EP1_snijpunt,AE$280)
   + INDEX(warmtebehoefte_plus_koudebehoefte_ventsysC1_EP1_C,AE$280)*AE$52*AE$34^INDEX(warmtebehoefte_plus_koudebehoefte_ventsysC1_EP1_n,AE$280))</f>
        <v/>
      </c>
      <c r="AF286" s="302" t="str" cm="1">
        <f t="array" ref="AF286">IF(OR(AF$19="",AF$24=0,AF$31=0),"",
      INDEX(warmtebehoefte_plus_koudebehoefte_ventsysC1_EP1_snijpunt,AF$280)
   + INDEX(warmtebehoefte_plus_koudebehoefte_ventsysC1_EP1_C,AF$280)*AF$52*AF$34^INDEX(warmtebehoefte_plus_koudebehoefte_ventsysC1_EP1_n,AF$280))</f>
        <v/>
      </c>
      <c r="AG286" s="302" t="str" cm="1">
        <f t="array" ref="AG286">IF(OR(AG$19="",AG$24=0,AG$31=0),"",
      INDEX(warmtebehoefte_plus_koudebehoefte_ventsysC1_EP1_snijpunt,AG$280)
   + INDEX(warmtebehoefte_plus_koudebehoefte_ventsysC1_EP1_C,AG$280)*AG$52*AG$34^INDEX(warmtebehoefte_plus_koudebehoefte_ventsysC1_EP1_n,AG$280))</f>
        <v/>
      </c>
      <c r="AH286" s="302" t="str" cm="1">
        <f t="array" ref="AH286">IF(OR(AH$19="",AH$24=0,AH$31=0),"",
      INDEX(warmtebehoefte_plus_koudebehoefte_ventsysC1_EP1_snijpunt,AH$280)
   + INDEX(warmtebehoefte_plus_koudebehoefte_ventsysC1_EP1_C,AH$280)*AH$52*AH$34^INDEX(warmtebehoefte_plus_koudebehoefte_ventsysC1_EP1_n,AH$280))</f>
        <v/>
      </c>
      <c r="AI286" s="302" t="str" cm="1">
        <f t="array" ref="AI286">IF(OR(AI$19="",AI$24=0,AI$31=0),"",
      INDEX(warmtebehoefte_plus_koudebehoefte_ventsysC1_EP1_snijpunt,AI$280)
   + INDEX(warmtebehoefte_plus_koudebehoefte_ventsysC1_EP1_C,AI$280)*AI$52*AI$34^INDEX(warmtebehoefte_plus_koudebehoefte_ventsysC1_EP1_n,AI$280))</f>
        <v/>
      </c>
      <c r="AJ286" s="122"/>
      <c r="AK286" s="249"/>
      <c r="AL286" s="248"/>
      <c r="AM286" s="302" t="str" cm="1">
        <f t="array" ref="AM286">IF(OR(AM$19="",AM$24=0,AM$31=0),"",
      INDEX(warmtebehoefte_plus_koudebehoefte_ventsysC1_EP1_snijpunt,AM$280)
   + INDEX(warmtebehoefte_plus_koudebehoefte_ventsysC1_EP1_C,AM$280)*AM$52*AM$34^INDEX(warmtebehoefte_plus_koudebehoefte_ventsysC1_EP1_n,AM$280))</f>
        <v/>
      </c>
      <c r="AN286" s="302" t="str" cm="1">
        <f t="array" ref="AN286">IF(OR(AN$19="",AN$24=0,AN$31=0),"",
      INDEX(warmtebehoefte_plus_koudebehoefte_ventsysC1_EP1_snijpunt,AN$280)
   + INDEX(warmtebehoefte_plus_koudebehoefte_ventsysC1_EP1_C,AN$280)*AN$52*AN$34^INDEX(warmtebehoefte_plus_koudebehoefte_ventsysC1_EP1_n,AN$280))</f>
        <v/>
      </c>
      <c r="AO286" s="302" t="str" cm="1">
        <f t="array" ref="AO286">IF(OR(AO$19="",AO$24=0,AO$31=0),"",
      INDEX(warmtebehoefte_plus_koudebehoefte_ventsysC1_EP1_snijpunt,AO$280)
   + INDEX(warmtebehoefte_plus_koudebehoefte_ventsysC1_EP1_C,AO$280)*AO$52*AO$34^INDEX(warmtebehoefte_plus_koudebehoefte_ventsysC1_EP1_n,AO$280))</f>
        <v/>
      </c>
      <c r="AP286" s="302" t="str" cm="1">
        <f t="array" ref="AP286">IF(OR(AP$19="",AP$24=0,AP$31=0),"",
      INDEX(warmtebehoefte_plus_koudebehoefte_ventsysC1_EP1_snijpunt,AP$280)
   + INDEX(warmtebehoefte_plus_koudebehoefte_ventsysC1_EP1_C,AP$280)*AP$52*AP$34^INDEX(warmtebehoefte_plus_koudebehoefte_ventsysC1_EP1_n,AP$280))</f>
        <v/>
      </c>
      <c r="AQ286" s="302" t="str" cm="1">
        <f t="array" ref="AQ286">IF(OR(AQ$19="",AQ$24=0,AQ$31=0),"",
      INDEX(warmtebehoefte_plus_koudebehoefte_ventsysC1_EP1_snijpunt,AQ$280)
   + INDEX(warmtebehoefte_plus_koudebehoefte_ventsysC1_EP1_C,AQ$280)*AQ$52*AQ$34^INDEX(warmtebehoefte_plus_koudebehoefte_ventsysC1_EP1_n,AQ$280))</f>
        <v/>
      </c>
      <c r="AR286" s="302" t="str" cm="1">
        <f t="array" ref="AR286">IF(OR(AR$19="",AR$24=0,AR$31=0),"",
      INDEX(warmtebehoefte_plus_koudebehoefte_ventsysC1_EP1_snijpunt,AR$280)
   + INDEX(warmtebehoefte_plus_koudebehoefte_ventsysC1_EP1_C,AR$280)*AR$52*AR$34^INDEX(warmtebehoefte_plus_koudebehoefte_ventsysC1_EP1_n,AR$280))</f>
        <v/>
      </c>
      <c r="AS286" s="302" t="str" cm="1">
        <f t="array" ref="AS286">IF(OR(AS$19="",AS$24=0,AS$31=0),"",
      INDEX(warmtebehoefte_plus_koudebehoefte_ventsysC1_EP1_snijpunt,AS$280)
   + INDEX(warmtebehoefte_plus_koudebehoefte_ventsysC1_EP1_C,AS$280)*AS$52*AS$34^INDEX(warmtebehoefte_plus_koudebehoefte_ventsysC1_EP1_n,AS$280))</f>
        <v/>
      </c>
      <c r="AT286" s="302" t="str" cm="1">
        <f t="array" ref="AT286">IF(OR(AT$19="",AT$24=0,AT$31=0),"",
      INDEX(warmtebehoefte_plus_koudebehoefte_ventsysC1_EP1_snijpunt,AT$280)
   + INDEX(warmtebehoefte_plus_koudebehoefte_ventsysC1_EP1_C,AT$280)*AT$52*AT$34^INDEX(warmtebehoefte_plus_koudebehoefte_ventsysC1_EP1_n,AT$280))</f>
        <v/>
      </c>
      <c r="AU286" s="302" t="str" cm="1">
        <f t="array" ref="AU286">IF(OR(AU$19="",AU$24=0,AU$31=0),"",
      INDEX(warmtebehoefte_plus_koudebehoefte_ventsysC1_EP1_snijpunt,AU$280)
   + INDEX(warmtebehoefte_plus_koudebehoefte_ventsysC1_EP1_C,AU$280)*AU$52*AU$34^INDEX(warmtebehoefte_plus_koudebehoefte_ventsysC1_EP1_n,AU$280))</f>
        <v/>
      </c>
      <c r="AV286" s="122"/>
      <c r="AW286" s="249"/>
      <c r="AX286" s="248"/>
      <c r="AY286" s="302" t="str" cm="1">
        <f t="array" ref="AY286">IF(OR(AY$19="",AY$24=0,AY$31=0),"",
      INDEX(warmtebehoefte_plus_koudebehoefte_ventsysC1_EP1_snijpunt,AY$280)
   + INDEX(warmtebehoefte_plus_koudebehoefte_ventsysC1_EP1_C,AY$280)*AY$52*AY$34^INDEX(warmtebehoefte_plus_koudebehoefte_ventsysC1_EP1_n,AY$280))</f>
        <v/>
      </c>
      <c r="AZ286" s="302" t="str" cm="1">
        <f t="array" ref="AZ286">IF(OR(AZ$19="",AZ$24=0,AZ$31=0),"",
      INDEX(warmtebehoefte_plus_koudebehoefte_ventsysC1_EP1_snijpunt,AZ$280)
   + INDEX(warmtebehoefte_plus_koudebehoefte_ventsysC1_EP1_C,AZ$280)*AZ$52*AZ$34^INDEX(warmtebehoefte_plus_koudebehoefte_ventsysC1_EP1_n,AZ$280))</f>
        <v/>
      </c>
      <c r="BA286" s="302" t="str" cm="1">
        <f t="array" ref="BA286">IF(OR(BA$19="",BA$24=0,BA$31=0),"",
      INDEX(warmtebehoefte_plus_koudebehoefte_ventsysC1_EP1_snijpunt,BA$280)
   + INDEX(warmtebehoefte_plus_koudebehoefte_ventsysC1_EP1_C,BA$280)*BA$52*BA$34^INDEX(warmtebehoefte_plus_koudebehoefte_ventsysC1_EP1_n,BA$280))</f>
        <v/>
      </c>
      <c r="BB286" s="302" t="str" cm="1">
        <f t="array" ref="BB286">IF(OR(BB$19="",BB$24=0,BB$31=0),"",
      INDEX(warmtebehoefte_plus_koudebehoefte_ventsysC1_EP1_snijpunt,BB$280)
   + INDEX(warmtebehoefte_plus_koudebehoefte_ventsysC1_EP1_C,BB$280)*BB$52*BB$34^INDEX(warmtebehoefte_plus_koudebehoefte_ventsysC1_EP1_n,BB$280))</f>
        <v/>
      </c>
      <c r="BC286" s="302" t="str" cm="1">
        <f t="array" ref="BC286">IF(OR(BC$19="",BC$24=0,BC$31=0),"",
      INDEX(warmtebehoefte_plus_koudebehoefte_ventsysC1_EP1_snijpunt,BC$280)
   + INDEX(warmtebehoefte_plus_koudebehoefte_ventsysC1_EP1_C,BC$280)*BC$52*BC$34^INDEX(warmtebehoefte_plus_koudebehoefte_ventsysC1_EP1_n,BC$280))</f>
        <v/>
      </c>
      <c r="BD286" s="302" t="str" cm="1">
        <f t="array" ref="BD286">IF(OR(BD$19="",BD$24=0,BD$31=0),"",
      INDEX(warmtebehoefte_plus_koudebehoefte_ventsysC1_EP1_snijpunt,BD$280)
   + INDEX(warmtebehoefte_plus_koudebehoefte_ventsysC1_EP1_C,BD$280)*BD$52*BD$34^INDEX(warmtebehoefte_plus_koudebehoefte_ventsysC1_EP1_n,BD$280))</f>
        <v/>
      </c>
      <c r="BE286" s="302" t="str" cm="1">
        <f t="array" ref="BE286">IF(OR(BE$19="",BE$24=0,BE$31=0),"",
      INDEX(warmtebehoefte_plus_koudebehoefte_ventsysC1_EP1_snijpunt,BE$280)
   + INDEX(warmtebehoefte_plus_koudebehoefte_ventsysC1_EP1_C,BE$280)*BE$52*BE$34^INDEX(warmtebehoefte_plus_koudebehoefte_ventsysC1_EP1_n,BE$280))</f>
        <v/>
      </c>
      <c r="BF286" s="302" t="str" cm="1">
        <f t="array" ref="BF286">IF(OR(BF$19="",BF$24=0,BF$31=0),"",
      INDEX(warmtebehoefte_plus_koudebehoefte_ventsysC1_EP1_snijpunt,BF$280)
   + INDEX(warmtebehoefte_plus_koudebehoefte_ventsysC1_EP1_C,BF$280)*BF$52*BF$34^INDEX(warmtebehoefte_plus_koudebehoefte_ventsysC1_EP1_n,BF$280))</f>
        <v/>
      </c>
      <c r="BG286" s="302" t="str" cm="1">
        <f t="array" ref="BG286">IF(OR(BG$19="",BG$24=0,BG$31=0),"",
      INDEX(warmtebehoefte_plus_koudebehoefte_ventsysC1_EP1_snijpunt,BG$280)
   + INDEX(warmtebehoefte_plus_koudebehoefte_ventsysC1_EP1_C,BG$280)*BG$52*BG$34^INDEX(warmtebehoefte_plus_koudebehoefte_ventsysC1_EP1_n,BG$280))</f>
        <v/>
      </c>
      <c r="BH286" s="255"/>
    </row>
    <row r="287" spans="1:60" x14ac:dyDescent="0.2">
      <c r="A287" s="648"/>
      <c r="B287" s="492" t="s">
        <v>335</v>
      </c>
      <c r="C287" s="656" t="s">
        <v>113</v>
      </c>
      <c r="D287" s="749" t="s">
        <v>50</v>
      </c>
      <c r="E287" s="246" t="s">
        <v>344</v>
      </c>
      <c r="F287" s="246"/>
      <c r="G287" s="246"/>
      <c r="H287" s="247" t="s">
        <v>317</v>
      </c>
      <c r="I287" s="248"/>
      <c r="J287" s="249"/>
      <c r="K287" s="90"/>
      <c r="L287" s="90"/>
      <c r="M287" s="249"/>
      <c r="N287" s="248"/>
      <c r="O287" s="302" t="str">
        <f t="shared" ref="O287:W287" si="290">IF(OR(O$19="",O$24=0,O$31=0),"",ROUNDUP(O$255-O$246-O$247-O$248-IF(OR(O$21=woning,O$21=woongebouw),O244,0),2))</f>
        <v/>
      </c>
      <c r="P287" s="302" t="str">
        <f t="shared" si="290"/>
        <v/>
      </c>
      <c r="Q287" s="302" t="str">
        <f t="shared" si="290"/>
        <v/>
      </c>
      <c r="R287" s="302" t="str">
        <f t="shared" si="290"/>
        <v/>
      </c>
      <c r="S287" s="302" t="str">
        <f t="shared" si="290"/>
        <v/>
      </c>
      <c r="T287" s="302" t="str">
        <f t="shared" si="290"/>
        <v/>
      </c>
      <c r="U287" s="302" t="str">
        <f t="shared" si="290"/>
        <v/>
      </c>
      <c r="V287" s="302" t="str">
        <f t="shared" si="290"/>
        <v/>
      </c>
      <c r="W287" s="302" t="str">
        <f t="shared" si="290"/>
        <v/>
      </c>
      <c r="X287" s="122"/>
      <c r="Y287" s="249"/>
      <c r="Z287" s="248"/>
      <c r="AA287" s="302" t="str">
        <f t="shared" ref="AA287:AI287" si="291">IF(OR(AA$19="",AA$24=0,AA$31=0),"",ROUNDUP(AA$255-AA$246-AA$247-AA$248-IF(OR(AA$21=woning,AA$21=woongebouw),AA244,0),2))</f>
        <v/>
      </c>
      <c r="AB287" s="302" t="str">
        <f t="shared" si="291"/>
        <v/>
      </c>
      <c r="AC287" s="302" t="str">
        <f t="shared" si="291"/>
        <v/>
      </c>
      <c r="AD287" s="302" t="str">
        <f t="shared" si="291"/>
        <v/>
      </c>
      <c r="AE287" s="302" t="str">
        <f t="shared" si="291"/>
        <v/>
      </c>
      <c r="AF287" s="302" t="str">
        <f t="shared" si="291"/>
        <v/>
      </c>
      <c r="AG287" s="302" t="str">
        <f t="shared" si="291"/>
        <v/>
      </c>
      <c r="AH287" s="302" t="str">
        <f t="shared" si="291"/>
        <v/>
      </c>
      <c r="AI287" s="302" t="str">
        <f t="shared" si="291"/>
        <v/>
      </c>
      <c r="AJ287" s="122"/>
      <c r="AK287" s="249"/>
      <c r="AL287" s="248"/>
      <c r="AM287" s="302" t="str">
        <f t="shared" ref="AM287:AU287" si="292">IF(OR(AM$19="",AM$24=0,AM$31=0),"",ROUNDUP(AM$255-AM$246-AM$247-AM$248-IF(OR(AM$21=woning,AM$21=woongebouw),AM244,0),2))</f>
        <v/>
      </c>
      <c r="AN287" s="302" t="str">
        <f t="shared" si="292"/>
        <v/>
      </c>
      <c r="AO287" s="302" t="str">
        <f t="shared" si="292"/>
        <v/>
      </c>
      <c r="AP287" s="302" t="str">
        <f t="shared" si="292"/>
        <v/>
      </c>
      <c r="AQ287" s="302" t="str">
        <f t="shared" si="292"/>
        <v/>
      </c>
      <c r="AR287" s="302" t="str">
        <f t="shared" si="292"/>
        <v/>
      </c>
      <c r="AS287" s="302" t="str">
        <f t="shared" si="292"/>
        <v/>
      </c>
      <c r="AT287" s="302" t="str">
        <f t="shared" si="292"/>
        <v/>
      </c>
      <c r="AU287" s="302" t="str">
        <f t="shared" si="292"/>
        <v/>
      </c>
      <c r="AV287" s="122"/>
      <c r="AW287" s="249"/>
      <c r="AX287" s="248"/>
      <c r="AY287" s="302" t="str">
        <f t="shared" ref="AY287:BG287" si="293">IF(OR(AY$19="",AY$24=0,AY$31=0),"",ROUNDUP(AY$255-AY$246-AY$247-AY$248-IF(OR(AY$21=woning,AY$21=woongebouw),AY244,0),2))</f>
        <v/>
      </c>
      <c r="AZ287" s="302" t="str">
        <f t="shared" si="293"/>
        <v/>
      </c>
      <c r="BA287" s="302" t="str">
        <f t="shared" si="293"/>
        <v/>
      </c>
      <c r="BB287" s="302" t="str">
        <f t="shared" si="293"/>
        <v/>
      </c>
      <c r="BC287" s="302" t="str">
        <f t="shared" si="293"/>
        <v/>
      </c>
      <c r="BD287" s="302" t="str">
        <f t="shared" si="293"/>
        <v/>
      </c>
      <c r="BE287" s="302" t="str">
        <f t="shared" si="293"/>
        <v/>
      </c>
      <c r="BF287" s="302" t="str">
        <f t="shared" si="293"/>
        <v/>
      </c>
      <c r="BG287" s="302" t="str">
        <f t="shared" si="293"/>
        <v/>
      </c>
      <c r="BH287" s="255"/>
    </row>
    <row r="288" spans="1:60" x14ac:dyDescent="0.2">
      <c r="A288" s="648"/>
      <c r="B288" s="492" t="s">
        <v>335</v>
      </c>
      <c r="C288" s="656" t="s">
        <v>113</v>
      </c>
      <c r="D288" s="750" t="s">
        <v>50</v>
      </c>
      <c r="E288" s="246" t="s">
        <v>345</v>
      </c>
      <c r="F288" s="246"/>
      <c r="G288" s="246"/>
      <c r="H288" s="247" t="s">
        <v>150</v>
      </c>
      <c r="I288" s="248"/>
      <c r="J288" s="249"/>
      <c r="K288" s="90"/>
      <c r="L288" s="90"/>
      <c r="M288" s="249"/>
      <c r="N288" s="248"/>
      <c r="O288" s="689" t="str">
        <f t="shared" ref="O288:W288" si="294">IF(O$280="","",O275)</f>
        <v/>
      </c>
      <c r="P288" s="689" t="str">
        <f t="shared" si="294"/>
        <v/>
      </c>
      <c r="Q288" s="689" t="str">
        <f t="shared" si="294"/>
        <v/>
      </c>
      <c r="R288" s="689" t="str">
        <f t="shared" si="294"/>
        <v/>
      </c>
      <c r="S288" s="689" t="str">
        <f t="shared" si="294"/>
        <v/>
      </c>
      <c r="T288" s="689" t="str">
        <f t="shared" si="294"/>
        <v/>
      </c>
      <c r="U288" s="689" t="str">
        <f t="shared" si="294"/>
        <v/>
      </c>
      <c r="V288" s="689" t="str">
        <f t="shared" si="294"/>
        <v/>
      </c>
      <c r="W288" s="689" t="str">
        <f t="shared" si="294"/>
        <v/>
      </c>
      <c r="X288" s="690"/>
      <c r="Y288" s="691"/>
      <c r="Z288" s="692"/>
      <c r="AA288" s="689" t="str">
        <f t="shared" ref="AA288:AI288" si="295">IF(AA$280="","",AA275)</f>
        <v/>
      </c>
      <c r="AB288" s="689" t="str">
        <f t="shared" si="295"/>
        <v/>
      </c>
      <c r="AC288" s="689" t="str">
        <f t="shared" si="295"/>
        <v/>
      </c>
      <c r="AD288" s="689" t="str">
        <f t="shared" si="295"/>
        <v/>
      </c>
      <c r="AE288" s="689" t="str">
        <f t="shared" si="295"/>
        <v/>
      </c>
      <c r="AF288" s="689" t="str">
        <f t="shared" si="295"/>
        <v/>
      </c>
      <c r="AG288" s="689" t="str">
        <f t="shared" si="295"/>
        <v/>
      </c>
      <c r="AH288" s="689" t="str">
        <f t="shared" si="295"/>
        <v/>
      </c>
      <c r="AI288" s="689" t="str">
        <f t="shared" si="295"/>
        <v/>
      </c>
      <c r="AJ288" s="690"/>
      <c r="AK288" s="691"/>
      <c r="AL288" s="692"/>
      <c r="AM288" s="689" t="str">
        <f>IF(AM$280="","",AM275)</f>
        <v/>
      </c>
      <c r="AN288" s="689" t="str">
        <f t="shared" ref="AN288:AU288" si="296">IF(AN$280="","",AN275)</f>
        <v/>
      </c>
      <c r="AO288" s="689" t="str">
        <f t="shared" si="296"/>
        <v/>
      </c>
      <c r="AP288" s="689" t="str">
        <f t="shared" si="296"/>
        <v/>
      </c>
      <c r="AQ288" s="689" t="str">
        <f t="shared" si="296"/>
        <v/>
      </c>
      <c r="AR288" s="689" t="str">
        <f t="shared" si="296"/>
        <v/>
      </c>
      <c r="AS288" s="689" t="str">
        <f t="shared" si="296"/>
        <v/>
      </c>
      <c r="AT288" s="689" t="str">
        <f t="shared" si="296"/>
        <v/>
      </c>
      <c r="AU288" s="689" t="str">
        <f t="shared" si="296"/>
        <v/>
      </c>
      <c r="AV288" s="690"/>
      <c r="AW288" s="691"/>
      <c r="AX288" s="692"/>
      <c r="AY288" s="689" t="str">
        <f>IF(AY$280="","",AY275)</f>
        <v/>
      </c>
      <c r="AZ288" s="689" t="str">
        <f t="shared" ref="AZ288:BG288" si="297">IF(AZ$280="","",AZ275)</f>
        <v/>
      </c>
      <c r="BA288" s="689" t="str">
        <f t="shared" si="297"/>
        <v/>
      </c>
      <c r="BB288" s="689" t="str">
        <f t="shared" si="297"/>
        <v/>
      </c>
      <c r="BC288" s="689" t="str">
        <f t="shared" si="297"/>
        <v/>
      </c>
      <c r="BD288" s="689" t="str">
        <f t="shared" si="297"/>
        <v/>
      </c>
      <c r="BE288" s="689" t="str">
        <f t="shared" si="297"/>
        <v/>
      </c>
      <c r="BF288" s="689" t="str">
        <f t="shared" si="297"/>
        <v/>
      </c>
      <c r="BG288" s="689" t="str">
        <f t="shared" si="297"/>
        <v/>
      </c>
      <c r="BH288" s="255"/>
    </row>
    <row r="289" spans="1:60" ht="18.75" x14ac:dyDescent="0.2">
      <c r="A289" s="648"/>
      <c r="B289" s="492" t="s">
        <v>335</v>
      </c>
      <c r="C289" s="739" t="s">
        <v>104</v>
      </c>
      <c r="D289" s="747"/>
      <c r="E289" s="236" t="s">
        <v>346</v>
      </c>
      <c r="F289" s="236"/>
      <c r="G289" s="236"/>
      <c r="H289" s="89"/>
      <c r="I289" s="236"/>
      <c r="J289" s="236"/>
      <c r="K289" s="236"/>
      <c r="L289" s="236"/>
      <c r="M289" s="236"/>
      <c r="N289" s="236"/>
      <c r="O289" s="236"/>
      <c r="P289" s="236"/>
      <c r="Q289" s="236"/>
      <c r="R289" s="236"/>
      <c r="S289" s="236"/>
      <c r="T289" s="236"/>
      <c r="U289" s="236"/>
      <c r="V289" s="236"/>
      <c r="W289" s="236"/>
      <c r="X289" s="236"/>
      <c r="Y289" s="236"/>
      <c r="Z289" s="236"/>
      <c r="AA289" s="236"/>
      <c r="AB289" s="236"/>
      <c r="AC289" s="236"/>
      <c r="AD289" s="236"/>
      <c r="AE289" s="236"/>
      <c r="AF289" s="236"/>
      <c r="AG289" s="236"/>
      <c r="AH289" s="236"/>
      <c r="AI289" s="236"/>
      <c r="AJ289" s="236"/>
      <c r="AK289" s="236"/>
      <c r="AL289" s="236"/>
      <c r="AM289" s="236"/>
      <c r="AN289" s="236"/>
      <c r="AO289" s="236"/>
      <c r="AP289" s="236"/>
      <c r="AQ289" s="236"/>
      <c r="AR289" s="236"/>
      <c r="AS289" s="236"/>
      <c r="AT289" s="236"/>
      <c r="AU289" s="236"/>
      <c r="AV289" s="236"/>
      <c r="AW289" s="236"/>
      <c r="AX289" s="236"/>
      <c r="AY289" s="236"/>
      <c r="AZ289" s="236"/>
      <c r="BA289" s="236"/>
      <c r="BB289" s="236"/>
      <c r="BC289" s="236"/>
      <c r="BD289" s="236"/>
      <c r="BE289" s="236"/>
      <c r="BF289" s="236"/>
      <c r="BG289" s="236"/>
      <c r="BH289" s="38"/>
    </row>
    <row r="290" spans="1:60" x14ac:dyDescent="0.2">
      <c r="A290" s="648"/>
      <c r="B290" s="492" t="s">
        <v>335</v>
      </c>
      <c r="C290" s="656" t="s">
        <v>113</v>
      </c>
      <c r="D290" s="749" t="s">
        <v>50</v>
      </c>
      <c r="E290" s="246" t="s">
        <v>346</v>
      </c>
      <c r="F290" s="246"/>
      <c r="G290" s="246"/>
      <c r="H290" s="247" t="s">
        <v>70</v>
      </c>
      <c r="I290" s="129"/>
      <c r="J290" s="243"/>
      <c r="K290" s="236"/>
      <c r="L290" s="236"/>
      <c r="M290" s="243"/>
      <c r="N290" s="129"/>
      <c r="O290" s="207" t="str">
        <f ca="1">IF(OR(O$24=0,$O$75=0),"",
INDEX(energielabels_labelnamen,MATCH(O287,OFFSET(bibliotheek!$H$510,0,MATCH(O$21,gebruiksfuncties_namen,0),ROWS(energielabels_labelnamen),1),-1)))</f>
        <v/>
      </c>
      <c r="P290" s="207" t="str">
        <f ca="1">IF(OR(P$24=0,$O$75=0),"",
INDEX(energielabels_labelnamen,MATCH(P287,OFFSET(bibliotheek!$H$510,0,MATCH(P$21,gebruiksfuncties_namen,0),ROWS(energielabels_labelnamen),1),-1)))</f>
        <v/>
      </c>
      <c r="Q290" s="207" t="str">
        <f ca="1">IF(OR(Q$24=0,$O$75=0),"",
INDEX(energielabels_labelnamen,MATCH(Q287,OFFSET(bibliotheek!$H$510,0,MATCH(Q$21,gebruiksfuncties_namen,0),ROWS(energielabels_labelnamen),1),-1)))</f>
        <v/>
      </c>
      <c r="R290" s="207" t="str">
        <f ca="1">IF(OR(R$24=0,$O$75=0),"",
INDEX(energielabels_labelnamen,MATCH(R287,OFFSET(bibliotheek!$H$510,0,MATCH(R$21,gebruiksfuncties_namen,0),ROWS(energielabels_labelnamen),1),-1)))</f>
        <v/>
      </c>
      <c r="S290" s="207" t="str">
        <f ca="1">IF(OR(S$24=0,$O$75=0),"",
INDEX(energielabels_labelnamen,MATCH(S287,OFFSET(bibliotheek!$H$510,0,MATCH(S$21,gebruiksfuncties_namen,0),ROWS(energielabels_labelnamen),1),-1)))</f>
        <v/>
      </c>
      <c r="T290" s="207" t="str">
        <f ca="1">IF(OR(T$24=0,$O$75=0),"",
INDEX(energielabels_labelnamen,MATCH(T287,OFFSET(bibliotheek!$H$510,0,MATCH(T$21,gebruiksfuncties_namen,0),ROWS(energielabels_labelnamen),1),-1)))</f>
        <v/>
      </c>
      <c r="U290" s="207" t="str">
        <f ca="1">IF(OR(U$24=0,$O$75=0),"",
INDEX(energielabels_labelnamen,MATCH(U287,OFFSET(bibliotheek!$H$510,0,MATCH(U$21,gebruiksfuncties_namen,0),ROWS(energielabels_labelnamen),1),-1)))</f>
        <v/>
      </c>
      <c r="V290" s="207" t="str">
        <f ca="1">IF(OR(V$24=0,$O$75=0),"",
INDEX(energielabels_labelnamen,MATCH(V287,OFFSET(bibliotheek!$H$510,0,MATCH(V$21,gebruiksfuncties_namen,0),ROWS(energielabels_labelnamen),1),-1)))</f>
        <v/>
      </c>
      <c r="W290" s="207" t="str">
        <f ca="1">IF(OR(W$24=0,$O$75=0),"",
INDEX(energielabels_labelnamen,MATCH(W287,OFFSET(bibliotheek!$H$510,0,MATCH(W$21,gebruiksfuncties_namen,0),ROWS(energielabels_labelnamen),1),-1)))</f>
        <v/>
      </c>
      <c r="X290" s="128"/>
      <c r="Y290" s="243"/>
      <c r="Z290" s="129"/>
      <c r="AA290" s="207" t="str">
        <f ca="1">IF(OR(AA$24=0,$O$75=0),"",
INDEX(energielabels_labelnamen,MATCH(AA287,OFFSET(bibliotheek!$H$510,0,MATCH(AA$21,gebruiksfuncties_namen,0),ROWS(energielabels_labelnamen),1),-1)))</f>
        <v/>
      </c>
      <c r="AB290" s="207" t="str">
        <f ca="1">IF(OR(AB$24=0,$O$75=0),"",
INDEX(energielabels_labelnamen,MATCH(AB287,OFFSET(bibliotheek!$H$510,0,MATCH(AB$21,gebruiksfuncties_namen,0),ROWS(energielabels_labelnamen),1),-1)))</f>
        <v/>
      </c>
      <c r="AC290" s="207" t="str">
        <f ca="1">IF(OR(AC$24=0,$O$75=0),"",
INDEX(energielabels_labelnamen,MATCH(AC287,OFFSET(bibliotheek!$H$510,0,MATCH(AC$21,gebruiksfuncties_namen,0),ROWS(energielabels_labelnamen),1),-1)))</f>
        <v/>
      </c>
      <c r="AD290" s="207" t="str">
        <f ca="1">IF(OR(AD$24=0,$O$75=0),"",
INDEX(energielabels_labelnamen,MATCH(AD287,OFFSET(bibliotheek!$H$510,0,MATCH(AD$21,gebruiksfuncties_namen,0),ROWS(energielabels_labelnamen),1),-1)))</f>
        <v/>
      </c>
      <c r="AE290" s="207" t="str">
        <f ca="1">IF(OR(AE$24=0,$O$75=0),"",
INDEX(energielabels_labelnamen,MATCH(AE287,OFFSET(bibliotheek!$H$510,0,MATCH(AE$21,gebruiksfuncties_namen,0),ROWS(energielabels_labelnamen),1),-1)))</f>
        <v/>
      </c>
      <c r="AF290" s="207" t="str">
        <f ca="1">IF(OR(AF$24=0,$O$75=0),"",
INDEX(energielabels_labelnamen,MATCH(AF287,OFFSET(bibliotheek!$H$510,0,MATCH(AF$21,gebruiksfuncties_namen,0),ROWS(energielabels_labelnamen),1),-1)))</f>
        <v/>
      </c>
      <c r="AG290" s="207" t="str">
        <f ca="1">IF(OR(AG$24=0,$O$75=0),"",
INDEX(energielabels_labelnamen,MATCH(AG287,OFFSET(bibliotheek!$H$510,0,MATCH(AG$21,gebruiksfuncties_namen,0),ROWS(energielabels_labelnamen),1),-1)))</f>
        <v/>
      </c>
      <c r="AH290" s="207" t="str">
        <f ca="1">IF(OR(AH$24=0,$O$75=0),"",
INDEX(energielabels_labelnamen,MATCH(AH287,OFFSET(bibliotheek!$H$510,0,MATCH(AH$21,gebruiksfuncties_namen,0),ROWS(energielabels_labelnamen),1),-1)))</f>
        <v/>
      </c>
      <c r="AI290" s="207" t="str">
        <f ca="1">IF(OR(AI$24=0,$O$75=0),"",
INDEX(energielabels_labelnamen,MATCH(AI287,OFFSET(bibliotheek!$H$510,0,MATCH(AI$21,gebruiksfuncties_namen,0),ROWS(energielabels_labelnamen),1),-1)))</f>
        <v/>
      </c>
      <c r="AJ290" s="128"/>
      <c r="AK290" s="243"/>
      <c r="AL290" s="129"/>
      <c r="AM290" s="207" t="str">
        <f ca="1">IF(OR(AM$24=0,$O$75=0),"",
INDEX(energielabels_labelnamen,MATCH(AM287,OFFSET(bibliotheek!$H$510,0,MATCH(AM$21,gebruiksfuncties_namen,0),ROWS(energielabels_labelnamen),1),-1)))</f>
        <v/>
      </c>
      <c r="AN290" s="207" t="str">
        <f ca="1">IF(OR(AN$24=0,$O$75=0),"",
INDEX(energielabels_labelnamen,MATCH(AN287,OFFSET(bibliotheek!$H$510,0,MATCH(AN$21,gebruiksfuncties_namen,0),ROWS(energielabels_labelnamen),1),-1)))</f>
        <v/>
      </c>
      <c r="AO290" s="207" t="str">
        <f ca="1">IF(OR(AO$24=0,$O$75=0),"",
INDEX(energielabels_labelnamen,MATCH(AO287,OFFSET(bibliotheek!$H$510,0,MATCH(AO$21,gebruiksfuncties_namen,0),ROWS(energielabels_labelnamen),1),-1)))</f>
        <v/>
      </c>
      <c r="AP290" s="207" t="str">
        <f ca="1">IF(OR(AP$24=0,$O$75=0),"",
INDEX(energielabels_labelnamen,MATCH(AP287,OFFSET(bibliotheek!$H$510,0,MATCH(AP$21,gebruiksfuncties_namen,0),ROWS(energielabels_labelnamen),1),-1)))</f>
        <v/>
      </c>
      <c r="AQ290" s="207" t="str">
        <f ca="1">IF(OR(AQ$24=0,$O$75=0),"",
INDEX(energielabels_labelnamen,MATCH(AQ287,OFFSET(bibliotheek!$H$510,0,MATCH(AQ$21,gebruiksfuncties_namen,0),ROWS(energielabels_labelnamen),1),-1)))</f>
        <v/>
      </c>
      <c r="AR290" s="207" t="str">
        <f ca="1">IF(OR(AR$24=0,$O$75=0),"",
INDEX(energielabels_labelnamen,MATCH(AR287,OFFSET(bibliotheek!$H$510,0,MATCH(AR$21,gebruiksfuncties_namen,0),ROWS(energielabels_labelnamen),1),-1)))</f>
        <v/>
      </c>
      <c r="AS290" s="207" t="str">
        <f ca="1">IF(OR(AS$24=0,$O$75=0),"",
INDEX(energielabels_labelnamen,MATCH(AS287,OFFSET(bibliotheek!$H$510,0,MATCH(AS$21,gebruiksfuncties_namen,0),ROWS(energielabels_labelnamen),1),-1)))</f>
        <v/>
      </c>
      <c r="AT290" s="207" t="str">
        <f ca="1">IF(OR(AT$24=0,$O$75=0),"",
INDEX(energielabels_labelnamen,MATCH(AT287,OFFSET(bibliotheek!$H$510,0,MATCH(AT$21,gebruiksfuncties_namen,0),ROWS(energielabels_labelnamen),1),-1)))</f>
        <v/>
      </c>
      <c r="AU290" s="207" t="str">
        <f ca="1">IF(OR(AU$24=0,$O$75=0),"",
INDEX(energielabels_labelnamen,MATCH(AU287,OFFSET(bibliotheek!$H$510,0,MATCH(AU$21,gebruiksfuncties_namen,0),ROWS(energielabels_labelnamen),1),-1)))</f>
        <v/>
      </c>
      <c r="AV290" s="128"/>
      <c r="AW290" s="243"/>
      <c r="AX290" s="129"/>
      <c r="AY290" s="207" t="str">
        <f ca="1">IF(OR(AY$24=0,$O$75=0),"",
INDEX(energielabels_labelnamen,MATCH(AY287,OFFSET(bibliotheek!$H$510,0,MATCH(AY$21,gebruiksfuncties_namen,0),ROWS(energielabels_labelnamen),1),-1)))</f>
        <v/>
      </c>
      <c r="AZ290" s="207" t="str">
        <f ca="1">IF(OR(AZ$24=0,$O$75=0),"",
INDEX(energielabels_labelnamen,MATCH(AZ287,OFFSET(bibliotheek!$H$510,0,MATCH(AZ$21,gebruiksfuncties_namen,0),ROWS(energielabels_labelnamen),1),-1)))</f>
        <v/>
      </c>
      <c r="BA290" s="207" t="str">
        <f ca="1">IF(OR(BA$24=0,$O$75=0),"",
INDEX(energielabels_labelnamen,MATCH(BA287,OFFSET(bibliotheek!$H$510,0,MATCH(BA$21,gebruiksfuncties_namen,0),ROWS(energielabels_labelnamen),1),-1)))</f>
        <v/>
      </c>
      <c r="BB290" s="207" t="str">
        <f ca="1">IF(OR(BB$24=0,$O$75=0),"",
INDEX(energielabels_labelnamen,MATCH(BB287,OFFSET(bibliotheek!$H$510,0,MATCH(BB$21,gebruiksfuncties_namen,0),ROWS(energielabels_labelnamen),1),-1)))</f>
        <v/>
      </c>
      <c r="BC290" s="207" t="str">
        <f ca="1">IF(OR(BC$24=0,$O$75=0),"",
INDEX(energielabels_labelnamen,MATCH(BC287,OFFSET(bibliotheek!$H$510,0,MATCH(BC$21,gebruiksfuncties_namen,0),ROWS(energielabels_labelnamen),1),-1)))</f>
        <v/>
      </c>
      <c r="BD290" s="207" t="str">
        <f ca="1">IF(OR(BD$24=0,$O$75=0),"",
INDEX(energielabels_labelnamen,MATCH(BD287,OFFSET(bibliotheek!$H$510,0,MATCH(BD$21,gebruiksfuncties_namen,0),ROWS(energielabels_labelnamen),1),-1)))</f>
        <v/>
      </c>
      <c r="BE290" s="207" t="str">
        <f ca="1">IF(OR(BE$24=0,$O$75=0),"",
INDEX(energielabels_labelnamen,MATCH(BE287,OFFSET(bibliotheek!$H$510,0,MATCH(BE$21,gebruiksfuncties_namen,0),ROWS(energielabels_labelnamen),1),-1)))</f>
        <v/>
      </c>
      <c r="BF290" s="207" t="str">
        <f ca="1">IF(OR(BF$24=0,$O$75=0),"",
INDEX(energielabels_labelnamen,MATCH(BF287,OFFSET(bibliotheek!$H$510,0,MATCH(BF$21,gebruiksfuncties_namen,0),ROWS(energielabels_labelnamen),1),-1)))</f>
        <v/>
      </c>
      <c r="BG290" s="207" t="str">
        <f ca="1">IF(OR(BG$24=0,$O$75=0),"",
INDEX(energielabels_labelnamen,MATCH(BG287,OFFSET(bibliotheek!$H$510,0,MATCH(BG$21,gebruiksfuncties_namen,0),ROWS(energielabels_labelnamen),1),-1)))</f>
        <v/>
      </c>
      <c r="BH290" s="255"/>
    </row>
    <row r="291" spans="1:60" x14ac:dyDescent="0.2">
      <c r="A291" s="648"/>
      <c r="B291" s="492" t="s">
        <v>335</v>
      </c>
      <c r="C291" s="656" t="s">
        <v>113</v>
      </c>
      <c r="D291" s="749" t="s">
        <v>50</v>
      </c>
      <c r="E291" s="246" t="s">
        <v>1198</v>
      </c>
      <c r="F291" s="1041"/>
      <c r="G291" s="1041"/>
      <c r="H291" s="247" t="s">
        <v>70</v>
      </c>
      <c r="I291" s="129"/>
      <c r="J291" s="243"/>
      <c r="K291" s="236"/>
      <c r="L291" s="236"/>
      <c r="M291" s="243"/>
      <c r="N291" s="129"/>
      <c r="O291" s="207" t="str">
        <f t="shared" ref="O291:W291" si="298">IF(O$28=0,"",INDEX(eindnorm_utiliteit_energielabel,MATCH(O$21,gebruiksfuncties_namen,0)))</f>
        <v/>
      </c>
      <c r="P291" s="207" t="str">
        <f>IF(P$28=0,"",INDEX(eindnorm_utiliteit_energielabel,1,MATCH(P$21,gebruiksfuncties_namen,0)))</f>
        <v/>
      </c>
      <c r="Q291" s="207" t="str">
        <f t="shared" si="298"/>
        <v/>
      </c>
      <c r="R291" s="207" t="str">
        <f t="shared" si="298"/>
        <v/>
      </c>
      <c r="S291" s="207" t="str">
        <f t="shared" si="298"/>
        <v/>
      </c>
      <c r="T291" s="207" t="str">
        <f t="shared" si="298"/>
        <v/>
      </c>
      <c r="U291" s="207" t="str">
        <f t="shared" si="298"/>
        <v/>
      </c>
      <c r="V291" s="207" t="str">
        <f t="shared" si="298"/>
        <v/>
      </c>
      <c r="W291" s="207" t="str">
        <f t="shared" si="298"/>
        <v/>
      </c>
      <c r="X291" s="128"/>
      <c r="Y291" s="243"/>
      <c r="Z291" s="129"/>
      <c r="AA291" s="207" t="str">
        <f t="shared" ref="AA291:AI291" si="299">IF(AA$28=0,"",INDEX(eindnorm_utiliteit_energielabel,MATCH(AA$21,gebruiksfuncties_namen,0)))</f>
        <v/>
      </c>
      <c r="AB291" s="207" t="str">
        <f t="shared" si="299"/>
        <v/>
      </c>
      <c r="AC291" s="207" t="str">
        <f t="shared" si="299"/>
        <v/>
      </c>
      <c r="AD291" s="207" t="str">
        <f t="shared" si="299"/>
        <v/>
      </c>
      <c r="AE291" s="207" t="str">
        <f t="shared" si="299"/>
        <v/>
      </c>
      <c r="AF291" s="207" t="str">
        <f t="shared" si="299"/>
        <v/>
      </c>
      <c r="AG291" s="207" t="str">
        <f t="shared" si="299"/>
        <v/>
      </c>
      <c r="AH291" s="207" t="str">
        <f t="shared" si="299"/>
        <v/>
      </c>
      <c r="AI291" s="207" t="str">
        <f t="shared" si="299"/>
        <v/>
      </c>
      <c r="AJ291" s="128"/>
      <c r="AK291" s="243"/>
      <c r="AL291" s="129"/>
      <c r="AM291" s="207" t="str">
        <f t="shared" ref="AM291:AU291" si="300">IF(AM$28=0,"",INDEX(eindnorm_utiliteit_energielabel,MATCH(AM$21,gebruiksfuncties_namen,0)))</f>
        <v/>
      </c>
      <c r="AN291" s="207" t="str">
        <f t="shared" si="300"/>
        <v/>
      </c>
      <c r="AO291" s="207" t="str">
        <f t="shared" si="300"/>
        <v/>
      </c>
      <c r="AP291" s="207" t="str">
        <f t="shared" si="300"/>
        <v/>
      </c>
      <c r="AQ291" s="207" t="str">
        <f t="shared" si="300"/>
        <v/>
      </c>
      <c r="AR291" s="207" t="str">
        <f t="shared" si="300"/>
        <v/>
      </c>
      <c r="AS291" s="207" t="str">
        <f t="shared" si="300"/>
        <v/>
      </c>
      <c r="AT291" s="207" t="str">
        <f t="shared" si="300"/>
        <v/>
      </c>
      <c r="AU291" s="207" t="str">
        <f t="shared" si="300"/>
        <v/>
      </c>
      <c r="AV291" s="128"/>
      <c r="AW291" s="243"/>
      <c r="AX291" s="129"/>
      <c r="AY291" s="207" t="str">
        <f t="shared" ref="AY291:BG291" si="301">IF(AY$28=0,"",INDEX(eindnorm_utiliteit_energielabel,MATCH(AY$21,gebruiksfuncties_namen,0)))</f>
        <v/>
      </c>
      <c r="AZ291" s="207" t="str">
        <f t="shared" si="301"/>
        <v/>
      </c>
      <c r="BA291" s="207" t="str">
        <f t="shared" si="301"/>
        <v/>
      </c>
      <c r="BB291" s="207" t="str">
        <f t="shared" si="301"/>
        <v/>
      </c>
      <c r="BC291" s="207" t="str">
        <f t="shared" si="301"/>
        <v/>
      </c>
      <c r="BD291" s="207" t="str">
        <f t="shared" si="301"/>
        <v/>
      </c>
      <c r="BE291" s="207" t="str">
        <f t="shared" si="301"/>
        <v/>
      </c>
      <c r="BF291" s="207" t="str">
        <f t="shared" si="301"/>
        <v/>
      </c>
      <c r="BG291" s="207" t="str">
        <f t="shared" si="301"/>
        <v/>
      </c>
      <c r="BH291" s="255"/>
    </row>
    <row r="292" spans="1:60" ht="18.75" x14ac:dyDescent="0.2">
      <c r="A292" s="648"/>
      <c r="B292" s="492" t="s">
        <v>335</v>
      </c>
      <c r="C292" s="739" t="s">
        <v>104</v>
      </c>
      <c r="D292" s="749" t="s">
        <v>50</v>
      </c>
      <c r="E292" s="236" t="s">
        <v>347</v>
      </c>
      <c r="F292" s="236"/>
      <c r="G292" s="236"/>
      <c r="H292" s="89"/>
      <c r="I292" s="236"/>
      <c r="J292" s="236"/>
      <c r="K292" s="236"/>
      <c r="L292" s="236"/>
      <c r="M292" s="236"/>
      <c r="N292" s="236"/>
      <c r="O292" s="236"/>
      <c r="P292" s="236"/>
      <c r="Q292" s="236"/>
      <c r="R292" s="236"/>
      <c r="S292" s="236"/>
      <c r="T292" s="236"/>
      <c r="U292" s="236"/>
      <c r="V292" s="236"/>
      <c r="W292" s="236"/>
      <c r="X292" s="236"/>
      <c r="Y292" s="236"/>
      <c r="Z292" s="236"/>
      <c r="AA292" s="236"/>
      <c r="AB292" s="236"/>
      <c r="AC292" s="236"/>
      <c r="AD292" s="236"/>
      <c r="AE292" s="236"/>
      <c r="AF292" s="236"/>
      <c r="AG292" s="236"/>
      <c r="AH292" s="236"/>
      <c r="AI292" s="236"/>
      <c r="AJ292" s="236"/>
      <c r="AK292" s="236"/>
      <c r="AL292" s="236"/>
      <c r="AM292" s="236"/>
      <c r="AN292" s="236"/>
      <c r="AO292" s="236"/>
      <c r="AP292" s="236"/>
      <c r="AQ292" s="236"/>
      <c r="AR292" s="236"/>
      <c r="AS292" s="236"/>
      <c r="AT292" s="236"/>
      <c r="AU292" s="236"/>
      <c r="AV292" s="236"/>
      <c r="AW292" s="236"/>
      <c r="AX292" s="236"/>
      <c r="AY292" s="236"/>
      <c r="AZ292" s="236"/>
      <c r="BA292" s="236"/>
      <c r="BB292" s="236"/>
      <c r="BC292" s="236"/>
      <c r="BD292" s="236"/>
      <c r="BE292" s="236"/>
      <c r="BF292" s="236"/>
      <c r="BG292" s="236"/>
      <c r="BH292" s="38"/>
    </row>
    <row r="293" spans="1:60" x14ac:dyDescent="0.2">
      <c r="A293" s="648"/>
      <c r="B293" s="492" t="s">
        <v>335</v>
      </c>
      <c r="C293" s="656" t="s">
        <v>113</v>
      </c>
      <c r="D293" s="750"/>
      <c r="E293" s="246" t="s">
        <v>348</v>
      </c>
      <c r="F293" s="246"/>
      <c r="G293" s="246"/>
      <c r="H293" s="247" t="s">
        <v>169</v>
      </c>
      <c r="I293" s="248"/>
      <c r="J293" s="249"/>
      <c r="K293" s="90"/>
      <c r="L293" s="90"/>
      <c r="M293" s="249"/>
      <c r="N293" s="248"/>
      <c r="O293" s="251" t="str">
        <f t="shared" ref="O293:W293" si="302">IF(O$294="","",IF(O$294="nvt","nvt",
INDEX(standaardwaarde_basis,MATCH(O$21,standaardwaarden_gebruiksfuncties,0))+
MAX(0,O$34-1)*INDEX(standaardwaarde_extra_vraag_boven_grenswaarde_vormfactor,MATCH(O$21,standaardwaarden_gebruiksfuncties,0))))</f>
        <v/>
      </c>
      <c r="P293" s="251" t="str">
        <f t="shared" si="302"/>
        <v/>
      </c>
      <c r="Q293" s="251" t="str">
        <f t="shared" si="302"/>
        <v/>
      </c>
      <c r="R293" s="251" t="str">
        <f t="shared" si="302"/>
        <v/>
      </c>
      <c r="S293" s="251" t="str">
        <f t="shared" si="302"/>
        <v/>
      </c>
      <c r="T293" s="251" t="str">
        <f t="shared" si="302"/>
        <v/>
      </c>
      <c r="U293" s="251" t="str">
        <f t="shared" si="302"/>
        <v/>
      </c>
      <c r="V293" s="251" t="str">
        <f t="shared" si="302"/>
        <v/>
      </c>
      <c r="W293" s="251" t="str">
        <f t="shared" si="302"/>
        <v/>
      </c>
      <c r="X293" s="128"/>
      <c r="Y293" s="249"/>
      <c r="Z293" s="248"/>
      <c r="AA293" s="251" t="str">
        <f t="shared" ref="AA293:AI293" si="303">IF(AA$294="","",IF(AA$294="nvt","nvt",
INDEX(standaardwaarde_basis,MATCH(AA$21,standaardwaarden_gebruiksfuncties,0))+
MAX(0,AA$34-1)*INDEX(standaardwaarde_extra_vraag_boven_grenswaarde_vormfactor,MATCH(AA$21,standaardwaarden_gebruiksfuncties,0))))</f>
        <v/>
      </c>
      <c r="AB293" s="251" t="str">
        <f t="shared" si="303"/>
        <v/>
      </c>
      <c r="AC293" s="251" t="str">
        <f t="shared" si="303"/>
        <v/>
      </c>
      <c r="AD293" s="251" t="str">
        <f t="shared" si="303"/>
        <v/>
      </c>
      <c r="AE293" s="251" t="str">
        <f t="shared" si="303"/>
        <v/>
      </c>
      <c r="AF293" s="251" t="str">
        <f t="shared" si="303"/>
        <v/>
      </c>
      <c r="AG293" s="251" t="str">
        <f t="shared" si="303"/>
        <v/>
      </c>
      <c r="AH293" s="251" t="str">
        <f t="shared" si="303"/>
        <v/>
      </c>
      <c r="AI293" s="251" t="str">
        <f t="shared" si="303"/>
        <v/>
      </c>
      <c r="AJ293" s="128"/>
      <c r="AK293" s="249"/>
      <c r="AL293" s="248"/>
      <c r="AM293" s="251" t="str">
        <f t="shared" ref="AM293:AU293" si="304">IF(AM$294="","",IF(AM$294="nvt","nvt",
INDEX(standaardwaarde_basis,MATCH(AM$21,standaardwaarden_gebruiksfuncties,0))+
MAX(0,AM$34-1)*INDEX(standaardwaarde_extra_vraag_boven_grenswaarde_vormfactor,MATCH(AM$21,standaardwaarden_gebruiksfuncties,0))))</f>
        <v/>
      </c>
      <c r="AN293" s="251" t="str">
        <f t="shared" si="304"/>
        <v/>
      </c>
      <c r="AO293" s="251" t="str">
        <f t="shared" si="304"/>
        <v/>
      </c>
      <c r="AP293" s="251" t="str">
        <f t="shared" si="304"/>
        <v/>
      </c>
      <c r="AQ293" s="251" t="str">
        <f t="shared" si="304"/>
        <v/>
      </c>
      <c r="AR293" s="251" t="str">
        <f t="shared" si="304"/>
        <v/>
      </c>
      <c r="AS293" s="251" t="str">
        <f t="shared" si="304"/>
        <v/>
      </c>
      <c r="AT293" s="251" t="str">
        <f t="shared" si="304"/>
        <v/>
      </c>
      <c r="AU293" s="251" t="str">
        <f t="shared" si="304"/>
        <v/>
      </c>
      <c r="AV293" s="128"/>
      <c r="AW293" s="249"/>
      <c r="AX293" s="248"/>
      <c r="AY293" s="251" t="str">
        <f t="shared" ref="AY293:BG293" si="305">IF(AY$294="","",IF(AY$294="nvt","nvt",
INDEX(standaardwaarde_basis,MATCH(AY$21,standaardwaarden_gebruiksfuncties,0))+
MAX(0,AY$34-1)*INDEX(standaardwaarde_extra_vraag_boven_grenswaarde_vormfactor,MATCH(AY$21,standaardwaarden_gebruiksfuncties,0))))</f>
        <v/>
      </c>
      <c r="AZ293" s="251" t="str">
        <f t="shared" si="305"/>
        <v/>
      </c>
      <c r="BA293" s="251" t="str">
        <f t="shared" si="305"/>
        <v/>
      </c>
      <c r="BB293" s="251" t="str">
        <f t="shared" si="305"/>
        <v/>
      </c>
      <c r="BC293" s="251" t="str">
        <f t="shared" si="305"/>
        <v/>
      </c>
      <c r="BD293" s="251" t="str">
        <f t="shared" si="305"/>
        <v/>
      </c>
      <c r="BE293" s="251" t="str">
        <f t="shared" si="305"/>
        <v/>
      </c>
      <c r="BF293" s="251" t="str">
        <f t="shared" si="305"/>
        <v/>
      </c>
      <c r="BG293" s="251" t="str">
        <f t="shared" si="305"/>
        <v/>
      </c>
      <c r="BH293" s="255"/>
    </row>
    <row r="294" spans="1:60" x14ac:dyDescent="0.2">
      <c r="A294" s="648"/>
      <c r="B294" s="492" t="s">
        <v>335</v>
      </c>
      <c r="C294" s="656" t="s">
        <v>113</v>
      </c>
      <c r="D294" s="750"/>
      <c r="E294" s="246" t="s">
        <v>349</v>
      </c>
      <c r="F294" s="246"/>
      <c r="G294" s="246"/>
      <c r="H294" s="247" t="s">
        <v>169</v>
      </c>
      <c r="I294" s="248"/>
      <c r="J294" s="249"/>
      <c r="K294" s="90"/>
      <c r="L294" s="90"/>
      <c r="M294" s="249"/>
      <c r="N294" s="248"/>
      <c r="O294" s="251" t="str">
        <f t="shared" ref="O294:W294" si="306">IF(OR(O$19="",O$40="",O$42="",O$280=""),"",IF(OR(O$21=woning,O$21=woongebouw),O$227,"nvt"))</f>
        <v/>
      </c>
      <c r="P294" s="251" t="str">
        <f t="shared" si="306"/>
        <v/>
      </c>
      <c r="Q294" s="251" t="str">
        <f t="shared" si="306"/>
        <v/>
      </c>
      <c r="R294" s="251" t="str">
        <f t="shared" si="306"/>
        <v/>
      </c>
      <c r="S294" s="251" t="str">
        <f t="shared" si="306"/>
        <v/>
      </c>
      <c r="T294" s="251" t="str">
        <f t="shared" si="306"/>
        <v/>
      </c>
      <c r="U294" s="251" t="str">
        <f t="shared" si="306"/>
        <v/>
      </c>
      <c r="V294" s="251" t="str">
        <f t="shared" si="306"/>
        <v/>
      </c>
      <c r="W294" s="251" t="str">
        <f t="shared" si="306"/>
        <v/>
      </c>
      <c r="X294" s="128"/>
      <c r="Y294" s="249"/>
      <c r="Z294" s="248"/>
      <c r="AA294" s="251" t="str">
        <f t="shared" ref="AA294:AI294" si="307">IF(OR(AA$19="",AA$40="",AA$42="",AA$280=""),"",IF(OR(AA$21=woning,AA$21=woongebouw),AA$227,"nvt"))</f>
        <v/>
      </c>
      <c r="AB294" s="251" t="str">
        <f t="shared" si="307"/>
        <v/>
      </c>
      <c r="AC294" s="251" t="str">
        <f t="shared" si="307"/>
        <v/>
      </c>
      <c r="AD294" s="251" t="str">
        <f t="shared" si="307"/>
        <v/>
      </c>
      <c r="AE294" s="251" t="str">
        <f t="shared" si="307"/>
        <v/>
      </c>
      <c r="AF294" s="251" t="str">
        <f t="shared" si="307"/>
        <v/>
      </c>
      <c r="AG294" s="251" t="str">
        <f t="shared" si="307"/>
        <v/>
      </c>
      <c r="AH294" s="251" t="str">
        <f t="shared" si="307"/>
        <v/>
      </c>
      <c r="AI294" s="251" t="str">
        <f t="shared" si="307"/>
        <v/>
      </c>
      <c r="AJ294" s="128"/>
      <c r="AK294" s="249"/>
      <c r="AL294" s="248"/>
      <c r="AM294" s="251" t="str">
        <f t="shared" ref="AM294:AU294" si="308">IF(OR(AM$19="",AM$40="",AM$42="",AM$280=""),"",IF(OR(AM$21=woning,AM$21=woongebouw),AM$227,"nvt"))</f>
        <v/>
      </c>
      <c r="AN294" s="251" t="str">
        <f t="shared" si="308"/>
        <v/>
      </c>
      <c r="AO294" s="251" t="str">
        <f t="shared" si="308"/>
        <v/>
      </c>
      <c r="AP294" s="251" t="str">
        <f t="shared" si="308"/>
        <v/>
      </c>
      <c r="AQ294" s="251" t="str">
        <f t="shared" si="308"/>
        <v/>
      </c>
      <c r="AR294" s="251" t="str">
        <f t="shared" si="308"/>
        <v/>
      </c>
      <c r="AS294" s="251" t="str">
        <f t="shared" si="308"/>
        <v/>
      </c>
      <c r="AT294" s="251" t="str">
        <f t="shared" si="308"/>
        <v/>
      </c>
      <c r="AU294" s="251" t="str">
        <f t="shared" si="308"/>
        <v/>
      </c>
      <c r="AV294" s="128"/>
      <c r="AW294" s="249"/>
      <c r="AX294" s="248"/>
      <c r="AY294" s="251" t="str">
        <f t="shared" ref="AY294:BG294" si="309">IF(OR(AY$19="",AY$40="",AY$42="",AY$280=""),"",IF(OR(AY$21=woning,AY$21=woongebouw),AY$227,"nvt"))</f>
        <v/>
      </c>
      <c r="AZ294" s="251" t="str">
        <f t="shared" si="309"/>
        <v/>
      </c>
      <c r="BA294" s="251" t="str">
        <f t="shared" si="309"/>
        <v/>
      </c>
      <c r="BB294" s="251" t="str">
        <f t="shared" si="309"/>
        <v/>
      </c>
      <c r="BC294" s="251" t="str">
        <f t="shared" si="309"/>
        <v/>
      </c>
      <c r="BD294" s="251" t="str">
        <f t="shared" si="309"/>
        <v/>
      </c>
      <c r="BE294" s="251" t="str">
        <f t="shared" si="309"/>
        <v/>
      </c>
      <c r="BF294" s="251" t="str">
        <f t="shared" si="309"/>
        <v/>
      </c>
      <c r="BG294" s="251" t="str">
        <f t="shared" si="309"/>
        <v/>
      </c>
      <c r="BH294" s="255"/>
    </row>
    <row r="295" spans="1:60" ht="18.75" x14ac:dyDescent="0.2">
      <c r="A295" s="648"/>
      <c r="B295" s="492" t="s">
        <v>335</v>
      </c>
      <c r="C295" s="739" t="s">
        <v>104</v>
      </c>
      <c r="D295" s="747"/>
      <c r="E295" s="236" t="s">
        <v>350</v>
      </c>
      <c r="F295" s="236"/>
      <c r="G295" s="236"/>
      <c r="H295" s="89"/>
      <c r="I295" s="236"/>
      <c r="J295" s="236"/>
      <c r="K295" s="236"/>
      <c r="L295" s="236"/>
      <c r="M295" s="236"/>
      <c r="N295" s="236"/>
      <c r="O295" s="236"/>
      <c r="P295" s="236"/>
      <c r="Q295" s="236"/>
      <c r="R295" s="236"/>
      <c r="S295" s="236"/>
      <c r="T295" s="236"/>
      <c r="U295" s="236"/>
      <c r="V295" s="236"/>
      <c r="W295" s="236"/>
      <c r="X295" s="236"/>
      <c r="Y295" s="236"/>
      <c r="Z295" s="236"/>
      <c r="AA295" s="236"/>
      <c r="AB295" s="236"/>
      <c r="AC295" s="236"/>
      <c r="AD295" s="236"/>
      <c r="AE295" s="236"/>
      <c r="AF295" s="236"/>
      <c r="AG295" s="236"/>
      <c r="AH295" s="236"/>
      <c r="AI295" s="236"/>
      <c r="AJ295" s="236"/>
      <c r="AK295" s="236"/>
      <c r="AL295" s="236"/>
      <c r="AM295" s="236"/>
      <c r="AN295" s="236"/>
      <c r="AO295" s="236"/>
      <c r="AP295" s="236"/>
      <c r="AQ295" s="236"/>
      <c r="AR295" s="236"/>
      <c r="AS295" s="236"/>
      <c r="AT295" s="236"/>
      <c r="AU295" s="236"/>
      <c r="AV295" s="236"/>
      <c r="AW295" s="236"/>
      <c r="AX295" s="236"/>
      <c r="AY295" s="236"/>
      <c r="AZ295" s="236"/>
      <c r="BA295" s="236"/>
      <c r="BB295" s="236"/>
      <c r="BC295" s="236"/>
      <c r="BD295" s="236"/>
      <c r="BE295" s="236"/>
      <c r="BF295" s="236"/>
      <c r="BG295" s="236"/>
      <c r="BH295" s="38"/>
    </row>
    <row r="296" spans="1:60" x14ac:dyDescent="0.2">
      <c r="A296" s="648"/>
      <c r="B296" s="492" t="s">
        <v>335</v>
      </c>
      <c r="C296" s="656" t="s">
        <v>113</v>
      </c>
      <c r="D296" s="750"/>
      <c r="E296" s="246" t="s">
        <v>351</v>
      </c>
      <c r="F296" s="246"/>
      <c r="G296" s="246"/>
      <c r="H296" s="247" t="s">
        <v>169</v>
      </c>
      <c r="I296" s="248"/>
      <c r="J296" s="249"/>
      <c r="K296" s="90"/>
      <c r="L296" s="90"/>
      <c r="M296" s="249"/>
      <c r="N296" s="248"/>
      <c r="O296" s="251" t="str" cm="1">
        <f t="array" ref="O296">IF(O$294="","",IF(O$294="nvt","nvt",
INDEX(standaardwaarde_basis,MATCH(O$21,standaardwaarden_gebruiksfuncties,0)+1)+
MAX(0,O$34-1)*INDEX(standaardwaarde_extra_vraag_boven_grenswaarde_vormfactor,MATCH(O$21,standaardwaarden_gebruiksfuncties,0)+1)))</f>
        <v/>
      </c>
      <c r="P296" s="251" t="str" cm="1">
        <f t="array" ref="P296">IF(P$294="","",IF(P$294="nvt","nvt",
INDEX(standaardwaarde_basis,MATCH(P$21,standaardwaarden_gebruiksfuncties,0)+1)+
MAX(0,P$34-1)*INDEX(standaardwaarde_extra_vraag_boven_grenswaarde_vormfactor,MATCH(P$21,standaardwaarden_gebruiksfuncties,0)+1)))</f>
        <v/>
      </c>
      <c r="Q296" s="251" t="str" cm="1">
        <f t="array" ref="Q296">IF(Q$294="","",IF(Q$294="nvt","nvt",
INDEX(standaardwaarde_basis,MATCH(Q$21,standaardwaarden_gebruiksfuncties,0)+1)+
MAX(0,Q$34-1)*INDEX(standaardwaarde_extra_vraag_boven_grenswaarde_vormfactor,MATCH(Q$21,standaardwaarden_gebruiksfuncties,0)+1)))</f>
        <v/>
      </c>
      <c r="R296" s="251" t="str" cm="1">
        <f t="array" ref="R296">IF(R$294="","",IF(R$294="nvt","nvt",
INDEX(standaardwaarde_basis,MATCH(R$21,standaardwaarden_gebruiksfuncties,0)+1)+
MAX(0,R$34-1)*INDEX(standaardwaarde_extra_vraag_boven_grenswaarde_vormfactor,MATCH(R$21,standaardwaarden_gebruiksfuncties,0)+1)))</f>
        <v/>
      </c>
      <c r="S296" s="251" t="str" cm="1">
        <f t="array" ref="S296">IF(S$294="","",IF(S$294="nvt","nvt",
INDEX(standaardwaarde_basis,MATCH(S$21,standaardwaarden_gebruiksfuncties,0)+1)+
MAX(0,S$34-1)*INDEX(standaardwaarde_extra_vraag_boven_grenswaarde_vormfactor,MATCH(S$21,standaardwaarden_gebruiksfuncties,0)+1)))</f>
        <v/>
      </c>
      <c r="T296" s="251" t="str" cm="1">
        <f t="array" ref="T296">IF(T$294="","",IF(T$294="nvt","nvt",
INDEX(standaardwaarde_basis,MATCH(T$21,standaardwaarden_gebruiksfuncties,0)+1)+
MAX(0,T$34-1)*INDEX(standaardwaarde_extra_vraag_boven_grenswaarde_vormfactor,MATCH(T$21,standaardwaarden_gebruiksfuncties,0)+1)))</f>
        <v/>
      </c>
      <c r="U296" s="251" t="str" cm="1">
        <f t="array" ref="U296">IF(U$294="","",IF(U$294="nvt","nvt",
INDEX(standaardwaarde_basis,MATCH(U$21,standaardwaarden_gebruiksfuncties,0)+1)+
MAX(0,U$34-1)*INDEX(standaardwaarde_extra_vraag_boven_grenswaarde_vormfactor,MATCH(U$21,standaardwaarden_gebruiksfuncties,0)+1)))</f>
        <v/>
      </c>
      <c r="V296" s="251" t="str" cm="1">
        <f t="array" ref="V296">IF(V$294="","",IF(V$294="nvt","nvt",
INDEX(standaardwaarde_basis,MATCH(V$21,standaardwaarden_gebruiksfuncties,0)+1)+
MAX(0,V$34-1)*INDEX(standaardwaarde_extra_vraag_boven_grenswaarde_vormfactor,MATCH(V$21,standaardwaarden_gebruiksfuncties,0)+1)))</f>
        <v/>
      </c>
      <c r="W296" s="251" t="str" cm="1">
        <f t="array" ref="W296">IF(W$294="","",IF(W$294="nvt","nvt",
INDEX(standaardwaarde_basis,MATCH(W$21,standaardwaarden_gebruiksfuncties,0)+1)+
MAX(0,W$34-1)*INDEX(standaardwaarde_extra_vraag_boven_grenswaarde_vormfactor,MATCH(W$21,standaardwaarden_gebruiksfuncties,0)+1)))</f>
        <v/>
      </c>
      <c r="X296" s="128"/>
      <c r="Y296" s="249"/>
      <c r="Z296" s="248"/>
      <c r="AA296" s="251" t="str" cm="1">
        <f t="array" ref="AA296">IF(AA$294="","",IF(AA$294="nvt","nvt",
INDEX(standaardwaarde_basis,MATCH(AA$21,standaardwaarden_gebruiksfuncties,0)+1)+
MAX(0,AA$34-1)*INDEX(standaardwaarde_extra_vraag_boven_grenswaarde_vormfactor,MATCH(AA$21,standaardwaarden_gebruiksfuncties,0)+1)))</f>
        <v/>
      </c>
      <c r="AB296" s="251" t="str" cm="1">
        <f t="array" ref="AB296">IF(AB$294="","",IF(AB$294="nvt","nvt",
INDEX(standaardwaarde_basis,MATCH(AB$21,standaardwaarden_gebruiksfuncties,0)+1)+
MAX(0,AB$34-1)*INDEX(standaardwaarde_extra_vraag_boven_grenswaarde_vormfactor,MATCH(AB$21,standaardwaarden_gebruiksfuncties,0)+1)))</f>
        <v/>
      </c>
      <c r="AC296" s="251" t="str" cm="1">
        <f t="array" ref="AC296">IF(AC$294="","",IF(AC$294="nvt","nvt",
INDEX(standaardwaarde_basis,MATCH(AC$21,standaardwaarden_gebruiksfuncties,0)+1)+
MAX(0,AC$34-1)*INDEX(standaardwaarde_extra_vraag_boven_grenswaarde_vormfactor,MATCH(AC$21,standaardwaarden_gebruiksfuncties,0)+1)))</f>
        <v/>
      </c>
      <c r="AD296" s="251" t="str" cm="1">
        <f t="array" ref="AD296">IF(AD$294="","",IF(AD$294="nvt","nvt",
INDEX(standaardwaarde_basis,MATCH(AD$21,standaardwaarden_gebruiksfuncties,0)+1)+
MAX(0,AD$34-1)*INDEX(standaardwaarde_extra_vraag_boven_grenswaarde_vormfactor,MATCH(AD$21,standaardwaarden_gebruiksfuncties,0)+1)))</f>
        <v/>
      </c>
      <c r="AE296" s="251" t="str" cm="1">
        <f t="array" ref="AE296">IF(AE$294="","",IF(AE$294="nvt","nvt",
INDEX(standaardwaarde_basis,MATCH(AE$21,standaardwaarden_gebruiksfuncties,0)+1)+
MAX(0,AE$34-1)*INDEX(standaardwaarde_extra_vraag_boven_grenswaarde_vormfactor,MATCH(AE$21,standaardwaarden_gebruiksfuncties,0)+1)))</f>
        <v/>
      </c>
      <c r="AF296" s="251" t="str" cm="1">
        <f t="array" ref="AF296">IF(AF$294="","",IF(AF$294="nvt","nvt",
INDEX(standaardwaarde_basis,MATCH(AF$21,standaardwaarden_gebruiksfuncties,0)+1)+
MAX(0,AF$34-1)*INDEX(standaardwaarde_extra_vraag_boven_grenswaarde_vormfactor,MATCH(AF$21,standaardwaarden_gebruiksfuncties,0)+1)))</f>
        <v/>
      </c>
      <c r="AG296" s="251" t="str" cm="1">
        <f t="array" ref="AG296">IF(AG$294="","",IF(AG$294="nvt","nvt",
INDEX(standaardwaarde_basis,MATCH(AG$21,standaardwaarden_gebruiksfuncties,0)+1)+
MAX(0,AG$34-1)*INDEX(standaardwaarde_extra_vraag_boven_grenswaarde_vormfactor,MATCH(AG$21,standaardwaarden_gebruiksfuncties,0)+1)))</f>
        <v/>
      </c>
      <c r="AH296" s="251" t="str" cm="1">
        <f t="array" ref="AH296">IF(AH$294="","",IF(AH$294="nvt","nvt",
INDEX(standaardwaarde_basis,MATCH(AH$21,standaardwaarden_gebruiksfuncties,0)+1)+
MAX(0,AH$34-1)*INDEX(standaardwaarde_extra_vraag_boven_grenswaarde_vormfactor,MATCH(AH$21,standaardwaarden_gebruiksfuncties,0)+1)))</f>
        <v/>
      </c>
      <c r="AI296" s="251" t="str" cm="1">
        <f t="array" ref="AI296">IF(AI$294="","",IF(AI$294="nvt","nvt",
INDEX(standaardwaarde_basis,MATCH(AI$21,standaardwaarden_gebruiksfuncties,0)+1)+
MAX(0,AI$34-1)*INDEX(standaardwaarde_extra_vraag_boven_grenswaarde_vormfactor,MATCH(AI$21,standaardwaarden_gebruiksfuncties,0)+1)))</f>
        <v/>
      </c>
      <c r="AJ296" s="128"/>
      <c r="AK296" s="249"/>
      <c r="AL296" s="248"/>
      <c r="AM296" s="251" t="str" cm="1">
        <f t="array" ref="AM296">IF(AM$294="","",IF(AM$294="nvt","nvt",
INDEX(standaardwaarde_basis,MATCH(AM$21,standaardwaarden_gebruiksfuncties,0)+1)+
MAX(0,AM$34-1)*INDEX(standaardwaarde_extra_vraag_boven_grenswaarde_vormfactor,MATCH(AM$21,standaardwaarden_gebruiksfuncties,0)+1)))</f>
        <v/>
      </c>
      <c r="AN296" s="251" t="str" cm="1">
        <f t="array" ref="AN296">IF(AN$294="","",IF(AN$294="nvt","nvt",
INDEX(standaardwaarde_basis,MATCH(AN$21,standaardwaarden_gebruiksfuncties,0)+1)+
MAX(0,AN$34-1)*INDEX(standaardwaarde_extra_vraag_boven_grenswaarde_vormfactor,MATCH(AN$21,standaardwaarden_gebruiksfuncties,0)+1)))</f>
        <v/>
      </c>
      <c r="AO296" s="251" t="str" cm="1">
        <f t="array" ref="AO296">IF(AO$294="","",IF(AO$294="nvt","nvt",
INDEX(standaardwaarde_basis,MATCH(AO$21,standaardwaarden_gebruiksfuncties,0)+1)+
MAX(0,AO$34-1)*INDEX(standaardwaarde_extra_vraag_boven_grenswaarde_vormfactor,MATCH(AO$21,standaardwaarden_gebruiksfuncties,0)+1)))</f>
        <v/>
      </c>
      <c r="AP296" s="251" t="str" cm="1">
        <f t="array" ref="AP296">IF(AP$294="","",IF(AP$294="nvt","nvt",
INDEX(standaardwaarde_basis,MATCH(AP$21,standaardwaarden_gebruiksfuncties,0)+1)+
MAX(0,AP$34-1)*INDEX(standaardwaarde_extra_vraag_boven_grenswaarde_vormfactor,MATCH(AP$21,standaardwaarden_gebruiksfuncties,0)+1)))</f>
        <v/>
      </c>
      <c r="AQ296" s="251" t="str" cm="1">
        <f t="array" ref="AQ296">IF(AQ$294="","",IF(AQ$294="nvt","nvt",
INDEX(standaardwaarde_basis,MATCH(AQ$21,standaardwaarden_gebruiksfuncties,0)+1)+
MAX(0,AQ$34-1)*INDEX(standaardwaarde_extra_vraag_boven_grenswaarde_vormfactor,MATCH(AQ$21,standaardwaarden_gebruiksfuncties,0)+1)))</f>
        <v/>
      </c>
      <c r="AR296" s="251" t="str" cm="1">
        <f t="array" ref="AR296">IF(AR$294="","",IF(AR$294="nvt","nvt",
INDEX(standaardwaarde_basis,MATCH(AR$21,standaardwaarden_gebruiksfuncties,0)+1)+
MAX(0,AR$34-1)*INDEX(standaardwaarde_extra_vraag_boven_grenswaarde_vormfactor,MATCH(AR$21,standaardwaarden_gebruiksfuncties,0)+1)))</f>
        <v/>
      </c>
      <c r="AS296" s="251" t="str" cm="1">
        <f t="array" ref="AS296">IF(AS$294="","",IF(AS$294="nvt","nvt",
INDEX(standaardwaarde_basis,MATCH(AS$21,standaardwaarden_gebruiksfuncties,0)+1)+
MAX(0,AS$34-1)*INDEX(standaardwaarde_extra_vraag_boven_grenswaarde_vormfactor,MATCH(AS$21,standaardwaarden_gebruiksfuncties,0)+1)))</f>
        <v/>
      </c>
      <c r="AT296" s="251" t="str" cm="1">
        <f t="array" ref="AT296">IF(AT$294="","",IF(AT$294="nvt","nvt",
INDEX(standaardwaarde_basis,MATCH(AT$21,standaardwaarden_gebruiksfuncties,0)+1)+
MAX(0,AT$34-1)*INDEX(standaardwaarde_extra_vraag_boven_grenswaarde_vormfactor,MATCH(AT$21,standaardwaarden_gebruiksfuncties,0)+1)))</f>
        <v/>
      </c>
      <c r="AU296" s="251" t="str" cm="1">
        <f t="array" ref="AU296">IF(AU$294="","",IF(AU$294="nvt","nvt",
INDEX(standaardwaarde_basis,MATCH(AU$21,standaardwaarden_gebruiksfuncties,0)+1)+
MAX(0,AU$34-1)*INDEX(standaardwaarde_extra_vraag_boven_grenswaarde_vormfactor,MATCH(AU$21,standaardwaarden_gebruiksfuncties,0)+1)))</f>
        <v/>
      </c>
      <c r="AV296" s="128"/>
      <c r="AW296" s="249"/>
      <c r="AX296" s="248"/>
      <c r="AY296" s="251" t="str" cm="1">
        <f t="array" ref="AY296">IF(AY$294="","",IF(AY$294="nvt","nvt",
INDEX(standaardwaarde_basis,MATCH(AY$21,standaardwaarden_gebruiksfuncties,0)+1)+
MAX(0,AY$34-1)*INDEX(standaardwaarde_extra_vraag_boven_grenswaarde_vormfactor,MATCH(AY$21,standaardwaarden_gebruiksfuncties,0)+1)))</f>
        <v/>
      </c>
      <c r="AZ296" s="251" t="str" cm="1">
        <f t="array" ref="AZ296">IF(AZ$294="","",IF(AZ$294="nvt","nvt",
INDEX(standaardwaarde_basis,MATCH(AZ$21,standaardwaarden_gebruiksfuncties,0)+1)+
MAX(0,AZ$34-1)*INDEX(standaardwaarde_extra_vraag_boven_grenswaarde_vormfactor,MATCH(AZ$21,standaardwaarden_gebruiksfuncties,0)+1)))</f>
        <v/>
      </c>
      <c r="BA296" s="251" t="str" cm="1">
        <f t="array" ref="BA296">IF(BA$294="","",IF(BA$294="nvt","nvt",
INDEX(standaardwaarde_basis,MATCH(BA$21,standaardwaarden_gebruiksfuncties,0)+1)+
MAX(0,BA$34-1)*INDEX(standaardwaarde_extra_vraag_boven_grenswaarde_vormfactor,MATCH(BA$21,standaardwaarden_gebruiksfuncties,0)+1)))</f>
        <v/>
      </c>
      <c r="BB296" s="251" t="str" cm="1">
        <f t="array" ref="BB296">IF(BB$294="","",IF(BB$294="nvt","nvt",
INDEX(standaardwaarde_basis,MATCH(BB$21,standaardwaarden_gebruiksfuncties,0)+1)+
MAX(0,BB$34-1)*INDEX(standaardwaarde_extra_vraag_boven_grenswaarde_vormfactor,MATCH(BB$21,standaardwaarden_gebruiksfuncties,0)+1)))</f>
        <v/>
      </c>
      <c r="BC296" s="251" t="str" cm="1">
        <f t="array" ref="BC296">IF(BC$294="","",IF(BC$294="nvt","nvt",
INDEX(standaardwaarde_basis,MATCH(BC$21,standaardwaarden_gebruiksfuncties,0)+1)+
MAX(0,BC$34-1)*INDEX(standaardwaarde_extra_vraag_boven_grenswaarde_vormfactor,MATCH(BC$21,standaardwaarden_gebruiksfuncties,0)+1)))</f>
        <v/>
      </c>
      <c r="BD296" s="251" t="str" cm="1">
        <f t="array" ref="BD296">IF(BD$294="","",IF(BD$294="nvt","nvt",
INDEX(standaardwaarde_basis,MATCH(BD$21,standaardwaarden_gebruiksfuncties,0)+1)+
MAX(0,BD$34-1)*INDEX(standaardwaarde_extra_vraag_boven_grenswaarde_vormfactor,MATCH(BD$21,standaardwaarden_gebruiksfuncties,0)+1)))</f>
        <v/>
      </c>
      <c r="BE296" s="251" t="str" cm="1">
        <f t="array" ref="BE296">IF(BE$294="","",IF(BE$294="nvt","nvt",
INDEX(standaardwaarde_basis,MATCH(BE$21,standaardwaarden_gebruiksfuncties,0)+1)+
MAX(0,BE$34-1)*INDEX(standaardwaarde_extra_vraag_boven_grenswaarde_vormfactor,MATCH(BE$21,standaardwaarden_gebruiksfuncties,0)+1)))</f>
        <v/>
      </c>
      <c r="BF296" s="251" t="str" cm="1">
        <f t="array" ref="BF296">IF(BF$294="","",IF(BF$294="nvt","nvt",
INDEX(standaardwaarde_basis,MATCH(BF$21,standaardwaarden_gebruiksfuncties,0)+1)+
MAX(0,BF$34-1)*INDEX(standaardwaarde_extra_vraag_boven_grenswaarde_vormfactor,MATCH(BF$21,standaardwaarden_gebruiksfuncties,0)+1)))</f>
        <v/>
      </c>
      <c r="BG296" s="251" t="str" cm="1">
        <f t="array" ref="BG296">IF(BG$294="","",IF(BG$294="nvt","nvt",
INDEX(standaardwaarde_basis,MATCH(BG$21,standaardwaarden_gebruiksfuncties,0)+1)+
MAX(0,BG$34-1)*INDEX(standaardwaarde_extra_vraag_boven_grenswaarde_vormfactor,MATCH(BG$21,standaardwaarden_gebruiksfuncties,0)+1)))</f>
        <v/>
      </c>
      <c r="BH296" s="255"/>
    </row>
    <row r="297" spans="1:60" x14ac:dyDescent="0.2">
      <c r="A297" s="648"/>
      <c r="B297" s="492" t="s">
        <v>335</v>
      </c>
      <c r="C297" s="656" t="s">
        <v>113</v>
      </c>
      <c r="D297" s="750"/>
      <c r="E297" s="246" t="s">
        <v>349</v>
      </c>
      <c r="F297" s="246"/>
      <c r="G297" s="246"/>
      <c r="H297" s="247" t="s">
        <v>169</v>
      </c>
      <c r="I297" s="248"/>
      <c r="J297" s="249"/>
      <c r="K297" s="90"/>
      <c r="L297" s="90"/>
      <c r="M297" s="249"/>
      <c r="N297" s="248"/>
      <c r="O297" s="251" t="str">
        <f t="shared" ref="O297:W297" si="310">IF(OR(O$19="",O$40="",O$42="",O$280=""),"",IF(OR(O$21=woning,O$21=woongebouw),O$227,"nvt"))</f>
        <v/>
      </c>
      <c r="P297" s="251" t="str">
        <f t="shared" si="310"/>
        <v/>
      </c>
      <c r="Q297" s="251" t="str">
        <f t="shared" si="310"/>
        <v/>
      </c>
      <c r="R297" s="251" t="str">
        <f t="shared" si="310"/>
        <v/>
      </c>
      <c r="S297" s="251" t="str">
        <f t="shared" si="310"/>
        <v/>
      </c>
      <c r="T297" s="251" t="str">
        <f t="shared" si="310"/>
        <v/>
      </c>
      <c r="U297" s="251" t="str">
        <f t="shared" si="310"/>
        <v/>
      </c>
      <c r="V297" s="251" t="str">
        <f t="shared" si="310"/>
        <v/>
      </c>
      <c r="W297" s="251" t="str">
        <f t="shared" si="310"/>
        <v/>
      </c>
      <c r="X297" s="128"/>
      <c r="Y297" s="249"/>
      <c r="Z297" s="248"/>
      <c r="AA297" s="251" t="str">
        <f t="shared" ref="AA297:AI297" si="311">IF(OR(AA$19="",AA$40="",AA$42="",AA$280=""),"",IF(OR(AA$21=woning,AA$21=woongebouw),AA$227,"nvt"))</f>
        <v/>
      </c>
      <c r="AB297" s="251" t="str">
        <f t="shared" si="311"/>
        <v/>
      </c>
      <c r="AC297" s="251" t="str">
        <f t="shared" si="311"/>
        <v/>
      </c>
      <c r="AD297" s="251" t="str">
        <f t="shared" si="311"/>
        <v/>
      </c>
      <c r="AE297" s="251" t="str">
        <f t="shared" si="311"/>
        <v/>
      </c>
      <c r="AF297" s="251" t="str">
        <f t="shared" si="311"/>
        <v/>
      </c>
      <c r="AG297" s="251" t="str">
        <f t="shared" si="311"/>
        <v/>
      </c>
      <c r="AH297" s="251" t="str">
        <f t="shared" si="311"/>
        <v/>
      </c>
      <c r="AI297" s="251" t="str">
        <f t="shared" si="311"/>
        <v/>
      </c>
      <c r="AJ297" s="128"/>
      <c r="AK297" s="249"/>
      <c r="AL297" s="248"/>
      <c r="AM297" s="251" t="str">
        <f t="shared" ref="AM297:AU297" si="312">IF(OR(AM$19="",AM$40="",AM$42="",AM$280=""),"",IF(OR(AM$21=woning,AM$21=woongebouw),AM$227,"nvt"))</f>
        <v/>
      </c>
      <c r="AN297" s="251" t="str">
        <f t="shared" si="312"/>
        <v/>
      </c>
      <c r="AO297" s="251" t="str">
        <f t="shared" si="312"/>
        <v/>
      </c>
      <c r="AP297" s="251" t="str">
        <f t="shared" si="312"/>
        <v/>
      </c>
      <c r="AQ297" s="251" t="str">
        <f t="shared" si="312"/>
        <v/>
      </c>
      <c r="AR297" s="251" t="str">
        <f t="shared" si="312"/>
        <v/>
      </c>
      <c r="AS297" s="251" t="str">
        <f t="shared" si="312"/>
        <v/>
      </c>
      <c r="AT297" s="251" t="str">
        <f t="shared" si="312"/>
        <v/>
      </c>
      <c r="AU297" s="251" t="str">
        <f t="shared" si="312"/>
        <v/>
      </c>
      <c r="AV297" s="128"/>
      <c r="AW297" s="249"/>
      <c r="AX297" s="248"/>
      <c r="AY297" s="251" t="str">
        <f t="shared" ref="AY297:BG297" si="313">IF(OR(AY$19="",AY$40="",AY$42="",AY$280=""),"",IF(OR(AY$21=woning,AY$21=woongebouw),AY$227,"nvt"))</f>
        <v/>
      </c>
      <c r="AZ297" s="251" t="str">
        <f t="shared" si="313"/>
        <v/>
      </c>
      <c r="BA297" s="251" t="str">
        <f t="shared" si="313"/>
        <v/>
      </c>
      <c r="BB297" s="251" t="str">
        <f t="shared" si="313"/>
        <v/>
      </c>
      <c r="BC297" s="251" t="str">
        <f t="shared" si="313"/>
        <v/>
      </c>
      <c r="BD297" s="251" t="str">
        <f t="shared" si="313"/>
        <v/>
      </c>
      <c r="BE297" s="251" t="str">
        <f t="shared" si="313"/>
        <v/>
      </c>
      <c r="BF297" s="251" t="str">
        <f t="shared" si="313"/>
        <v/>
      </c>
      <c r="BG297" s="251" t="str">
        <f t="shared" si="313"/>
        <v/>
      </c>
      <c r="BH297" s="255"/>
    </row>
    <row r="298" spans="1:60" x14ac:dyDescent="0.2">
      <c r="A298" s="648"/>
      <c r="B298" s="492" t="s">
        <v>335</v>
      </c>
      <c r="C298" s="739" t="s">
        <v>104</v>
      </c>
      <c r="D298" s="747"/>
      <c r="E298" s="90"/>
      <c r="F298" s="90"/>
      <c r="G298" s="90"/>
      <c r="H298" s="96"/>
      <c r="I298" s="90"/>
      <c r="J298" s="93"/>
      <c r="K298" s="90"/>
      <c r="L298" s="90"/>
      <c r="M298" s="93"/>
      <c r="N298" s="90"/>
      <c r="O298" s="122"/>
      <c r="P298" s="122"/>
      <c r="Q298" s="122"/>
      <c r="R298" s="122"/>
      <c r="S298" s="122"/>
      <c r="T298" s="122"/>
      <c r="U298" s="122"/>
      <c r="V298" s="122"/>
      <c r="W298" s="122"/>
      <c r="X298" s="93"/>
      <c r="Y298" s="93"/>
      <c r="Z298" s="90"/>
      <c r="AA298" s="122"/>
      <c r="AB298" s="122"/>
      <c r="AC298" s="122"/>
      <c r="AD298" s="122"/>
      <c r="AE298" s="122"/>
      <c r="AF298" s="122"/>
      <c r="AG298" s="122"/>
      <c r="AH298" s="122"/>
      <c r="AI298" s="122"/>
      <c r="AJ298" s="93"/>
      <c r="AK298" s="93"/>
      <c r="AL298" s="90"/>
      <c r="AM298" s="122"/>
      <c r="AN298" s="122"/>
      <c r="AO298" s="122"/>
      <c r="AP298" s="122"/>
      <c r="AQ298" s="122"/>
      <c r="AR298" s="122"/>
      <c r="AS298" s="122"/>
      <c r="AT298" s="122"/>
      <c r="AU298" s="122"/>
      <c r="AV298" s="93"/>
      <c r="AW298" s="93"/>
      <c r="AX298" s="90"/>
      <c r="AY298" s="122"/>
      <c r="AZ298" s="122"/>
      <c r="BA298" s="122"/>
      <c r="BB298" s="122"/>
      <c r="BC298" s="122"/>
      <c r="BD298" s="122"/>
      <c r="BE298" s="122"/>
      <c r="BF298" s="122"/>
      <c r="BG298" s="122"/>
      <c r="BH298" s="1"/>
    </row>
    <row r="299" spans="1:60" x14ac:dyDescent="0.2">
      <c r="A299" s="648"/>
      <c r="B299" s="492" t="s">
        <v>352</v>
      </c>
      <c r="C299" s="656" t="s">
        <v>104</v>
      </c>
      <c r="D299" s="747"/>
      <c r="E299" s="90"/>
      <c r="F299" s="90"/>
      <c r="G299" s="90"/>
      <c r="H299" s="96"/>
      <c r="I299" s="90"/>
      <c r="J299" s="93"/>
      <c r="K299" s="90"/>
      <c r="L299" s="90"/>
      <c r="M299" s="93"/>
      <c r="N299" s="90"/>
      <c r="O299" s="93"/>
      <c r="P299" s="93"/>
      <c r="Q299" s="93"/>
      <c r="R299" s="93"/>
      <c r="S299" s="93"/>
      <c r="T299" s="93"/>
      <c r="U299" s="93"/>
      <c r="V299" s="93"/>
      <c r="W299" s="93"/>
      <c r="X299" s="93"/>
      <c r="Y299" s="93"/>
      <c r="Z299" s="90"/>
      <c r="AA299" s="93"/>
      <c r="AB299" s="93"/>
      <c r="AC299" s="93"/>
      <c r="AD299" s="93"/>
      <c r="AE299" s="93"/>
      <c r="AF299" s="93"/>
      <c r="AG299" s="93"/>
      <c r="AH299" s="93"/>
      <c r="AI299" s="93"/>
      <c r="AJ299" s="93"/>
      <c r="AK299" s="93"/>
      <c r="AL299" s="90"/>
      <c r="AM299" s="93"/>
      <c r="AN299" s="93"/>
      <c r="AO299" s="93"/>
      <c r="AP299" s="93"/>
      <c r="AQ299" s="93"/>
      <c r="AR299" s="93"/>
      <c r="AS299" s="93"/>
      <c r="AT299" s="93"/>
      <c r="AU299" s="93"/>
      <c r="AV299" s="93"/>
      <c r="AW299" s="93"/>
      <c r="AX299" s="90"/>
      <c r="AY299" s="93"/>
      <c r="AZ299" s="93"/>
      <c r="BA299" s="93"/>
      <c r="BB299" s="93"/>
      <c r="BC299" s="93"/>
      <c r="BD299" s="93"/>
      <c r="BE299" s="93"/>
      <c r="BF299" s="93"/>
      <c r="BG299" s="93"/>
      <c r="BH299" s="1"/>
    </row>
    <row r="300" spans="1:60" s="2" customFormat="1" ht="21" x14ac:dyDescent="0.2">
      <c r="A300" s="649"/>
      <c r="B300" s="492" t="s">
        <v>352</v>
      </c>
      <c r="C300" s="739" t="s">
        <v>104</v>
      </c>
      <c r="D300" s="749" t="s">
        <v>50</v>
      </c>
      <c r="E300" s="253" t="s">
        <v>353</v>
      </c>
      <c r="F300" s="253"/>
      <c r="G300" s="253"/>
      <c r="H300" s="253"/>
      <c r="I300" s="146"/>
      <c r="J300" s="318" t="str">
        <f>J$10&amp;" ton CO2"</f>
        <v>totaal ton CO2</v>
      </c>
      <c r="K300" s="142"/>
      <c r="L300" s="142"/>
      <c r="M300" s="318" t="str">
        <f>M$10&amp;" ton CO2"</f>
        <v>totaal ton CO2</v>
      </c>
      <c r="N300" s="222"/>
      <c r="O300" s="320" t="str">
        <f t="shared" ref="O300:W300" si="314">O$17</f>
        <v/>
      </c>
      <c r="P300" s="320" t="str">
        <f t="shared" si="314"/>
        <v/>
      </c>
      <c r="Q300" s="320" t="str">
        <f t="shared" si="314"/>
        <v/>
      </c>
      <c r="R300" s="320" t="str">
        <f t="shared" si="314"/>
        <v/>
      </c>
      <c r="S300" s="320" t="str">
        <f t="shared" si="314"/>
        <v/>
      </c>
      <c r="T300" s="320" t="str">
        <f t="shared" si="314"/>
        <v/>
      </c>
      <c r="U300" s="320" t="str">
        <f t="shared" si="314"/>
        <v/>
      </c>
      <c r="V300" s="320" t="str">
        <f t="shared" si="314"/>
        <v/>
      </c>
      <c r="W300" s="320" t="str">
        <f t="shared" si="314"/>
        <v/>
      </c>
      <c r="X300" s="214"/>
      <c r="Y300" s="318" t="str">
        <f>Y$10&amp;" ton CO2"</f>
        <v>totaal ton CO2</v>
      </c>
      <c r="Z300" s="222"/>
      <c r="AA300" s="320" t="str">
        <f t="shared" ref="AA300:AI300" si="315">AA$17</f>
        <v/>
      </c>
      <c r="AB300" s="320" t="str">
        <f t="shared" si="315"/>
        <v/>
      </c>
      <c r="AC300" s="320" t="str">
        <f t="shared" si="315"/>
        <v/>
      </c>
      <c r="AD300" s="320" t="str">
        <f t="shared" si="315"/>
        <v/>
      </c>
      <c r="AE300" s="320" t="str">
        <f t="shared" si="315"/>
        <v/>
      </c>
      <c r="AF300" s="320" t="str">
        <f t="shared" si="315"/>
        <v/>
      </c>
      <c r="AG300" s="320" t="str">
        <f t="shared" si="315"/>
        <v/>
      </c>
      <c r="AH300" s="320" t="str">
        <f t="shared" si="315"/>
        <v/>
      </c>
      <c r="AI300" s="320" t="str">
        <f t="shared" si="315"/>
        <v/>
      </c>
      <c r="AJ300" s="214"/>
      <c r="AK300" s="318" t="str">
        <f>AK$10&amp;" ton CO2"</f>
        <v>totaal ton CO2</v>
      </c>
      <c r="AL300" s="222"/>
      <c r="AM300" s="320" t="str">
        <f>AM$17</f>
        <v/>
      </c>
      <c r="AN300" s="320" t="str">
        <f t="shared" ref="AN300:AU300" si="316">AN$17</f>
        <v/>
      </c>
      <c r="AO300" s="320" t="str">
        <f t="shared" si="316"/>
        <v/>
      </c>
      <c r="AP300" s="320" t="str">
        <f t="shared" si="316"/>
        <v/>
      </c>
      <c r="AQ300" s="320" t="str">
        <f t="shared" si="316"/>
        <v/>
      </c>
      <c r="AR300" s="320" t="str">
        <f t="shared" si="316"/>
        <v/>
      </c>
      <c r="AS300" s="320" t="str">
        <f t="shared" si="316"/>
        <v/>
      </c>
      <c r="AT300" s="320" t="str">
        <f t="shared" si="316"/>
        <v/>
      </c>
      <c r="AU300" s="320" t="str">
        <f t="shared" si="316"/>
        <v/>
      </c>
      <c r="AV300" s="214"/>
      <c r="AW300" s="318" t="str">
        <f>AW$10&amp;" ton CO2"</f>
        <v>totaal ton CO2</v>
      </c>
      <c r="AX300" s="222"/>
      <c r="AY300" s="320" t="str">
        <f>AY$17</f>
        <v/>
      </c>
      <c r="AZ300" s="320" t="str">
        <f t="shared" ref="AZ300:BG300" si="317">AZ$17</f>
        <v/>
      </c>
      <c r="BA300" s="320" t="str">
        <f t="shared" si="317"/>
        <v/>
      </c>
      <c r="BB300" s="320" t="str">
        <f t="shared" si="317"/>
        <v/>
      </c>
      <c r="BC300" s="320" t="str">
        <f t="shared" si="317"/>
        <v/>
      </c>
      <c r="BD300" s="320" t="str">
        <f t="shared" si="317"/>
        <v/>
      </c>
      <c r="BE300" s="320" t="str">
        <f t="shared" si="317"/>
        <v/>
      </c>
      <c r="BF300" s="320" t="str">
        <f t="shared" si="317"/>
        <v/>
      </c>
      <c r="BG300" s="320" t="str">
        <f t="shared" si="317"/>
        <v/>
      </c>
      <c r="BH300" s="1"/>
    </row>
    <row r="301" spans="1:60" ht="18.75" x14ac:dyDescent="0.2">
      <c r="A301" s="648"/>
      <c r="B301" s="492" t="s">
        <v>352</v>
      </c>
      <c r="C301" s="739" t="s">
        <v>104</v>
      </c>
      <c r="D301" s="747"/>
      <c r="E301" s="236" t="s">
        <v>354</v>
      </c>
      <c r="F301" s="236"/>
      <c r="G301" s="236"/>
      <c r="H301" s="89"/>
      <c r="I301" s="236"/>
      <c r="J301" s="236"/>
      <c r="K301" s="236"/>
      <c r="L301" s="236"/>
      <c r="M301" s="236"/>
      <c r="N301" s="236"/>
      <c r="O301" s="236"/>
      <c r="P301" s="236"/>
      <c r="Q301" s="236"/>
      <c r="R301" s="236"/>
      <c r="S301" s="236"/>
      <c r="T301" s="236"/>
      <c r="U301" s="236"/>
      <c r="V301" s="236"/>
      <c r="W301" s="236"/>
      <c r="X301" s="236"/>
      <c r="Y301" s="236"/>
      <c r="Z301" s="236"/>
      <c r="AA301" s="236"/>
      <c r="AB301" s="236"/>
      <c r="AC301" s="236"/>
      <c r="AD301" s="236"/>
      <c r="AE301" s="236"/>
      <c r="AF301" s="236"/>
      <c r="AG301" s="236"/>
      <c r="AH301" s="236"/>
      <c r="AI301" s="236"/>
      <c r="AJ301" s="236"/>
      <c r="AK301" s="236"/>
      <c r="AL301" s="236"/>
      <c r="AM301" s="236"/>
      <c r="AN301" s="236"/>
      <c r="AO301" s="236"/>
      <c r="AP301" s="236"/>
      <c r="AQ301" s="236"/>
      <c r="AR301" s="236"/>
      <c r="AS301" s="236"/>
      <c r="AT301" s="236"/>
      <c r="AU301" s="236"/>
      <c r="AV301" s="236"/>
      <c r="AW301" s="236"/>
      <c r="AX301" s="236"/>
      <c r="AY301" s="236"/>
      <c r="AZ301" s="236"/>
      <c r="BA301" s="236"/>
      <c r="BB301" s="236"/>
      <c r="BC301" s="236"/>
      <c r="BD301" s="236"/>
      <c r="BE301" s="236"/>
      <c r="BF301" s="236"/>
      <c r="BG301" s="236"/>
      <c r="BH301" s="38"/>
    </row>
    <row r="302" spans="1:60" x14ac:dyDescent="0.2">
      <c r="A302" s="648"/>
      <c r="B302" s="492" t="s">
        <v>352</v>
      </c>
      <c r="C302" s="656" t="s">
        <v>113</v>
      </c>
      <c r="D302" s="750"/>
      <c r="E302" s="367" t="str">
        <f>$O$73</f>
        <v>verwarming</v>
      </c>
      <c r="F302" s="246"/>
      <c r="G302" s="246"/>
      <c r="H302" s="247" t="s">
        <v>355</v>
      </c>
      <c r="I302" s="248"/>
      <c r="J302" s="375">
        <f t="shared" ref="J302:J310" si="318">M302+Y302+AK302+AW302</f>
        <v>0</v>
      </c>
      <c r="K302" s="376"/>
      <c r="L302" s="376"/>
      <c r="M302" s="375">
        <f t="shared" ref="M302:M309" si="319">SUMPRODUCT(N302:X302,N$24:X$24,N$31:X$31)/1000</f>
        <v>0</v>
      </c>
      <c r="N302" s="376"/>
      <c r="O302" s="254">
        <f t="shared" ref="O302:W302" si="320">IF($O$75=0,0,
($O$121+$O$146+$O$162)/$O$75*O60)</f>
        <v>0</v>
      </c>
      <c r="P302" s="254">
        <f t="shared" si="320"/>
        <v>0</v>
      </c>
      <c r="Q302" s="254">
        <f t="shared" si="320"/>
        <v>0</v>
      </c>
      <c r="R302" s="254">
        <f t="shared" si="320"/>
        <v>0</v>
      </c>
      <c r="S302" s="254">
        <f t="shared" si="320"/>
        <v>0</v>
      </c>
      <c r="T302" s="254">
        <f t="shared" si="320"/>
        <v>0</v>
      </c>
      <c r="U302" s="254">
        <f t="shared" si="320"/>
        <v>0</v>
      </c>
      <c r="V302" s="254">
        <f t="shared" si="320"/>
        <v>0</v>
      </c>
      <c r="W302" s="254">
        <f t="shared" si="320"/>
        <v>0</v>
      </c>
      <c r="X302" s="255"/>
      <c r="Y302" s="375">
        <f t="shared" ref="Y302:Y309" si="321">SUMPRODUCT(Z302:AJ302,Z$24:AJ$24,Z$31:AJ$31)/1000</f>
        <v>0</v>
      </c>
      <c r="Z302" s="376"/>
      <c r="AA302" s="254">
        <f t="shared" ref="AA302:AI302" si="322">IF($AA$75=0,0,
($AA$121+$AA$146+$AA$162)/$AA$75*AA60)</f>
        <v>0</v>
      </c>
      <c r="AB302" s="254">
        <f t="shared" si="322"/>
        <v>0</v>
      </c>
      <c r="AC302" s="254">
        <f t="shared" si="322"/>
        <v>0</v>
      </c>
      <c r="AD302" s="254">
        <f t="shared" si="322"/>
        <v>0</v>
      </c>
      <c r="AE302" s="254">
        <f t="shared" si="322"/>
        <v>0</v>
      </c>
      <c r="AF302" s="254">
        <f t="shared" si="322"/>
        <v>0</v>
      </c>
      <c r="AG302" s="254">
        <f t="shared" si="322"/>
        <v>0</v>
      </c>
      <c r="AH302" s="254">
        <f t="shared" si="322"/>
        <v>0</v>
      </c>
      <c r="AI302" s="254">
        <f t="shared" si="322"/>
        <v>0</v>
      </c>
      <c r="AJ302" s="255"/>
      <c r="AK302" s="375">
        <f t="shared" ref="AK302:AK309" si="323">SUMPRODUCT(AL302:AV302,AL$24:AV$24,AL$31:AV$31)/1000</f>
        <v>0</v>
      </c>
      <c r="AL302" s="213"/>
      <c r="AM302" s="254">
        <f t="shared" ref="AM302:AU302" si="324">IF($AM$75=0,0,
($AM$121+$AM$146+$AM$162)/$AM$75*AM60)</f>
        <v>0</v>
      </c>
      <c r="AN302" s="254">
        <f t="shared" si="324"/>
        <v>0</v>
      </c>
      <c r="AO302" s="254">
        <f t="shared" si="324"/>
        <v>0</v>
      </c>
      <c r="AP302" s="254">
        <f t="shared" si="324"/>
        <v>0</v>
      </c>
      <c r="AQ302" s="254">
        <f t="shared" si="324"/>
        <v>0</v>
      </c>
      <c r="AR302" s="254">
        <f t="shared" si="324"/>
        <v>0</v>
      </c>
      <c r="AS302" s="254">
        <f t="shared" si="324"/>
        <v>0</v>
      </c>
      <c r="AT302" s="254">
        <f t="shared" si="324"/>
        <v>0</v>
      </c>
      <c r="AU302" s="254">
        <f t="shared" si="324"/>
        <v>0</v>
      </c>
      <c r="AV302" s="255"/>
      <c r="AW302" s="375">
        <f t="shared" ref="AW302:AW309" si="325">SUMPRODUCT(AX302:BH302,AX$24:BH$24,AX$31:BH$31)/1000</f>
        <v>0</v>
      </c>
      <c r="AX302" s="213"/>
      <c r="AY302" s="254">
        <f t="shared" ref="AY302:BG302" si="326">IF($AY$75=0,0,
($AY$121+$AY$146+$AY$162)/$AY$75*AY60)</f>
        <v>0</v>
      </c>
      <c r="AZ302" s="254">
        <f t="shared" si="326"/>
        <v>0</v>
      </c>
      <c r="BA302" s="254">
        <f t="shared" si="326"/>
        <v>0</v>
      </c>
      <c r="BB302" s="254">
        <f t="shared" si="326"/>
        <v>0</v>
      </c>
      <c r="BC302" s="254">
        <f t="shared" si="326"/>
        <v>0</v>
      </c>
      <c r="BD302" s="254">
        <f t="shared" si="326"/>
        <v>0</v>
      </c>
      <c r="BE302" s="254">
        <f t="shared" si="326"/>
        <v>0</v>
      </c>
      <c r="BF302" s="254">
        <f t="shared" si="326"/>
        <v>0</v>
      </c>
      <c r="BG302" s="254">
        <f t="shared" si="326"/>
        <v>0</v>
      </c>
      <c r="BH302" s="255"/>
    </row>
    <row r="303" spans="1:60" x14ac:dyDescent="0.2">
      <c r="A303" s="648"/>
      <c r="B303" s="492" t="s">
        <v>352</v>
      </c>
      <c r="C303" s="656" t="s">
        <v>113</v>
      </c>
      <c r="D303" s="750"/>
      <c r="E303" s="367" t="str">
        <f>$P$73</f>
        <v>koeling</v>
      </c>
      <c r="F303" s="246"/>
      <c r="G303" s="246"/>
      <c r="H303" s="247" t="s">
        <v>355</v>
      </c>
      <c r="I303" s="248"/>
      <c r="J303" s="375">
        <f t="shared" si="318"/>
        <v>0</v>
      </c>
      <c r="K303" s="376"/>
      <c r="L303" s="376"/>
      <c r="M303" s="375">
        <f t="shared" si="319"/>
        <v>0</v>
      </c>
      <c r="N303" s="376"/>
      <c r="O303" s="254">
        <f t="shared" ref="O303:W303" si="327">IF($P$75=0,0,
($P$121+$P$146+$P$162)/$P$75*O61)</f>
        <v>0</v>
      </c>
      <c r="P303" s="254">
        <f t="shared" si="327"/>
        <v>0</v>
      </c>
      <c r="Q303" s="254">
        <f t="shared" si="327"/>
        <v>0</v>
      </c>
      <c r="R303" s="254">
        <f t="shared" si="327"/>
        <v>0</v>
      </c>
      <c r="S303" s="254">
        <f t="shared" si="327"/>
        <v>0</v>
      </c>
      <c r="T303" s="254">
        <f t="shared" si="327"/>
        <v>0</v>
      </c>
      <c r="U303" s="254">
        <f t="shared" si="327"/>
        <v>0</v>
      </c>
      <c r="V303" s="254">
        <f t="shared" si="327"/>
        <v>0</v>
      </c>
      <c r="W303" s="254">
        <f t="shared" si="327"/>
        <v>0</v>
      </c>
      <c r="X303" s="255"/>
      <c r="Y303" s="375">
        <f t="shared" si="321"/>
        <v>0</v>
      </c>
      <c r="Z303" s="376"/>
      <c r="AA303" s="254">
        <f t="shared" ref="AA303:AI303" si="328">IF($AB$75=0,0,
($AB$121+$AB$146+$AB$162)/$AB$75*AA61)</f>
        <v>0</v>
      </c>
      <c r="AB303" s="254">
        <f t="shared" si="328"/>
        <v>0</v>
      </c>
      <c r="AC303" s="254">
        <f t="shared" si="328"/>
        <v>0</v>
      </c>
      <c r="AD303" s="254">
        <f t="shared" si="328"/>
        <v>0</v>
      </c>
      <c r="AE303" s="254">
        <f t="shared" si="328"/>
        <v>0</v>
      </c>
      <c r="AF303" s="254">
        <f t="shared" si="328"/>
        <v>0</v>
      </c>
      <c r="AG303" s="254">
        <f t="shared" si="328"/>
        <v>0</v>
      </c>
      <c r="AH303" s="254">
        <f t="shared" si="328"/>
        <v>0</v>
      </c>
      <c r="AI303" s="254">
        <f t="shared" si="328"/>
        <v>0</v>
      </c>
      <c r="AJ303" s="255"/>
      <c r="AK303" s="375">
        <f t="shared" si="323"/>
        <v>0</v>
      </c>
      <c r="AL303" s="213"/>
      <c r="AM303" s="254">
        <f t="shared" ref="AM303:AU303" si="329">IF($AN$75=0,0,
($AN$121+$AN$146+$AN$162)/$AN$75*AM61)</f>
        <v>0</v>
      </c>
      <c r="AN303" s="254">
        <f t="shared" si="329"/>
        <v>0</v>
      </c>
      <c r="AO303" s="254">
        <f t="shared" si="329"/>
        <v>0</v>
      </c>
      <c r="AP303" s="254">
        <f t="shared" si="329"/>
        <v>0</v>
      </c>
      <c r="AQ303" s="254">
        <f t="shared" si="329"/>
        <v>0</v>
      </c>
      <c r="AR303" s="254">
        <f t="shared" si="329"/>
        <v>0</v>
      </c>
      <c r="AS303" s="254">
        <f t="shared" si="329"/>
        <v>0</v>
      </c>
      <c r="AT303" s="254">
        <f t="shared" si="329"/>
        <v>0</v>
      </c>
      <c r="AU303" s="254">
        <f t="shared" si="329"/>
        <v>0</v>
      </c>
      <c r="AV303" s="255"/>
      <c r="AW303" s="375">
        <f t="shared" si="325"/>
        <v>0</v>
      </c>
      <c r="AX303" s="213"/>
      <c r="AY303" s="254">
        <f t="shared" ref="AY303:BG303" si="330">IF($AZ$75=0,0,
($AZ$121+$AZ$146+$AZ$162)/$AZ$75*AY61)</f>
        <v>0</v>
      </c>
      <c r="AZ303" s="254">
        <f t="shared" si="330"/>
        <v>0</v>
      </c>
      <c r="BA303" s="254">
        <f t="shared" si="330"/>
        <v>0</v>
      </c>
      <c r="BB303" s="254">
        <f t="shared" si="330"/>
        <v>0</v>
      </c>
      <c r="BC303" s="254">
        <f t="shared" si="330"/>
        <v>0</v>
      </c>
      <c r="BD303" s="254">
        <f t="shared" si="330"/>
        <v>0</v>
      </c>
      <c r="BE303" s="254">
        <f t="shared" si="330"/>
        <v>0</v>
      </c>
      <c r="BF303" s="254">
        <f t="shared" si="330"/>
        <v>0</v>
      </c>
      <c r="BG303" s="254">
        <f t="shared" si="330"/>
        <v>0</v>
      </c>
      <c r="BH303" s="255"/>
    </row>
    <row r="304" spans="1:60" x14ac:dyDescent="0.2">
      <c r="A304" s="648"/>
      <c r="B304" s="492" t="s">
        <v>352</v>
      </c>
      <c r="C304" s="656" t="s">
        <v>113</v>
      </c>
      <c r="D304" s="750"/>
      <c r="E304" s="367" t="str">
        <f>$Q$73</f>
        <v>tapwater</v>
      </c>
      <c r="F304" s="246"/>
      <c r="G304" s="246"/>
      <c r="H304" s="247" t="s">
        <v>355</v>
      </c>
      <c r="I304" s="248"/>
      <c r="J304" s="375">
        <f t="shared" si="318"/>
        <v>0</v>
      </c>
      <c r="K304" s="376"/>
      <c r="L304" s="376"/>
      <c r="M304" s="375">
        <f t="shared" si="319"/>
        <v>0</v>
      </c>
      <c r="N304" s="376"/>
      <c r="O304" s="254">
        <f t="shared" ref="O304:W304" si="331">IF($Q$75=0,0,
($Q$121+$Q$146+$Q$162)/$Q$75*O62)</f>
        <v>0</v>
      </c>
      <c r="P304" s="254">
        <f t="shared" si="331"/>
        <v>0</v>
      </c>
      <c r="Q304" s="254">
        <f t="shared" si="331"/>
        <v>0</v>
      </c>
      <c r="R304" s="254">
        <f t="shared" si="331"/>
        <v>0</v>
      </c>
      <c r="S304" s="254">
        <f t="shared" si="331"/>
        <v>0</v>
      </c>
      <c r="T304" s="254">
        <f t="shared" si="331"/>
        <v>0</v>
      </c>
      <c r="U304" s="254">
        <f t="shared" si="331"/>
        <v>0</v>
      </c>
      <c r="V304" s="254">
        <f t="shared" si="331"/>
        <v>0</v>
      </c>
      <c r="W304" s="254">
        <f t="shared" si="331"/>
        <v>0</v>
      </c>
      <c r="X304" s="255"/>
      <c r="Y304" s="375">
        <f t="shared" si="321"/>
        <v>0</v>
      </c>
      <c r="Z304" s="376"/>
      <c r="AA304" s="254">
        <f t="shared" ref="AA304:AI304" si="332">IF($AC$75=0,0,
($AC$121+$AC$146+$AC$162)/$AC$75*AA62)</f>
        <v>0</v>
      </c>
      <c r="AB304" s="254">
        <f t="shared" si="332"/>
        <v>0</v>
      </c>
      <c r="AC304" s="254">
        <f t="shared" si="332"/>
        <v>0</v>
      </c>
      <c r="AD304" s="254">
        <f t="shared" si="332"/>
        <v>0</v>
      </c>
      <c r="AE304" s="254">
        <f t="shared" si="332"/>
        <v>0</v>
      </c>
      <c r="AF304" s="254">
        <f t="shared" si="332"/>
        <v>0</v>
      </c>
      <c r="AG304" s="254">
        <f t="shared" si="332"/>
        <v>0</v>
      </c>
      <c r="AH304" s="254">
        <f t="shared" si="332"/>
        <v>0</v>
      </c>
      <c r="AI304" s="254">
        <f t="shared" si="332"/>
        <v>0</v>
      </c>
      <c r="AJ304" s="255"/>
      <c r="AK304" s="375">
        <f t="shared" si="323"/>
        <v>0</v>
      </c>
      <c r="AL304" s="213"/>
      <c r="AM304" s="254">
        <f t="shared" ref="AM304:AU304" si="333">IF($AO$75=0,0,
($AO$121+$AO$146+$AO$162)/$AO$75*AM62)</f>
        <v>0</v>
      </c>
      <c r="AN304" s="254">
        <f t="shared" si="333"/>
        <v>0</v>
      </c>
      <c r="AO304" s="254">
        <f t="shared" si="333"/>
        <v>0</v>
      </c>
      <c r="AP304" s="254">
        <f t="shared" si="333"/>
        <v>0</v>
      </c>
      <c r="AQ304" s="254">
        <f t="shared" si="333"/>
        <v>0</v>
      </c>
      <c r="AR304" s="254">
        <f t="shared" si="333"/>
        <v>0</v>
      </c>
      <c r="AS304" s="254">
        <f t="shared" si="333"/>
        <v>0</v>
      </c>
      <c r="AT304" s="254">
        <f t="shared" si="333"/>
        <v>0</v>
      </c>
      <c r="AU304" s="254">
        <f t="shared" si="333"/>
        <v>0</v>
      </c>
      <c r="AV304" s="255"/>
      <c r="AW304" s="375">
        <f t="shared" si="325"/>
        <v>0</v>
      </c>
      <c r="AX304" s="213"/>
      <c r="AY304" s="254">
        <f t="shared" ref="AY304:BG304" si="334">IF($BA$75=0,0,
($BA$121+$BA$146+$BA$162)/$BA$75*AY62)</f>
        <v>0</v>
      </c>
      <c r="AZ304" s="254">
        <f t="shared" si="334"/>
        <v>0</v>
      </c>
      <c r="BA304" s="254">
        <f t="shared" si="334"/>
        <v>0</v>
      </c>
      <c r="BB304" s="254">
        <f t="shared" si="334"/>
        <v>0</v>
      </c>
      <c r="BC304" s="254">
        <f t="shared" si="334"/>
        <v>0</v>
      </c>
      <c r="BD304" s="254">
        <f t="shared" si="334"/>
        <v>0</v>
      </c>
      <c r="BE304" s="254">
        <f t="shared" si="334"/>
        <v>0</v>
      </c>
      <c r="BF304" s="254">
        <f t="shared" si="334"/>
        <v>0</v>
      </c>
      <c r="BG304" s="254">
        <f t="shared" si="334"/>
        <v>0</v>
      </c>
      <c r="BH304" s="255"/>
    </row>
    <row r="305" spans="1:60" x14ac:dyDescent="0.2">
      <c r="A305" s="648"/>
      <c r="B305" s="492" t="s">
        <v>352</v>
      </c>
      <c r="C305" s="656" t="s">
        <v>113</v>
      </c>
      <c r="D305" s="750"/>
      <c r="E305" s="367" t="str">
        <f>$R$73</f>
        <v>verlichting</v>
      </c>
      <c r="F305" s="246"/>
      <c r="G305" s="246"/>
      <c r="H305" s="247" t="s">
        <v>355</v>
      </c>
      <c r="I305" s="248"/>
      <c r="J305" s="375">
        <f t="shared" si="318"/>
        <v>0</v>
      </c>
      <c r="K305" s="376"/>
      <c r="L305" s="376"/>
      <c r="M305" s="375">
        <f t="shared" si="319"/>
        <v>0</v>
      </c>
      <c r="N305" s="376"/>
      <c r="O305" s="254">
        <f t="shared" ref="O305:W305" si="335">IF($R$75=0,0,$R$162/$R$75*O63)</f>
        <v>0</v>
      </c>
      <c r="P305" s="254">
        <f t="shared" si="335"/>
        <v>0</v>
      </c>
      <c r="Q305" s="254">
        <f t="shared" si="335"/>
        <v>0</v>
      </c>
      <c r="R305" s="254">
        <f t="shared" si="335"/>
        <v>0</v>
      </c>
      <c r="S305" s="254">
        <f t="shared" si="335"/>
        <v>0</v>
      </c>
      <c r="T305" s="254">
        <f t="shared" si="335"/>
        <v>0</v>
      </c>
      <c r="U305" s="254">
        <f t="shared" si="335"/>
        <v>0</v>
      </c>
      <c r="V305" s="254">
        <f t="shared" si="335"/>
        <v>0</v>
      </c>
      <c r="W305" s="254">
        <f t="shared" si="335"/>
        <v>0</v>
      </c>
      <c r="X305" s="255"/>
      <c r="Y305" s="375">
        <f t="shared" si="321"/>
        <v>0</v>
      </c>
      <c r="Z305" s="376"/>
      <c r="AA305" s="254">
        <f t="shared" ref="AA305:AI305" si="336">IF($AD$75=0,0,$AD$162/$AD$75*AA63)</f>
        <v>0</v>
      </c>
      <c r="AB305" s="254">
        <f t="shared" si="336"/>
        <v>0</v>
      </c>
      <c r="AC305" s="254">
        <f t="shared" si="336"/>
        <v>0</v>
      </c>
      <c r="AD305" s="254">
        <f t="shared" si="336"/>
        <v>0</v>
      </c>
      <c r="AE305" s="254">
        <f t="shared" si="336"/>
        <v>0</v>
      </c>
      <c r="AF305" s="254">
        <f t="shared" si="336"/>
        <v>0</v>
      </c>
      <c r="AG305" s="254">
        <f t="shared" si="336"/>
        <v>0</v>
      </c>
      <c r="AH305" s="254">
        <f t="shared" si="336"/>
        <v>0</v>
      </c>
      <c r="AI305" s="254">
        <f t="shared" si="336"/>
        <v>0</v>
      </c>
      <c r="AJ305" s="255"/>
      <c r="AK305" s="375">
        <f t="shared" si="323"/>
        <v>0</v>
      </c>
      <c r="AL305" s="213"/>
      <c r="AM305" s="254">
        <f t="shared" ref="AM305:AU305" si="337">IF($AP$75=0,0,$AP$162/$AP$75*AM63)</f>
        <v>0</v>
      </c>
      <c r="AN305" s="254">
        <f t="shared" si="337"/>
        <v>0</v>
      </c>
      <c r="AO305" s="254">
        <f t="shared" si="337"/>
        <v>0</v>
      </c>
      <c r="AP305" s="254">
        <f t="shared" si="337"/>
        <v>0</v>
      </c>
      <c r="AQ305" s="254">
        <f t="shared" si="337"/>
        <v>0</v>
      </c>
      <c r="AR305" s="254">
        <f t="shared" si="337"/>
        <v>0</v>
      </c>
      <c r="AS305" s="254">
        <f t="shared" si="337"/>
        <v>0</v>
      </c>
      <c r="AT305" s="254">
        <f t="shared" si="337"/>
        <v>0</v>
      </c>
      <c r="AU305" s="254">
        <f t="shared" si="337"/>
        <v>0</v>
      </c>
      <c r="AV305" s="255"/>
      <c r="AW305" s="375">
        <f t="shared" si="325"/>
        <v>0</v>
      </c>
      <c r="AX305" s="213"/>
      <c r="AY305" s="254">
        <f t="shared" ref="AY305:BG305" si="338">IF($BB$75=0,0,$BB$162/$BB$75*AY63)</f>
        <v>0</v>
      </c>
      <c r="AZ305" s="254">
        <f t="shared" si="338"/>
        <v>0</v>
      </c>
      <c r="BA305" s="254">
        <f t="shared" si="338"/>
        <v>0</v>
      </c>
      <c r="BB305" s="254">
        <f t="shared" si="338"/>
        <v>0</v>
      </c>
      <c r="BC305" s="254">
        <f t="shared" si="338"/>
        <v>0</v>
      </c>
      <c r="BD305" s="254">
        <f t="shared" si="338"/>
        <v>0</v>
      </c>
      <c r="BE305" s="254">
        <f t="shared" si="338"/>
        <v>0</v>
      </c>
      <c r="BF305" s="254">
        <f t="shared" si="338"/>
        <v>0</v>
      </c>
      <c r="BG305" s="254">
        <f t="shared" si="338"/>
        <v>0</v>
      </c>
      <c r="BH305" s="255"/>
    </row>
    <row r="306" spans="1:60" x14ac:dyDescent="0.2">
      <c r="A306" s="648"/>
      <c r="B306" s="492" t="s">
        <v>352</v>
      </c>
      <c r="C306" s="656" t="s">
        <v>113</v>
      </c>
      <c r="D306" s="750"/>
      <c r="E306" s="367" t="str">
        <f>$S$73</f>
        <v>ventilatoren</v>
      </c>
      <c r="F306" s="246"/>
      <c r="G306" s="246"/>
      <c r="H306" s="247" t="s">
        <v>355</v>
      </c>
      <c r="I306" s="248"/>
      <c r="J306" s="375">
        <f t="shared" si="318"/>
        <v>0</v>
      </c>
      <c r="K306" s="376"/>
      <c r="L306" s="376"/>
      <c r="M306" s="375">
        <f t="shared" si="319"/>
        <v>0</v>
      </c>
      <c r="N306" s="376"/>
      <c r="O306" s="254">
        <f t="shared" ref="O306:W306" si="339">IF($S$75=0,0,$S$162/$S$75*O64)</f>
        <v>0</v>
      </c>
      <c r="P306" s="254">
        <f t="shared" si="339"/>
        <v>0</v>
      </c>
      <c r="Q306" s="254">
        <f t="shared" si="339"/>
        <v>0</v>
      </c>
      <c r="R306" s="254">
        <f t="shared" si="339"/>
        <v>0</v>
      </c>
      <c r="S306" s="254">
        <f t="shared" si="339"/>
        <v>0</v>
      </c>
      <c r="T306" s="254">
        <f t="shared" si="339"/>
        <v>0</v>
      </c>
      <c r="U306" s="254">
        <f t="shared" si="339"/>
        <v>0</v>
      </c>
      <c r="V306" s="254">
        <f t="shared" si="339"/>
        <v>0</v>
      </c>
      <c r="W306" s="254">
        <f t="shared" si="339"/>
        <v>0</v>
      </c>
      <c r="X306" s="255"/>
      <c r="Y306" s="375">
        <f t="shared" si="321"/>
        <v>0</v>
      </c>
      <c r="Z306" s="376"/>
      <c r="AA306" s="254">
        <f t="shared" ref="AA306:AI306" si="340">IF($AE$75=0,0,$AE$162/$AE$75*AA64)</f>
        <v>0</v>
      </c>
      <c r="AB306" s="254">
        <f t="shared" si="340"/>
        <v>0</v>
      </c>
      <c r="AC306" s="254">
        <f t="shared" si="340"/>
        <v>0</v>
      </c>
      <c r="AD306" s="254">
        <f t="shared" si="340"/>
        <v>0</v>
      </c>
      <c r="AE306" s="254">
        <f t="shared" si="340"/>
        <v>0</v>
      </c>
      <c r="AF306" s="254">
        <f t="shared" si="340"/>
        <v>0</v>
      </c>
      <c r="AG306" s="254">
        <f t="shared" si="340"/>
        <v>0</v>
      </c>
      <c r="AH306" s="254">
        <f t="shared" si="340"/>
        <v>0</v>
      </c>
      <c r="AI306" s="254">
        <f t="shared" si="340"/>
        <v>0</v>
      </c>
      <c r="AJ306" s="255"/>
      <c r="AK306" s="375">
        <f t="shared" si="323"/>
        <v>0</v>
      </c>
      <c r="AL306" s="213"/>
      <c r="AM306" s="254">
        <f t="shared" ref="AM306:AU306" si="341">IF($AQ$75=0,0,$AQ$162/$AQ$75*AM64)</f>
        <v>0</v>
      </c>
      <c r="AN306" s="254">
        <f t="shared" si="341"/>
        <v>0</v>
      </c>
      <c r="AO306" s="254">
        <f t="shared" si="341"/>
        <v>0</v>
      </c>
      <c r="AP306" s="254">
        <f t="shared" si="341"/>
        <v>0</v>
      </c>
      <c r="AQ306" s="254">
        <f t="shared" si="341"/>
        <v>0</v>
      </c>
      <c r="AR306" s="254">
        <f t="shared" si="341"/>
        <v>0</v>
      </c>
      <c r="AS306" s="254">
        <f t="shared" si="341"/>
        <v>0</v>
      </c>
      <c r="AT306" s="254">
        <f t="shared" si="341"/>
        <v>0</v>
      </c>
      <c r="AU306" s="254">
        <f t="shared" si="341"/>
        <v>0</v>
      </c>
      <c r="AV306" s="255"/>
      <c r="AW306" s="375">
        <f t="shared" si="325"/>
        <v>0</v>
      </c>
      <c r="AX306" s="213"/>
      <c r="AY306" s="254">
        <f t="shared" ref="AY306:BG306" si="342">IF($BC$75=0,0,$BC$162/$BC$75*AY64)</f>
        <v>0</v>
      </c>
      <c r="AZ306" s="254">
        <f t="shared" si="342"/>
        <v>0</v>
      </c>
      <c r="BA306" s="254">
        <f t="shared" si="342"/>
        <v>0</v>
      </c>
      <c r="BB306" s="254">
        <f t="shared" si="342"/>
        <v>0</v>
      </c>
      <c r="BC306" s="254">
        <f t="shared" si="342"/>
        <v>0</v>
      </c>
      <c r="BD306" s="254">
        <f t="shared" si="342"/>
        <v>0</v>
      </c>
      <c r="BE306" s="254">
        <f t="shared" si="342"/>
        <v>0</v>
      </c>
      <c r="BF306" s="254">
        <f t="shared" si="342"/>
        <v>0</v>
      </c>
      <c r="BG306" s="254">
        <f t="shared" si="342"/>
        <v>0</v>
      </c>
      <c r="BH306" s="255"/>
    </row>
    <row r="307" spans="1:60" x14ac:dyDescent="0.2">
      <c r="A307" s="648"/>
      <c r="B307" s="492" t="s">
        <v>352</v>
      </c>
      <c r="C307" s="656" t="s">
        <v>113</v>
      </c>
      <c r="D307" s="750"/>
      <c r="E307" s="367" t="str">
        <f>$T$73</f>
        <v>kookgas</v>
      </c>
      <c r="F307" s="246"/>
      <c r="G307" s="246"/>
      <c r="H307" s="247" t="s">
        <v>355</v>
      </c>
      <c r="I307" s="248"/>
      <c r="J307" s="375">
        <f t="shared" si="318"/>
        <v>0</v>
      </c>
      <c r="K307" s="376"/>
      <c r="L307" s="376"/>
      <c r="M307" s="375">
        <f t="shared" si="319"/>
        <v>0</v>
      </c>
      <c r="N307" s="376"/>
      <c r="O307" s="254">
        <f t="shared" ref="O307:W307" si="343">IF($T$75=0,0,$T$162/$T$75*O65)</f>
        <v>0</v>
      </c>
      <c r="P307" s="254">
        <f t="shared" si="343"/>
        <v>0</v>
      </c>
      <c r="Q307" s="254">
        <f t="shared" si="343"/>
        <v>0</v>
      </c>
      <c r="R307" s="254">
        <f t="shared" si="343"/>
        <v>0</v>
      </c>
      <c r="S307" s="254">
        <f t="shared" si="343"/>
        <v>0</v>
      </c>
      <c r="T307" s="254">
        <f t="shared" si="343"/>
        <v>0</v>
      </c>
      <c r="U307" s="254">
        <f t="shared" si="343"/>
        <v>0</v>
      </c>
      <c r="V307" s="254">
        <f t="shared" si="343"/>
        <v>0</v>
      </c>
      <c r="W307" s="254">
        <f t="shared" si="343"/>
        <v>0</v>
      </c>
      <c r="X307" s="255"/>
      <c r="Y307" s="375">
        <f t="shared" si="321"/>
        <v>0</v>
      </c>
      <c r="Z307" s="376"/>
      <c r="AA307" s="254">
        <f t="shared" ref="AA307:AI307" si="344">IF($AF$75=0,0,$AF$162/$AF$75*AA65)</f>
        <v>0</v>
      </c>
      <c r="AB307" s="254">
        <f t="shared" si="344"/>
        <v>0</v>
      </c>
      <c r="AC307" s="254">
        <f t="shared" si="344"/>
        <v>0</v>
      </c>
      <c r="AD307" s="254">
        <f t="shared" si="344"/>
        <v>0</v>
      </c>
      <c r="AE307" s="254">
        <f t="shared" si="344"/>
        <v>0</v>
      </c>
      <c r="AF307" s="254">
        <f t="shared" si="344"/>
        <v>0</v>
      </c>
      <c r="AG307" s="254">
        <f t="shared" si="344"/>
        <v>0</v>
      </c>
      <c r="AH307" s="254">
        <f t="shared" si="344"/>
        <v>0</v>
      </c>
      <c r="AI307" s="254">
        <f t="shared" si="344"/>
        <v>0</v>
      </c>
      <c r="AJ307" s="255"/>
      <c r="AK307" s="375">
        <f t="shared" si="323"/>
        <v>0</v>
      </c>
      <c r="AL307" s="213"/>
      <c r="AM307" s="254">
        <f t="shared" ref="AM307:AU307" si="345">IF($AR$75=0,0,$AR$162/$AR$75*AM65)</f>
        <v>0</v>
      </c>
      <c r="AN307" s="254">
        <f t="shared" si="345"/>
        <v>0</v>
      </c>
      <c r="AO307" s="254">
        <f t="shared" si="345"/>
        <v>0</v>
      </c>
      <c r="AP307" s="254">
        <f t="shared" si="345"/>
        <v>0</v>
      </c>
      <c r="AQ307" s="254">
        <f t="shared" si="345"/>
        <v>0</v>
      </c>
      <c r="AR307" s="254">
        <f t="shared" si="345"/>
        <v>0</v>
      </c>
      <c r="AS307" s="254">
        <f t="shared" si="345"/>
        <v>0</v>
      </c>
      <c r="AT307" s="254">
        <f t="shared" si="345"/>
        <v>0</v>
      </c>
      <c r="AU307" s="254">
        <f t="shared" si="345"/>
        <v>0</v>
      </c>
      <c r="AV307" s="255"/>
      <c r="AW307" s="375">
        <f t="shared" si="325"/>
        <v>0</v>
      </c>
      <c r="AX307" s="213"/>
      <c r="AY307" s="254">
        <f t="shared" ref="AY307:BG307" si="346">IF($BD$75=0,0,$BD$162/$BD$75*AY65)</f>
        <v>0</v>
      </c>
      <c r="AZ307" s="254">
        <f t="shared" si="346"/>
        <v>0</v>
      </c>
      <c r="BA307" s="254">
        <f t="shared" si="346"/>
        <v>0</v>
      </c>
      <c r="BB307" s="254">
        <f t="shared" si="346"/>
        <v>0</v>
      </c>
      <c r="BC307" s="254">
        <f t="shared" si="346"/>
        <v>0</v>
      </c>
      <c r="BD307" s="254">
        <f t="shared" si="346"/>
        <v>0</v>
      </c>
      <c r="BE307" s="254">
        <f t="shared" si="346"/>
        <v>0</v>
      </c>
      <c r="BF307" s="254">
        <f t="shared" si="346"/>
        <v>0</v>
      </c>
      <c r="BG307" s="254">
        <f t="shared" si="346"/>
        <v>0</v>
      </c>
      <c r="BH307" s="255"/>
    </row>
    <row r="308" spans="1:60" x14ac:dyDescent="0.2">
      <c r="A308" s="648"/>
      <c r="B308" s="492" t="s">
        <v>352</v>
      </c>
      <c r="C308" s="656" t="s">
        <v>113</v>
      </c>
      <c r="D308" s="750"/>
      <c r="E308" s="367" t="str">
        <f>$U$73</f>
        <v>overig elektra</v>
      </c>
      <c r="F308" s="246"/>
      <c r="G308" s="246"/>
      <c r="H308" s="247" t="s">
        <v>355</v>
      </c>
      <c r="I308" s="248"/>
      <c r="J308" s="375">
        <f t="shared" si="318"/>
        <v>0</v>
      </c>
      <c r="K308" s="376"/>
      <c r="L308" s="376"/>
      <c r="M308" s="375">
        <f t="shared" si="319"/>
        <v>0</v>
      </c>
      <c r="N308" s="376"/>
      <c r="O308" s="254">
        <f t="shared" ref="O308:W308" si="347">IF($U$75=0,0,$U$162/$U$75*O66)</f>
        <v>0</v>
      </c>
      <c r="P308" s="254">
        <f t="shared" si="347"/>
        <v>0</v>
      </c>
      <c r="Q308" s="254">
        <f t="shared" si="347"/>
        <v>0</v>
      </c>
      <c r="R308" s="254">
        <f t="shared" si="347"/>
        <v>0</v>
      </c>
      <c r="S308" s="254">
        <f t="shared" si="347"/>
        <v>0</v>
      </c>
      <c r="T308" s="254">
        <f t="shared" si="347"/>
        <v>0</v>
      </c>
      <c r="U308" s="254">
        <f t="shared" si="347"/>
        <v>0</v>
      </c>
      <c r="V308" s="254">
        <f t="shared" si="347"/>
        <v>0</v>
      </c>
      <c r="W308" s="254">
        <f t="shared" si="347"/>
        <v>0</v>
      </c>
      <c r="X308" s="255"/>
      <c r="Y308" s="375">
        <f t="shared" si="321"/>
        <v>0</v>
      </c>
      <c r="Z308" s="376"/>
      <c r="AA308" s="254">
        <f t="shared" ref="AA308:AI308" si="348">IF($AG$75=0,0,$AG$162/$AG$75*AA66)</f>
        <v>0</v>
      </c>
      <c r="AB308" s="254">
        <f t="shared" si="348"/>
        <v>0</v>
      </c>
      <c r="AC308" s="254">
        <f t="shared" si="348"/>
        <v>0</v>
      </c>
      <c r="AD308" s="254">
        <f t="shared" si="348"/>
        <v>0</v>
      </c>
      <c r="AE308" s="254">
        <f t="shared" si="348"/>
        <v>0</v>
      </c>
      <c r="AF308" s="254">
        <f t="shared" si="348"/>
        <v>0</v>
      </c>
      <c r="AG308" s="254">
        <f t="shared" si="348"/>
        <v>0</v>
      </c>
      <c r="AH308" s="254">
        <f t="shared" si="348"/>
        <v>0</v>
      </c>
      <c r="AI308" s="254">
        <f t="shared" si="348"/>
        <v>0</v>
      </c>
      <c r="AJ308" s="255"/>
      <c r="AK308" s="375">
        <f t="shared" si="323"/>
        <v>0</v>
      </c>
      <c r="AL308" s="213"/>
      <c r="AM308" s="254">
        <f t="shared" ref="AM308:AU308" si="349">IF($AS$75=0,0,$AS$162/$AS$75*AM66)</f>
        <v>0</v>
      </c>
      <c r="AN308" s="254">
        <f t="shared" si="349"/>
        <v>0</v>
      </c>
      <c r="AO308" s="254">
        <f t="shared" si="349"/>
        <v>0</v>
      </c>
      <c r="AP308" s="254">
        <f t="shared" si="349"/>
        <v>0</v>
      </c>
      <c r="AQ308" s="254">
        <f t="shared" si="349"/>
        <v>0</v>
      </c>
      <c r="AR308" s="254">
        <f t="shared" si="349"/>
        <v>0</v>
      </c>
      <c r="AS308" s="254">
        <f t="shared" si="349"/>
        <v>0</v>
      </c>
      <c r="AT308" s="254">
        <f t="shared" si="349"/>
        <v>0</v>
      </c>
      <c r="AU308" s="254">
        <f t="shared" si="349"/>
        <v>0</v>
      </c>
      <c r="AV308" s="255"/>
      <c r="AW308" s="375">
        <f t="shared" si="325"/>
        <v>0</v>
      </c>
      <c r="AX308" s="213"/>
      <c r="AY308" s="254">
        <f t="shared" ref="AY308:BG308" si="350">IF($BE$75=0,0,$BE$162/$BE$75*AY66)</f>
        <v>0</v>
      </c>
      <c r="AZ308" s="254">
        <f t="shared" si="350"/>
        <v>0</v>
      </c>
      <c r="BA308" s="254">
        <f t="shared" si="350"/>
        <v>0</v>
      </c>
      <c r="BB308" s="254">
        <f t="shared" si="350"/>
        <v>0</v>
      </c>
      <c r="BC308" s="254">
        <f t="shared" si="350"/>
        <v>0</v>
      </c>
      <c r="BD308" s="254">
        <f t="shared" si="350"/>
        <v>0</v>
      </c>
      <c r="BE308" s="254">
        <f t="shared" si="350"/>
        <v>0</v>
      </c>
      <c r="BF308" s="254">
        <f t="shared" si="350"/>
        <v>0</v>
      </c>
      <c r="BG308" s="254">
        <f t="shared" si="350"/>
        <v>0</v>
      </c>
      <c r="BH308" s="255"/>
    </row>
    <row r="309" spans="1:60" x14ac:dyDescent="0.2">
      <c r="A309" s="648"/>
      <c r="B309" s="492" t="s">
        <v>352</v>
      </c>
      <c r="C309" s="656" t="s">
        <v>113</v>
      </c>
      <c r="D309" s="750"/>
      <c r="E309" s="367" t="str">
        <f>$V$73</f>
        <v>mobiliteit</v>
      </c>
      <c r="F309" s="246"/>
      <c r="G309" s="246"/>
      <c r="H309" s="247" t="s">
        <v>355</v>
      </c>
      <c r="I309" s="248"/>
      <c r="J309" s="375">
        <f t="shared" si="318"/>
        <v>0</v>
      </c>
      <c r="K309" s="376"/>
      <c r="L309" s="376"/>
      <c r="M309" s="375">
        <f t="shared" si="319"/>
        <v>0</v>
      </c>
      <c r="N309" s="376"/>
      <c r="O309" s="254">
        <f t="shared" ref="O309:W309" si="351">IF(OR($V$154=0,O$31=0),0,$V$162/$V$154*O$68/O$31)</f>
        <v>0</v>
      </c>
      <c r="P309" s="254">
        <f t="shared" si="351"/>
        <v>0</v>
      </c>
      <c r="Q309" s="254">
        <f t="shared" si="351"/>
        <v>0</v>
      </c>
      <c r="R309" s="254">
        <f t="shared" si="351"/>
        <v>0</v>
      </c>
      <c r="S309" s="254">
        <f t="shared" si="351"/>
        <v>0</v>
      </c>
      <c r="T309" s="254">
        <f t="shared" si="351"/>
        <v>0</v>
      </c>
      <c r="U309" s="254">
        <f t="shared" si="351"/>
        <v>0</v>
      </c>
      <c r="V309" s="254">
        <f t="shared" si="351"/>
        <v>0</v>
      </c>
      <c r="W309" s="254">
        <f t="shared" si="351"/>
        <v>0</v>
      </c>
      <c r="X309" s="255"/>
      <c r="Y309" s="375">
        <f t="shared" si="321"/>
        <v>0</v>
      </c>
      <c r="Z309" s="376"/>
      <c r="AA309" s="254">
        <f t="shared" ref="AA309:AI309" si="352">IF(OR($AH$154=0,AA$31=0),0,$AH$162/$AH$154*AA$68/AA$31)</f>
        <v>0</v>
      </c>
      <c r="AB309" s="254">
        <f t="shared" si="352"/>
        <v>0</v>
      </c>
      <c r="AC309" s="254">
        <f t="shared" si="352"/>
        <v>0</v>
      </c>
      <c r="AD309" s="254">
        <f t="shared" si="352"/>
        <v>0</v>
      </c>
      <c r="AE309" s="254">
        <f t="shared" si="352"/>
        <v>0</v>
      </c>
      <c r="AF309" s="254">
        <f t="shared" si="352"/>
        <v>0</v>
      </c>
      <c r="AG309" s="254">
        <f t="shared" si="352"/>
        <v>0</v>
      </c>
      <c r="AH309" s="254">
        <f t="shared" si="352"/>
        <v>0</v>
      </c>
      <c r="AI309" s="254">
        <f t="shared" si="352"/>
        <v>0</v>
      </c>
      <c r="AJ309" s="255"/>
      <c r="AK309" s="375">
        <f t="shared" si="323"/>
        <v>0</v>
      </c>
      <c r="AL309" s="213"/>
      <c r="AM309" s="254">
        <f t="shared" ref="AM309:AU309" si="353">IF(OR($AT$154=0,AM$31=0),0,$AT$162/$AT$154*AM$68/AM$31)</f>
        <v>0</v>
      </c>
      <c r="AN309" s="254">
        <f t="shared" si="353"/>
        <v>0</v>
      </c>
      <c r="AO309" s="254">
        <f t="shared" si="353"/>
        <v>0</v>
      </c>
      <c r="AP309" s="254">
        <f t="shared" si="353"/>
        <v>0</v>
      </c>
      <c r="AQ309" s="254">
        <f t="shared" si="353"/>
        <v>0</v>
      </c>
      <c r="AR309" s="254">
        <f t="shared" si="353"/>
        <v>0</v>
      </c>
      <c r="AS309" s="254">
        <f t="shared" si="353"/>
        <v>0</v>
      </c>
      <c r="AT309" s="254">
        <f t="shared" si="353"/>
        <v>0</v>
      </c>
      <c r="AU309" s="254">
        <f t="shared" si="353"/>
        <v>0</v>
      </c>
      <c r="AV309" s="255"/>
      <c r="AW309" s="375">
        <f t="shared" si="325"/>
        <v>0</v>
      </c>
      <c r="AX309" s="213"/>
      <c r="AY309" s="254">
        <f t="shared" ref="AY309:BG309" si="354">IF(OR($BF$154=0,AY$31=0),0,$BF$162/$BF$154*AY$68/AY$31)</f>
        <v>0</v>
      </c>
      <c r="AZ309" s="254">
        <f t="shared" si="354"/>
        <v>0</v>
      </c>
      <c r="BA309" s="254">
        <f t="shared" si="354"/>
        <v>0</v>
      </c>
      <c r="BB309" s="254">
        <f t="shared" si="354"/>
        <v>0</v>
      </c>
      <c r="BC309" s="254">
        <f t="shared" si="354"/>
        <v>0</v>
      </c>
      <c r="BD309" s="254">
        <f t="shared" si="354"/>
        <v>0</v>
      </c>
      <c r="BE309" s="254">
        <f t="shared" si="354"/>
        <v>0</v>
      </c>
      <c r="BF309" s="254">
        <f t="shared" si="354"/>
        <v>0</v>
      </c>
      <c r="BG309" s="254">
        <f t="shared" si="354"/>
        <v>0</v>
      </c>
      <c r="BH309" s="255"/>
    </row>
    <row r="310" spans="1:60" x14ac:dyDescent="0.2">
      <c r="A310" s="648"/>
      <c r="B310" s="492" t="s">
        <v>352</v>
      </c>
      <c r="C310" s="656" t="s">
        <v>113</v>
      </c>
      <c r="D310" s="750"/>
      <c r="E310" s="246" t="s">
        <v>356</v>
      </c>
      <c r="F310" s="246"/>
      <c r="G310" s="246"/>
      <c r="H310" s="247" t="s">
        <v>355</v>
      </c>
      <c r="I310" s="248"/>
      <c r="J310" s="375">
        <f t="shared" si="318"/>
        <v>0</v>
      </c>
      <c r="K310" s="376"/>
      <c r="L310" s="376"/>
      <c r="M310" s="375">
        <f>SUM(M302:M309)</f>
        <v>0</v>
      </c>
      <c r="N310" s="376"/>
      <c r="O310" s="254">
        <f t="shared" ref="O310:W310" si="355">SUM(O302:O309)</f>
        <v>0</v>
      </c>
      <c r="P310" s="254">
        <f t="shared" si="355"/>
        <v>0</v>
      </c>
      <c r="Q310" s="254">
        <f t="shared" si="355"/>
        <v>0</v>
      </c>
      <c r="R310" s="254">
        <f t="shared" si="355"/>
        <v>0</v>
      </c>
      <c r="S310" s="254">
        <f t="shared" si="355"/>
        <v>0</v>
      </c>
      <c r="T310" s="254">
        <f>SUM(T302:T309)</f>
        <v>0</v>
      </c>
      <c r="U310" s="254">
        <f t="shared" si="355"/>
        <v>0</v>
      </c>
      <c r="V310" s="254">
        <f t="shared" si="355"/>
        <v>0</v>
      </c>
      <c r="W310" s="254">
        <f t="shared" si="355"/>
        <v>0</v>
      </c>
      <c r="X310" s="255"/>
      <c r="Y310" s="375">
        <f>SUM(Y302:Y309)</f>
        <v>0</v>
      </c>
      <c r="Z310" s="376"/>
      <c r="AA310" s="254">
        <f t="shared" ref="AA310:AI310" si="356">SUM(AA302:AA309)</f>
        <v>0</v>
      </c>
      <c r="AB310" s="254">
        <f t="shared" si="356"/>
        <v>0</v>
      </c>
      <c r="AC310" s="254">
        <f t="shared" si="356"/>
        <v>0</v>
      </c>
      <c r="AD310" s="254">
        <f t="shared" si="356"/>
        <v>0</v>
      </c>
      <c r="AE310" s="254">
        <f t="shared" si="356"/>
        <v>0</v>
      </c>
      <c r="AF310" s="254">
        <f>SUM(AF302:AF309)</f>
        <v>0</v>
      </c>
      <c r="AG310" s="254">
        <f t="shared" si="356"/>
        <v>0</v>
      </c>
      <c r="AH310" s="254">
        <f t="shared" si="356"/>
        <v>0</v>
      </c>
      <c r="AI310" s="254">
        <f t="shared" si="356"/>
        <v>0</v>
      </c>
      <c r="AJ310" s="255"/>
      <c r="AK310" s="375">
        <f>SUM(AK302:AK309)</f>
        <v>0</v>
      </c>
      <c r="AL310" s="213"/>
      <c r="AM310" s="254">
        <f t="shared" ref="AM310:AU310" si="357">SUM(AM302:AM309)</f>
        <v>0</v>
      </c>
      <c r="AN310" s="254">
        <f t="shared" si="357"/>
        <v>0</v>
      </c>
      <c r="AO310" s="254">
        <f t="shared" si="357"/>
        <v>0</v>
      </c>
      <c r="AP310" s="254">
        <f t="shared" si="357"/>
        <v>0</v>
      </c>
      <c r="AQ310" s="254">
        <f t="shared" si="357"/>
        <v>0</v>
      </c>
      <c r="AR310" s="254">
        <f>SUM(AR302:AR309)</f>
        <v>0</v>
      </c>
      <c r="AS310" s="254">
        <f t="shared" si="357"/>
        <v>0</v>
      </c>
      <c r="AT310" s="254">
        <f t="shared" si="357"/>
        <v>0</v>
      </c>
      <c r="AU310" s="254">
        <f t="shared" si="357"/>
        <v>0</v>
      </c>
      <c r="AV310" s="255"/>
      <c r="AW310" s="375">
        <f>SUM(AW302:AW309)</f>
        <v>0</v>
      </c>
      <c r="AX310" s="213"/>
      <c r="AY310" s="254">
        <f t="shared" ref="AY310:BG310" si="358">SUM(AY302:AY309)</f>
        <v>0</v>
      </c>
      <c r="AZ310" s="254">
        <f t="shared" si="358"/>
        <v>0</v>
      </c>
      <c r="BA310" s="254">
        <f t="shared" si="358"/>
        <v>0</v>
      </c>
      <c r="BB310" s="254">
        <f t="shared" si="358"/>
        <v>0</v>
      </c>
      <c r="BC310" s="254">
        <f t="shared" si="358"/>
        <v>0</v>
      </c>
      <c r="BD310" s="254">
        <f>SUM(BD302:BD309)</f>
        <v>0</v>
      </c>
      <c r="BE310" s="254">
        <f t="shared" si="358"/>
        <v>0</v>
      </c>
      <c r="BF310" s="254">
        <f t="shared" si="358"/>
        <v>0</v>
      </c>
      <c r="BG310" s="254">
        <f t="shared" si="358"/>
        <v>0</v>
      </c>
      <c r="BH310" s="255"/>
    </row>
    <row r="311" spans="1:60" ht="18.75" x14ac:dyDescent="0.2">
      <c r="A311" s="648"/>
      <c r="B311" s="492" t="s">
        <v>352</v>
      </c>
      <c r="C311" s="739" t="s">
        <v>104</v>
      </c>
      <c r="D311" s="747"/>
      <c r="E311" s="236" t="s">
        <v>357</v>
      </c>
      <c r="F311" s="236"/>
      <c r="G311" s="236"/>
      <c r="H311" s="89"/>
      <c r="I311" s="236"/>
      <c r="J311" s="279"/>
      <c r="K311" s="279"/>
      <c r="L311" s="279"/>
      <c r="M311" s="279"/>
      <c r="N311" s="279"/>
      <c r="O311" s="279"/>
      <c r="P311" s="279"/>
      <c r="Q311" s="279"/>
      <c r="R311" s="279"/>
      <c r="S311" s="279"/>
      <c r="T311" s="279"/>
      <c r="U311" s="279"/>
      <c r="V311" s="279"/>
      <c r="W311" s="279"/>
      <c r="X311" s="279"/>
      <c r="Y311" s="279"/>
      <c r="Z311" s="279"/>
      <c r="AA311" s="279"/>
      <c r="AB311" s="279"/>
      <c r="AC311" s="279"/>
      <c r="AD311" s="279"/>
      <c r="AE311" s="279"/>
      <c r="AF311" s="279"/>
      <c r="AG311" s="279"/>
      <c r="AH311" s="279"/>
      <c r="AI311" s="279"/>
      <c r="AJ311" s="279"/>
      <c r="AK311" s="279"/>
      <c r="AL311" s="279"/>
      <c r="AM311" s="279"/>
      <c r="AN311" s="279"/>
      <c r="AO311" s="279"/>
      <c r="AP311" s="279"/>
      <c r="AQ311" s="279"/>
      <c r="AR311" s="279"/>
      <c r="AS311" s="279"/>
      <c r="AT311" s="279"/>
      <c r="AU311" s="279"/>
      <c r="AV311" s="279"/>
      <c r="AW311" s="279"/>
      <c r="AX311" s="279"/>
      <c r="AY311" s="279"/>
      <c r="AZ311" s="279"/>
      <c r="BA311" s="279"/>
      <c r="BB311" s="279"/>
      <c r="BC311" s="279"/>
      <c r="BD311" s="279"/>
      <c r="BE311" s="279"/>
      <c r="BF311" s="279"/>
      <c r="BG311" s="279"/>
      <c r="BH311" s="38"/>
    </row>
    <row r="312" spans="1:60" x14ac:dyDescent="0.2">
      <c r="A312" s="648"/>
      <c r="B312" s="492" t="s">
        <v>352</v>
      </c>
      <c r="C312" s="656" t="s">
        <v>113</v>
      </c>
      <c r="D312" s="750"/>
      <c r="E312" s="220" t="s">
        <v>358</v>
      </c>
      <c r="F312" s="246"/>
      <c r="G312" s="246"/>
      <c r="H312" s="247" t="s">
        <v>355</v>
      </c>
      <c r="I312" s="248"/>
      <c r="J312" s="375">
        <f>M312+Y312+AK312+AW312</f>
        <v>0</v>
      </c>
      <c r="K312" s="376"/>
      <c r="L312" s="376"/>
      <c r="M312" s="375">
        <f>SUMPRODUCT(N312:X312,N$24:X$24,N$31:X$31)/1000</f>
        <v>0</v>
      </c>
      <c r="N312" s="376"/>
      <c r="O312" s="254">
        <f t="shared" ref="O312:W312" si="359">IF(OR(O$24=0,O$31=0,($M$167+$M$168)=0),0,
-(O234*$M$167/($M$167+$M$168)*$M$181*1000)/(O24*O31))</f>
        <v>0</v>
      </c>
      <c r="P312" s="254">
        <f t="shared" si="359"/>
        <v>0</v>
      </c>
      <c r="Q312" s="254">
        <f t="shared" si="359"/>
        <v>0</v>
      </c>
      <c r="R312" s="254">
        <f t="shared" si="359"/>
        <v>0</v>
      </c>
      <c r="S312" s="254">
        <f t="shared" si="359"/>
        <v>0</v>
      </c>
      <c r="T312" s="254">
        <f t="shared" si="359"/>
        <v>0</v>
      </c>
      <c r="U312" s="254">
        <f t="shared" si="359"/>
        <v>0</v>
      </c>
      <c r="V312" s="254">
        <f t="shared" si="359"/>
        <v>0</v>
      </c>
      <c r="W312" s="254">
        <f t="shared" si="359"/>
        <v>0</v>
      </c>
      <c r="X312" s="255"/>
      <c r="Y312" s="375">
        <f>SUMPRODUCT(Z312:AJ312,Z$24:AJ$24,Z$31:AJ$31)/1000</f>
        <v>0</v>
      </c>
      <c r="Z312" s="376"/>
      <c r="AA312" s="254">
        <f t="shared" ref="AA312:AI312" si="360">IF(OR(AA$24=0,AA$31=0,($Y$167+$Y$168)=0),0,
-(AA234*$Y$167/($Y$167+$Y$168)*$Y$181*1000)/(AA24*AA31))</f>
        <v>0</v>
      </c>
      <c r="AB312" s="254">
        <f t="shared" si="360"/>
        <v>0</v>
      </c>
      <c r="AC312" s="254">
        <f t="shared" si="360"/>
        <v>0</v>
      </c>
      <c r="AD312" s="254">
        <f t="shared" si="360"/>
        <v>0</v>
      </c>
      <c r="AE312" s="254">
        <f t="shared" si="360"/>
        <v>0</v>
      </c>
      <c r="AF312" s="254">
        <f t="shared" si="360"/>
        <v>0</v>
      </c>
      <c r="AG312" s="254">
        <f t="shared" si="360"/>
        <v>0</v>
      </c>
      <c r="AH312" s="254">
        <f t="shared" si="360"/>
        <v>0</v>
      </c>
      <c r="AI312" s="254">
        <f t="shared" si="360"/>
        <v>0</v>
      </c>
      <c r="AJ312" s="255"/>
      <c r="AK312" s="375">
        <f>SUMPRODUCT(AL312:AV312,AL$24:AV$24,AL$31:AV$31)/1000</f>
        <v>0</v>
      </c>
      <c r="AL312" s="213"/>
      <c r="AM312" s="254">
        <f t="shared" ref="AM312:AU312" si="361">IF(OR(AM$24=0,AM$31=0,($AK$167+$AK$168)=0),0,
-(AM234*$AK$167/($AK$167+$AK$168)*$AK$181*1000)/(AM24*AM31))</f>
        <v>0</v>
      </c>
      <c r="AN312" s="254">
        <f t="shared" si="361"/>
        <v>0</v>
      </c>
      <c r="AO312" s="254">
        <f t="shared" si="361"/>
        <v>0</v>
      </c>
      <c r="AP312" s="254">
        <f t="shared" si="361"/>
        <v>0</v>
      </c>
      <c r="AQ312" s="254">
        <f t="shared" si="361"/>
        <v>0</v>
      </c>
      <c r="AR312" s="254">
        <f t="shared" si="361"/>
        <v>0</v>
      </c>
      <c r="AS312" s="254">
        <f t="shared" si="361"/>
        <v>0</v>
      </c>
      <c r="AT312" s="254">
        <f t="shared" si="361"/>
        <v>0</v>
      </c>
      <c r="AU312" s="254">
        <f t="shared" si="361"/>
        <v>0</v>
      </c>
      <c r="AV312" s="255"/>
      <c r="AW312" s="375">
        <f>SUMPRODUCT(AX312:BH312,AX$24:BH$24,AX$31:BH$31)/1000</f>
        <v>0</v>
      </c>
      <c r="AX312" s="213"/>
      <c r="AY312" s="254">
        <f t="shared" ref="AY312:BG312" si="362">IF(OR(AY$24=0,AY$31=0,($AW$167+$AW$168)=0),0,
-(AY234*$AW$167/($AW$167+$AW$168)*$AW$181*1000)/(AY24*AY31))</f>
        <v>0</v>
      </c>
      <c r="AZ312" s="254">
        <f t="shared" si="362"/>
        <v>0</v>
      </c>
      <c r="BA312" s="254">
        <f t="shared" si="362"/>
        <v>0</v>
      </c>
      <c r="BB312" s="254">
        <f t="shared" si="362"/>
        <v>0</v>
      </c>
      <c r="BC312" s="254">
        <f t="shared" si="362"/>
        <v>0</v>
      </c>
      <c r="BD312" s="254">
        <f t="shared" si="362"/>
        <v>0</v>
      </c>
      <c r="BE312" s="254">
        <f t="shared" si="362"/>
        <v>0</v>
      </c>
      <c r="BF312" s="254">
        <f t="shared" si="362"/>
        <v>0</v>
      </c>
      <c r="BG312" s="254">
        <f t="shared" si="362"/>
        <v>0</v>
      </c>
      <c r="BH312" s="255"/>
    </row>
    <row r="313" spans="1:60" x14ac:dyDescent="0.2">
      <c r="A313" s="648"/>
      <c r="B313" s="492" t="s">
        <v>352</v>
      </c>
      <c r="C313" s="656" t="s">
        <v>113</v>
      </c>
      <c r="D313" s="750"/>
      <c r="E313" s="220" t="s">
        <v>359</v>
      </c>
      <c r="F313" s="246"/>
      <c r="G313" s="246"/>
      <c r="H313" s="247" t="s">
        <v>355</v>
      </c>
      <c r="I313" s="248"/>
      <c r="J313" s="375">
        <f>M313+Y313+AK313+AW313</f>
        <v>0</v>
      </c>
      <c r="K313" s="376"/>
      <c r="L313" s="376"/>
      <c r="M313" s="375">
        <f>SUMPRODUCT(N313:X313,N$24:X$24,N$31:X$31)/1000</f>
        <v>0</v>
      </c>
      <c r="N313" s="376"/>
      <c r="O313" s="254">
        <f t="shared" ref="O313:W313" si="363">IF(OR(O$24=0,O$31=0,($M$167+$M$168)=0),0,
-O70*$M$181/($M$167+$M$168)/O31)</f>
        <v>0</v>
      </c>
      <c r="P313" s="254">
        <f t="shared" si="363"/>
        <v>0</v>
      </c>
      <c r="Q313" s="254">
        <f t="shared" si="363"/>
        <v>0</v>
      </c>
      <c r="R313" s="254">
        <f t="shared" si="363"/>
        <v>0</v>
      </c>
      <c r="S313" s="254">
        <f t="shared" si="363"/>
        <v>0</v>
      </c>
      <c r="T313" s="254">
        <f t="shared" si="363"/>
        <v>0</v>
      </c>
      <c r="U313" s="254">
        <f t="shared" si="363"/>
        <v>0</v>
      </c>
      <c r="V313" s="254">
        <f t="shared" si="363"/>
        <v>0</v>
      </c>
      <c r="W313" s="254">
        <f t="shared" si="363"/>
        <v>0</v>
      </c>
      <c r="X313" s="255"/>
      <c r="Y313" s="375">
        <f>SUMPRODUCT(Z313:AJ313,Z$24:AJ$24,Z$31:AJ$31)/1000</f>
        <v>0</v>
      </c>
      <c r="Z313" s="376"/>
      <c r="AA313" s="254">
        <f t="shared" ref="AA313:AI313" si="364">IF(OR(AA$24=0,AA$31=0,($Y$167+$Y$168)=0),0,
-AA70*$Y$181/($Y$167+$Y$168)/AA31)</f>
        <v>0</v>
      </c>
      <c r="AB313" s="254">
        <f t="shared" si="364"/>
        <v>0</v>
      </c>
      <c r="AC313" s="254">
        <f t="shared" si="364"/>
        <v>0</v>
      </c>
      <c r="AD313" s="254">
        <f t="shared" si="364"/>
        <v>0</v>
      </c>
      <c r="AE313" s="254">
        <f t="shared" si="364"/>
        <v>0</v>
      </c>
      <c r="AF313" s="254">
        <f t="shared" si="364"/>
        <v>0</v>
      </c>
      <c r="AG313" s="254">
        <f t="shared" si="364"/>
        <v>0</v>
      </c>
      <c r="AH313" s="254">
        <f t="shared" si="364"/>
        <v>0</v>
      </c>
      <c r="AI313" s="254">
        <f t="shared" si="364"/>
        <v>0</v>
      </c>
      <c r="AJ313" s="255"/>
      <c r="AK313" s="375">
        <f>SUMPRODUCT(AL313:AV313,AL$24:AV$24,AL$31:AV$31)/1000</f>
        <v>0</v>
      </c>
      <c r="AL313" s="213"/>
      <c r="AM313" s="254">
        <f t="shared" ref="AM313:AU313" si="365">IF(OR(AM$24=0,AM$31=0,($AK$167+$AK$168)=0),0,
-AM70*$AK$181/($AK$167+$AK$168)/AM31)</f>
        <v>0</v>
      </c>
      <c r="AN313" s="254">
        <f t="shared" si="365"/>
        <v>0</v>
      </c>
      <c r="AO313" s="254">
        <f t="shared" si="365"/>
        <v>0</v>
      </c>
      <c r="AP313" s="254">
        <f t="shared" si="365"/>
        <v>0</v>
      </c>
      <c r="AQ313" s="254">
        <f t="shared" si="365"/>
        <v>0</v>
      </c>
      <c r="AR313" s="254">
        <f t="shared" si="365"/>
        <v>0</v>
      </c>
      <c r="AS313" s="254">
        <f t="shared" si="365"/>
        <v>0</v>
      </c>
      <c r="AT313" s="254">
        <f t="shared" si="365"/>
        <v>0</v>
      </c>
      <c r="AU313" s="254">
        <f t="shared" si="365"/>
        <v>0</v>
      </c>
      <c r="AV313" s="255"/>
      <c r="AW313" s="375">
        <f>SUMPRODUCT(AX313:BH313,AX$24:BH$24,AX$31:BH$31)/1000</f>
        <v>0</v>
      </c>
      <c r="AX313" s="213"/>
      <c r="AY313" s="254">
        <f t="shared" ref="AY313:BG313" si="366">IF(OR(AY$24=0,AY$31=0,($AW$167+$AW$168)=0),0,
-AY70*$AW$181/($AW$167+$AW$168)/AY31)</f>
        <v>0</v>
      </c>
      <c r="AZ313" s="254">
        <f t="shared" si="366"/>
        <v>0</v>
      </c>
      <c r="BA313" s="254">
        <f t="shared" si="366"/>
        <v>0</v>
      </c>
      <c r="BB313" s="254">
        <f t="shared" si="366"/>
        <v>0</v>
      </c>
      <c r="BC313" s="254">
        <f t="shared" si="366"/>
        <v>0</v>
      </c>
      <c r="BD313" s="254">
        <f t="shared" si="366"/>
        <v>0</v>
      </c>
      <c r="BE313" s="254">
        <f t="shared" si="366"/>
        <v>0</v>
      </c>
      <c r="BF313" s="254">
        <f t="shared" si="366"/>
        <v>0</v>
      </c>
      <c r="BG313" s="254">
        <f t="shared" si="366"/>
        <v>0</v>
      </c>
      <c r="BH313" s="255"/>
    </row>
    <row r="314" spans="1:60" x14ac:dyDescent="0.2">
      <c r="A314" s="648"/>
      <c r="B314" s="492" t="s">
        <v>352</v>
      </c>
      <c r="C314" s="656" t="s">
        <v>113</v>
      </c>
      <c r="D314" s="750"/>
      <c r="E314" s="246" t="s">
        <v>360</v>
      </c>
      <c r="F314" s="246"/>
      <c r="G314" s="246"/>
      <c r="H314" s="247" t="s">
        <v>355</v>
      </c>
      <c r="I314" s="248"/>
      <c r="J314" s="375">
        <f>M314+Y314+AK314+AW314</f>
        <v>0</v>
      </c>
      <c r="K314" s="376"/>
      <c r="L314" s="376"/>
      <c r="M314" s="375">
        <f>M312+M313</f>
        <v>0</v>
      </c>
      <c r="N314" s="376"/>
      <c r="O314" s="254">
        <f t="shared" ref="O314:W314" si="367">O312+O313</f>
        <v>0</v>
      </c>
      <c r="P314" s="254">
        <f t="shared" si="367"/>
        <v>0</v>
      </c>
      <c r="Q314" s="254">
        <f t="shared" si="367"/>
        <v>0</v>
      </c>
      <c r="R314" s="254">
        <f t="shared" si="367"/>
        <v>0</v>
      </c>
      <c r="S314" s="254">
        <f t="shared" si="367"/>
        <v>0</v>
      </c>
      <c r="T314" s="254">
        <f>T312+T313</f>
        <v>0</v>
      </c>
      <c r="U314" s="254">
        <f t="shared" si="367"/>
        <v>0</v>
      </c>
      <c r="V314" s="254">
        <f t="shared" si="367"/>
        <v>0</v>
      </c>
      <c r="W314" s="254">
        <f t="shared" si="367"/>
        <v>0</v>
      </c>
      <c r="X314" s="255"/>
      <c r="Y314" s="375">
        <f>Y312+Y313</f>
        <v>0</v>
      </c>
      <c r="Z314" s="376"/>
      <c r="AA314" s="254">
        <f t="shared" ref="AA314:AI314" si="368">AA312+AA313</f>
        <v>0</v>
      </c>
      <c r="AB314" s="254">
        <f t="shared" si="368"/>
        <v>0</v>
      </c>
      <c r="AC314" s="254">
        <f t="shared" si="368"/>
        <v>0</v>
      </c>
      <c r="AD314" s="254">
        <f t="shared" si="368"/>
        <v>0</v>
      </c>
      <c r="AE314" s="254">
        <f t="shared" si="368"/>
        <v>0</v>
      </c>
      <c r="AF314" s="254">
        <f>AF312+AF313</f>
        <v>0</v>
      </c>
      <c r="AG314" s="254">
        <f t="shared" si="368"/>
        <v>0</v>
      </c>
      <c r="AH314" s="254">
        <f t="shared" si="368"/>
        <v>0</v>
      </c>
      <c r="AI314" s="254">
        <f t="shared" si="368"/>
        <v>0</v>
      </c>
      <c r="AJ314" s="255"/>
      <c r="AK314" s="375">
        <f>AK312+AK313</f>
        <v>0</v>
      </c>
      <c r="AL314" s="213"/>
      <c r="AM314" s="254">
        <f t="shared" ref="AM314:AU314" si="369">AM312+AM313</f>
        <v>0</v>
      </c>
      <c r="AN314" s="254">
        <f t="shared" si="369"/>
        <v>0</v>
      </c>
      <c r="AO314" s="254">
        <f t="shared" si="369"/>
        <v>0</v>
      </c>
      <c r="AP314" s="254">
        <f t="shared" si="369"/>
        <v>0</v>
      </c>
      <c r="AQ314" s="254">
        <f t="shared" si="369"/>
        <v>0</v>
      </c>
      <c r="AR314" s="254">
        <f>AR312+AR313</f>
        <v>0</v>
      </c>
      <c r="AS314" s="254">
        <f t="shared" si="369"/>
        <v>0</v>
      </c>
      <c r="AT314" s="254">
        <f t="shared" si="369"/>
        <v>0</v>
      </c>
      <c r="AU314" s="254">
        <f t="shared" si="369"/>
        <v>0</v>
      </c>
      <c r="AV314" s="255"/>
      <c r="AW314" s="375">
        <f>AW312+AW313</f>
        <v>0</v>
      </c>
      <c r="AX314" s="213"/>
      <c r="AY314" s="254">
        <f t="shared" ref="AY314:BG314" si="370">AY312+AY313</f>
        <v>0</v>
      </c>
      <c r="AZ314" s="254">
        <f t="shared" si="370"/>
        <v>0</v>
      </c>
      <c r="BA314" s="254">
        <f t="shared" si="370"/>
        <v>0</v>
      </c>
      <c r="BB314" s="254">
        <f t="shared" si="370"/>
        <v>0</v>
      </c>
      <c r="BC314" s="254">
        <f t="shared" si="370"/>
        <v>0</v>
      </c>
      <c r="BD314" s="254">
        <f>BD312+BD313</f>
        <v>0</v>
      </c>
      <c r="BE314" s="254">
        <f t="shared" si="370"/>
        <v>0</v>
      </c>
      <c r="BF314" s="254">
        <f t="shared" si="370"/>
        <v>0</v>
      </c>
      <c r="BG314" s="254">
        <f t="shared" si="370"/>
        <v>0</v>
      </c>
      <c r="BH314" s="255"/>
    </row>
    <row r="315" spans="1:60" ht="18.75" x14ac:dyDescent="0.2">
      <c r="A315" s="648"/>
      <c r="B315" s="492" t="s">
        <v>352</v>
      </c>
      <c r="C315" s="739" t="s">
        <v>104</v>
      </c>
      <c r="D315" s="747"/>
      <c r="E315" s="236" t="s">
        <v>361</v>
      </c>
      <c r="F315" s="236"/>
      <c r="G315" s="236"/>
      <c r="H315" s="89"/>
      <c r="I315" s="236"/>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279"/>
      <c r="AF315" s="279"/>
      <c r="AG315" s="279"/>
      <c r="AH315" s="279"/>
      <c r="AI315" s="279"/>
      <c r="AJ315" s="279"/>
      <c r="AK315" s="279"/>
      <c r="AL315" s="279"/>
      <c r="AM315" s="279"/>
      <c r="AN315" s="279"/>
      <c r="AO315" s="279"/>
      <c r="AP315" s="279"/>
      <c r="AQ315" s="279"/>
      <c r="AR315" s="279"/>
      <c r="AS315" s="279"/>
      <c r="AT315" s="279"/>
      <c r="AU315" s="279"/>
      <c r="AV315" s="279"/>
      <c r="AW315" s="279"/>
      <c r="AX315" s="279"/>
      <c r="AY315" s="279"/>
      <c r="AZ315" s="279"/>
      <c r="BA315" s="279"/>
      <c r="BB315" s="279"/>
      <c r="BC315" s="279"/>
      <c r="BD315" s="279"/>
      <c r="BE315" s="279"/>
      <c r="BF315" s="279"/>
      <c r="BG315" s="279"/>
      <c r="BH315" s="38"/>
    </row>
    <row r="316" spans="1:60" x14ac:dyDescent="0.2">
      <c r="A316" s="648"/>
      <c r="B316" s="492" t="s">
        <v>352</v>
      </c>
      <c r="C316" s="656" t="s">
        <v>113</v>
      </c>
      <c r="D316" s="750"/>
      <c r="E316" s="246" t="s">
        <v>362</v>
      </c>
      <c r="F316" s="246"/>
      <c r="G316" s="246"/>
      <c r="H316" s="247" t="s">
        <v>355</v>
      </c>
      <c r="I316" s="248"/>
      <c r="J316" s="375">
        <f>M316+Y316+AK316+AW316</f>
        <v>0</v>
      </c>
      <c r="K316" s="376"/>
      <c r="L316" s="376"/>
      <c r="M316" s="375">
        <f>M310+M314</f>
        <v>0</v>
      </c>
      <c r="N316" s="376"/>
      <c r="O316" s="254">
        <f t="shared" ref="O316:W316" si="371">O310+O314</f>
        <v>0</v>
      </c>
      <c r="P316" s="254">
        <f t="shared" si="371"/>
        <v>0</v>
      </c>
      <c r="Q316" s="254">
        <f t="shared" si="371"/>
        <v>0</v>
      </c>
      <c r="R316" s="254">
        <f t="shared" si="371"/>
        <v>0</v>
      </c>
      <c r="S316" s="254">
        <f t="shared" si="371"/>
        <v>0</v>
      </c>
      <c r="T316" s="254">
        <f>T310+T314</f>
        <v>0</v>
      </c>
      <c r="U316" s="254">
        <f t="shared" si="371"/>
        <v>0</v>
      </c>
      <c r="V316" s="254">
        <f t="shared" si="371"/>
        <v>0</v>
      </c>
      <c r="W316" s="254">
        <f t="shared" si="371"/>
        <v>0</v>
      </c>
      <c r="X316" s="255"/>
      <c r="Y316" s="375">
        <f>Y310+Y314</f>
        <v>0</v>
      </c>
      <c r="Z316" s="376"/>
      <c r="AA316" s="254">
        <f t="shared" ref="AA316:AI316" si="372">AA310+AA314</f>
        <v>0</v>
      </c>
      <c r="AB316" s="254">
        <f t="shared" si="372"/>
        <v>0</v>
      </c>
      <c r="AC316" s="254">
        <f t="shared" si="372"/>
        <v>0</v>
      </c>
      <c r="AD316" s="254">
        <f t="shared" si="372"/>
        <v>0</v>
      </c>
      <c r="AE316" s="254">
        <f t="shared" si="372"/>
        <v>0</v>
      </c>
      <c r="AF316" s="254">
        <f>AF310+AF314</f>
        <v>0</v>
      </c>
      <c r="AG316" s="254">
        <f t="shared" si="372"/>
        <v>0</v>
      </c>
      <c r="AH316" s="254">
        <f t="shared" si="372"/>
        <v>0</v>
      </c>
      <c r="AI316" s="254">
        <f t="shared" si="372"/>
        <v>0</v>
      </c>
      <c r="AJ316" s="255"/>
      <c r="AK316" s="375">
        <f>AK310+AK314</f>
        <v>0</v>
      </c>
      <c r="AL316" s="213"/>
      <c r="AM316" s="254">
        <f t="shared" ref="AM316:AU316" si="373">AM310+AM314</f>
        <v>0</v>
      </c>
      <c r="AN316" s="254">
        <f t="shared" si="373"/>
        <v>0</v>
      </c>
      <c r="AO316" s="254">
        <f t="shared" si="373"/>
        <v>0</v>
      </c>
      <c r="AP316" s="254">
        <f t="shared" si="373"/>
        <v>0</v>
      </c>
      <c r="AQ316" s="254">
        <f t="shared" si="373"/>
        <v>0</v>
      </c>
      <c r="AR316" s="254">
        <f>AR310+AR314</f>
        <v>0</v>
      </c>
      <c r="AS316" s="254">
        <f t="shared" si="373"/>
        <v>0</v>
      </c>
      <c r="AT316" s="254">
        <f t="shared" si="373"/>
        <v>0</v>
      </c>
      <c r="AU316" s="254">
        <f t="shared" si="373"/>
        <v>0</v>
      </c>
      <c r="AV316" s="255"/>
      <c r="AW316" s="375">
        <f>AW310+AW314</f>
        <v>0</v>
      </c>
      <c r="AX316" s="213"/>
      <c r="AY316" s="254">
        <f t="shared" ref="AY316:BG316" si="374">AY310+AY314</f>
        <v>0</v>
      </c>
      <c r="AZ316" s="254">
        <f t="shared" si="374"/>
        <v>0</v>
      </c>
      <c r="BA316" s="254">
        <f t="shared" si="374"/>
        <v>0</v>
      </c>
      <c r="BB316" s="254">
        <f t="shared" si="374"/>
        <v>0</v>
      </c>
      <c r="BC316" s="254">
        <f t="shared" si="374"/>
        <v>0</v>
      </c>
      <c r="BD316" s="254">
        <f>BD310+BD314</f>
        <v>0</v>
      </c>
      <c r="BE316" s="254">
        <f t="shared" si="374"/>
        <v>0</v>
      </c>
      <c r="BF316" s="254">
        <f t="shared" si="374"/>
        <v>0</v>
      </c>
      <c r="BG316" s="254">
        <f t="shared" si="374"/>
        <v>0</v>
      </c>
      <c r="BH316" s="255"/>
    </row>
    <row r="317" spans="1:60" ht="18.75" x14ac:dyDescent="0.2">
      <c r="A317" s="648"/>
      <c r="B317" s="492" t="s">
        <v>352</v>
      </c>
      <c r="C317" s="739" t="s">
        <v>104</v>
      </c>
      <c r="D317" s="747"/>
      <c r="E317" s="236" t="s">
        <v>363</v>
      </c>
      <c r="F317" s="236"/>
      <c r="G317" s="236"/>
      <c r="H317" s="89"/>
      <c r="I317" s="236"/>
      <c r="J317" s="279"/>
      <c r="K317" s="236"/>
      <c r="L317" s="236"/>
      <c r="M317" s="279"/>
      <c r="N317" s="236"/>
      <c r="O317" s="236"/>
      <c r="P317" s="236"/>
      <c r="Q317" s="236"/>
      <c r="R317" s="236"/>
      <c r="S317" s="236"/>
      <c r="T317" s="236"/>
      <c r="U317" s="236"/>
      <c r="V317" s="236"/>
      <c r="W317" s="236"/>
      <c r="X317" s="236"/>
      <c r="Y317" s="279"/>
      <c r="Z317" s="236"/>
      <c r="AA317" s="236"/>
      <c r="AB317" s="236"/>
      <c r="AC317" s="236"/>
      <c r="AD317" s="236"/>
      <c r="AE317" s="236"/>
      <c r="AF317" s="236"/>
      <c r="AG317" s="236"/>
      <c r="AH317" s="236"/>
      <c r="AI317" s="236"/>
      <c r="AJ317" s="236"/>
      <c r="AK317" s="279"/>
      <c r="AL317" s="236"/>
      <c r="AM317" s="236"/>
      <c r="AN317" s="236"/>
      <c r="AO317" s="236"/>
      <c r="AP317" s="236"/>
      <c r="AQ317" s="236"/>
      <c r="AR317" s="236"/>
      <c r="AS317" s="236"/>
      <c r="AT317" s="236"/>
      <c r="AU317" s="236"/>
      <c r="AV317" s="236"/>
      <c r="AW317" s="279"/>
      <c r="AX317" s="236"/>
      <c r="AY317" s="236"/>
      <c r="AZ317" s="236"/>
      <c r="BA317" s="236"/>
      <c r="BB317" s="236"/>
      <c r="BC317" s="236"/>
      <c r="BD317" s="236"/>
      <c r="BE317" s="236"/>
      <c r="BF317" s="236"/>
      <c r="BG317" s="236"/>
      <c r="BH317" s="38"/>
    </row>
    <row r="318" spans="1:60" x14ac:dyDescent="0.2">
      <c r="A318" s="648"/>
      <c r="B318" s="492" t="s">
        <v>352</v>
      </c>
      <c r="C318" s="656" t="s">
        <v>113</v>
      </c>
      <c r="D318" s="750"/>
      <c r="E318" s="246" t="s">
        <v>362</v>
      </c>
      <c r="F318" s="220"/>
      <c r="G318" s="687"/>
      <c r="H318" s="247" t="s">
        <v>355</v>
      </c>
      <c r="I318" s="129"/>
      <c r="J318" s="243">
        <f>M318+Y318+AK318+AW318</f>
        <v>0</v>
      </c>
      <c r="K318" s="236"/>
      <c r="L318" s="236"/>
      <c r="M318" s="375">
        <f>SUMPRODUCT(N318:X318,N$24:X$24,N$31:X$31)/1000</f>
        <v>0</v>
      </c>
      <c r="N318" s="129"/>
      <c r="O318" s="207">
        <f t="shared" ref="O318:W318" si="375">O316+(O302+O312)*($M$53-1)</f>
        <v>0</v>
      </c>
      <c r="P318" s="207">
        <f t="shared" si="375"/>
        <v>0</v>
      </c>
      <c r="Q318" s="207">
        <f t="shared" si="375"/>
        <v>0</v>
      </c>
      <c r="R318" s="207">
        <f t="shared" si="375"/>
        <v>0</v>
      </c>
      <c r="S318" s="207">
        <f t="shared" si="375"/>
        <v>0</v>
      </c>
      <c r="T318" s="207">
        <f t="shared" si="375"/>
        <v>0</v>
      </c>
      <c r="U318" s="207">
        <f t="shared" si="375"/>
        <v>0</v>
      </c>
      <c r="V318" s="207">
        <f t="shared" si="375"/>
        <v>0</v>
      </c>
      <c r="W318" s="207">
        <f t="shared" si="375"/>
        <v>0</v>
      </c>
      <c r="X318" s="128"/>
      <c r="Y318" s="375">
        <f>SUMPRODUCT(Z318:AJ318,Z$24:AJ$24,Z$31:AJ$31)/1000</f>
        <v>0</v>
      </c>
      <c r="Z318" s="129"/>
      <c r="AA318" s="207">
        <f t="shared" ref="AA318:AI318" si="376">AA316+(AA302+AA312)*($Y$53-1)</f>
        <v>0</v>
      </c>
      <c r="AB318" s="207">
        <f t="shared" si="376"/>
        <v>0</v>
      </c>
      <c r="AC318" s="207">
        <f t="shared" si="376"/>
        <v>0</v>
      </c>
      <c r="AD318" s="207">
        <f t="shared" si="376"/>
        <v>0</v>
      </c>
      <c r="AE318" s="207">
        <f t="shared" si="376"/>
        <v>0</v>
      </c>
      <c r="AF318" s="207">
        <f t="shared" si="376"/>
        <v>0</v>
      </c>
      <c r="AG318" s="207">
        <f t="shared" si="376"/>
        <v>0</v>
      </c>
      <c r="AH318" s="207">
        <f t="shared" si="376"/>
        <v>0</v>
      </c>
      <c r="AI318" s="207">
        <f t="shared" si="376"/>
        <v>0</v>
      </c>
      <c r="AJ318" s="128"/>
      <c r="AK318" s="375">
        <f>SUMPRODUCT(AL318:AV318,AL$24:AV$24,AL$31:AV$31)/1000</f>
        <v>0</v>
      </c>
      <c r="AL318" s="129"/>
      <c r="AM318" s="207">
        <f t="shared" ref="AM318:AU318" si="377">AM316+(AM302+AM312)*($AK$53-1)</f>
        <v>0</v>
      </c>
      <c r="AN318" s="207">
        <f t="shared" si="377"/>
        <v>0</v>
      </c>
      <c r="AO318" s="207">
        <f t="shared" si="377"/>
        <v>0</v>
      </c>
      <c r="AP318" s="207">
        <f t="shared" si="377"/>
        <v>0</v>
      </c>
      <c r="AQ318" s="207">
        <f t="shared" si="377"/>
        <v>0</v>
      </c>
      <c r="AR318" s="207">
        <f t="shared" si="377"/>
        <v>0</v>
      </c>
      <c r="AS318" s="207">
        <f t="shared" si="377"/>
        <v>0</v>
      </c>
      <c r="AT318" s="207">
        <f t="shared" si="377"/>
        <v>0</v>
      </c>
      <c r="AU318" s="207">
        <f t="shared" si="377"/>
        <v>0</v>
      </c>
      <c r="AV318" s="128"/>
      <c r="AW318" s="375">
        <f>SUMPRODUCT(AX318:BH318,AX$24:BH$24,AX$31:BH$31)/1000</f>
        <v>0</v>
      </c>
      <c r="AX318" s="129"/>
      <c r="AY318" s="207">
        <f t="shared" ref="AY318:BG318" si="378">AY316+(AY302+AY312)*($AW$53-1)</f>
        <v>0</v>
      </c>
      <c r="AZ318" s="207">
        <f t="shared" si="378"/>
        <v>0</v>
      </c>
      <c r="BA318" s="207">
        <f t="shared" si="378"/>
        <v>0</v>
      </c>
      <c r="BB318" s="207">
        <f t="shared" si="378"/>
        <v>0</v>
      </c>
      <c r="BC318" s="207">
        <f t="shared" si="378"/>
        <v>0</v>
      </c>
      <c r="BD318" s="207">
        <f t="shared" si="378"/>
        <v>0</v>
      </c>
      <c r="BE318" s="207">
        <f t="shared" si="378"/>
        <v>0</v>
      </c>
      <c r="BF318" s="207">
        <f t="shared" si="378"/>
        <v>0</v>
      </c>
      <c r="BG318" s="207">
        <f t="shared" si="378"/>
        <v>0</v>
      </c>
      <c r="BH318" s="255"/>
    </row>
    <row r="319" spans="1:60" x14ac:dyDescent="0.2">
      <c r="A319" s="648"/>
      <c r="B319" s="492" t="s">
        <v>352</v>
      </c>
      <c r="C319" s="739" t="s">
        <v>104</v>
      </c>
      <c r="D319" s="747"/>
      <c r="E319" s="90"/>
      <c r="F319" s="90"/>
      <c r="G319" s="90"/>
      <c r="H319" s="96"/>
      <c r="I319" s="90"/>
      <c r="J319" s="93"/>
      <c r="K319" s="90"/>
      <c r="L319" s="90"/>
      <c r="M319" s="93"/>
      <c r="N319" s="90"/>
      <c r="O319" s="122"/>
      <c r="P319" s="122"/>
      <c r="Q319" s="122"/>
      <c r="R319" s="122"/>
      <c r="S319" s="122"/>
      <c r="T319" s="122"/>
      <c r="U319" s="122"/>
      <c r="V319" s="122"/>
      <c r="W319" s="122"/>
      <c r="X319" s="93"/>
      <c r="Y319" s="93"/>
      <c r="Z319" s="90"/>
      <c r="AA319" s="93"/>
      <c r="AB319" s="93"/>
      <c r="AC319" s="93"/>
      <c r="AD319" s="93"/>
      <c r="AE319" s="93"/>
      <c r="AF319" s="93"/>
      <c r="AG319" s="93"/>
      <c r="AH319" s="93"/>
      <c r="AI319" s="93"/>
      <c r="AJ319" s="93"/>
      <c r="AK319" s="93"/>
      <c r="AL319" s="90"/>
      <c r="AM319" s="93"/>
      <c r="AN319" s="93"/>
      <c r="AO319" s="93"/>
      <c r="AP319" s="93"/>
      <c r="AQ319" s="93"/>
      <c r="AR319" s="93"/>
      <c r="AS319" s="93"/>
      <c r="AT319" s="93"/>
      <c r="AU319" s="93"/>
      <c r="AV319" s="93"/>
      <c r="AW319" s="93"/>
      <c r="AX319" s="90"/>
      <c r="AY319" s="93"/>
      <c r="AZ319" s="93"/>
      <c r="BA319" s="93"/>
      <c r="BB319" s="93"/>
      <c r="BC319" s="93"/>
      <c r="BD319" s="93"/>
      <c r="BE319" s="93"/>
      <c r="BF319" s="93"/>
      <c r="BG319" s="93"/>
      <c r="BH319" s="1"/>
    </row>
    <row r="320" spans="1:60" ht="21" x14ac:dyDescent="0.2">
      <c r="A320" s="648"/>
      <c r="B320" s="492" t="s">
        <v>364</v>
      </c>
      <c r="C320" s="656" t="s">
        <v>104</v>
      </c>
      <c r="D320" s="752" t="s">
        <v>89</v>
      </c>
      <c r="E320" s="553" t="s">
        <v>87</v>
      </c>
      <c r="F320" s="553"/>
      <c r="G320" s="553"/>
      <c r="H320" s="554"/>
      <c r="I320" s="554"/>
      <c r="J320" s="555"/>
      <c r="K320" s="824"/>
      <c r="L320" s="824"/>
      <c r="M320" s="555"/>
      <c r="N320" s="555"/>
      <c r="O320" s="555"/>
      <c r="P320" s="555"/>
      <c r="Q320" s="555"/>
      <c r="R320" s="555"/>
      <c r="S320" s="555"/>
      <c r="T320" s="555"/>
      <c r="U320" s="555"/>
      <c r="V320" s="555"/>
      <c r="W320" s="555"/>
      <c r="X320" s="555"/>
      <c r="Y320" s="555"/>
      <c r="Z320" s="555"/>
      <c r="AA320" s="555"/>
      <c r="AB320" s="555"/>
      <c r="AC320" s="555"/>
      <c r="AD320" s="555"/>
      <c r="AE320" s="555"/>
      <c r="AF320" s="555"/>
      <c r="AG320" s="555"/>
      <c r="AH320" s="555"/>
      <c r="AI320" s="555"/>
      <c r="AJ320" s="555"/>
      <c r="AK320" s="555"/>
      <c r="AL320" s="555"/>
      <c r="AM320" s="555"/>
      <c r="AN320" s="555"/>
      <c r="AO320" s="555"/>
      <c r="AP320" s="555"/>
      <c r="AQ320" s="555"/>
      <c r="AR320" s="555"/>
      <c r="AS320" s="555"/>
      <c r="AT320" s="555"/>
      <c r="AU320" s="555"/>
      <c r="AV320" s="555"/>
      <c r="AW320" s="555"/>
      <c r="AX320" s="555"/>
      <c r="AY320" s="556"/>
      <c r="AZ320" s="556"/>
      <c r="BA320" s="556"/>
      <c r="BB320" s="556"/>
      <c r="BC320" s="556"/>
      <c r="BD320" s="556"/>
      <c r="BE320" s="556"/>
      <c r="BF320" s="556"/>
      <c r="BG320" s="556"/>
      <c r="BH320" s="270"/>
    </row>
  </sheetData>
  <sheetProtection algorithmName="SHA-512" hashValue="Xsy4vOvMT13PYkZx3tpfGIGi08kdQepoKOAeYIaGoLQVppTzGPwSLh5J65GmVleFf3F0eBXrw0M2mKumWGHbzg==" saltValue="wvroGRx/XUz5fN3A//jkEw==" spinCount="100000" sheet="1" objects="1" scenarios="1" formatColumns="0" autoFilter="0"/>
  <autoFilter ref="B8:C320" xr:uid="{41D3E58C-B86B-4AE1-8380-FDD6F14E9537}">
    <filterColumn colId="1">
      <filters>
        <filter val="00. kop"/>
        <filter val="01. invoer"/>
        <filter val="04. resultaat"/>
      </filters>
    </filterColumn>
  </autoFilter>
  <dataConsolidate/>
  <mergeCells count="4">
    <mergeCell ref="E3:F3"/>
    <mergeCell ref="F4:H4"/>
    <mergeCell ref="B5:B7"/>
    <mergeCell ref="C5:C7"/>
  </mergeCells>
  <conditionalFormatting sqref="B16:B26 B27:C320">
    <cfRule type="expression" dxfId="464" priority="53">
      <formula>B16=""</formula>
    </cfRule>
  </conditionalFormatting>
  <conditionalFormatting sqref="C10">
    <cfRule type="expression" dxfId="463" priority="95">
      <formula>C10=""</formula>
    </cfRule>
  </conditionalFormatting>
  <conditionalFormatting sqref="C12:C26">
    <cfRule type="expression" dxfId="462" priority="54">
      <formula>C12=""</formula>
    </cfRule>
  </conditionalFormatting>
  <conditionalFormatting sqref="E54">
    <cfRule type="expression" dxfId="461" priority="3">
      <formula>$G$6=FALSE</formula>
    </cfRule>
  </conditionalFormatting>
  <conditionalFormatting sqref="E278:J278">
    <cfRule type="expression" dxfId="460" priority="145">
      <formula>$G$6=TRUE</formula>
    </cfRule>
  </conditionalFormatting>
  <conditionalFormatting sqref="F4:F5 H3">
    <cfRule type="expression" dxfId="459" priority="120">
      <formula>F3=""</formula>
    </cfRule>
  </conditionalFormatting>
  <conditionalFormatting sqref="F5">
    <cfRule type="expression" dxfId="458" priority="118">
      <formula>OR($F$5="",ISERROR(MATCH(F5,opwekking_elektriciteit,0))=TRUE)</formula>
    </cfRule>
  </conditionalFormatting>
  <conditionalFormatting sqref="F2:H2">
    <cfRule type="expression" dxfId="457" priority="126">
      <formula>$F$2&lt;&gt;""</formula>
    </cfRule>
  </conditionalFormatting>
  <conditionalFormatting sqref="J32:J33">
    <cfRule type="cellIs" dxfId="456" priority="101" operator="greaterThan">
      <formula>0</formula>
    </cfRule>
  </conditionalFormatting>
  <conditionalFormatting sqref="J40:J42">
    <cfRule type="expression" dxfId="455" priority="52">
      <formula>J40="OK"</formula>
    </cfRule>
  </conditionalFormatting>
  <conditionalFormatting sqref="J46:J47">
    <cfRule type="expression" dxfId="454" priority="51">
      <formula>J46="OK"</formula>
    </cfRule>
  </conditionalFormatting>
  <conditionalFormatting sqref="J50">
    <cfRule type="cellIs" dxfId="453" priority="49" operator="notEqual">
      <formula>"OK"</formula>
    </cfRule>
  </conditionalFormatting>
  <conditionalFormatting sqref="J80">
    <cfRule type="cellIs" dxfId="452" priority="102" operator="notEqual">
      <formula>"OK"</formula>
    </cfRule>
  </conditionalFormatting>
  <conditionalFormatting sqref="J135">
    <cfRule type="cellIs" dxfId="451" priority="40" operator="equal">
      <formula>0</formula>
    </cfRule>
  </conditionalFormatting>
  <conditionalFormatting sqref="J138 J142 J146 M135 M138 M142 M146 Y135 Y138 Y142 Y146 AK135 AK138 AK142 AK146 AW135 AW138 AW142 AW146">
    <cfRule type="cellIs" dxfId="450" priority="44" operator="equal">
      <formula>0</formula>
    </cfRule>
  </conditionalFormatting>
  <conditionalFormatting sqref="M32:M33">
    <cfRule type="cellIs" dxfId="449" priority="100" operator="greaterThan">
      <formula>0</formula>
    </cfRule>
  </conditionalFormatting>
  <conditionalFormatting sqref="M131:M146 Y131:Y146 AK131:AK146 AW131:AW146">
    <cfRule type="expression" dxfId="448" priority="123">
      <formula>SUM(M$131:M$146)=0</formula>
    </cfRule>
  </conditionalFormatting>
  <conditionalFormatting sqref="M275 O275:X275 AJ275 AV275 BH275">
    <cfRule type="expression" dxfId="447" priority="128">
      <formula>#REF!&gt;M275</formula>
    </cfRule>
  </conditionalFormatting>
  <conditionalFormatting sqref="O80 AA80 AM80 AY80">
    <cfRule type="expression" dxfId="446" priority="48">
      <formula>OR(AND(O80="",O$24&gt;0),ISERROR(MATCH(O80,toestellen_RV_invoer,0)))</formula>
    </cfRule>
  </conditionalFormatting>
  <conditionalFormatting sqref="O84 O91 O106:Q106 O109:Q109 O116:Q116 O120:Q120 O126:Q126 Q84 Q91 AA84 AA91 AA106:AC106 AA109:AC109 AA116:AC116 AA120:AC120 AA126:AC126 AC84 AC91 AM84 AM91 AM106:AO106 AM109:AO109 AM116:AO116 AM120:AO120 AM126:AO126 AO84 AO91 AY84 AY91 AY109:BA109 AY116:BA116 AY120:BA120 AY126:BA126 BA84 BA91">
    <cfRule type="expression" dxfId="445" priority="105">
      <formula>AND(O$75&gt;0,O84="")</formula>
    </cfRule>
  </conditionalFormatting>
  <conditionalFormatting sqref="O87 Q87 AA87 AC87 AM87 AO87 AY87 BA87">
    <cfRule type="expression" dxfId="444" priority="119">
      <formula>OR(AND(O$75&gt;0,O87=""),AND(O87&lt;&gt;"ja",O87&lt;&gt;"nee",O87&lt;&gt;""))</formula>
    </cfRule>
  </conditionalFormatting>
  <conditionalFormatting sqref="O126 Q126 AA126 AC126 AM126 AO126 AY126 BA126">
    <cfRule type="expression" dxfId="443" priority="133">
      <formula>O$125=0</formula>
    </cfRule>
  </conditionalFormatting>
  <conditionalFormatting sqref="O80:Q81 O83:Q85 O87:Q88 O90:Q92 O94:Q96 AA80:AC81 AA83:AC85 AA87:AC88 AA90:AC92 AA94:AC96 AM80:AO81 AM83:AO85 AM87:AO88 AM90:AO92 AM94:AO96 AY80:BA81 AY83:BA85 AY87:BA88 AY90:BA92 AY94:BA96">
    <cfRule type="expression" dxfId="441" priority="146">
      <formula>O$29=0</formula>
    </cfRule>
    <cfRule type="expression" dxfId="442" priority="147">
      <formula>O$75=0</formula>
    </cfRule>
  </conditionalFormatting>
  <conditionalFormatting sqref="O101:Q101 AA101:AC101 AA131:AC131 AM101:AO101 AM131:AO131 AY101:BA101 AY131:BA131">
    <cfRule type="expression" dxfId="440" priority="115">
      <formula>O$75=0</formula>
    </cfRule>
  </conditionalFormatting>
  <conditionalFormatting sqref="O102:Q103 O105:Q113 O115:Q116 O119:Q121 O123:Q126 P117:Q117 AA101:AC103 AA105:AC113 AA115:AC117 AA119:AC121 AA123:AC126 AM101:AO103 AM105:AO113 AM115:AO117 AM119:AO121 AM123:AO126 AY101:BA103 AY105:BA113 AY115:BA117 AY119:BA121 AY123:BA126">
    <cfRule type="expression" dxfId="439" priority="41">
      <formula>OR(O$75=0,O$101="geen")</formula>
    </cfRule>
  </conditionalFormatting>
  <conditionalFormatting sqref="O131:Q131">
    <cfRule type="expression" dxfId="438" priority="112">
      <formula>O$75=0</formula>
    </cfRule>
  </conditionalFormatting>
  <conditionalFormatting sqref="O132:Q138 O140:Q142 O144:Q146 AA132:AC138 AA140:AC142 AA144:AC146 AM132:AO138 AM140:AO142 AM144:AO146 AY132:BA138 AY140:BA142 AY144:BA146">
    <cfRule type="expression" dxfId="437" priority="39">
      <formula>OR(O$75=0,O$131="geen")</formula>
    </cfRule>
  </conditionalFormatting>
  <conditionalFormatting sqref="O137:Q137 O141:Q141 O145:Q145 AA137:AC137 AA141:AC141 AA145:AC145 AM137:AO137 AM141:AO141 AM145:AO145 AY137:BA137 AY141:BA141 AY145:BA145">
    <cfRule type="expression" dxfId="436" priority="144">
      <formula>AND(O$75&gt;0,O$131&lt;&gt;"geen",O137="")</formula>
    </cfRule>
  </conditionalFormatting>
  <conditionalFormatting sqref="O151:Q153 AA151:AC153 AM151:AO153 AY151:BA153">
    <cfRule type="expression" dxfId="435" priority="149">
      <formula>OR(O$29=0,O$123=0)</formula>
    </cfRule>
  </conditionalFormatting>
  <conditionalFormatting sqref="O152:Q152 AA152:AC152 AM152:AO152 AY152:BA152">
    <cfRule type="expression" dxfId="434" priority="114">
      <formula>AND(O$123&gt;0,O152="")</formula>
    </cfRule>
  </conditionalFormatting>
  <conditionalFormatting sqref="O167:S169">
    <cfRule type="expression" dxfId="433" priority="110">
      <formula>O$29=0</formula>
    </cfRule>
  </conditionalFormatting>
  <conditionalFormatting sqref="O197:S202">
    <cfRule type="expression" dxfId="432" priority="108">
      <formula>O$29=0</formula>
    </cfRule>
  </conditionalFormatting>
  <conditionalFormatting sqref="O209:S215">
    <cfRule type="expression" dxfId="431" priority="106">
      <formula>O$29=0</formula>
    </cfRule>
  </conditionalFormatting>
  <conditionalFormatting sqref="O216:S216">
    <cfRule type="expression" dxfId="430" priority="88">
      <formula>O$29=0</formula>
    </cfRule>
  </conditionalFormatting>
  <conditionalFormatting sqref="O17:W17">
    <cfRule type="expression" dxfId="429" priority="87">
      <formula>AND(O17&lt;&gt;"",ISERROR(MATCH(O17,woningen_gebouwen_namen,0))=TRUE)</formula>
    </cfRule>
  </conditionalFormatting>
  <conditionalFormatting sqref="O19:W19 AA19:AI19 AM19:AU19 AY19:BG19">
    <cfRule type="expression" dxfId="428" priority="99">
      <formula>O19=""</formula>
    </cfRule>
  </conditionalFormatting>
  <conditionalFormatting sqref="O20:W21 AM20:AU21 AY20:BG21">
    <cfRule type="expression" dxfId="427" priority="98">
      <formula>O$19=""</formula>
    </cfRule>
  </conditionalFormatting>
  <conditionalFormatting sqref="O22:W22">
    <cfRule type="expression" dxfId="426" priority="96">
      <formula>OR(O$19="",AND(O$21&lt;&gt;woning,O$21&lt;&gt;woongebouw))</formula>
    </cfRule>
  </conditionalFormatting>
  <conditionalFormatting sqref="O24:W25 AA24:BG25">
    <cfRule type="expression" dxfId="425" priority="74">
      <formula>O$19=""</formula>
    </cfRule>
  </conditionalFormatting>
  <conditionalFormatting sqref="O25:W25 AM25:AU25 AY25:BG25">
    <cfRule type="expression" dxfId="424" priority="129">
      <formula>AND(O$19="",O25&gt;0)</formula>
    </cfRule>
    <cfRule type="expression" dxfId="423" priority="130">
      <formula>AND(O$19&lt;&gt;"",O25="")</formula>
    </cfRule>
  </conditionalFormatting>
  <conditionalFormatting sqref="O26:W29 O31:W35">
    <cfRule type="expression" dxfId="422" priority="4">
      <formula>OR(O$19="",O$24=0)</formula>
    </cfRule>
  </conditionalFormatting>
  <conditionalFormatting sqref="O40:W48 O50:W50 O52:W55 O58:W58 O60:W66 O68:W68 O70:W70">
    <cfRule type="expression" dxfId="421" priority="42">
      <formula>OR(O$19="",O$24=0)</formula>
    </cfRule>
  </conditionalFormatting>
  <conditionalFormatting sqref="O41:W41 AA41:AI41 AM41:AU41 AY41:BG41">
    <cfRule type="expression" dxfId="420" priority="5">
      <formula>AND(O$19&lt;&gt;"",O$24&gt;0,O41&lt;&gt;"",ISERROR(MATCH(O41,isolatiepakketten_gebouwschil_namen,0))=TRUE)</formula>
    </cfRule>
  </conditionalFormatting>
  <conditionalFormatting sqref="O42:W42 AA42:AI42 AM42:AU42 AY42:BG42">
    <cfRule type="expression" dxfId="419" priority="131">
      <formula>OR(AND(O$19&lt;&gt;"",O$24&gt;0,O42=""),ISERROR(MATCH(O42,ventilatiesystemen_namen,0))=TRUE)</formula>
    </cfRule>
  </conditionalFormatting>
  <conditionalFormatting sqref="O43:W43 AA43:AI43 AM43:AU43 AY43:BG43">
    <cfRule type="expression" dxfId="417" priority="132">
      <formula>OR(AND(O$19&lt;&gt;"",O$24&gt;0,O43=""),ISERROR(MATCH(O43,ventilatoren_typen,0))=TRUE)</formula>
    </cfRule>
  </conditionalFormatting>
  <conditionalFormatting sqref="O44:W44 AA44:AI44 AM44:AU44 AY44:BG44">
    <cfRule type="expression" dxfId="416" priority="134">
      <formula>OR(O44&lt;0.5,O44&gt;2,AND(O$19&lt;&gt;"",O44=""))</formula>
    </cfRule>
  </conditionalFormatting>
  <conditionalFormatting sqref="O45:W46 AA45:AI46 AM45:AU46 AY45:BG46">
    <cfRule type="expression" dxfId="414" priority="50">
      <formula>OR(O$19="",O$28=0)</formula>
    </cfRule>
    <cfRule type="expression" dxfId="415" priority="136">
      <formula>AND(O$19&lt;&gt;"",O$28&gt;0,O45="")</formula>
    </cfRule>
  </conditionalFormatting>
  <conditionalFormatting sqref="O46:W46 AA46:AI46 AM46:AU46 AY46:BG46">
    <cfRule type="expression" dxfId="413" priority="138">
      <formula>AND(O46&lt;&gt;"",ISERROR(MATCH(O46,verlichtingsregeling_namen,0))=TRUE)</formula>
    </cfRule>
  </conditionalFormatting>
  <conditionalFormatting sqref="O47:W47 AA47:AI47 AM47:AU47 AY47:BG47">
    <cfRule type="expression" dxfId="411" priority="62">
      <formula>OR(O$19="",O$26+O$27=0,AND(O$21&lt;&gt;woning,O$21&lt;&gt;woongebouw))</formula>
    </cfRule>
    <cfRule type="expression" dxfId="412" priority="139">
      <formula>OR(AND(O$19&lt;&gt;"",O$24&gt;0,O47=""),AND(O47&lt;&gt;elektriciteit,O47&lt;&gt;aardgas))</formula>
    </cfRule>
  </conditionalFormatting>
  <conditionalFormatting sqref="O48:W48 AA48:AI48 AM48:AU48 AY48:BG48">
    <cfRule type="expression" dxfId="410" priority="140">
      <formula>OR(O48&lt;0,O48&gt;1,AND(O$19&lt;&gt;"",O48=""))</formula>
    </cfRule>
  </conditionalFormatting>
  <conditionalFormatting sqref="O50:W50 AA50:AI50 AM50:AU50 AY50:BG50">
    <cfRule type="expression" dxfId="408" priority="61">
      <formula>$O19=""</formula>
    </cfRule>
    <cfRule type="cellIs" dxfId="409" priority="143" operator="equal">
      <formula>"nee"</formula>
    </cfRule>
  </conditionalFormatting>
  <conditionalFormatting sqref="O53:W53 AA53:AI53 AM53:AU53 AY53:BG53">
    <cfRule type="cellIs" dxfId="407" priority="9" operator="equal">
      <formula>0</formula>
    </cfRule>
  </conditionalFormatting>
  <conditionalFormatting sqref="O54:W54 AA54:AI54 AM54:AU54 AY54:BG54">
    <cfRule type="expression" dxfId="406" priority="150">
      <formula>O$24=0</formula>
    </cfRule>
    <cfRule type="expression" dxfId="405" priority="151">
      <formula>AND(O$24&gt;0,O54="",$G$6=TRUE)</formula>
    </cfRule>
    <cfRule type="expression" dxfId="404" priority="152">
      <formula>AND(O$24&gt;0,O$54&gt;0,O$54&lt;&gt;O$55,$G$6=TRUE)</formula>
    </cfRule>
  </conditionalFormatting>
  <conditionalFormatting sqref="O68:W68 AA68:AI68 AM68:AU68 AY68:BG68">
    <cfRule type="expression" dxfId="403" priority="117">
      <formula>AND(O$19&lt;&gt;"",O68="")</formula>
    </cfRule>
  </conditionalFormatting>
  <conditionalFormatting sqref="O70:W70">
    <cfRule type="expression" dxfId="402" priority="43">
      <formula>AND(O$19&lt;&gt;"",O70="")</formula>
    </cfRule>
  </conditionalFormatting>
  <conditionalFormatting sqref="O75:W75 AA75:AI75 AM75:AU75 AY75:BG75">
    <cfRule type="expression" dxfId="401" priority="113">
      <formula>O$29=0</formula>
    </cfRule>
  </conditionalFormatting>
  <conditionalFormatting sqref="O227:W227 AM227:AU227 AM234:AU236 AM251:AU253 AM255:AU255 AY227:BG227 AY234:BG236">
    <cfRule type="expression" dxfId="400" priority="107">
      <formula>O$24=0</formula>
    </cfRule>
  </conditionalFormatting>
  <conditionalFormatting sqref="O229:W229 O241:W249 O251:W253 O255:W255 O257:W257 O262:W262 O264:W269 O271:W271 O273:W273 O275:W275 O282:W284 O286:W288 O290:W291 O293:W294 O296:W297 O302:W310 O312:W314 O316:W316 O318:W318">
    <cfRule type="expression" dxfId="399" priority="64">
      <formula>O$24=0</formula>
    </cfRule>
  </conditionalFormatting>
  <conditionalFormatting sqref="O286:W287">
    <cfRule type="expression" dxfId="398" priority="124">
      <formula>O286&gt;O282</formula>
    </cfRule>
  </conditionalFormatting>
  <conditionalFormatting sqref="O291:W291 AA291:AI291 AM291:AU291 AY291:BG291">
    <cfRule type="expression" dxfId="396" priority="154">
      <formula>#REF!&lt;O$287</formula>
    </cfRule>
    <cfRule type="expression" dxfId="397" priority="155">
      <formula>O$24=0</formula>
    </cfRule>
  </conditionalFormatting>
  <conditionalFormatting sqref="O294:W294">
    <cfRule type="expression" dxfId="394" priority="25">
      <formula>AND(O294&lt;&gt;"nvt",O294&gt;O293)</formula>
    </cfRule>
    <cfRule type="expression" dxfId="395" priority="26">
      <formula>AND(O294&lt;&gt;"nvt",O294&lt;=O293)</formula>
    </cfRule>
  </conditionalFormatting>
  <conditionalFormatting sqref="O297:W297">
    <cfRule type="expression" dxfId="392" priority="23">
      <formula>AND(O297&lt;&gt;"nvt",O297&gt;O296)</formula>
    </cfRule>
    <cfRule type="expression" dxfId="393" priority="24">
      <formula>AND(O297&lt;&gt;"nvt",O297&lt;=O296)</formula>
    </cfRule>
  </conditionalFormatting>
  <conditionalFormatting sqref="O40:BG41">
    <cfRule type="expression" dxfId="391" priority="2">
      <formula>OR(O$19="",O$24=0)</formula>
    </cfRule>
  </conditionalFormatting>
  <conditionalFormatting sqref="P80 AB80 AN80 AZ80">
    <cfRule type="expression" dxfId="390" priority="103">
      <formula>OR(AND(P80="",P$24&gt;0),ISERROR(MATCH(P80,toestellen_KOEL_invoer,0)))</formula>
    </cfRule>
  </conditionalFormatting>
  <conditionalFormatting sqref="P81 P83:P85 P87:P88 P90:P92 P94:P96 AB81 AB83:AB85 AB87:AB88 AB90:AB92 AB94:AB96 AN81 AN83:AN85 AN87:AN88 AN90:AN92 AN94:AN96 AZ81 AZ83:AZ85 AZ87:AZ88 AZ90:AZ92 AZ94:AZ96">
    <cfRule type="expression" dxfId="389" priority="32">
      <formula>P$80="geen"</formula>
    </cfRule>
  </conditionalFormatting>
  <conditionalFormatting sqref="Q80 AC80 AO80 BA80">
    <cfRule type="expression" dxfId="388" priority="104">
      <formula>OR(AND(Q80="",Q$24&gt;0),ISERROR(MATCH(Q80,toestellen_TAP_invoer,0)))</formula>
    </cfRule>
  </conditionalFormatting>
  <conditionalFormatting sqref="Q87 AC87 AO87 BA87">
    <cfRule type="expression" dxfId="387" priority="148">
      <formula>OR(AND(Q$24&gt;0,Q$75&gt;0,Q87=""),AND(Q87&lt;&gt;"ja",Q87&lt;&gt;"nee",Q87&lt;&gt;""))</formula>
    </cfRule>
  </conditionalFormatting>
  <conditionalFormatting sqref="T155:T156">
    <cfRule type="expression" dxfId="386" priority="57">
      <formula>T$29=0</formula>
    </cfRule>
  </conditionalFormatting>
  <conditionalFormatting sqref="T158:T159">
    <cfRule type="expression" dxfId="385" priority="56">
      <formula>T$29=0</formula>
    </cfRule>
  </conditionalFormatting>
  <conditionalFormatting sqref="T161">
    <cfRule type="expression" dxfId="384" priority="55">
      <formula>T$29=0</formula>
    </cfRule>
  </conditionalFormatting>
  <conditionalFormatting sqref="T167:T169">
    <cfRule type="expression" dxfId="383" priority="85">
      <formula>T$29=0</formula>
    </cfRule>
  </conditionalFormatting>
  <conditionalFormatting sqref="T186:T188">
    <cfRule type="expression" dxfId="382" priority="59">
      <formula>T$29=0</formula>
    </cfRule>
  </conditionalFormatting>
  <conditionalFormatting sqref="T190">
    <cfRule type="expression" dxfId="381" priority="58">
      <formula>T$29=0</formula>
    </cfRule>
  </conditionalFormatting>
  <conditionalFormatting sqref="T197:T202">
    <cfRule type="expression" dxfId="380" priority="84">
      <formula>T$29=0</formula>
    </cfRule>
  </conditionalFormatting>
  <conditionalFormatting sqref="T204">
    <cfRule type="expression" dxfId="379" priority="86">
      <formula>T$29=0</formula>
    </cfRule>
  </conditionalFormatting>
  <conditionalFormatting sqref="T209:T216">
    <cfRule type="expression" dxfId="378" priority="82">
      <formula>T$29=0</formula>
    </cfRule>
  </conditionalFormatting>
  <conditionalFormatting sqref="T221:T222">
    <cfRule type="expression" dxfId="377" priority="83">
      <formula>T$29=0</formula>
    </cfRule>
  </conditionalFormatting>
  <conditionalFormatting sqref="U154:W156">
    <cfRule type="expression" dxfId="376" priority="111">
      <formula>U$29=0</formula>
    </cfRule>
  </conditionalFormatting>
  <conditionalFormatting sqref="U186:W188">
    <cfRule type="expression" dxfId="375" priority="109">
      <formula>U$29=0</formula>
    </cfRule>
  </conditionalFormatting>
  <conditionalFormatting sqref="AA187">
    <cfRule type="expression" dxfId="374" priority="92">
      <formula>AA$29=0</formula>
    </cfRule>
  </conditionalFormatting>
  <conditionalFormatting sqref="AA209:AC209">
    <cfRule type="expression" dxfId="373" priority="31">
      <formula>AA$29=0</formula>
    </cfRule>
  </conditionalFormatting>
  <conditionalFormatting sqref="AA186:AE186">
    <cfRule type="expression" dxfId="372" priority="94">
      <formula>AA$29=0</formula>
    </cfRule>
  </conditionalFormatting>
  <conditionalFormatting sqref="AA216:AE216">
    <cfRule type="expression" dxfId="371" priority="89">
      <formula>AA$29=0</formula>
    </cfRule>
  </conditionalFormatting>
  <conditionalFormatting sqref="AA20:AI21">
    <cfRule type="expression" dxfId="370" priority="97">
      <formula>AA$19=""</formula>
    </cfRule>
  </conditionalFormatting>
  <conditionalFormatting sqref="AA22:AI22">
    <cfRule type="expression" dxfId="369" priority="47">
      <formula>OR(AA$19="",AND(AA$21&lt;&gt;woning,AA$21&lt;&gt;woongebouw))</formula>
    </cfRule>
  </conditionalFormatting>
  <conditionalFormatting sqref="AA25:AI25">
    <cfRule type="expression" dxfId="368" priority="141">
      <formula>AND(AA$19="",AA25&gt;0)</formula>
    </cfRule>
    <cfRule type="expression" dxfId="367" priority="142">
      <formula>AND(AA$19&lt;&gt;"",AA25="")</formula>
    </cfRule>
  </conditionalFormatting>
  <conditionalFormatting sqref="AA26:AI29 AA31:AI35 AA42:AI48 AA60:AI66 AM26:AU29 AM31:AU35 AM42:AU48 AM60:AU66 AY26:BG29 AY31:BG35 AY42:BG48 AY60:BG66">
    <cfRule type="expression" dxfId="366" priority="127">
      <formula>OR(AA$19="",AA$24=0)</formula>
    </cfRule>
  </conditionalFormatting>
  <conditionalFormatting sqref="AA68:AI68 AM68:AU68 AY68:BG68">
    <cfRule type="expression" dxfId="365" priority="116">
      <formula>OR(AA$19="",AA$24=0)</formula>
    </cfRule>
  </conditionalFormatting>
  <conditionalFormatting sqref="AA70:AI70">
    <cfRule type="expression" dxfId="364" priority="37">
      <formula>OR(AA$19="",AA$24=0)</formula>
    </cfRule>
    <cfRule type="expression" dxfId="363" priority="38">
      <formula>AND(AA$19&lt;&gt;"",AA70="")</formula>
    </cfRule>
  </conditionalFormatting>
  <conditionalFormatting sqref="AA227:AI227 AA229:AI230 AA234:AI237 AA251:AI253 AA255:AI255 AA257:AI258 AA262:AI269 AA271:AI271 AA273:AI273 AA275:AI276 AA280:AI280 AA282:AI284 AA286:AI288 AA290:AI290 AA241:BG249">
    <cfRule type="expression" dxfId="362" priority="8">
      <formula>AA$24=0</formula>
    </cfRule>
  </conditionalFormatting>
  <conditionalFormatting sqref="AA292:AI292">
    <cfRule type="expression" dxfId="361" priority="28">
      <formula>AA292&lt;AA287</formula>
    </cfRule>
  </conditionalFormatting>
  <conditionalFormatting sqref="AA294:AI294">
    <cfRule type="expression" dxfId="360" priority="21">
      <formula>AND(AA294&lt;&gt;"nvt",AA294&gt;AA293)</formula>
    </cfRule>
    <cfRule type="expression" dxfId="359" priority="22">
      <formula>AND(AA294&lt;&gt;"nvt",AA294&lt;=AA293)</formula>
    </cfRule>
  </conditionalFormatting>
  <conditionalFormatting sqref="AA297:AI297">
    <cfRule type="expression" dxfId="357" priority="19">
      <formula>AND(AA297&lt;&gt;"nvt",AA297&gt;AA296)</formula>
    </cfRule>
    <cfRule type="expression" dxfId="358" priority="20">
      <formula>AND(AA297&lt;&gt;"nvt",AA297&lt;=AA296)</formula>
    </cfRule>
  </conditionalFormatting>
  <conditionalFormatting sqref="AA302:AI310 AA312:AI314 AA316:AI316 AA318:AI318">
    <cfRule type="expression" dxfId="356" priority="66">
      <formula>AA$24=0</formula>
    </cfRule>
  </conditionalFormatting>
  <conditionalFormatting sqref="AA286:AU287">
    <cfRule type="expression" dxfId="355" priority="122">
      <formula>AA286&gt;AA282</formula>
    </cfRule>
  </conditionalFormatting>
  <conditionalFormatting sqref="AA295:AX295">
    <cfRule type="expression" dxfId="354" priority="14">
      <formula>AA295&lt;AA290</formula>
    </cfRule>
  </conditionalFormatting>
  <conditionalFormatting sqref="AF186:AF188">
    <cfRule type="expression" dxfId="353" priority="80">
      <formula>AF$29=0</formula>
    </cfRule>
  </conditionalFormatting>
  <conditionalFormatting sqref="AF221:AF222">
    <cfRule type="expression" dxfId="352" priority="81">
      <formula>AF$29=0</formula>
    </cfRule>
  </conditionalFormatting>
  <conditionalFormatting sqref="AF209:BD216">
    <cfRule type="expression" dxfId="351" priority="68">
      <formula>AF$29=0</formula>
    </cfRule>
  </conditionalFormatting>
  <conditionalFormatting sqref="AM187">
    <cfRule type="expression" dxfId="350" priority="91">
      <formula>AM$29=0</formula>
    </cfRule>
  </conditionalFormatting>
  <conditionalFormatting sqref="AM209:AO209">
    <cfRule type="expression" dxfId="349" priority="30">
      <formula>AM$29=0</formula>
    </cfRule>
  </conditionalFormatting>
  <conditionalFormatting sqref="AM22:AU22">
    <cfRule type="expression" dxfId="348" priority="46">
      <formula>OR(AM$19="",AND(AM$21&lt;&gt;woning,AM$21&lt;&gt;woongebouw))</formula>
    </cfRule>
  </conditionalFormatting>
  <conditionalFormatting sqref="AM70:AU70">
    <cfRule type="expression" dxfId="347" priority="35">
      <formula>OR(AM$19="",AM$24=0)</formula>
    </cfRule>
    <cfRule type="expression" dxfId="346" priority="36">
      <formula>AND(AM$19&lt;&gt;"",AM70="")</formula>
    </cfRule>
  </conditionalFormatting>
  <conditionalFormatting sqref="AM229:AU229">
    <cfRule type="expression" dxfId="345" priority="75">
      <formula>AM$24=0</formula>
    </cfRule>
  </conditionalFormatting>
  <conditionalFormatting sqref="AM257:AU257">
    <cfRule type="expression" dxfId="344" priority="76">
      <formula>AM$24=0</formula>
    </cfRule>
  </conditionalFormatting>
  <conditionalFormatting sqref="AM290:AU290">
    <cfRule type="expression" dxfId="343" priority="7">
      <formula>AM$24=0</formula>
    </cfRule>
  </conditionalFormatting>
  <conditionalFormatting sqref="AM292:AU292">
    <cfRule type="expression" dxfId="342" priority="27">
      <formula>AM292&lt;AM287</formula>
    </cfRule>
  </conditionalFormatting>
  <conditionalFormatting sqref="AM294:AU294">
    <cfRule type="expression" dxfId="340" priority="17">
      <formula>AND(AM294&lt;&gt;"nvt",AM294&gt;AM293)</formula>
    </cfRule>
    <cfRule type="expression" dxfId="341" priority="18">
      <formula>AND(AM294&lt;&gt;"nvt",AM294&lt;=AM293)</formula>
    </cfRule>
  </conditionalFormatting>
  <conditionalFormatting sqref="AM297:AU297">
    <cfRule type="expression" dxfId="338" priority="15">
      <formula>AND(AM297&lt;&gt;"nvt",AM297&gt;AM296)</formula>
    </cfRule>
    <cfRule type="expression" dxfId="339" priority="16">
      <formula>AND(AM297&lt;&gt;"nvt",AM297&lt;=AM296)</formula>
    </cfRule>
  </conditionalFormatting>
  <conditionalFormatting sqref="AM302:AU310 AM312:AU314 AM316:AU316 AM318:AU318">
    <cfRule type="expression" dxfId="337" priority="65">
      <formula>AM$24=0</formula>
    </cfRule>
  </conditionalFormatting>
  <conditionalFormatting sqref="AR186:AR188">
    <cfRule type="expression" dxfId="336" priority="77">
      <formula>AR$29=0</formula>
    </cfRule>
  </conditionalFormatting>
  <conditionalFormatting sqref="AR221:AR222">
    <cfRule type="expression" dxfId="335" priority="78">
      <formula>AR$29=0</formula>
    </cfRule>
  </conditionalFormatting>
  <conditionalFormatting sqref="AR289">
    <cfRule type="expression" dxfId="334" priority="79">
      <formula>AR289&lt;AR285</formula>
    </cfRule>
  </conditionalFormatting>
  <conditionalFormatting sqref="AY187">
    <cfRule type="expression" dxfId="333" priority="90">
      <formula>AY$29=0</formula>
    </cfRule>
  </conditionalFormatting>
  <conditionalFormatting sqref="AY106:BA106">
    <cfRule type="expression" dxfId="332" priority="137">
      <formula>AND(AY$75&gt;0,AY106="")</formula>
    </cfRule>
  </conditionalFormatting>
  <conditionalFormatting sqref="AY209:BA209">
    <cfRule type="expression" dxfId="331" priority="29">
      <formula>AY$29=0</formula>
    </cfRule>
  </conditionalFormatting>
  <conditionalFormatting sqref="AY186:BC186">
    <cfRule type="expression" dxfId="330" priority="93">
      <formula>AY$29=0</formula>
    </cfRule>
  </conditionalFormatting>
  <conditionalFormatting sqref="AY22:BG22">
    <cfRule type="expression" dxfId="329" priority="45">
      <formula>OR(AY$19="",AND(AY$21&lt;&gt;woning,AY$21&lt;&gt;woongebouw))</formula>
    </cfRule>
  </conditionalFormatting>
  <conditionalFormatting sqref="AY70:BG70">
    <cfRule type="expression" dxfId="327" priority="33">
      <formula>OR(AY$19="",AY$24=0)</formula>
    </cfRule>
    <cfRule type="expression" dxfId="328" priority="34">
      <formula>AND(AY$19&lt;&gt;"",AY70="")</formula>
    </cfRule>
  </conditionalFormatting>
  <conditionalFormatting sqref="AY229:BG229">
    <cfRule type="expression" dxfId="326" priority="67">
      <formula>AY$24=0</formula>
    </cfRule>
  </conditionalFormatting>
  <conditionalFormatting sqref="AY251:BG253 AY255:BG255 AY257:BG257 AY262:BG269 AY271:BG271 AY273:BG273 AY275:BG275 AY280:BG280 AY282:BG284 AY286:BG288 AY293:BG294 AY296:BG297 AY302:BG310">
    <cfRule type="expression" dxfId="325" priority="63">
      <formula>AY$24=0</formula>
    </cfRule>
  </conditionalFormatting>
  <conditionalFormatting sqref="AY286:BG287">
    <cfRule type="expression" dxfId="324" priority="121">
      <formula>AY286&gt;AY282</formula>
    </cfRule>
  </conditionalFormatting>
  <conditionalFormatting sqref="AY290:BG290">
    <cfRule type="expression" dxfId="323" priority="6">
      <formula>AY$24=0</formula>
    </cfRule>
  </conditionalFormatting>
  <conditionalFormatting sqref="AY290:BG291 AY312:BG314 AY316:BG316">
    <cfRule type="expression" dxfId="322" priority="70">
      <formula>AY$24=0</formula>
    </cfRule>
  </conditionalFormatting>
  <conditionalFormatting sqref="AY294:BG294">
    <cfRule type="expression" dxfId="320" priority="12">
      <formula>AND(AY294&lt;&gt;"nvt",AY294&gt;AY293)</formula>
    </cfRule>
    <cfRule type="expression" dxfId="321" priority="13">
      <formula>AND(AY294&lt;&gt;"nvt",AY294&lt;=AY293)</formula>
    </cfRule>
  </conditionalFormatting>
  <conditionalFormatting sqref="AY297:BG297">
    <cfRule type="expression" dxfId="318" priority="10">
      <formula>AND(AY297&lt;&gt;"nvt",AY297&gt;AY296)</formula>
    </cfRule>
    <cfRule type="expression" dxfId="319" priority="11">
      <formula>AND(AY297&lt;&gt;"nvt",AY297&lt;=AY296)</formula>
    </cfRule>
  </conditionalFormatting>
  <conditionalFormatting sqref="AY318:BG318">
    <cfRule type="expression" dxfId="317" priority="69">
      <formula>AY$24=0</formula>
    </cfRule>
  </conditionalFormatting>
  <conditionalFormatting sqref="BD161:BD162">
    <cfRule type="expression" dxfId="316" priority="60">
      <formula>BD$29=0</formula>
    </cfRule>
  </conditionalFormatting>
  <conditionalFormatting sqref="BD186:BD188">
    <cfRule type="expression" dxfId="315" priority="71">
      <formula>BD$29=0</formula>
    </cfRule>
  </conditionalFormatting>
  <conditionalFormatting sqref="BD221:BD222">
    <cfRule type="expression" dxfId="314" priority="72">
      <formula>BD$29=0</formula>
    </cfRule>
  </conditionalFormatting>
  <conditionalFormatting sqref="BD288">
    <cfRule type="expression" dxfId="313" priority="73">
      <formula>BD288&lt;BD284</formula>
    </cfRule>
  </conditionalFormatting>
  <conditionalFormatting sqref="BH186:BH188 BH190:BH192">
    <cfRule type="expression" dxfId="312" priority="125">
      <formula>AND(BH186&lt;&gt;"-",BH186&gt;BH187)</formula>
    </cfRule>
  </conditionalFormatting>
  <conditionalFormatting sqref="BH227">
    <cfRule type="expression" dxfId="311" priority="135">
      <formula>AND(BH227&lt;&gt;"-",BH227&gt;#REF!)</formula>
    </cfRule>
  </conditionalFormatting>
  <conditionalFormatting sqref="O288:W288 AA288:AI288 AM288:AU288 AY288:BG288">
    <cfRule type="expression" dxfId="310" priority="1">
      <formula>$O$288&lt;$O$284</formula>
    </cfRule>
  </conditionalFormatting>
  <dataValidations count="97">
    <dataValidation type="decimal" allowBlank="1" showInputMessage="1" showErrorMessage="1" errorTitle="Invoer valt buiten bereik" error="De ingevoerde waarde valt buiten het bereik." sqref="O54:W55 AA54:AI55 AM54:AU55 AY54:BG55" xr:uid="{28071C1C-8D07-4FAF-A0AE-E5EA60B223ED}">
      <formula1>0.2</formula1>
      <formula2>2</formula2>
    </dataValidation>
    <dataValidation allowBlank="1" showInputMessage="1" showErrorMessage="1" promptTitle="Renocatiestandaard utiliteit" prompt="De renovatiestandaard is een vrijwillige richtlijn voor de energieprestatie van utiliteitsgebouwen. Na 2030 wordt er een verplichte eindnorm bepaald waaraan de energieprestaties van alle gebouwen moeten voldoen in 2050." sqref="D291" xr:uid="{AA01FC52-C44F-4AA9-BD18-0AFE2F7092B6}"/>
    <dataValidation allowBlank="1" showInputMessage="1" showErrorMessage="1" promptTitle="Energiepakket / energiebehoefte" sqref="O40:BG40" xr:uid="{2A61FAF5-2A50-4EA5-87D6-9527BCF09A2F}"/>
    <dataValidation type="list" allowBlank="1" showInputMessage="1" showErrorMessage="1" promptTitle="Energiepakket / energiebehoefte" sqref="AY41:BG41 AA41:AI41 AM41:AU41 O41:W41" xr:uid="{DE14BC5C-ECA6-448F-AC42-5DA82AE4E405}">
      <formula1>isolatiepakketten_gebouwschil_namen</formula1>
    </dataValidation>
    <dataValidation allowBlank="1" showInputMessage="1" showErrorMessage="1" promptTitle="Correctie warmtebehoefte RV" prompt="In slecht geïsoleerde gebouwen berekent NTA8800 gemiddeld té hoge energiegebruiken voor ruimteverwarming._x000a_De correctie corrigeert de NTA berekening op basis van de gemiddelde U-waarde._x000a__x000a_&gt;&gt; energieprestatie-indicatoren zijn alleen geldig ZONDER correctie." sqref="D6" xr:uid="{43727316-1914-48D6-AE91-82F31FAF0999}"/>
    <dataValidation allowBlank="1" showInputMessage="1" showErrorMessage="1" promptTitle="Correctiefactor verwarming" prompt="Slecht geïsoleerde woningen verbruiken gemiddeld veel minder en goed geïsoleerde woningen verbruiken gemiddeld wat meer dan berekend cf NTA8800._x000a__x000a_Deze correctiefactor verrekent dat._x000a__x000a_Rekenwaarde warmtebehoefte = correctiefactor * warmtebehoefte cf NTA8800" sqref="D53" xr:uid="{5306467D-A9EA-49EB-8397-03C938EF73D0}"/>
    <dataValidation allowBlank="1" showInputMessage="1" showErrorMessage="1" promptTitle="Standaardwaarde" prompt="Deze standaard geeft aan wanneer een woning goed genoeg is geïsoleerd om aardgasvrij te worden. Hij is ontstaan uit het Klimaatakkoord._x000a_" sqref="D292" xr:uid="{02014E44-2336-4D5A-9AEC-5F903D4F2DBA}"/>
    <dataValidation allowBlank="1" showInputMessage="1" showErrorMessage="1" promptTitle="CO2 emissiecoëfficiënt" prompt="CO2 emissiecoëfficiënt energiedrager._x000a__x000a_Bij collectieve WKK met/zonder derving, geothermie, etc wordt de CO2 emissiecoëfficiënt uitgerekend cf. NEN7125_2017 paragraaf 7.3.4.5/6/9._x000a__x000a_Bij een EMG-verklaring wordt de waarde voor K_CO2 del overgenomen." sqref="D119" xr:uid="{297B08C9-FC20-40AB-A613-2E1716117E4E}"/>
    <dataValidation allowBlank="1" showInputMessage="1" showErrorMessage="1" promptTitle="Elektriciteitsderving bij WKK" prompt="Bij WKK's waarbij de elektriciteitsproductie afneemt bij onttrekking van warmte, wordt de primaire energiefactor uitgerekend met de verhouding tussen elektriciteitsderving en thermische omzettingsgetal (Δε;chp;el / ε;chp;th)._x000a__x000a_NEN7125_2017 par 7.3.4.6" sqref="D110" xr:uid="{85B02699-DFFF-478D-B890-F05AD5F6AF92}"/>
    <dataValidation allowBlank="1" showInputMessage="1" showErrorMessage="1" promptTitle="Primaire energiefactor" prompt="Primaire energiefactor energiedrager._x000a__x000a_Bij collectieve WKK met/zonder derving, geothermie, etc wordt de primaire energiefactor uitgerekend cf. NEN7125_2017 paragraaf 7.3.4.5/6/9._x000a__x000a_Bij een EMG-verklaring wordt de waarde voor fPdel overgenomen." sqref="D115" xr:uid="{32B4E12E-257F-46D9-A2EA-3128B63FEEEB}"/>
    <dataValidation type="textLength" allowBlank="1" showInputMessage="1" showErrorMessage="1" errorTitle="Maximaal 65 karakters" error="Maximaal 65 karakters." sqref="F4" xr:uid="{A879F5A3-211F-493B-A8E8-65FAAE1CAEF0}">
      <formula1>0</formula1>
      <formula2>65</formula2>
    </dataValidation>
    <dataValidation type="textLength" errorStyle="warning" allowBlank="1" showInputMessage="1" showErrorMessage="1" errorTitle="Maximaal 30 karakters" error="Maximaal 30 karakters" sqref="H3" xr:uid="{ACCC855A-2D70-4192-A7D1-1B542C8AAD23}">
      <formula1>0</formula1>
      <formula2>40</formula2>
    </dataValidation>
    <dataValidation type="textLength" errorStyle="warning" allowBlank="1" showInputMessage="1" showErrorMessage="1" errorTitle="Maximaal 30 karakters" error="Maximaal 30 karakters" sqref="E3 F4" xr:uid="{DD2DAFF7-9C5E-41BF-ACFC-F424DE917254}">
      <formula1>0</formula1>
      <formula2>30</formula2>
    </dataValidation>
    <dataValidation type="decimal" allowBlank="1" showInputMessage="1" showErrorMessage="1" errorTitle="Bereik 0%-100%" error="De ingevoerde waarde valt buiten het bereik." sqref="O44:W44 AA44:AI44 AY44:BG44 AM44:AU44" xr:uid="{545AE5F7-11AC-440E-9476-E27A871D4D3C}">
      <formula1>0.5</formula1>
      <formula2>2</formula2>
    </dataValidation>
    <dataValidation allowBlank="1" showInputMessage="1" showErrorMessage="1" promptTitle="Elektriciteit 'overig'" prompt="Elektriciteit 'overig' is het elektriciteitsgebruik voor hulpenergie installaties, verlichting, ventilatoren, apparatuur, mobiliteit, elektrisch koken, etcetera." sqref="D154" xr:uid="{0F6C7D38-2F38-493D-B9C6-E3340FE4E397}"/>
    <dataValidation allowBlank="1" showInputMessage="1" showErrorMessage="1" promptTitle="Indicatie geïnstalleerd vermogen" prompt="Forfaitaire, conservatieve, waarden in NTA8800, par. 14.3, in W/m2:_x000a_- winkels: 30_x000a_- gezondheid met bed, logies, cellen: 17_x000a_- overige functies: 16_x000a__x000a_Gebruikelijk is 30% lager._x000a_Energiezuinig 50%-60% lager." sqref="D45" xr:uid="{8B0E18A1-1AE2-41DD-BE7E-AB940E02A6AD}"/>
    <dataValidation allowBlank="1" showInputMessage="1" showErrorMessage="1" promptTitle="Bijdrage zonthermisch MWh" prompt="Bijdrage zonthermisch = %bijdrage zonthermisch * (energiebehoefte + intern distributieverlies)_x000a__x000a_Het % bijdrage zonthermisch is verschillend voor RV en TAP en staat in de bibliotheek." sqref="D88" xr:uid="{CE3977C2-698A-4576-9D56-A78461A06F2A}"/>
    <dataValidation allowBlank="1" showInputMessage="1" showErrorMessage="1" promptTitle="Aandeel hernieuwbare energie" prompt="Aandeel hernieuwbare energie._x000a__x000a_RERPrenTOT = EPrenTot / (EPTot + EPrenTot) * 100%_x000a__x000a_Cf. NTA8800 par. 5.3.1.3, formule 5.3" sqref="D288" xr:uid="{F80FBC9F-E70B-4A69-8725-B1D9137B48B8}"/>
    <dataValidation type="list" allowBlank="1" showInputMessage="1" showErrorMessage="1" sqref="O47:W47 AA47:AI47 AY47:BG47 AM47:AU47" xr:uid="{45B6ECE3-1D64-455C-A38F-F9BFFC7BF4AA}">
      <formula1>"elektriciteit,aardgas"</formula1>
    </dataValidation>
    <dataValidation allowBlank="1" showInputMessage="1" showErrorMessage="1" promptTitle="Kookgas" prompt="Gasverbruik voor kookgas." sqref="D65" xr:uid="{962EFCDD-B1CD-4AB2-9E9E-6579A1D86B99}"/>
    <dataValidation allowBlank="1" showInputMessage="1" showErrorMessage="1" promptTitle="Hernieuwbare 'primaire' energie" prompt="De totale hernieuwbare 'primaire' energie voor GEBOUWGEBONDEN energiegebruik is berekend cf. NTA8800._x000a__x000a_NTA8800 par. 5.6." sqref="D260" xr:uid="{B98AA06F-C057-4A73-8016-3D9BE2EB55BF}"/>
    <dataValidation allowBlank="1" showInputMessage="1" showErrorMessage="1" promptTitle="Energieprestatie indicatoren" prompt="De energieprestatie indicatoren gaan alleen over GEBOUWGEBONDEN energiegebruik en zijn bepaald cf. paragraaf 5.3.1 van NTA 8800._x000a__x000a_" sqref="D278" xr:uid="{3A705DB7-8656-4DB2-B423-608CAC4FA1A8}"/>
    <dataValidation allowBlank="1" showInputMessage="1" showErrorMessage="1" promptTitle="Energielabel" prompt="Het energielabel wordt bepaald op basis van het gebouwgebonden primair energiegebruik in kWh/m2._x000a__x000a_Zie 'Regeling energieprestatie gebouwen', https://wetten.overheid.nl/BWBR0020921/2021-07-01" sqref="D290" xr:uid="{FC3B9A89-3A63-4C15-88BD-0912BAF031B2}"/>
    <dataValidation allowBlank="1" showInputMessage="1" showErrorMessage="1" promptTitle="Besparing warmtevraag tapwater" prompt="Reductie (of toename) van de warmtevraag voor warmtapwater t.o.v. van de berekende warmtevraag cf. NTA 8800._x000a__x000a_Te denken valt aan DWTW, waterbesparende kranen, lagere bezetting, bewust energiezuinig gedrag, et cetera." sqref="D44" xr:uid="{FCAA9109-ACCB-4AD0-93E9-5C4A86B88673}"/>
    <dataValidation allowBlank="1" showInputMessage="1" showErrorMessage="1" promptTitle="Woningen|utiliteitsgebouwen" prompt="De tabel geeft een terugkoppeling van de ingevoerde woningen en utileitsgebouwen in" sqref="D17" xr:uid="{B683E7D3-EF81-4C49-A25E-60475E141E8C}"/>
    <dataValidation allowBlank="1" showInputMessage="1" showErrorMessage="1" promptTitle="Resultaten" prompt="De tabel geeft een samenvatting van het primair energiegebruik, de CO2 emissie en het gasverbruik van de locatie(s) als gevolg van energetische keuzes in deze variant." sqref="D10" xr:uid="{CB6CE8E9-963E-48FC-8378-BAA72621DFEE}"/>
    <dataValidation allowBlank="1" showInputMessage="1" showErrorMessage="1" promptTitle="Niet preferent toestel" prompt="Kenmerken wijzigen van het niet preferente toestel (niet preferent toestel bepaald door type installatie)._x000a_De kenmerken bepalen de te leveren warmte|koude door het niet preferente toestel, het finaal/primair energiegebruik en de CO2 emissie." sqref="D129" xr:uid="{00875D36-3DC3-4D4E-A354-197239E23015}"/>
    <dataValidation allowBlank="1" showInputMessage="1" showErrorMessage="1" promptTitle="Preferent toestel" prompt="Hier kunnen de kenmerken van het al eerder gekozen preferente toestel worden gewijzigd._x000a_De kenmerken bepalen welk deel van de te leveren warmte|koude door het preferente toestel geleverd wordt en hoeveel primair energiegebruik en CO2 emissie dat kost." sqref="D99" xr:uid="{345E3811-1B55-4CA9-8F3C-F13077032E3A}"/>
    <dataValidation allowBlank="1" showInputMessage="1" showErrorMessage="1" promptTitle="Te leveren warmte en koude" prompt="Aan het distributiesysteem te leveren warmte|koude wordt berekend op basis van de warmte- en koudevraag van woningen en utiliteitsgebouwen (energiebehoefte per energiepost), de verliezen door warmte-/koudedistributie en gebruik van thermische zonnewarmte." sqref="D93" xr:uid="{FE7B861B-D08F-4B05-860C-6EC04F5AB812}"/>
    <dataValidation allowBlank="1" showInputMessage="1" showErrorMessage="1" promptTitle="Keuze preferent toestel" prompt="De keuze van het preferente toestel bepaalt welke forfaitaire waarden voor warmtedistributie, energiedragers en rendementen uit de bibliotheek worden opgehaald." sqref="D79" xr:uid="{5B693400-A465-49EB-BD81-5124BC438AAE}"/>
    <dataValidation allowBlank="1" showInputMessage="1" showErrorMessage="1" promptTitle="Installatie" prompt="De installatie voor verwarming, koeling en warmtapwater wordt vastgelegd door keuze voor het type preferent toestel, de warmteverliezen door interen en externe warmtedistributie en gebruik van thermische zonne-energie." sqref="D78" xr:uid="{73824B42-3DE9-4C0F-9CCB-98276EFC5C0D}"/>
    <dataValidation allowBlank="1" showInputMessage="1" showErrorMessage="1" promptTitle="Thermische zonne-energie" prompt="Het thermisch zonne-energiesysteem levert een % van de warmtevraag inclusief intern distributieverlies._x000a__x000a_In de UMGO worden de volgende forfaitaire waarden aangehouden:_x000a_- ruimteverwarming: 15%;_x000a_- warmtapwater: 50%." sqref="D86" xr:uid="{9FE9AB0D-54D7-40C1-8F43-05AF3361287A}"/>
    <dataValidation allowBlank="1" showInputMessage="1" showErrorMessage="1" promptTitle="Energie niet voor verwarmen/koel" prompt="Elektra en gas NIET voor verwarmen/koelen._x000a_- gebouwgebonden (hulpenergie_x000a_   toestellen, verlichting,_x000a_   ventilatoren);_x000a_- niet gebouwgebonden (apparatuur_x000a_   (tv, computer, elektrisch koken,_x000a_   klusapparatuur, etc), mobiliteit);_x000a_-  kookgas" sqref="D149" xr:uid="{22CDDF47-C517-4E17-B1AA-5CE21AAA1F00}"/>
    <dataValidation type="decimal" allowBlank="1" showInputMessage="1" showErrorMessage="1" errorTitle="Bereik 0,0-0,5" error="De ingevoerde waarde valt buiten het bereik." sqref="O126:Q126 AA126:AC126 AY126:BA126 AM126:AO126" xr:uid="{2C7892CD-0986-4853-868F-176505576BF8}">
      <formula1>0</formula1>
      <formula2>0.5</formula2>
    </dataValidation>
    <dataValidation type="decimal" allowBlank="1" showInputMessage="1" showErrorMessage="1" errorTitle="Bereik 0,0-1,0" error="De ingevoerde waarde valt buiten het bereik." sqref="AY152:BA152 AA120:AC120 AY120:BA120 O145:Q145 AA145:AC145 AY145:BA145 O152:Q152 AA152:AC152 P120:Q120 AM152:AO152 AM145:AO145 AM120:AO120" xr:uid="{C9488557-0952-4D2A-BE86-224E36037760}">
      <formula1>0</formula1>
      <formula2>1</formula2>
    </dataValidation>
    <dataValidation type="decimal" allowBlank="1" showInputMessage="1" showErrorMessage="1" errorTitle="Bereik 0,0-2,0" error="De ingevoerde waarde valt buiten het bereik." sqref="O116:Q116 AA116:AC116 AY116:BA116 O141:Q141 AA141:AC141 AY141:BA141 O120 AM141:AO141 AM116:AO116" xr:uid="{A30E8567-5330-4D73-B4F4-2EBFEB7B0C74}">
      <formula1>0</formula1>
      <formula2>2</formula2>
    </dataValidation>
    <dataValidation type="decimal" allowBlank="1" showInputMessage="1" showErrorMessage="1" errorTitle="Bereik 0,10-1,00" error="De ingevoerde waarde valt buiten het bereik." sqref="O84 Q84 AA84 AC84 AY84 BA84 AM84 AO84" xr:uid="{C3ABE927-6722-451C-9733-5C4D45660E6B}">
      <formula1>0.1</formula1>
      <formula2>1</formula2>
    </dataValidation>
    <dataValidation type="decimal" operator="greaterThanOrEqual" allowBlank="1" showInputMessage="1" showErrorMessage="1" errorTitle="Bereik ≥0" error="De ingevoerde waarde valt buiten het bereik." promptTitle="Energiepakket / energiebehoefte" sqref="O70:W70 AA70:AI70 AY70:BG70 AM70:AU70" xr:uid="{DD2AF2D5-B3D4-44D9-90E6-0F8F3FD02E6F}">
      <formula1>0</formula1>
    </dataValidation>
    <dataValidation type="decimal" operator="greaterThanOrEqual" allowBlank="1" showInputMessage="1" showErrorMessage="1" errorTitle="Bereik ≥0" error="De ingevoerde waarde valt buiten het bereik." sqref="BA91 O68:W68 AA68:AI68 O91 Q91 AA91 AC91 AM91 AO91 AY91 AY68:BG68 AM68:AU68" xr:uid="{961CEF59-3309-47A6-B6D3-773102953D32}">
      <formula1>0</formula1>
    </dataValidation>
    <dataValidation type="decimal" allowBlank="1" showInputMessage="1" showErrorMessage="1" errorTitle="Bereik 0-30" error="De ingevoerde waarde valt buiten het bereik." sqref="O45:W45 AA45:AI45 AY45:BG45 AM45:AU45" xr:uid="{81665998-C1F3-496C-91BC-B9FB4B8CFF4B}">
      <formula1>0</formula1>
      <formula2>30</formula2>
    </dataValidation>
    <dataValidation type="decimal" operator="greaterThanOrEqual" allowBlank="1" showInputMessage="1" showErrorMessage="1" errorTitle="Bereik ≥0" error="De ingevulde waarde valt buiten het bereik." sqref="O25:W25 AA25:AI25 AY25:BG25 AM25:AU25" xr:uid="{A0093641-2077-46C3-B0EE-13F6714CEACB}">
      <formula1>0</formula1>
    </dataValidation>
    <dataValidation type="decimal" allowBlank="1" showInputMessage="1" showErrorMessage="1" errorTitle="Bereik 0%-100%" error="De ingevoerde waarde valt buiten het bereik." sqref="O48:W48 AA48:AI48 AY48:BG48 AM48:AU48" xr:uid="{382AE30A-569E-445D-A46B-44745B4D7C38}">
      <formula1>0</formula1>
      <formula2>1</formula2>
    </dataValidation>
    <dataValidation type="decimal" allowBlank="1" showInputMessage="1" showErrorMessage="1" errorTitle="Bereik 0,1-15,0" error="De ingevoerde waarde valt buiten het bereik." sqref="AA109:AC109 AY109:BA109 AY137:BA137 O137:Q137 AA137:AC137 O109:Q109 AM137:AO137 AM109:AO109" xr:uid="{3F2C75FF-61F6-49EF-9DD5-35B6E98F5C85}">
      <formula1>0.1</formula1>
      <formula2>15</formula2>
    </dataValidation>
    <dataValidation type="decimal" allowBlank="1" showInputMessage="1" showErrorMessage="1" errorTitle="Bereik 0%-100%" error="De ingevoerde waarde is buiten het bereik." sqref="AY106:BA106 AA106:AC106 O106:Q106 AM106:AO106" xr:uid="{7EFA5BCE-7EC9-4A3A-A197-1BDDF213CB1D}">
      <formula1>0</formula1>
      <formula2>1</formula2>
    </dataValidation>
    <dataValidation allowBlank="1" showInputMessage="1" showErrorMessage="1" promptTitle="Hernieuwbaar ext. warmte/koude" prompt="Ingezette hernieuwbare energie door externe warmte-/koudelevering._x000a__x000a_EPren;gen;out = Q[HCW];gen;out * fPren;d[hcw]X_x000a__x000a_X staat voor 'kwal' (kwalteitsverklaring) of 'forf' (forfaitair)._x000a__x000a_Cf. NTA8800 par. 5.6.2." sqref="D212" xr:uid="{4561A29A-B527-4084-8493-40EACA78D828}"/>
    <dataValidation allowBlank="1" showInputMessage="1" showErrorMessage="1" promptTitle="primaire energie indicator" prompt="Het totale gebouwgebonden primaire (vermeden) energiegebruik (voor woningen ZONDER verlichting) in kWh/m2._x000a__x000a_NTA8800, par. 5.3.1.2_x000a__x000a_" sqref="D287" xr:uid="{BDF3AE0C-865A-47D3-937F-F76CB3CD268F}"/>
    <dataValidation allowBlank="1" showInputMessage="1" showErrorMessage="1" promptTitle="energiebehoefte-indicator" prompt="Warmtebehoefte ruimteverwarming + koudebehoefte voor koeling, berekend met ventilatiesysteem C1, in kWh/m2._x000a__x000a_NTA8800, par. 5.3.1.1_x000a__x000a_" sqref="D286" xr:uid="{1C758F90-AF4D-4D19-BE07-BD4353DEF04B}"/>
    <dataValidation allowBlank="1" showInputMessage="1" showErrorMessage="1" promptTitle="Energieprestaties" prompt="De berekende energieprestatie (bestaande bouw EN nieuwbouw) is afgezet tegen de BENG eisen voor NIEUWBOUW._x000a__x000a_GROEN: berekende waarde voldoet WEL aan de eis_x000a_ROOD: berekende waarde voldoet NIET aan de eis_x000a__x000a_" sqref="D285" xr:uid="{82A41BE4-F862-4AB7-802F-B2CBD20920F4}"/>
    <dataValidation allowBlank="1" showInputMessage="1" showErrorMessage="1" promptTitle="BENG eisen 2021" prompt="De BENG eisen zijn overgenomen van:_x000a__x000a_https://zoek.officielebekendmakingen.nl/stb-2019-501.html_x000a__x000a_" sqref="D281" xr:uid="{D36D7488-FC3E-49D2-97AB-1D7731B189C5}"/>
    <dataValidation allowBlank="1" showInputMessage="1" showErrorMessage="1" promptTitle="Energiegebruik per energiepost" prompt="Per deellocatie is de energiebehoefte van alle woningen en gebouwen per energiepost gesommeerd." sqref="D75" xr:uid="{687EBB49-462B-4060-B6B0-1F3F4BC8FAF1}"/>
    <dataValidation allowBlank="1" showInputMessage="1" showErrorMessage="1" promptTitle="Besparing elektr. apparatuur" prompt="Reductie van het niet gebouwgebonden elektriciteitsgebruik zoals dat in de onderstaande tabel is berekend._x000a__x000a_Een reductie van 100% betekent dat in de UMGO het niet gebouwgebonden elektriciteitsgebruik niet in de berekening wordt meegenomen." sqref="D48" xr:uid="{D5227CD7-220E-42BD-BC17-62D849DB50C4}"/>
    <dataValidation allowBlank="1" showInputMessage="1" showErrorMessage="1" promptTitle="Elektriciteitsgebruik overig" prompt="Het elektriciteitsgebruik binnen het gebouw, niet gerelateerd aan gebouwinstallaties (computers, printers, elektrisch koken, klusapparatuur et cetera)._x000a__x000a_Voor woningen zijn CBS cijfers gebruikt. Voor utiliteitsgebouwen tabel 7.3 uit NTA8800." sqref="D66" xr:uid="{5BB70D35-562D-48BD-A9F2-F6D06DB5D4CC}"/>
    <dataValidation allowBlank="1" showInputMessage="1" showErrorMessage="1" promptTitle="Elektriciteitsvraag ventilatoren" prompt="De elektriciteitsvraag voor ventilatoren is afgeleid met gebouwen uit de energielabeldatabase (UT) en Voorbeeldgebouwen 2020. Na (her)berekenen met NTA8800 wordt de elektricitetsvraag berekend obv:_x000a_- ventilatiesysteem_x000a_- wissel-gelijkstroom/installatiejaar" sqref="D64" xr:uid="{ED215057-6163-4D6A-B2A4-F5C250037A4E}"/>
    <dataValidation allowBlank="1" showInputMessage="1" showErrorMessage="1" promptTitle="Elektriciteitsvraag verlichting" prompt="De elektriciteitsvraag voor verlichting is afgeleid met gebouwen uit de energielabeldatabase (UT) en Voorbeeldgebouwen 2020. Na (her)berekenen met NTA8800 wordt de elektricitetsvraag berekend obv:_x000a_- geïnstalleerd vermogen in W/m2_x000a_- verlichtingsregeling" sqref="D63" xr:uid="{2F8ABE85-2916-45A1-B4B9-C47109342416}"/>
    <dataValidation allowBlank="1" showInputMessage="1" showErrorMessage="1" promptTitle="Koudebehoefte koeling" prompt="De koudebehoefte voor koeling is afgeleid met data van gebouwen uit de energielabeldatabase (UT) en Voorbeeldgebouwen 2020. Na (her)berekenen met NTA8800 is een verband afgeleid tussen koudebehoefte en:_x000a_- Als/Ag_x000a_- U gem_x000a_- vent.sys." sqref="D61" xr:uid="{1B352418-4AA2-438E-A1E2-4B27D50FD5AA}"/>
    <dataValidation allowBlank="1" showInputMessage="1" showErrorMessage="1" promptTitle="Warmtebehoefte ruimteverwarming" prompt="De warmtebehoefte voor verwarming is afgeleid met data van gebouwen uit de energielabeldatabase (UT) en Voorbeeldgebouwen 2020. Na (her)berekenen met NTA8800 is een verband afgeleid tussen warmtebehoefte en:_x000a_- Als/Ag_x000a_- U gem_x000a_- vent.sys." sqref="D60" xr:uid="{417EFF3B-9F6D-4C36-BBEB-684EE5EE3924}"/>
    <dataValidation allowBlank="1" showInputMessage="1" showErrorMessage="1" promptTitle="Hernieuwbaar door vrije koeling" prompt="Geleverde energie door vrije koeling. Mits EER &gt;= 8 (anders EPren;gen;out = 0)_x000a__x000a_EPren;gen;out = QC;gen;out * fPren;rencold_x000a__x000a_Cf. NTA8800 par. 5.6.2.2_x000a_" sqref="D265 D210" xr:uid="{ABBF071A-BFAE-49F7-8634-2789B5B2D1ED}"/>
    <dataValidation allowBlank="1" showInputMessage="1" showErrorMessage="1" promptTitle="Aandeel hernieuwb. prim energie" prompt="Aandeel hernieuwbare energie._x000a__x000a_RERPrenTOT = EPrenTot / (EPTot + EPrenTot) * 100%_x000a__x000a_Cf. NTA8800 par. 5.3.1.3, formule 5.3" sqref="D275" xr:uid="{8C51B8B6-ACD9-4A12-A74E-B02E6F4B8B36}"/>
    <dataValidation allowBlank="1" showInputMessage="1" showErrorMessage="1" promptTitle="Hernieuwb. abs. koel ext. warmte" prompt="Geleverde energie door absorptiekoeling op externe warmtelevering._x000a__x000a_EPren;gen;out = QC;gen;out * fPren;dhX_x000a__x000a_Waarbij de X in fPren;dhX staat voor 'kwal' (met) of 'forf' (zonder kwalteitsverklaring)._x000a__x000a_Cf. NTA8800 par. 5.6.2." sqref="D268 D213" xr:uid="{1A6A82A3-FA66-4A63-8934-671A698338E7}"/>
    <dataValidation allowBlank="1" showInputMessage="1" showErrorMessage="1" promptTitle="Totaal hernieuwbare prim energie" prompt="Hernieuwbare 'primaire' energie van de woning of het gebouw." sqref="D273" xr:uid="{C8E8CD9E-7FD9-4BD2-96B5-26800D64C25D}"/>
    <dataValidation allowBlank="1" showInputMessage="1" showErrorMessage="1" promptTitle="Hernieuwbaar opgewekte elek." prompt="Op het eigen perceel opgewekte primaire hernieuwbare elektriciteit._x000a__x000a_EPren;el = Eel;PV/PVT/wind * fPren;renelect_x000a__x000a_Cf. NTA8800 par. 5.6.2.4." sqref="D271 D215" xr:uid="{90E79CD6-1149-4820-A1D5-0F4C4B5A1112}"/>
    <dataValidation allowBlank="1" showInputMessage="1" showErrorMessage="1" promptTitle="Hernieuwbaar zonne-energie therm" prompt="Onder praktijkomstandigheden aangeleverde hoeveelheid hernieuwbare energie, door thermische zonne-energiesystemen (zonneboiler(combi)s op eigen perceel._x000a__x000a_EPren;sol;prac = QHW;sol;prac * fPren;renheat_x000a__x000a_Cf. NTA8800 par. 5.6.2._x000a_" sqref="D269 D214" xr:uid="{C54B3C44-A11C-4374-852F-B8086D6CA6D4}"/>
    <dataValidation allowBlank="1" showInputMessage="1" showErrorMessage="1" promptTitle="Hernieuwbaar ext. warmte/koude" prompt="Ingezette hernieuwbare energie door externe warmte-/koudelevering. Waarbij de X in fPren;d[hcw]X staat voor 'kwal' (met) of 'forf' (zonder kwalteitsverklaring)._x000a__x000a_EPren;gen;out = Q[HCW];gen;out * fPren;d[hcw]X_x000a__x000a_Cf. NTA8800 par. 5.6.2._x000a_" sqref="D267" xr:uid="{A997FBEF-6C24-443B-843A-8F51E895CCD4}"/>
    <dataValidation allowBlank="1" showInputMessage="1" showErrorMessage="1" promptTitle="Hernieuwbare energie biomassa" prompt="Ingezette hernieuwbare energie door biomassatoestel._x000a__x000a_EPren;gen;out = QHW;gen;out * fPren;bmX_x000a__x000a_Waarbij de X in fPren;bmX staat voor A, B of C afhankelijk van het type biomassa._x000a__x000a_Cf. NTA8800 par. 5.6.2._x000a_" sqref="D266 D211" xr:uid="{D0B3D5EF-E3C4-4EA1-BD79-14853E3FD4B9}"/>
    <dataValidation allowBlank="1" showInputMessage="1" showErrorMessage="1" promptTitle="Hernieuwbare energie warmtepomp" prompt="Ingezette hernieuwbare energie door warmtepompen. Mits EN:_x000a_- COP (of eta) &gt;=1,0;_x000a_- bron is GEEN ventilatieretourlucht_x000a_- warmtepomp GEEN booster-wp._x000a__x000a_EPren;hp = QHW;gen;hp;out * (1-1/COP) * fPren;renheat_x000a__x000a_Cf. NTA8800 par. 5.6.2." sqref="D264 D209" xr:uid="{F6005775-92C5-4637-BAB2-BD60422C2A42}"/>
    <dataValidation allowBlank="1" showInputMessage="1" showErrorMessage="1" promptTitle="Aantal toestellen" prompt="Voor toestellen met geografisch niveau:_x000a_- 'gebouw': aantal woningen en gebouwen in deellocatie._x000a_- 'gebied': totale gebruiksoppervlakte in deelgebied delen door gemiddeld maximaal te verwarmen/koelen oppervlak._x000a_- 'centraal': 1." sqref="D95" xr:uid="{62DA1FBB-8815-4DF1-AC23-AE8203128B02}"/>
    <dataValidation allowBlank="1" showInputMessage="1" showErrorMessage="1" promptTitle="Vermogen verwarming &amp; koeling" prompt="Een indicatie van het verwarmings- en koelvermogen op basis van formules NTA8800. Zie 'bibliotheek' voor meer details." sqref="D96" xr:uid="{87D7962C-56BE-45C9-9BF4-7DF392B32453}"/>
    <dataValidation type="list" allowBlank="1" showInputMessage="1" showErrorMessage="1" sqref="O46:W46 AA46:AI46 AY46:BG46 AM46:AU46" xr:uid="{1513669F-5BC9-41C9-8123-A602F220F578}">
      <formula1>verlichtingsregeling_namen</formula1>
    </dataValidation>
    <dataValidation type="list" allowBlank="1" showInputMessage="1" showErrorMessage="1" sqref="O43:W43 AA43:AI43 AY43:BG43 AM43:AU43" xr:uid="{D06974E4-B3B0-4C18-8938-A18580EDE501}">
      <formula1>ventilatoren_typen</formula1>
    </dataValidation>
    <dataValidation type="list" allowBlank="1" showInputMessage="1" showErrorMessage="1" sqref="O42:W42 AY42:BG42 AA42:AI42 AM42:AU42" xr:uid="{488780B8-C0AD-48B6-AFAF-682C475A7762}">
      <formula1>ventilatiesystemen_namen</formula1>
    </dataValidation>
    <dataValidation allowBlank="1" showInputMessage="1" showErrorMessage="1" promptTitle="Correctiefactor ruimteverwarming" prompt="Werkelijk energiegebruik voor ruimteverwarming wijkt vaak af van energiegebruik cf. EPG._x000a__x000a_Slecht geïsoleerde woningen verbruiken gemiddeld minder en goed geïsoleerde woningen verbruiken gemiddeld meer dan berekend._x000a__x000a_Deze correctiefactor verrekent dat." sqref="D54:D55" xr:uid="{5E4B363D-F1BF-4AA1-B82F-30082522DFD6}"/>
    <dataValidation type="list" allowBlank="1" showInputMessage="1" showErrorMessage="1" errorTitle="Toestel RV" error="Kies een beschikbaar toestel." sqref="Q87 AA87 AC87 AM87 AO87 AY87 BA87 O87" xr:uid="{6140D420-1B42-45CB-9150-8B46B496D993}">
      <formula1>"ja,nee"</formula1>
    </dataValidation>
    <dataValidation allowBlank="1" showInputMessage="1" showErrorMessage="1" promptTitle="Isolatiepakket gebouwschil" prompt="De aangeboden isolatiepakketten voor de gebouwschil bepalen de gemiddelde warmtedoorgangscoëfficiënt van de gebouwschil. In de bibliotheek zijn de Rc- en U-waarden per pakket en per bouwdeel aangegeven._x000a__x000a_Eigen pakketten zijn daaraan toe te voegen." sqref="D40" xr:uid="{C49E1608-F4A7-4826-A67B-E37DE58FFCAE}"/>
    <dataValidation allowBlank="1" showInputMessage="1" showErrorMessage="1" promptTitle="Warmtebehoefte warmtapwater" prompt="De energiebehoefte voor warmtapwatergebruik wordt berekend op basis van rekenregels in NTA8800 (paragraaf 13.2)." sqref="D62" xr:uid="{38AB77D4-85CB-4D12-9296-2EBF99D49942}"/>
    <dataValidation allowBlank="1" showInputMessage="1" showErrorMessage="1" promptTitle="Gegevensfilter en navigatie" prompt="&lt;-_x000a_Het gegevensfilter biedt de mogelijkheid om (delen van) tabellen in de UMGO te filteren._x000a__x000a_-&gt;_x000a_Navigatieknoppen naar andere tabbladen." sqref="D8" xr:uid="{ED6E3642-34A0-44C5-A0B2-9C27426DCEF2}"/>
    <dataValidation allowBlank="1" showInputMessage="1" showErrorMessage="1" promptTitle="Distributieverlies binnen gebouw" prompt="Warmtedistributieverlies binnen woning|gebouw voor ruimteverwarming en warmtapwater, en afgifteverlies (radiator, vloerverwarming) voor ruimteverwarming._x000a_(Afgifteverlies voor warmtapwater zit verwerkt in het kengetal voor energiebehoefte warmtapwater.)" sqref="D82" xr:uid="{D3B34C41-6139-4A8F-BD2D-E7026BFBDB24}"/>
    <dataValidation type="list" allowBlank="1" showInputMessage="1" showErrorMessage="1" sqref="Q80 AC80 BA80 AO80" xr:uid="{61117666-0DAF-4111-A406-EF00C78FC569}">
      <formula1>toestellen_TAP_invoer</formula1>
    </dataValidation>
    <dataValidation type="list" allowBlank="1" showInputMessage="1" showErrorMessage="1" sqref="P80 AB80 AZ80 AN80" xr:uid="{83628F0E-1AE6-4DFA-BB5E-F9BBEEB364F5}">
      <formula1>toestellen_KOEL_invoer</formula1>
    </dataValidation>
    <dataValidation type="list" allowBlank="1" showInputMessage="1" showErrorMessage="1" sqref="AY80" xr:uid="{0B09D83C-86B3-4D6C-A261-8D948D064172}">
      <formula1>toestellen_RV_invoer</formula1>
    </dataValidation>
    <dataValidation type="list" allowBlank="1" showInputMessage="1" showErrorMessage="1" sqref="F5" xr:uid="{6450DF0F-B62F-43B4-8146-C3BBCFD7CB95}">
      <formula1>opwekking_elektriciteit</formula1>
    </dataValidation>
    <dataValidation allowBlank="1" showInputMessage="1" showErrorMessage="1" promptTitle="BENG-eisen" prompt="Als er meer dan één gebruiksfunctie is, dan is de eis gelijk aan het naar gebruiksoppervlakte gewogen gemiddelde over de verschillende functies." sqref="A273" xr:uid="{FF58CE44-D197-4BF6-93C9-7A1C7BE77B7E}"/>
    <dataValidation allowBlank="1" showInputMessage="1" showErrorMessage="1" promptTitle="Primair energiegebruik" prompt="De Uniforme Maatlat rekent op onderwaarde. De EPG rekent echter op bovenwaarde. De berekende primaire energiebruiken in de EPG zijn daarom hoger." sqref="D159" xr:uid="{FEFD8D7A-7998-4DCD-A481-F5ACCA3E7414}"/>
    <dataValidation allowBlank="1" showInputMessage="1" showErrorMessage="1" promptTitle="Regerenatie WKO" prompt="Indien regeneratie van de WKO wordt voorzien wordt het elektriciteitsverbruik voor regeneratie bepaald als volgt:_x000a_Elektriciteitsverbruik regeneratie = abs (hoeveelheid warmte uit aquifer – hoeveelheid koude uit aquifer) * specifiek vermogen regeneratie_x000a_" sqref="D123" xr:uid="{9D82E592-08BD-42CF-8BD6-BAB399292D4C}"/>
    <dataValidation type="whole" allowBlank="1" showInputMessage="1" showErrorMessage="1" sqref="AN139:AO139 AN142:AO143 AB142:AC143 P142:Q143 AB139:AC139 AZ142:BA142" xr:uid="{8236D965-0FDC-43AA-948A-E65EE0C4EB3B}">
      <formula1>0</formula1>
      <formula2>1</formula2>
    </dataValidation>
    <dataValidation type="decimal" allowBlank="1" showInputMessage="1" showErrorMessage="1" sqref="AM139 AM142:AM143 AA142:AA143 O142:O143 AA139 AY142" xr:uid="{93F8E531-D654-417F-BD45-C1051CAB3452}">
      <formula1>0</formula1>
      <formula2>1</formula2>
    </dataValidation>
    <dataValidation allowBlank="1" showInputMessage="1" showErrorMessage="1" promptTitle="Primaire energiefactor" prompt="Het is mogelijk een eigen primaire energiefactor in te voeren. _x000a_Let op: Het verrekenen van aftapwarmte gaat via 'gederfde elektriciteit'." sqref="D140" xr:uid="{227F7C5E-B8D3-4669-A9E0-F8B1F1453208}"/>
    <dataValidation allowBlank="1" showInputMessage="1" showErrorMessage="1" promptTitle="Opwekkingsrendement" prompt="Binnen de Uniforme Maatlat wordt het opwekkingsrendement op bovenwaarde gebruikt." sqref="D108" xr:uid="{A4C03A38-E3CB-43D0-A73C-51926C6BCC21}"/>
    <dataValidation allowBlank="1" showInputMessage="1" showErrorMessage="1" promptTitle="Forfaitaire waarden PV" prompt="Forfaitaire waarde voor opbrengst van PV: 875 kWh/kWp._x000a_" sqref="D168" xr:uid="{A7F02490-A0D8-42F8-B650-88D58E548387}"/>
    <dataValidation allowBlank="1" showInputMessage="1" showErrorMessage="1" promptTitle="Distributieverlies extern" prompt="Het warmteverlies bij warmtedistributie buiten het gebouw in MWh per woning en/of utiliteitsgebouw._x000a__x000a_Als hiervoor waarden beschikbaar zijn, kunnen de forfaitaire waarden uit het model worden overschreven." sqref="D89" xr:uid="{29404453-E4C1-44C9-A31B-C852ECA19EE6}"/>
    <dataValidation allowBlank="1" showInputMessage="1" showErrorMessage="1" promptTitle="Relatieve bijdrage per type" prompt="De relatieve bijdrage per energiepost (verwarming, warmtapwater, ..) wordt per type woning, woongebouw, utiliteitsgebouw bepaald op basis van de primaire energiegebruiken conform EPG/BENG." sqref="D234" xr:uid="{8648E8BD-989B-4A4C-AB47-3A695E36D279}"/>
    <dataValidation allowBlank="1" showInputMessage="1" showErrorMessage="1" promptTitle="Karakteristiek energiegebruik" prompt="Totaal naar primaire energie omgerekend fossiele brandstoffen voor gebouwgebonden energiegebruik (voor woningen ZONDER verlichting), verminderd met primair energiegebruik op eigen perceel geproduceerde energie._x000a__x000a_Cf. NTA8800 par. 5.5." sqref="D262" xr:uid="{5010D469-78D4-4278-9428-548D5EF79F1C}"/>
    <dataValidation allowBlank="1" showInputMessage="1" showErrorMessage="1" promptTitle="PV" prompt="Opbrengst PV op gevel en dak in kWh per woning | utiliteitsgebouw." sqref="D70" xr:uid="{6E06DBC1-6271-4172-A5EB-CC44228238BF}"/>
    <dataValidation allowBlank="1" showInputMessage="1" showErrorMessage="1" promptTitle="Mobiliteit" prompt="Het geschatte elektriciteitsgebruik voor mobiliteit, bijvoorbeeld door elektrische auto's, kan worden ingevuld in kWh per woning of per utiliteitsgebouw." sqref="D68" xr:uid="{AA49A6A5-7B75-4FA9-A8AB-706A5308934E}"/>
    <dataValidation allowBlank="1" showInputMessage="1" showErrorMessage="1" promptTitle="Warmte-/koudebehoefte" prompt="De warmte- en koudebehoefte van de woning of het utiliteitsgebouw is gegeven in kWh/m2._x000a__x000a_Het is geen maat voor BENG 1, omdat het ventilatiesysteem voor BENG 1 per definitie C1 moet zijn. En dat is hier niet het geval." sqref="D225" xr:uid="{8C418E75-84D3-4954-832C-0831968A48AE}"/>
    <dataValidation allowBlank="1" showInputMessage="1" showErrorMessage="1" promptTitle="Primair energiegebruik" prompt="Het primair energiegebruik in kWh_prim/m2.jaar per woningtype, per energiepost en voor het totaal._x000a__x000a_Het primair energiegebruik in GJ_prim/jaar per (deel)locatie, per energiepost en voor het totaal._x000a__x000a_Het is geen maat voor BENG 2." sqref="D239" xr:uid="{3FC16805-5E81-42AA-A9C5-267F9AD6CB13}"/>
    <dataValidation type="list" allowBlank="1" showInputMessage="1" showErrorMessage="1" errorTitle="Toestel RV" error="Kies een beschikbaar toestel." sqref="AA80 O80 AM80" xr:uid="{20EC972C-8F62-4388-BFD6-F8700787706B}">
      <formula1>toestellen_RV_invoer</formula1>
    </dataValidation>
    <dataValidation allowBlank="1" showInputMessage="1" showErrorMessage="1" promptTitle="CO2 emisse" prompt="De CO2 emissie in kg/m2.jaar per woningtype, per energiepost en voor het totaal._x000a__x000a_De CO2 emissie in ton/jaar per (deel)locatie, per energiepost en voor het totaal._x000a__x000a_" sqref="D300" xr:uid="{8373AB6E-25B8-40B8-B769-DC15CD0E581C}"/>
  </dataValidations>
  <hyperlinks>
    <hyperlink ref="D281" r:id="rId1" tooltip="verwijzing naar Staatsblad 2019, 501 met BENG-eisen" xr:uid="{1251FA9A-6EDA-4BBB-9CEA-8AB492343E4E}"/>
  </hyperlinks>
  <pageMargins left="0.23622047244094491" right="0.23622047244094491" top="0.74803149606299213" bottom="0.74803149606299213" header="0.31496062992125984" footer="0.31496062992125984"/>
  <pageSetup paperSize="9" scale="25" fitToHeight="0" orientation="landscape"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562177" r:id="rId5" name="Correctie_RV">
              <controlPr defaultSize="0" autoFill="0" autoLine="0" autoPict="0">
                <anchor moveWithCells="1">
                  <from>
                    <xdr:col>6</xdr:col>
                    <xdr:colOff>66675</xdr:colOff>
                    <xdr:row>5</xdr:row>
                    <xdr:rowOff>0</xdr:rowOff>
                  </from>
                  <to>
                    <xdr:col>6</xdr:col>
                    <xdr:colOff>542925</xdr:colOff>
                    <xdr:row>6</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53" id="{BBC36CB6-2ECE-40F4-95BD-0236E094FC1A}">
            <xm:f>OR(O$19="",O$24=0,IFERROR(INDEX(bibliotheek!$J$51:$J$56,MATCH(IF(O$19="",bibliotheek!$E$51,O$42),ventilatiesystemen_namen,0))="A",0))</xm:f>
            <x14:dxf>
              <font>
                <color theme="0" tint="-4.9989318521683403E-2"/>
              </font>
              <fill>
                <patternFill>
                  <bgColor theme="0" tint="-4.9989318521683403E-2"/>
                </patternFill>
              </fill>
            </x14:dxf>
          </x14:cfRule>
          <xm:sqref>O43:W43 AA43:AI43 AM43:AU43 AY43:BG43</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D8532-D1A5-45D4-8386-025F5071C3EB}">
  <sheetPr codeName="Blad15" filterMode="1">
    <tabColor theme="6" tint="0.39997558519241921"/>
    <outlinePr showOutlineSymbols="0"/>
    <pageSetUpPr fitToPage="1"/>
  </sheetPr>
  <dimension ref="A1:BH320"/>
  <sheetViews>
    <sheetView showGridLines="0" showRowColHeaders="0" zoomScaleNormal="100" workbookViewId="0">
      <pane xSplit="11" ySplit="15" topLeftCell="L16" activePane="bottomRight" state="frozen"/>
      <selection pane="topRight" activeCell="L1" sqref="L1"/>
      <selection pane="bottomLeft" activeCell="A16" sqref="A16"/>
      <selection pane="bottomRight" activeCell="H3" sqref="H3"/>
    </sheetView>
  </sheetViews>
  <sheetFormatPr defaultRowHeight="15.75" x14ac:dyDescent="0.2"/>
  <cols>
    <col min="1" max="1" width="0.5703125" style="651" customWidth="1"/>
    <col min="2" max="3" width="2.7109375" style="61" customWidth="1"/>
    <col min="4" max="4" width="2.7109375" style="233" customWidth="1"/>
    <col min="5" max="5" width="26.7109375" customWidth="1"/>
    <col min="6" max="7" width="17.7109375" customWidth="1"/>
    <col min="8" max="8" width="21.7109375" customWidth="1"/>
    <col min="9" max="9" width="0.28515625" customWidth="1"/>
    <col min="10" max="10" width="15.7109375" customWidth="1"/>
    <col min="11" max="12" width="0.85546875" customWidth="1"/>
    <col min="13" max="13" width="15.7109375" customWidth="1"/>
    <col min="14" max="14" width="0.28515625" customWidth="1"/>
    <col min="15" max="23" width="12.7109375" customWidth="1"/>
    <col min="24" max="24" width="1.7109375" customWidth="1"/>
    <col min="25" max="25" width="15.7109375" customWidth="1"/>
    <col min="26" max="26" width="0.28515625" customWidth="1"/>
    <col min="27" max="35" width="12.7109375" customWidth="1"/>
    <col min="36" max="36" width="1.7109375" customWidth="1"/>
    <col min="37" max="37" width="15.7109375" customWidth="1"/>
    <col min="38" max="38" width="0.28515625" customWidth="1"/>
    <col min="39" max="47" width="12.7109375" customWidth="1"/>
    <col min="48" max="48" width="1.7109375" customWidth="1"/>
    <col min="49" max="49" width="15.7109375" customWidth="1"/>
    <col min="50" max="50" width="0.28515625" customWidth="1"/>
    <col min="51" max="59" width="12.7109375" customWidth="1"/>
    <col min="60" max="60" width="1.140625" customWidth="1"/>
    <col min="61" max="65" width="9.140625" customWidth="1"/>
  </cols>
  <sheetData>
    <row r="1" spans="1:60" s="832" customFormat="1" ht="21" x14ac:dyDescent="0.2">
      <c r="A1" s="826"/>
      <c r="B1" s="826"/>
      <c r="C1" s="826"/>
      <c r="D1" s="827"/>
      <c r="E1" s="829" t="str">
        <f>disclaimer!$E$7&amp;" - "&amp;"versie "&amp;TEXT(disclaimer!$E$8,"d mmm jjjj")</f>
        <v>Uniforme Maatlat Gebouwde Omgeving 5.04 - versie 5 apr 2023</v>
      </c>
      <c r="F1" s="830"/>
      <c r="G1" s="830"/>
      <c r="H1" s="829"/>
      <c r="I1" s="830"/>
      <c r="J1" s="828"/>
      <c r="K1" s="831"/>
      <c r="L1" s="831"/>
      <c r="M1" s="831"/>
      <c r="N1" s="831"/>
      <c r="O1" s="835"/>
      <c r="P1" s="831"/>
      <c r="Q1" s="831"/>
      <c r="R1" s="831"/>
      <c r="S1" s="831"/>
      <c r="T1" s="831"/>
      <c r="U1" s="831"/>
      <c r="V1" s="831"/>
      <c r="W1" s="831"/>
      <c r="X1" s="831"/>
      <c r="Y1" s="831"/>
      <c r="Z1" s="831"/>
      <c r="AA1" s="835"/>
      <c r="AB1" s="831"/>
      <c r="AC1" s="831"/>
      <c r="AD1" s="831"/>
      <c r="AE1" s="831"/>
      <c r="AF1" s="831"/>
      <c r="AG1" s="831"/>
      <c r="AH1" s="831"/>
      <c r="AI1" s="831"/>
      <c r="AJ1" s="831"/>
      <c r="AK1" s="831"/>
      <c r="AL1" s="831"/>
      <c r="AM1" s="835"/>
      <c r="AN1" s="831"/>
      <c r="AO1" s="831"/>
      <c r="AP1" s="831"/>
      <c r="AQ1" s="831"/>
      <c r="AR1" s="831"/>
      <c r="AS1" s="831"/>
      <c r="AT1" s="831"/>
      <c r="AU1" s="831"/>
      <c r="AV1" s="831"/>
      <c r="AW1" s="831"/>
      <c r="AX1" s="831"/>
      <c r="AY1" s="831"/>
      <c r="AZ1" s="831"/>
      <c r="BA1" s="831"/>
      <c r="BB1" s="831"/>
      <c r="BC1" s="831"/>
      <c r="BD1" s="831"/>
      <c r="BE1" s="831"/>
      <c r="BF1" s="831"/>
      <c r="BG1" s="831"/>
      <c r="BH1" s="831"/>
    </row>
    <row r="2" spans="1:60" s="922" customFormat="1" ht="23.25" x14ac:dyDescent="0.35">
      <c r="A2" s="917"/>
      <c r="B2" s="918"/>
      <c r="C2" s="918"/>
      <c r="D2" s="919"/>
      <c r="E2" s="920" t="str">
        <f ca="1">IFERROR(MID(CELL("bestandsnaam",A1),SEARCH("]",CELL("bestandsnaam",A1),1)+1,99),"bestand nog niet opgeslagen")</f>
        <v>variant 5</v>
      </c>
      <c r="F2" s="921" t="str">
        <f>IF('woningen|utiliteit'!$G$2&lt;&gt;"","Controleer invoer gebouwen",IF(J50&lt;&gt;"OK","NB  Energiemaatregelen niet correct/volledig ingevuld",IF(J80&lt;&gt;"OK","NB  Vul alle installaties in","")))</f>
        <v/>
      </c>
      <c r="G2" s="921"/>
      <c r="H2" s="976"/>
      <c r="I2" s="850"/>
      <c r="J2" s="923"/>
      <c r="K2" s="903"/>
      <c r="L2" s="903"/>
      <c r="M2" s="926" t="s">
        <v>90</v>
      </c>
      <c r="N2" s="925"/>
      <c r="O2" s="940" t="s">
        <v>91</v>
      </c>
      <c r="P2" s="924"/>
      <c r="Q2" s="924"/>
      <c r="R2" s="924"/>
      <c r="S2" s="924"/>
      <c r="T2" s="924"/>
      <c r="U2" s="924"/>
      <c r="V2" s="924"/>
      <c r="W2" s="924"/>
      <c r="X2" s="924"/>
      <c r="Y2" s="926" t="s">
        <v>90</v>
      </c>
      <c r="Z2" s="925"/>
      <c r="AA2" s="940" t="s">
        <v>91</v>
      </c>
      <c r="AB2" s="924"/>
      <c r="AC2" s="924"/>
      <c r="AD2" s="924"/>
      <c r="AE2" s="924"/>
      <c r="AF2" s="924"/>
      <c r="AG2" s="924"/>
      <c r="AH2" s="924"/>
      <c r="AI2" s="924"/>
      <c r="AJ2" s="924"/>
      <c r="AK2" s="926" t="s">
        <v>90</v>
      </c>
      <c r="AL2" s="925"/>
      <c r="AM2" s="940" t="s">
        <v>91</v>
      </c>
      <c r="AN2" s="924"/>
      <c r="AO2" s="924"/>
      <c r="AP2" s="924"/>
      <c r="AQ2" s="924"/>
      <c r="AR2" s="924"/>
      <c r="AS2" s="924"/>
      <c r="AT2" s="924"/>
      <c r="AU2" s="924"/>
      <c r="AV2" s="924"/>
      <c r="AW2" s="926" t="s">
        <v>90</v>
      </c>
      <c r="AX2" s="925"/>
      <c r="AY2" s="940" t="s">
        <v>91</v>
      </c>
      <c r="AZ2" s="924"/>
      <c r="BA2" s="924"/>
      <c r="BB2" s="924"/>
      <c r="BC2" s="924"/>
      <c r="BD2" s="924"/>
      <c r="BE2" s="924"/>
      <c r="BF2" s="924"/>
      <c r="BG2" s="924"/>
      <c r="BH2" s="256"/>
    </row>
    <row r="3" spans="1:60" x14ac:dyDescent="0.2">
      <c r="A3" s="649"/>
      <c r="B3" s="491"/>
      <c r="C3" s="491"/>
      <c r="D3" s="747"/>
      <c r="E3" s="1068" t="str">
        <f>"project: "&amp;IF('woningen|utiliteit'!$F$3="","",'woningen|utiliteit'!$F$3)</f>
        <v xml:space="preserve">project: </v>
      </c>
      <c r="F3" s="1069"/>
      <c r="G3" s="853" t="s">
        <v>92</v>
      </c>
      <c r="H3" s="854"/>
      <c r="I3" s="90"/>
      <c r="K3" s="903"/>
      <c r="L3" s="903"/>
      <c r="M3" s="904" t="s">
        <v>93</v>
      </c>
      <c r="N3" s="905"/>
      <c r="O3" s="941" t="str">
        <f>IF(M24=0,"-",O101&amp;IF(O105=1,"","   |  "&amp;O131))</f>
        <v>-</v>
      </c>
      <c r="P3" s="906"/>
      <c r="Q3" s="907"/>
      <c r="R3" s="907"/>
      <c r="S3" s="907"/>
      <c r="T3" s="907"/>
      <c r="U3" s="907"/>
      <c r="V3" s="907"/>
      <c r="W3" s="907"/>
      <c r="X3" s="91"/>
      <c r="Y3" s="904" t="s">
        <v>93</v>
      </c>
      <c r="Z3" s="905"/>
      <c r="AA3" s="941" t="str">
        <f>IF(Y24=0,"-",AA101&amp;IF(AA105=1,"","   |  "&amp;AA131))</f>
        <v>-</v>
      </c>
      <c r="AB3" s="906"/>
      <c r="AC3" s="907"/>
      <c r="AD3" s="907"/>
      <c r="AE3" s="907"/>
      <c r="AF3" s="907"/>
      <c r="AG3" s="907"/>
      <c r="AH3" s="907"/>
      <c r="AI3" s="907"/>
      <c r="AJ3" s="91"/>
      <c r="AK3" s="904" t="s">
        <v>93</v>
      </c>
      <c r="AL3" s="905"/>
      <c r="AM3" s="941" t="str">
        <f>IF(AK24=0,"-",AM101&amp;IF(AM105=1,"","   |  "&amp;AM131))</f>
        <v>-</v>
      </c>
      <c r="AN3" s="906"/>
      <c r="AO3" s="907"/>
      <c r="AP3" s="907"/>
      <c r="AQ3" s="907"/>
      <c r="AR3" s="907"/>
      <c r="AS3" s="907"/>
      <c r="AT3" s="907"/>
      <c r="AU3" s="907"/>
      <c r="AV3" s="91"/>
      <c r="AW3" s="904" t="s">
        <v>93</v>
      </c>
      <c r="AX3" s="905"/>
      <c r="AY3" s="941" t="str">
        <f>IF(AW24=0,"-",AY101&amp;IF(AY105=1,"","   |  "&amp;AY131))</f>
        <v>-</v>
      </c>
      <c r="AZ3" s="906"/>
      <c r="BA3" s="907"/>
      <c r="BB3" s="907"/>
      <c r="BC3" s="907"/>
      <c r="BD3" s="907"/>
      <c r="BE3" s="907"/>
      <c r="BF3" s="907"/>
      <c r="BG3" s="907"/>
      <c r="BH3" s="256"/>
    </row>
    <row r="4" spans="1:60" x14ac:dyDescent="0.2">
      <c r="A4" s="649"/>
      <c r="B4" s="491"/>
      <c r="C4" s="491"/>
      <c r="D4" s="747"/>
      <c r="E4" s="855" t="s">
        <v>94</v>
      </c>
      <c r="F4" s="1070"/>
      <c r="G4" s="1070"/>
      <c r="H4" s="1071"/>
      <c r="I4" s="90"/>
      <c r="K4" s="903"/>
      <c r="L4" s="903"/>
      <c r="M4" s="908" t="s">
        <v>95</v>
      </c>
      <c r="N4" s="905"/>
      <c r="O4" s="942" t="str">
        <f>IF(M24=0,"-",P101&amp;IF(P105=1,"","   |  "&amp;P131))</f>
        <v>-</v>
      </c>
      <c r="P4" s="909"/>
      <c r="Q4" s="910"/>
      <c r="R4" s="907"/>
      <c r="S4" s="907"/>
      <c r="T4" s="907"/>
      <c r="U4" s="907"/>
      <c r="V4" s="907"/>
      <c r="W4" s="907"/>
      <c r="X4" s="91"/>
      <c r="Y4" s="908" t="s">
        <v>95</v>
      </c>
      <c r="Z4" s="905"/>
      <c r="AA4" s="942" t="str">
        <f>IF(Y24=0,"-",AB101&amp;IF(AB105=1,"","   |  "&amp;AB131))</f>
        <v>-</v>
      </c>
      <c r="AB4" s="909"/>
      <c r="AC4" s="910"/>
      <c r="AD4" s="907"/>
      <c r="AE4" s="907"/>
      <c r="AF4" s="907"/>
      <c r="AG4" s="907"/>
      <c r="AH4" s="907"/>
      <c r="AI4" s="907"/>
      <c r="AJ4" s="91"/>
      <c r="AK4" s="908" t="s">
        <v>95</v>
      </c>
      <c r="AL4" s="905"/>
      <c r="AM4" s="942" t="str">
        <f>IF(AK24=0,"-",AN101&amp;IF(AN105=1,"","   |  "&amp;AN131))</f>
        <v>-</v>
      </c>
      <c r="AN4" s="909"/>
      <c r="AO4" s="910"/>
      <c r="AP4" s="907"/>
      <c r="AQ4" s="907"/>
      <c r="AR4" s="907"/>
      <c r="AS4" s="907"/>
      <c r="AT4" s="907"/>
      <c r="AU4" s="907"/>
      <c r="AV4" s="91"/>
      <c r="AW4" s="908" t="s">
        <v>95</v>
      </c>
      <c r="AX4" s="905"/>
      <c r="AY4" s="942" t="str">
        <f>IF(AW24=0,"-",AZ101&amp;IF(AZ105=1,"","   |  "&amp;AZ131))</f>
        <v>-</v>
      </c>
      <c r="AZ4" s="909"/>
      <c r="BA4" s="910"/>
      <c r="BB4" s="907"/>
      <c r="BC4" s="907"/>
      <c r="BD4" s="907"/>
      <c r="BE4" s="907"/>
      <c r="BF4" s="907"/>
      <c r="BG4" s="907"/>
      <c r="BH4" s="256"/>
    </row>
    <row r="5" spans="1:60" x14ac:dyDescent="0.2">
      <c r="A5" s="649"/>
      <c r="B5" s="1072" t="s">
        <v>96</v>
      </c>
      <c r="C5" s="1072" t="s">
        <v>97</v>
      </c>
      <c r="D5" s="747"/>
      <c r="E5" s="855" t="s">
        <v>98</v>
      </c>
      <c r="F5" s="977" t="s">
        <v>99</v>
      </c>
      <c r="G5" s="978">
        <f>HLOOKUP($F$5,bibliotheek!$E$261:$R$264,ROWS(bibliotheek!$E$261:$E$262),FALSE)</f>
        <v>1.45</v>
      </c>
      <c r="H5" s="979">
        <f>HLOOKUP($F$5,bibliotheek!$E$261:$R$264,ROWS(bibliotheek!$E$261:$E$264),FALSE)</f>
        <v>0.34</v>
      </c>
      <c r="I5" s="90"/>
      <c r="J5" s="834"/>
      <c r="K5" s="91"/>
      <c r="L5" s="91"/>
      <c r="M5" s="904" t="s">
        <v>100</v>
      </c>
      <c r="N5" s="905"/>
      <c r="O5" s="941" t="str">
        <f>IF(M24=0,"-",Q101&amp;IF(Q105=1,"","   |  "&amp;Q131))</f>
        <v>-</v>
      </c>
      <c r="P5" s="907"/>
      <c r="Q5" s="907"/>
      <c r="R5" s="907"/>
      <c r="S5" s="907"/>
      <c r="T5" s="907"/>
      <c r="U5" s="907"/>
      <c r="V5" s="907"/>
      <c r="W5" s="907"/>
      <c r="X5" s="91"/>
      <c r="Y5" s="904" t="s">
        <v>100</v>
      </c>
      <c r="Z5" s="905"/>
      <c r="AA5" s="941" t="str">
        <f>IF(Y24=0,"-",AC101&amp;IF(AC105=1,"","   |  "&amp;AC131))</f>
        <v>-</v>
      </c>
      <c r="AB5" s="907"/>
      <c r="AC5" s="907"/>
      <c r="AD5" s="907"/>
      <c r="AE5" s="907"/>
      <c r="AF5" s="907"/>
      <c r="AG5" s="907"/>
      <c r="AH5" s="907"/>
      <c r="AI5" s="907"/>
      <c r="AJ5" s="91"/>
      <c r="AK5" s="904" t="s">
        <v>100</v>
      </c>
      <c r="AL5" s="905"/>
      <c r="AM5" s="941" t="str">
        <f>IF(AK24=0,"-",AO101&amp;IF(AO105=1,"","   |  "&amp;AO131))</f>
        <v>-</v>
      </c>
      <c r="AN5" s="907"/>
      <c r="AO5" s="907"/>
      <c r="AP5" s="907"/>
      <c r="AQ5" s="907"/>
      <c r="AR5" s="907"/>
      <c r="AS5" s="907"/>
      <c r="AT5" s="907"/>
      <c r="AU5" s="907"/>
      <c r="AV5" s="91"/>
      <c r="AW5" s="904" t="s">
        <v>100</v>
      </c>
      <c r="AX5" s="905"/>
      <c r="AY5" s="941" t="str">
        <f>IF(AW24=0,"-",BA101&amp;IF(BA105=1,"","   |  "&amp;BA131))</f>
        <v>-</v>
      </c>
      <c r="AZ5" s="907"/>
      <c r="BA5" s="907"/>
      <c r="BB5" s="907"/>
      <c r="BC5" s="907"/>
      <c r="BD5" s="907"/>
      <c r="BE5" s="907"/>
      <c r="BF5" s="907"/>
      <c r="BG5" s="907"/>
      <c r="BH5" s="256"/>
    </row>
    <row r="6" spans="1:60" x14ac:dyDescent="0.2">
      <c r="A6" s="649"/>
      <c r="B6" s="1072"/>
      <c r="C6" s="1072"/>
      <c r="D6" s="748" t="s">
        <v>50</v>
      </c>
      <c r="E6" s="856" t="s">
        <v>101</v>
      </c>
      <c r="F6" s="857"/>
      <c r="G6" s="1034" t="b">
        <v>0</v>
      </c>
      <c r="H6" s="980" t="str">
        <f>IF(G6=TRUE,"(energieprestatie ongeldig)","")</f>
        <v/>
      </c>
      <c r="I6" s="90"/>
      <c r="J6" s="834"/>
      <c r="K6" s="834"/>
      <c r="L6" s="834"/>
      <c r="M6" s="834"/>
      <c r="N6" s="834"/>
      <c r="O6" s="834"/>
      <c r="P6" s="834"/>
      <c r="Q6" s="834"/>
      <c r="R6" s="834"/>
      <c r="S6" s="834"/>
      <c r="T6" s="834"/>
      <c r="U6" s="834"/>
      <c r="V6" s="834"/>
      <c r="W6" s="834"/>
      <c r="X6" s="834"/>
      <c r="Y6" s="834"/>
      <c r="Z6" s="834"/>
      <c r="AA6" s="834"/>
      <c r="AB6" s="834"/>
      <c r="AC6" s="834"/>
      <c r="AD6" s="834"/>
      <c r="AE6" s="834"/>
      <c r="AF6" s="834"/>
      <c r="AG6" s="834"/>
      <c r="AH6" s="834"/>
      <c r="AI6" s="834"/>
      <c r="AJ6" s="834"/>
      <c r="AK6" s="834"/>
      <c r="AL6" s="834"/>
      <c r="AM6" s="834"/>
      <c r="AN6" s="834"/>
      <c r="AO6" s="834"/>
      <c r="AP6" s="834"/>
      <c r="AQ6" s="834"/>
      <c r="AR6" s="834"/>
      <c r="AS6" s="834"/>
      <c r="AT6" s="834"/>
      <c r="AU6" s="834"/>
      <c r="AV6" s="834"/>
      <c r="AW6" s="834"/>
      <c r="AX6" s="834"/>
      <c r="AY6" s="834"/>
      <c r="AZ6" s="834"/>
      <c r="BA6" s="834"/>
      <c r="BB6" s="834"/>
      <c r="BC6" s="834"/>
      <c r="BD6" s="834"/>
      <c r="BE6" s="834"/>
      <c r="BF6" s="834"/>
      <c r="BG6" s="834"/>
      <c r="BH6" s="256"/>
    </row>
    <row r="7" spans="1:60" s="914" customFormat="1" x14ac:dyDescent="0.2">
      <c r="A7" s="987"/>
      <c r="B7" s="1072"/>
      <c r="C7" s="1072"/>
      <c r="D7" s="911"/>
      <c r="E7" s="912"/>
      <c r="F7" s="912"/>
      <c r="G7" s="912"/>
      <c r="H7" s="912"/>
      <c r="I7" s="912"/>
      <c r="J7" s="913"/>
      <c r="K7" s="913"/>
      <c r="L7" s="913"/>
      <c r="M7" s="912"/>
      <c r="N7" s="912"/>
      <c r="O7" s="1035"/>
      <c r="P7" s="912"/>
      <c r="Q7" s="912"/>
      <c r="R7" s="912"/>
      <c r="S7" s="912"/>
      <c r="T7" s="911"/>
      <c r="U7" s="911"/>
      <c r="V7" s="911"/>
    </row>
    <row r="8" spans="1:60" ht="21" x14ac:dyDescent="0.35">
      <c r="A8" s="649"/>
      <c r="B8" s="658"/>
      <c r="C8" s="658"/>
      <c r="D8" s="748" t="s">
        <v>50</v>
      </c>
      <c r="E8" s="848"/>
      <c r="F8" s="1"/>
      <c r="G8" s="1"/>
      <c r="H8" s="1"/>
      <c r="I8" s="2"/>
      <c r="J8" s="849" t="s">
        <v>102</v>
      </c>
      <c r="K8" s="850"/>
      <c r="L8" s="850"/>
      <c r="M8" s="849" t="s">
        <v>67</v>
      </c>
      <c r="N8" s="851"/>
      <c r="O8" s="943" t="str">
        <f>IF(M24=0,"[geen gebouwgegevens ingevoerd]",IF('woningen|utiliteit'!$L$17="","[geen naam locatie ingevoerd]",'woningen|utiliteit'!$L$17))</f>
        <v>[geen gebouwgegevens ingevoerd]</v>
      </c>
      <c r="P8" s="851"/>
      <c r="Q8" s="851"/>
      <c r="R8" s="851"/>
      <c r="S8" s="851"/>
      <c r="T8" s="852"/>
      <c r="U8" s="852"/>
      <c r="V8" s="851"/>
      <c r="W8" s="851"/>
      <c r="X8" s="850"/>
      <c r="Y8" s="849" t="s">
        <v>84</v>
      </c>
      <c r="Z8" s="851"/>
      <c r="AA8" s="943" t="str">
        <f>IF(Y24=0,"[geen gebouwgegevens ingevoerd]",IF('woningen|utiliteit'!$L$31="","[geen naam locatie ingevoerd]",'woningen|utiliteit'!$L$31))</f>
        <v>[geen gebouwgegevens ingevoerd]</v>
      </c>
      <c r="AB8" s="851"/>
      <c r="AC8" s="851"/>
      <c r="AD8" s="851"/>
      <c r="AE8" s="851"/>
      <c r="AF8" s="852"/>
      <c r="AG8" s="852"/>
      <c r="AH8" s="851"/>
      <c r="AI8" s="851"/>
      <c r="AJ8" s="850"/>
      <c r="AK8" s="849" t="s">
        <v>85</v>
      </c>
      <c r="AL8" s="851"/>
      <c r="AM8" s="943" t="str">
        <f>IF(AK24=0,"[geen gebouwgegevens ingevoerd]",IF('woningen|utiliteit'!$L$45="","[geen naam locatie ingevoerd]",'woningen|utiliteit'!$L$45))</f>
        <v>[geen gebouwgegevens ingevoerd]</v>
      </c>
      <c r="AN8" s="851"/>
      <c r="AO8" s="851"/>
      <c r="AP8" s="851"/>
      <c r="AQ8" s="851"/>
      <c r="AR8" s="852"/>
      <c r="AS8" s="852"/>
      <c r="AT8" s="851"/>
      <c r="AU8" s="851"/>
      <c r="AV8" s="850"/>
      <c r="AW8" s="849" t="s">
        <v>86</v>
      </c>
      <c r="AX8" s="851"/>
      <c r="AY8" s="943" t="str">
        <f>IF(AW24=0,"[geen gebouwgegevens ingevoerd]",IF('woningen|utiliteit'!$L$59="","[geen naam locatie ingevoerd]",'woningen|utiliteit'!$L$59))</f>
        <v>[geen gebouwgegevens ingevoerd]</v>
      </c>
      <c r="AZ8" s="218"/>
      <c r="BA8" s="218"/>
      <c r="BB8" s="218"/>
      <c r="BC8" s="218"/>
      <c r="BD8" s="219"/>
      <c r="BE8" s="219"/>
      <c r="BF8" s="218"/>
      <c r="BG8" s="218"/>
      <c r="BH8" s="1"/>
    </row>
    <row r="9" spans="1:60" s="682" customFormat="1" ht="5.25" x14ac:dyDescent="0.2">
      <c r="A9" s="678"/>
      <c r="B9" s="841" t="s">
        <v>103</v>
      </c>
      <c r="C9" s="657" t="s">
        <v>104</v>
      </c>
      <c r="D9" s="679"/>
      <c r="E9" s="680"/>
      <c r="F9" s="680"/>
      <c r="G9" s="680"/>
      <c r="H9" s="680"/>
      <c r="I9" s="680"/>
      <c r="J9" s="681"/>
      <c r="K9" s="681"/>
      <c r="L9" s="681"/>
      <c r="M9" s="680"/>
      <c r="N9" s="680"/>
      <c r="O9" s="680"/>
      <c r="P9" s="680"/>
      <c r="Q9" s="680"/>
      <c r="R9" s="680"/>
      <c r="S9" s="680"/>
      <c r="T9" s="679"/>
      <c r="U9" s="679"/>
      <c r="V9" s="679"/>
    </row>
    <row r="10" spans="1:60" ht="21" x14ac:dyDescent="0.2">
      <c r="A10" s="648"/>
      <c r="B10" s="739" t="s">
        <v>103</v>
      </c>
      <c r="C10" s="656" t="s">
        <v>104</v>
      </c>
      <c r="D10" s="748" t="s">
        <v>50</v>
      </c>
      <c r="E10" s="670" t="s">
        <v>105</v>
      </c>
      <c r="F10" s="670"/>
      <c r="G10" s="670"/>
      <c r="H10" s="670"/>
      <c r="I10" s="88"/>
      <c r="J10" s="241" t="s">
        <v>58</v>
      </c>
      <c r="K10" s="142"/>
      <c r="L10" s="142"/>
      <c r="M10" s="216" t="s">
        <v>58</v>
      </c>
      <c r="N10" s="222"/>
      <c r="O10" s="217" t="s">
        <v>93</v>
      </c>
      <c r="P10" s="217" t="s">
        <v>95</v>
      </c>
      <c r="Q10" s="217" t="s">
        <v>106</v>
      </c>
      <c r="R10" s="217" t="s">
        <v>107</v>
      </c>
      <c r="S10" s="217" t="s">
        <v>108</v>
      </c>
      <c r="T10" s="217" t="s">
        <v>109</v>
      </c>
      <c r="U10" s="217" t="s">
        <v>110</v>
      </c>
      <c r="V10" s="217" t="s">
        <v>111</v>
      </c>
      <c r="W10" s="217" t="s">
        <v>112</v>
      </c>
      <c r="X10" s="214"/>
      <c r="Y10" s="216" t="s">
        <v>58</v>
      </c>
      <c r="Z10" s="222"/>
      <c r="AA10" s="217" t="str">
        <f>$O$10</f>
        <v>verwarming</v>
      </c>
      <c r="AB10" s="217" t="str">
        <f>$P$10</f>
        <v>koeling</v>
      </c>
      <c r="AC10" s="217" t="str">
        <f>$Q$10</f>
        <v>tapwater</v>
      </c>
      <c r="AD10" s="217" t="str">
        <f>$R$10</f>
        <v>verlichting</v>
      </c>
      <c r="AE10" s="217" t="str">
        <f>$S$10</f>
        <v>ventilatoren</v>
      </c>
      <c r="AF10" s="217" t="str">
        <f>$T$10</f>
        <v>kookgas</v>
      </c>
      <c r="AG10" s="217" t="str">
        <f>$U$10</f>
        <v>overig elektra</v>
      </c>
      <c r="AH10" s="217" t="str">
        <f>$V$10</f>
        <v>mobiliteit</v>
      </c>
      <c r="AI10" s="217" t="str">
        <f>$W$10</f>
        <v>zonnepanelen</v>
      </c>
      <c r="AJ10" s="214"/>
      <c r="AK10" s="216" t="s">
        <v>58</v>
      </c>
      <c r="AL10" s="222"/>
      <c r="AM10" s="217" t="str">
        <f>$O$10</f>
        <v>verwarming</v>
      </c>
      <c r="AN10" s="217" t="str">
        <f>$P$10</f>
        <v>koeling</v>
      </c>
      <c r="AO10" s="217" t="str">
        <f>$Q$10</f>
        <v>tapwater</v>
      </c>
      <c r="AP10" s="217" t="str">
        <f>$R$10</f>
        <v>verlichting</v>
      </c>
      <c r="AQ10" s="217" t="str">
        <f>$S$10</f>
        <v>ventilatoren</v>
      </c>
      <c r="AR10" s="217" t="str">
        <f>$T$10</f>
        <v>kookgas</v>
      </c>
      <c r="AS10" s="217" t="str">
        <f>$U$10</f>
        <v>overig elektra</v>
      </c>
      <c r="AT10" s="217" t="str">
        <f>$V$10</f>
        <v>mobiliteit</v>
      </c>
      <c r="AU10" s="217" t="str">
        <f>$W$10</f>
        <v>zonnepanelen</v>
      </c>
      <c r="AV10" s="214"/>
      <c r="AW10" s="216" t="s">
        <v>58</v>
      </c>
      <c r="AX10" s="222"/>
      <c r="AY10" s="217" t="str">
        <f>$O$10</f>
        <v>verwarming</v>
      </c>
      <c r="AZ10" s="217" t="str">
        <f>$P$10</f>
        <v>koeling</v>
      </c>
      <c r="BA10" s="217" t="str">
        <f>$Q$10</f>
        <v>tapwater</v>
      </c>
      <c r="BB10" s="217" t="str">
        <f>$R$10</f>
        <v>verlichting</v>
      </c>
      <c r="BC10" s="217" t="str">
        <f>$S$10</f>
        <v>ventilatoren</v>
      </c>
      <c r="BD10" s="217" t="str">
        <f>$T$10</f>
        <v>kookgas</v>
      </c>
      <c r="BE10" s="217" t="str">
        <f>$U$10</f>
        <v>overig elektra</v>
      </c>
      <c r="BF10" s="217" t="str">
        <f>$V$10</f>
        <v>mobiliteit</v>
      </c>
      <c r="BG10" s="217" t="str">
        <f>$W$10</f>
        <v>zonnepanelen</v>
      </c>
      <c r="BH10" s="1"/>
    </row>
    <row r="11" spans="1:60" s="682" customFormat="1" ht="5.25" x14ac:dyDescent="0.2">
      <c r="A11" s="678"/>
      <c r="B11" s="841" t="s">
        <v>103</v>
      </c>
      <c r="C11" s="841" t="s">
        <v>104</v>
      </c>
      <c r="D11" s="679"/>
      <c r="E11" s="680"/>
      <c r="F11" s="680"/>
      <c r="G11" s="680"/>
      <c r="H11" s="680"/>
      <c r="I11" s="680"/>
      <c r="J11" s="681"/>
      <c r="K11" s="681"/>
      <c r="L11" s="681"/>
      <c r="M11" s="680"/>
      <c r="N11" s="680"/>
      <c r="O11" s="680"/>
      <c r="P11" s="680"/>
      <c r="Q11" s="680"/>
      <c r="R11" s="680"/>
      <c r="S11" s="680"/>
      <c r="T11" s="679"/>
      <c r="U11" s="679"/>
      <c r="V11" s="679"/>
    </row>
    <row r="12" spans="1:60" x14ac:dyDescent="0.2">
      <c r="A12" s="648"/>
      <c r="B12" s="739" t="s">
        <v>103</v>
      </c>
      <c r="C12" s="656" t="s">
        <v>113</v>
      </c>
      <c r="D12" s="747"/>
      <c r="E12" s="220" t="s">
        <v>114</v>
      </c>
      <c r="F12" s="220"/>
      <c r="G12" s="220"/>
      <c r="H12" s="221" t="s">
        <v>115</v>
      </c>
      <c r="I12" s="94"/>
      <c r="J12" s="243">
        <f>M12+Y12+AK12+AW12</f>
        <v>0</v>
      </c>
      <c r="K12" s="294"/>
      <c r="L12" s="294"/>
      <c r="M12" s="243">
        <f>SUM(N12:X12)</f>
        <v>0</v>
      </c>
      <c r="N12" s="95"/>
      <c r="O12" s="207">
        <f>O117+O142+O159-O177</f>
        <v>0</v>
      </c>
      <c r="P12" s="207">
        <f t="shared" ref="P12:W12" si="0">P117+P142+P159-P177</f>
        <v>0</v>
      </c>
      <c r="Q12" s="207">
        <f t="shared" si="0"/>
        <v>0</v>
      </c>
      <c r="R12" s="207">
        <f t="shared" si="0"/>
        <v>0</v>
      </c>
      <c r="S12" s="207">
        <f t="shared" si="0"/>
        <v>0</v>
      </c>
      <c r="T12" s="207">
        <f t="shared" si="0"/>
        <v>0</v>
      </c>
      <c r="U12" s="207">
        <f>U117+U142+U159-U177</f>
        <v>0</v>
      </c>
      <c r="V12" s="207">
        <f t="shared" si="0"/>
        <v>0</v>
      </c>
      <c r="W12" s="207">
        <f t="shared" si="0"/>
        <v>0</v>
      </c>
      <c r="X12" s="324"/>
      <c r="Y12" s="243">
        <f>SUM(Z12:AJ12)</f>
        <v>0</v>
      </c>
      <c r="Z12" s="95"/>
      <c r="AA12" s="207">
        <f t="shared" ref="AA12:AI12" si="1">AA117+AA142+AA159-AA177</f>
        <v>0</v>
      </c>
      <c r="AB12" s="207">
        <f t="shared" si="1"/>
        <v>0</v>
      </c>
      <c r="AC12" s="207">
        <f t="shared" si="1"/>
        <v>0</v>
      </c>
      <c r="AD12" s="207">
        <f t="shared" si="1"/>
        <v>0</v>
      </c>
      <c r="AE12" s="207">
        <f t="shared" si="1"/>
        <v>0</v>
      </c>
      <c r="AF12" s="207">
        <f t="shared" si="1"/>
        <v>0</v>
      </c>
      <c r="AG12" s="207">
        <f t="shared" si="1"/>
        <v>0</v>
      </c>
      <c r="AH12" s="207">
        <f t="shared" si="1"/>
        <v>0</v>
      </c>
      <c r="AI12" s="207">
        <f t="shared" si="1"/>
        <v>0</v>
      </c>
      <c r="AJ12" s="324"/>
      <c r="AK12" s="243">
        <f>SUM(AL12:AV12)</f>
        <v>0</v>
      </c>
      <c r="AL12" s="95"/>
      <c r="AM12" s="207">
        <f t="shared" ref="AM12:AU12" si="2">AM117+AM142+AM159-AM177</f>
        <v>0</v>
      </c>
      <c r="AN12" s="207">
        <f t="shared" si="2"/>
        <v>0</v>
      </c>
      <c r="AO12" s="207">
        <f t="shared" si="2"/>
        <v>0</v>
      </c>
      <c r="AP12" s="207">
        <f t="shared" si="2"/>
        <v>0</v>
      </c>
      <c r="AQ12" s="207">
        <f t="shared" si="2"/>
        <v>0</v>
      </c>
      <c r="AR12" s="207">
        <f t="shared" si="2"/>
        <v>0</v>
      </c>
      <c r="AS12" s="207">
        <f t="shared" si="2"/>
        <v>0</v>
      </c>
      <c r="AT12" s="207">
        <f t="shared" si="2"/>
        <v>0</v>
      </c>
      <c r="AU12" s="207">
        <f t="shared" si="2"/>
        <v>0</v>
      </c>
      <c r="AV12" s="324"/>
      <c r="AW12" s="243">
        <f>SUM(AX12:BH12)</f>
        <v>0</v>
      </c>
      <c r="AX12" s="95"/>
      <c r="AY12" s="207">
        <f t="shared" ref="AY12:BG12" si="3">AY117+AY142+AY159-AY177</f>
        <v>0</v>
      </c>
      <c r="AZ12" s="207">
        <f t="shared" si="3"/>
        <v>0</v>
      </c>
      <c r="BA12" s="207">
        <f t="shared" si="3"/>
        <v>0</v>
      </c>
      <c r="BB12" s="207">
        <f t="shared" si="3"/>
        <v>0</v>
      </c>
      <c r="BC12" s="207">
        <f t="shared" si="3"/>
        <v>0</v>
      </c>
      <c r="BD12" s="207">
        <f t="shared" si="3"/>
        <v>0</v>
      </c>
      <c r="BE12" s="207">
        <f t="shared" si="3"/>
        <v>0</v>
      </c>
      <c r="BF12" s="207">
        <f t="shared" si="3"/>
        <v>0</v>
      </c>
      <c r="BG12" s="207">
        <f t="shared" si="3"/>
        <v>0</v>
      </c>
      <c r="BH12" s="255"/>
    </row>
    <row r="13" spans="1:60" x14ac:dyDescent="0.2">
      <c r="A13" s="648"/>
      <c r="B13" s="739" t="s">
        <v>103</v>
      </c>
      <c r="C13" s="656" t="s">
        <v>113</v>
      </c>
      <c r="D13" s="747"/>
      <c r="E13" s="220" t="s">
        <v>116</v>
      </c>
      <c r="F13" s="220"/>
      <c r="G13" s="220"/>
      <c r="H13" s="221" t="s">
        <v>117</v>
      </c>
      <c r="I13" s="94"/>
      <c r="J13" s="243">
        <f>M13+Y13+AK13+AW13</f>
        <v>0</v>
      </c>
      <c r="K13" s="294"/>
      <c r="L13" s="294"/>
      <c r="M13" s="243">
        <f>SUM(N13:X13)</f>
        <v>0</v>
      </c>
      <c r="N13" s="95"/>
      <c r="O13" s="207">
        <f t="shared" ref="O13:V13" si="4">O121+O146+O162</f>
        <v>0</v>
      </c>
      <c r="P13" s="207">
        <f t="shared" si="4"/>
        <v>0</v>
      </c>
      <c r="Q13" s="207">
        <f t="shared" si="4"/>
        <v>0</v>
      </c>
      <c r="R13" s="207">
        <f t="shared" si="4"/>
        <v>0</v>
      </c>
      <c r="S13" s="207">
        <f t="shared" si="4"/>
        <v>0</v>
      </c>
      <c r="T13" s="207">
        <f t="shared" si="4"/>
        <v>0</v>
      </c>
      <c r="U13" s="207">
        <f t="shared" si="4"/>
        <v>0</v>
      </c>
      <c r="V13" s="207">
        <f t="shared" si="4"/>
        <v>0</v>
      </c>
      <c r="W13" s="207">
        <f>W121+W146+W162-W181</f>
        <v>0</v>
      </c>
      <c r="X13" s="324"/>
      <c r="Y13" s="243">
        <f>SUM(Z13:AJ13)</f>
        <v>0</v>
      </c>
      <c r="Z13" s="95"/>
      <c r="AA13" s="207">
        <f t="shared" ref="AA13:AH13" si="5">AA121+AA146+AA162</f>
        <v>0</v>
      </c>
      <c r="AB13" s="207">
        <f t="shared" si="5"/>
        <v>0</v>
      </c>
      <c r="AC13" s="207">
        <f t="shared" si="5"/>
        <v>0</v>
      </c>
      <c r="AD13" s="207">
        <f t="shared" si="5"/>
        <v>0</v>
      </c>
      <c r="AE13" s="207">
        <f t="shared" si="5"/>
        <v>0</v>
      </c>
      <c r="AF13" s="207">
        <f t="shared" si="5"/>
        <v>0</v>
      </c>
      <c r="AG13" s="207">
        <f t="shared" si="5"/>
        <v>0</v>
      </c>
      <c r="AH13" s="207">
        <f t="shared" si="5"/>
        <v>0</v>
      </c>
      <c r="AI13" s="207">
        <f>AI121+AI146+AI162-AI181</f>
        <v>0</v>
      </c>
      <c r="AJ13" s="324"/>
      <c r="AK13" s="243">
        <f>SUM(AL13:AV13)</f>
        <v>0</v>
      </c>
      <c r="AL13" s="95"/>
      <c r="AM13" s="207">
        <f t="shared" ref="AM13:AT13" si="6">AM121+AM146+AM162</f>
        <v>0</v>
      </c>
      <c r="AN13" s="207">
        <f t="shared" si="6"/>
        <v>0</v>
      </c>
      <c r="AO13" s="207">
        <f t="shared" si="6"/>
        <v>0</v>
      </c>
      <c r="AP13" s="207">
        <f t="shared" si="6"/>
        <v>0</v>
      </c>
      <c r="AQ13" s="207">
        <f t="shared" si="6"/>
        <v>0</v>
      </c>
      <c r="AR13" s="207">
        <f t="shared" si="6"/>
        <v>0</v>
      </c>
      <c r="AS13" s="207">
        <f t="shared" si="6"/>
        <v>0</v>
      </c>
      <c r="AT13" s="207">
        <f t="shared" si="6"/>
        <v>0</v>
      </c>
      <c r="AU13" s="207">
        <f>AU121+AU146+AU162-AU181</f>
        <v>0</v>
      </c>
      <c r="AV13" s="324"/>
      <c r="AW13" s="243">
        <f>SUM(AX13:BH13)</f>
        <v>0</v>
      </c>
      <c r="AX13" s="95"/>
      <c r="AY13" s="207">
        <f t="shared" ref="AY13:BF13" si="7">AY121+AY146+AY162</f>
        <v>0</v>
      </c>
      <c r="AZ13" s="207">
        <f t="shared" si="7"/>
        <v>0</v>
      </c>
      <c r="BA13" s="207">
        <f t="shared" si="7"/>
        <v>0</v>
      </c>
      <c r="BB13" s="207">
        <f t="shared" si="7"/>
        <v>0</v>
      </c>
      <c r="BC13" s="207">
        <f t="shared" si="7"/>
        <v>0</v>
      </c>
      <c r="BD13" s="207">
        <f t="shared" si="7"/>
        <v>0</v>
      </c>
      <c r="BE13" s="207">
        <f t="shared" si="7"/>
        <v>0</v>
      </c>
      <c r="BF13" s="207">
        <f t="shared" si="7"/>
        <v>0</v>
      </c>
      <c r="BG13" s="207">
        <f>BG121+BG146+BG162-BG181</f>
        <v>0</v>
      </c>
      <c r="BH13" s="255"/>
    </row>
    <row r="14" spans="1:60" x14ac:dyDescent="0.2">
      <c r="A14" s="648"/>
      <c r="B14" s="739" t="s">
        <v>103</v>
      </c>
      <c r="C14" s="656" t="s">
        <v>113</v>
      </c>
      <c r="D14" s="747"/>
      <c r="E14" s="220" t="s">
        <v>118</v>
      </c>
      <c r="F14" s="220"/>
      <c r="G14" s="220"/>
      <c r="H14" s="221" t="s">
        <v>119</v>
      </c>
      <c r="I14" s="94"/>
      <c r="J14" s="243">
        <f>M14+Y14+AK14+AW14</f>
        <v>0</v>
      </c>
      <c r="K14" s="294"/>
      <c r="L14" s="294"/>
      <c r="M14" s="243">
        <f>SUM(N14:X14)</f>
        <v>0</v>
      </c>
      <c r="N14" s="95"/>
      <c r="O14" s="207">
        <f t="shared" ref="O14:W14" si="8">O186*O29/1000</f>
        <v>0</v>
      </c>
      <c r="P14" s="207">
        <f t="shared" si="8"/>
        <v>0</v>
      </c>
      <c r="Q14" s="207">
        <f t="shared" si="8"/>
        <v>0</v>
      </c>
      <c r="R14" s="207">
        <f t="shared" si="8"/>
        <v>0</v>
      </c>
      <c r="S14" s="207">
        <f t="shared" si="8"/>
        <v>0</v>
      </c>
      <c r="T14" s="207">
        <f t="shared" si="8"/>
        <v>0</v>
      </c>
      <c r="U14" s="207">
        <f t="shared" si="8"/>
        <v>0</v>
      </c>
      <c r="V14" s="207">
        <f t="shared" si="8"/>
        <v>0</v>
      </c>
      <c r="W14" s="207">
        <f t="shared" si="8"/>
        <v>0</v>
      </c>
      <c r="X14" s="324"/>
      <c r="Y14" s="243">
        <f>SUM(Z14:AJ14)</f>
        <v>0</v>
      </c>
      <c r="Z14" s="95"/>
      <c r="AA14" s="207">
        <f t="shared" ref="AA14:AI14" si="9">AA186*AA29/1000</f>
        <v>0</v>
      </c>
      <c r="AB14" s="207">
        <f t="shared" si="9"/>
        <v>0</v>
      </c>
      <c r="AC14" s="207">
        <f t="shared" si="9"/>
        <v>0</v>
      </c>
      <c r="AD14" s="207">
        <f t="shared" si="9"/>
        <v>0</v>
      </c>
      <c r="AE14" s="207">
        <f t="shared" si="9"/>
        <v>0</v>
      </c>
      <c r="AF14" s="207">
        <f t="shared" si="9"/>
        <v>0</v>
      </c>
      <c r="AG14" s="207">
        <f t="shared" si="9"/>
        <v>0</v>
      </c>
      <c r="AH14" s="207">
        <f t="shared" si="9"/>
        <v>0</v>
      </c>
      <c r="AI14" s="207">
        <f t="shared" si="9"/>
        <v>0</v>
      </c>
      <c r="AJ14" s="324"/>
      <c r="AK14" s="243">
        <f>SUM(AL14:AV14)</f>
        <v>0</v>
      </c>
      <c r="AL14" s="95"/>
      <c r="AM14" s="207">
        <f t="shared" ref="AM14:AU14" si="10">AM186*AM29/1000</f>
        <v>0</v>
      </c>
      <c r="AN14" s="207">
        <f t="shared" si="10"/>
        <v>0</v>
      </c>
      <c r="AO14" s="207">
        <f t="shared" si="10"/>
        <v>0</v>
      </c>
      <c r="AP14" s="207">
        <f t="shared" si="10"/>
        <v>0</v>
      </c>
      <c r="AQ14" s="207">
        <f t="shared" si="10"/>
        <v>0</v>
      </c>
      <c r="AR14" s="207">
        <f t="shared" si="10"/>
        <v>0</v>
      </c>
      <c r="AS14" s="207">
        <f t="shared" si="10"/>
        <v>0</v>
      </c>
      <c r="AT14" s="207">
        <f t="shared" si="10"/>
        <v>0</v>
      </c>
      <c r="AU14" s="207">
        <f t="shared" si="10"/>
        <v>0</v>
      </c>
      <c r="AV14" s="324"/>
      <c r="AW14" s="243">
        <f>SUM(AX14:BH14)</f>
        <v>0</v>
      </c>
      <c r="AX14" s="95"/>
      <c r="AY14" s="207">
        <f t="shared" ref="AY14:BG14" si="11">AY186*AY29/1000</f>
        <v>0</v>
      </c>
      <c r="AZ14" s="207">
        <f t="shared" si="11"/>
        <v>0</v>
      </c>
      <c r="BA14" s="207">
        <f t="shared" si="11"/>
        <v>0</v>
      </c>
      <c r="BB14" s="207">
        <f t="shared" si="11"/>
        <v>0</v>
      </c>
      <c r="BC14" s="207">
        <f t="shared" si="11"/>
        <v>0</v>
      </c>
      <c r="BD14" s="207">
        <f t="shared" si="11"/>
        <v>0</v>
      </c>
      <c r="BE14" s="207">
        <f t="shared" si="11"/>
        <v>0</v>
      </c>
      <c r="BF14" s="207">
        <f t="shared" si="11"/>
        <v>0</v>
      </c>
      <c r="BG14" s="207">
        <f t="shared" si="11"/>
        <v>0</v>
      </c>
      <c r="BH14" s="257"/>
    </row>
    <row r="15" spans="1:60" s="847" customFormat="1" ht="5.25" x14ac:dyDescent="0.2">
      <c r="A15" s="842"/>
      <c r="B15" s="843" t="s">
        <v>103</v>
      </c>
      <c r="C15" s="841" t="s">
        <v>113</v>
      </c>
      <c r="D15" s="756"/>
      <c r="E15" s="844"/>
      <c r="F15" s="844"/>
      <c r="G15" s="844"/>
      <c r="H15" s="845"/>
      <c r="I15" s="844"/>
      <c r="J15" s="846"/>
      <c r="K15" s="844"/>
      <c r="L15" s="844"/>
      <c r="M15" s="846"/>
      <c r="N15" s="844"/>
      <c r="O15" s="846"/>
      <c r="P15" s="846"/>
      <c r="Q15" s="846"/>
      <c r="R15" s="846"/>
      <c r="S15" s="846"/>
      <c r="T15" s="846"/>
      <c r="U15" s="846"/>
      <c r="V15" s="846"/>
      <c r="W15" s="846"/>
      <c r="X15" s="846"/>
      <c r="Y15" s="846"/>
      <c r="Z15" s="844"/>
      <c r="AA15" s="846"/>
      <c r="AB15" s="846"/>
      <c r="AC15" s="846"/>
      <c r="AD15" s="846"/>
      <c r="AE15" s="846"/>
      <c r="AF15" s="846"/>
      <c r="AG15" s="846"/>
      <c r="AH15" s="846"/>
      <c r="AI15" s="846"/>
      <c r="AJ15" s="846"/>
      <c r="AK15" s="846"/>
      <c r="AL15" s="844"/>
      <c r="AM15" s="846"/>
      <c r="AN15" s="846"/>
      <c r="AO15" s="846"/>
      <c r="AP15" s="846"/>
      <c r="AQ15" s="846"/>
      <c r="AR15" s="846"/>
      <c r="AS15" s="846"/>
      <c r="AT15" s="846"/>
      <c r="AU15" s="846"/>
      <c r="AV15" s="846"/>
      <c r="AW15" s="846"/>
      <c r="AX15" s="844"/>
      <c r="AY15" s="846"/>
      <c r="AZ15" s="846"/>
      <c r="BA15" s="846"/>
      <c r="BB15" s="846"/>
      <c r="BC15" s="846"/>
      <c r="BD15" s="846"/>
      <c r="BE15" s="846"/>
      <c r="BF15" s="846"/>
      <c r="BG15" s="846"/>
      <c r="BH15" s="846"/>
    </row>
    <row r="16" spans="1:60" x14ac:dyDescent="0.2">
      <c r="A16" s="653"/>
      <c r="B16" s="739" t="s">
        <v>120</v>
      </c>
      <c r="C16" s="739" t="s">
        <v>104</v>
      </c>
      <c r="D16" s="747"/>
      <c r="E16" s="90"/>
      <c r="F16" s="90"/>
      <c r="G16" s="90"/>
      <c r="H16" s="96"/>
      <c r="I16" s="90"/>
      <c r="J16" s="93"/>
      <c r="K16" s="90"/>
      <c r="L16" s="90"/>
      <c r="M16" s="93"/>
      <c r="N16" s="90"/>
      <c r="O16" s="93"/>
      <c r="P16" s="93"/>
      <c r="Q16" s="93"/>
      <c r="R16" s="93"/>
      <c r="S16" s="93"/>
      <c r="T16" s="93"/>
      <c r="U16" s="93"/>
      <c r="V16" s="93"/>
      <c r="W16" s="93"/>
      <c r="X16" s="93"/>
      <c r="Y16" s="93"/>
      <c r="Z16" s="90"/>
      <c r="AA16" s="93"/>
      <c r="AB16" s="93"/>
      <c r="AC16" s="93"/>
      <c r="AD16" s="93"/>
      <c r="AE16" s="93"/>
      <c r="AF16" s="93"/>
      <c r="AG16" s="93"/>
      <c r="AH16" s="93"/>
      <c r="AI16" s="93"/>
      <c r="AJ16" s="93"/>
      <c r="AK16" s="93"/>
      <c r="AL16" s="90"/>
      <c r="AM16" s="93"/>
      <c r="AN16" s="93"/>
      <c r="AO16" s="93"/>
      <c r="AP16" s="93"/>
      <c r="AQ16" s="93"/>
      <c r="AR16" s="93"/>
      <c r="AS16" s="93"/>
      <c r="AT16" s="93"/>
      <c r="AU16" s="93"/>
      <c r="AV16" s="93"/>
      <c r="AW16" s="93"/>
      <c r="AX16" s="90"/>
      <c r="AY16" s="93"/>
      <c r="AZ16" s="93"/>
      <c r="BA16" s="93"/>
      <c r="BB16" s="93"/>
      <c r="BC16" s="93"/>
      <c r="BD16" s="93"/>
      <c r="BE16" s="93"/>
      <c r="BF16" s="93"/>
      <c r="BG16" s="93"/>
      <c r="BH16" s="1"/>
    </row>
    <row r="17" spans="1:60" s="2" customFormat="1" ht="21" x14ac:dyDescent="0.2">
      <c r="A17" s="649"/>
      <c r="B17" s="739" t="s">
        <v>120</v>
      </c>
      <c r="C17" s="739" t="s">
        <v>104</v>
      </c>
      <c r="D17" s="748" t="s">
        <v>50</v>
      </c>
      <c r="E17" s="253" t="s">
        <v>121</v>
      </c>
      <c r="F17" s="253"/>
      <c r="G17" s="253"/>
      <c r="H17" s="253"/>
      <c r="I17" s="146"/>
      <c r="J17" s="318" t="str">
        <f>J$10</f>
        <v>totaal</v>
      </c>
      <c r="K17" s="142"/>
      <c r="L17" s="142"/>
      <c r="M17" s="319" t="str">
        <f>M$10</f>
        <v>totaal</v>
      </c>
      <c r="N17" s="234"/>
      <c r="O17" s="320" t="str">
        <f>IF(O19="","",O19)</f>
        <v/>
      </c>
      <c r="P17" s="320" t="str">
        <f t="shared" ref="P17:W17" si="12">IF(P19="","",P19)</f>
        <v/>
      </c>
      <c r="Q17" s="320" t="str">
        <f t="shared" si="12"/>
        <v/>
      </c>
      <c r="R17" s="320" t="str">
        <f t="shared" si="12"/>
        <v/>
      </c>
      <c r="S17" s="320" t="str">
        <f t="shared" si="12"/>
        <v/>
      </c>
      <c r="T17" s="320" t="str">
        <f>IF(T19="","",T19)</f>
        <v/>
      </c>
      <c r="U17" s="320" t="str">
        <f t="shared" si="12"/>
        <v/>
      </c>
      <c r="V17" s="320" t="str">
        <f t="shared" si="12"/>
        <v/>
      </c>
      <c r="W17" s="320" t="str">
        <f t="shared" si="12"/>
        <v/>
      </c>
      <c r="X17" s="214"/>
      <c r="Y17" s="319" t="str">
        <f>Y$10</f>
        <v>totaal</v>
      </c>
      <c r="Z17" s="234"/>
      <c r="AA17" s="320" t="str">
        <f>IF(AA19="","",AA19)</f>
        <v/>
      </c>
      <c r="AB17" s="320" t="str">
        <f t="shared" ref="AB17:AI17" si="13">IF(AB19="","",AB19)</f>
        <v/>
      </c>
      <c r="AC17" s="320" t="str">
        <f t="shared" si="13"/>
        <v/>
      </c>
      <c r="AD17" s="320" t="str">
        <f t="shared" si="13"/>
        <v/>
      </c>
      <c r="AE17" s="320" t="str">
        <f t="shared" si="13"/>
        <v/>
      </c>
      <c r="AF17" s="320" t="str">
        <f>IF(AF19="","",AF19)</f>
        <v/>
      </c>
      <c r="AG17" s="320" t="str">
        <f t="shared" si="13"/>
        <v/>
      </c>
      <c r="AH17" s="320" t="str">
        <f t="shared" si="13"/>
        <v/>
      </c>
      <c r="AI17" s="320" t="str">
        <f t="shared" si="13"/>
        <v/>
      </c>
      <c r="AJ17" s="214"/>
      <c r="AK17" s="319" t="str">
        <f>AK$10</f>
        <v>totaal</v>
      </c>
      <c r="AL17" s="234"/>
      <c r="AM17" s="320" t="str">
        <f>IF(AM19="","",AM19)</f>
        <v/>
      </c>
      <c r="AN17" s="320" t="str">
        <f t="shared" ref="AN17:AU17" si="14">IF(AN19="","",AN19)</f>
        <v/>
      </c>
      <c r="AO17" s="320" t="str">
        <f t="shared" si="14"/>
        <v/>
      </c>
      <c r="AP17" s="320" t="str">
        <f t="shared" si="14"/>
        <v/>
      </c>
      <c r="AQ17" s="320" t="str">
        <f t="shared" si="14"/>
        <v/>
      </c>
      <c r="AR17" s="320" t="str">
        <f>IF(AR19="","",AR19)</f>
        <v/>
      </c>
      <c r="AS17" s="320" t="str">
        <f t="shared" si="14"/>
        <v/>
      </c>
      <c r="AT17" s="320" t="str">
        <f t="shared" si="14"/>
        <v/>
      </c>
      <c r="AU17" s="320" t="str">
        <f t="shared" si="14"/>
        <v/>
      </c>
      <c r="AV17" s="214"/>
      <c r="AW17" s="319" t="str">
        <f>AW$10</f>
        <v>totaal</v>
      </c>
      <c r="AX17" s="234"/>
      <c r="AY17" s="320" t="str">
        <f>IF(AY19="","",AY19)</f>
        <v/>
      </c>
      <c r="AZ17" s="320" t="str">
        <f t="shared" ref="AZ17:BG17" si="15">IF(AZ19="","",AZ19)</f>
        <v/>
      </c>
      <c r="BA17" s="320" t="str">
        <f t="shared" si="15"/>
        <v/>
      </c>
      <c r="BB17" s="320" t="str">
        <f t="shared" si="15"/>
        <v/>
      </c>
      <c r="BC17" s="320" t="str">
        <f t="shared" si="15"/>
        <v/>
      </c>
      <c r="BD17" s="320" t="str">
        <f>IF(BD19="","",BD19)</f>
        <v/>
      </c>
      <c r="BE17" s="320" t="str">
        <f t="shared" si="15"/>
        <v/>
      </c>
      <c r="BF17" s="320" t="str">
        <f t="shared" si="15"/>
        <v/>
      </c>
      <c r="BG17" s="320" t="str">
        <f t="shared" si="15"/>
        <v/>
      </c>
      <c r="BH17" s="1"/>
    </row>
    <row r="18" spans="1:60" ht="18.75" x14ac:dyDescent="0.2">
      <c r="A18" s="648"/>
      <c r="B18" s="739" t="s">
        <v>120</v>
      </c>
      <c r="C18" s="739" t="s">
        <v>104</v>
      </c>
      <c r="D18" s="747"/>
      <c r="E18" s="236" t="s">
        <v>122</v>
      </c>
      <c r="F18" s="236"/>
      <c r="G18" s="236"/>
      <c r="H18" s="89"/>
      <c r="I18" s="236"/>
      <c r="J18" s="236"/>
      <c r="K18" s="236"/>
      <c r="L18" s="236"/>
      <c r="M18" s="236"/>
      <c r="N18" s="236"/>
      <c r="O18" s="236"/>
      <c r="P18" s="236"/>
      <c r="Q18" s="236"/>
      <c r="R18" s="236"/>
      <c r="S18" s="236"/>
      <c r="T18" s="236"/>
      <c r="U18" s="236"/>
      <c r="V18" s="236"/>
      <c r="W18" s="236"/>
      <c r="X18" s="236"/>
      <c r="Y18" s="236"/>
      <c r="Z18" s="236"/>
      <c r="AA18" s="236"/>
      <c r="AB18" s="791"/>
      <c r="AC18" s="236"/>
      <c r="AD18" s="236"/>
      <c r="AE18" s="236"/>
      <c r="AF18" s="236"/>
      <c r="AG18" s="236"/>
      <c r="AH18" s="236"/>
      <c r="AI18" s="236"/>
      <c r="AJ18" s="236"/>
      <c r="AK18" s="236"/>
      <c r="AL18" s="236"/>
      <c r="AM18" s="236"/>
      <c r="AN18" s="791"/>
      <c r="AO18" s="791"/>
      <c r="AP18" s="236"/>
      <c r="AQ18" s="236"/>
      <c r="AR18" s="236"/>
      <c r="AS18" s="236"/>
      <c r="AT18" s="236"/>
      <c r="AU18" s="236"/>
      <c r="AV18" s="236"/>
      <c r="AW18" s="236"/>
      <c r="AX18" s="236"/>
      <c r="AY18" s="236"/>
      <c r="AZ18" s="236"/>
      <c r="BA18" s="236"/>
      <c r="BB18" s="236"/>
      <c r="BC18" s="236"/>
      <c r="BD18" s="236"/>
      <c r="BE18" s="236"/>
      <c r="BF18" s="236"/>
      <c r="BG18" s="236"/>
      <c r="BH18" s="38"/>
    </row>
    <row r="19" spans="1:60" x14ac:dyDescent="0.2">
      <c r="A19" s="648"/>
      <c r="B19" s="739" t="s">
        <v>120</v>
      </c>
      <c r="C19" s="656" t="s">
        <v>113</v>
      </c>
      <c r="D19" s="747"/>
      <c r="E19" s="220" t="s">
        <v>122</v>
      </c>
      <c r="F19" s="182"/>
      <c r="G19" s="182"/>
      <c r="H19" s="183" t="s">
        <v>70</v>
      </c>
      <c r="I19" s="235"/>
      <c r="J19" s="224"/>
      <c r="K19" s="232"/>
      <c r="L19" s="232"/>
      <c r="M19" s="224"/>
      <c r="N19" s="99"/>
      <c r="O19" s="453" t="str">
        <f>IF('woningen|utiliteit'!L18="","",'woningen|utiliteit'!L18)</f>
        <v/>
      </c>
      <c r="P19" s="453" t="str">
        <f>IF('woningen|utiliteit'!M18="","",'woningen|utiliteit'!M18)</f>
        <v/>
      </c>
      <c r="Q19" s="453" t="str">
        <f>IF('woningen|utiliteit'!N18="","",'woningen|utiliteit'!N18)</f>
        <v/>
      </c>
      <c r="R19" s="453" t="str">
        <f>IF('woningen|utiliteit'!O18="","",'woningen|utiliteit'!O18)</f>
        <v/>
      </c>
      <c r="S19" s="453" t="str">
        <f>IF('woningen|utiliteit'!P18="","",'woningen|utiliteit'!P18)</f>
        <v/>
      </c>
      <c r="T19" s="453" t="str">
        <f>IF('woningen|utiliteit'!Q18="","",'woningen|utiliteit'!Q18)</f>
        <v/>
      </c>
      <c r="U19" s="453" t="str">
        <f>IF('woningen|utiliteit'!R18="","",'woningen|utiliteit'!R18)</f>
        <v/>
      </c>
      <c r="V19" s="453" t="str">
        <f>IF('woningen|utiliteit'!S18="","",'woningen|utiliteit'!S18)</f>
        <v/>
      </c>
      <c r="W19" s="453" t="str">
        <f>IF('woningen|utiliteit'!T18="","",'woningen|utiliteit'!T18)</f>
        <v/>
      </c>
      <c r="X19" s="98"/>
      <c r="Y19" s="224"/>
      <c r="Z19" s="99"/>
      <c r="AA19" s="453" t="str">
        <f>IF('woningen|utiliteit'!L32="","",'woningen|utiliteit'!L32)</f>
        <v/>
      </c>
      <c r="AB19" s="453" t="str">
        <f>IF('woningen|utiliteit'!M32="","",'woningen|utiliteit'!M32)</f>
        <v/>
      </c>
      <c r="AC19" s="453" t="str">
        <f>IF('woningen|utiliteit'!N32="","",'woningen|utiliteit'!N32)</f>
        <v/>
      </c>
      <c r="AD19" s="453" t="str">
        <f>IF('woningen|utiliteit'!O32="","",'woningen|utiliteit'!O32)</f>
        <v/>
      </c>
      <c r="AE19" s="453" t="str">
        <f>IF('woningen|utiliteit'!P32="","",'woningen|utiliteit'!P32)</f>
        <v/>
      </c>
      <c r="AF19" s="453" t="str">
        <f>IF('woningen|utiliteit'!Q32="","",'woningen|utiliteit'!Q32)</f>
        <v/>
      </c>
      <c r="AG19" s="453" t="str">
        <f>IF('woningen|utiliteit'!R32="","",'woningen|utiliteit'!R32)</f>
        <v/>
      </c>
      <c r="AH19" s="453" t="str">
        <f>IF('woningen|utiliteit'!S32="","",'woningen|utiliteit'!S32)</f>
        <v/>
      </c>
      <c r="AI19" s="453" t="str">
        <f>IF('woningen|utiliteit'!T32="","",'woningen|utiliteit'!T32)</f>
        <v/>
      </c>
      <c r="AJ19" s="98"/>
      <c r="AK19" s="224"/>
      <c r="AL19" s="99"/>
      <c r="AM19" s="453" t="str">
        <f>IF('woningen|utiliteit'!L46="","",'woningen|utiliteit'!L46)</f>
        <v/>
      </c>
      <c r="AN19" s="453" t="str">
        <f>IF('woningen|utiliteit'!M46="","",'woningen|utiliteit'!M46)</f>
        <v/>
      </c>
      <c r="AO19" s="453" t="str">
        <f>IF('woningen|utiliteit'!N46="","",'woningen|utiliteit'!N46)</f>
        <v/>
      </c>
      <c r="AP19" s="453" t="str">
        <f>IF('woningen|utiliteit'!O46="","",'woningen|utiliteit'!O46)</f>
        <v/>
      </c>
      <c r="AQ19" s="453" t="str">
        <f>IF('woningen|utiliteit'!P46="","",'woningen|utiliteit'!P46)</f>
        <v/>
      </c>
      <c r="AR19" s="453" t="str">
        <f>IF('woningen|utiliteit'!Q46="","",'woningen|utiliteit'!Q46)</f>
        <v/>
      </c>
      <c r="AS19" s="453" t="str">
        <f>IF('woningen|utiliteit'!R46="","",'woningen|utiliteit'!R46)</f>
        <v/>
      </c>
      <c r="AT19" s="453" t="str">
        <f>IF('woningen|utiliteit'!S46="","",'woningen|utiliteit'!S46)</f>
        <v/>
      </c>
      <c r="AU19" s="453" t="str">
        <f>IF('woningen|utiliteit'!T46="","",'woningen|utiliteit'!T46)</f>
        <v/>
      </c>
      <c r="AV19" s="98"/>
      <c r="AW19" s="224"/>
      <c r="AX19" s="99"/>
      <c r="AY19" s="453" t="str">
        <f>IF('woningen|utiliteit'!L60="","",'woningen|utiliteit'!L60)</f>
        <v/>
      </c>
      <c r="AZ19" s="453" t="str">
        <f>IF('woningen|utiliteit'!M60="","",'woningen|utiliteit'!M60)</f>
        <v/>
      </c>
      <c r="BA19" s="453" t="str">
        <f>IF('woningen|utiliteit'!N60="","",'woningen|utiliteit'!N60)</f>
        <v/>
      </c>
      <c r="BB19" s="453" t="str">
        <f>IF('woningen|utiliteit'!O60="","",'woningen|utiliteit'!O60)</f>
        <v/>
      </c>
      <c r="BC19" s="453" t="str">
        <f>IF('woningen|utiliteit'!P60="","",'woningen|utiliteit'!P60)</f>
        <v/>
      </c>
      <c r="BD19" s="453" t="str">
        <f>IF('woningen|utiliteit'!Q60="","",'woningen|utiliteit'!Q60)</f>
        <v/>
      </c>
      <c r="BE19" s="453" t="str">
        <f>IF('woningen|utiliteit'!R60="","",'woningen|utiliteit'!R60)</f>
        <v/>
      </c>
      <c r="BF19" s="453" t="str">
        <f>IF('woningen|utiliteit'!S60="","",'woningen|utiliteit'!S60)</f>
        <v/>
      </c>
      <c r="BG19" s="453" t="str">
        <f>IF('woningen|utiliteit'!T60="","",'woningen|utiliteit'!T60)</f>
        <v/>
      </c>
      <c r="BH19" s="258"/>
    </row>
    <row r="20" spans="1:60" x14ac:dyDescent="0.2">
      <c r="A20" s="648"/>
      <c r="B20" s="739" t="s">
        <v>120</v>
      </c>
      <c r="C20" s="656" t="s">
        <v>113</v>
      </c>
      <c r="D20" s="747"/>
      <c r="E20" s="317" t="s">
        <v>123</v>
      </c>
      <c r="F20" s="286"/>
      <c r="G20" s="286"/>
      <c r="H20" s="360" t="s">
        <v>70</v>
      </c>
      <c r="I20" s="716"/>
      <c r="J20" s="226"/>
      <c r="K20" s="232"/>
      <c r="L20" s="232"/>
      <c r="M20" s="226"/>
      <c r="N20" s="106"/>
      <c r="O20" s="637" t="str">
        <f>IF('woningen|utiliteit'!L20="","",'woningen|utiliteit'!L20)</f>
        <v/>
      </c>
      <c r="P20" s="637" t="str">
        <f>IF('woningen|utiliteit'!M20="","",'woningen|utiliteit'!M20)</f>
        <v/>
      </c>
      <c r="Q20" s="637" t="str">
        <f>IF('woningen|utiliteit'!N20="","",'woningen|utiliteit'!N20)</f>
        <v/>
      </c>
      <c r="R20" s="637" t="str">
        <f>IF('woningen|utiliteit'!O20="","",'woningen|utiliteit'!O20)</f>
        <v/>
      </c>
      <c r="S20" s="637" t="str">
        <f>IF('woningen|utiliteit'!P20="","",'woningen|utiliteit'!P20)</f>
        <v/>
      </c>
      <c r="T20" s="637" t="str">
        <f>IF('woningen|utiliteit'!Q20="","",'woningen|utiliteit'!Q20)</f>
        <v/>
      </c>
      <c r="U20" s="637" t="str">
        <f>IF('woningen|utiliteit'!R20="","",'woningen|utiliteit'!R20)</f>
        <v/>
      </c>
      <c r="V20" s="637" t="str">
        <f>IF('woningen|utiliteit'!S20="","",'woningen|utiliteit'!S20)</f>
        <v/>
      </c>
      <c r="W20" s="637" t="str">
        <f>IF('woningen|utiliteit'!T20="","",'woningen|utiliteit'!T20)</f>
        <v/>
      </c>
      <c r="X20" s="98"/>
      <c r="Y20" s="226"/>
      <c r="Z20" s="106"/>
      <c r="AA20" s="637" t="str">
        <f>IF('woningen|utiliteit'!L34="","",'woningen|utiliteit'!L34)</f>
        <v/>
      </c>
      <c r="AB20" s="637" t="str">
        <f>IF('woningen|utiliteit'!M34="","",'woningen|utiliteit'!M34)</f>
        <v/>
      </c>
      <c r="AC20" s="637" t="str">
        <f>IF('woningen|utiliteit'!N34="","",'woningen|utiliteit'!N34)</f>
        <v/>
      </c>
      <c r="AD20" s="637" t="str">
        <f>IF('woningen|utiliteit'!O34="","",'woningen|utiliteit'!O34)</f>
        <v/>
      </c>
      <c r="AE20" s="637" t="str">
        <f>IF('woningen|utiliteit'!P34="","",'woningen|utiliteit'!P34)</f>
        <v/>
      </c>
      <c r="AF20" s="637" t="str">
        <f>IF('woningen|utiliteit'!Q34="","",'woningen|utiliteit'!Q34)</f>
        <v/>
      </c>
      <c r="AG20" s="637" t="str">
        <f>IF('woningen|utiliteit'!R34="","",'woningen|utiliteit'!R34)</f>
        <v/>
      </c>
      <c r="AH20" s="637" t="str">
        <f>IF('woningen|utiliteit'!S34="","",'woningen|utiliteit'!S34)</f>
        <v/>
      </c>
      <c r="AI20" s="637" t="str">
        <f>IF('woningen|utiliteit'!T34="","",'woningen|utiliteit'!T34)</f>
        <v/>
      </c>
      <c r="AJ20" s="98"/>
      <c r="AK20" s="226"/>
      <c r="AL20" s="106"/>
      <c r="AM20" s="637" t="str">
        <f>IF('woningen|utiliteit'!L48="","",'woningen|utiliteit'!L48)</f>
        <v/>
      </c>
      <c r="AN20" s="637" t="str">
        <f>IF('woningen|utiliteit'!M48="","",'woningen|utiliteit'!M48)</f>
        <v/>
      </c>
      <c r="AO20" s="637" t="str">
        <f>IF('woningen|utiliteit'!N48="","",'woningen|utiliteit'!N48)</f>
        <v/>
      </c>
      <c r="AP20" s="637" t="str">
        <f>IF('woningen|utiliteit'!O48="","",'woningen|utiliteit'!O48)</f>
        <v/>
      </c>
      <c r="AQ20" s="637" t="str">
        <f>IF('woningen|utiliteit'!P48="","",'woningen|utiliteit'!P48)</f>
        <v/>
      </c>
      <c r="AR20" s="637" t="str">
        <f>IF('woningen|utiliteit'!Q48="","",'woningen|utiliteit'!Q48)</f>
        <v/>
      </c>
      <c r="AS20" s="637" t="str">
        <f>IF('woningen|utiliteit'!R48="","",'woningen|utiliteit'!R48)</f>
        <v/>
      </c>
      <c r="AT20" s="637" t="str">
        <f>IF('woningen|utiliteit'!S48="","",'woningen|utiliteit'!S48)</f>
        <v/>
      </c>
      <c r="AU20" s="637" t="str">
        <f>IF('woningen|utiliteit'!T48="","",'woningen|utiliteit'!T48)</f>
        <v/>
      </c>
      <c r="AV20" s="98"/>
      <c r="AW20" s="226"/>
      <c r="AX20" s="106"/>
      <c r="AY20" s="637" t="str">
        <f>IF('woningen|utiliteit'!L62="","",'woningen|utiliteit'!L62)</f>
        <v/>
      </c>
      <c r="AZ20" s="637" t="str">
        <f>IF('woningen|utiliteit'!M62="","",'woningen|utiliteit'!M62)</f>
        <v/>
      </c>
      <c r="BA20" s="637" t="str">
        <f>IF('woningen|utiliteit'!N62="","",'woningen|utiliteit'!N62)</f>
        <v/>
      </c>
      <c r="BB20" s="637" t="str">
        <f>IF('woningen|utiliteit'!O62="","",'woningen|utiliteit'!O62)</f>
        <v/>
      </c>
      <c r="BC20" s="637" t="str">
        <f>IF('woningen|utiliteit'!P62="","",'woningen|utiliteit'!P62)</f>
        <v/>
      </c>
      <c r="BD20" s="637" t="str">
        <f>IF('woningen|utiliteit'!Q62="","",'woningen|utiliteit'!Q62)</f>
        <v/>
      </c>
      <c r="BE20" s="637" t="str">
        <f>IF('woningen|utiliteit'!R62="","",'woningen|utiliteit'!R62)</f>
        <v/>
      </c>
      <c r="BF20" s="637" t="str">
        <f>IF('woningen|utiliteit'!S62="","",'woningen|utiliteit'!S62)</f>
        <v/>
      </c>
      <c r="BG20" s="637" t="str">
        <f>IF('woningen|utiliteit'!T62="","",'woningen|utiliteit'!T62)</f>
        <v/>
      </c>
      <c r="BH20" s="258"/>
    </row>
    <row r="21" spans="1:60" s="38" customFormat="1" x14ac:dyDescent="0.2">
      <c r="A21" s="648"/>
      <c r="B21" s="739" t="s">
        <v>120</v>
      </c>
      <c r="C21" s="656" t="s">
        <v>113</v>
      </c>
      <c r="D21" s="747"/>
      <c r="E21" s="316" t="s">
        <v>124</v>
      </c>
      <c r="F21" s="713"/>
      <c r="G21" s="713"/>
      <c r="H21" s="361" t="s">
        <v>70</v>
      </c>
      <c r="I21" s="97"/>
      <c r="J21" s="714"/>
      <c r="K21" s="105"/>
      <c r="L21" s="105"/>
      <c r="M21" s="714"/>
      <c r="N21" s="715"/>
      <c r="O21" s="619" t="str">
        <f>IF(O$19="","",HLOOKUP(O$19,woningen_gebouwen_gegevens,ROWS(bibliotheek!$E$13:$E$14),FALSE))</f>
        <v/>
      </c>
      <c r="P21" s="619" t="str">
        <f>IF(P$19="","",HLOOKUP(P$19,woningen_gebouwen_gegevens,ROWS(bibliotheek!$E$13:$E$14),FALSE))</f>
        <v/>
      </c>
      <c r="Q21" s="619" t="str">
        <f>IF(Q$19="","",HLOOKUP(Q$19,woningen_gebouwen_gegevens,ROWS(bibliotheek!$E$13:$E$14),FALSE))</f>
        <v/>
      </c>
      <c r="R21" s="619" t="str">
        <f>IF(R$19="","",HLOOKUP(R$19,woningen_gebouwen_gegevens,ROWS(bibliotheek!$E$13:$E$14),FALSE))</f>
        <v/>
      </c>
      <c r="S21" s="619" t="str">
        <f>IF(S$19="","",HLOOKUP(S$19,woningen_gebouwen_gegevens,ROWS(bibliotheek!$E$13:$E$14),FALSE))</f>
        <v/>
      </c>
      <c r="T21" s="619" t="str">
        <f>IF(T$19="","",HLOOKUP(T$19,woningen_gebouwen_gegevens,ROWS(bibliotheek!$E$13:$E$14),FALSE))</f>
        <v/>
      </c>
      <c r="U21" s="619" t="str">
        <f>IF(U$19="","",HLOOKUP(U$19,woningen_gebouwen_gegevens,ROWS(bibliotheek!$E$13:$E$14),FALSE))</f>
        <v/>
      </c>
      <c r="V21" s="619" t="str">
        <f>IF(V$19="","",HLOOKUP(V$19,woningen_gebouwen_gegevens,ROWS(bibliotheek!$E$13:$E$14),FALSE))</f>
        <v/>
      </c>
      <c r="W21" s="619" t="str">
        <f>IF(W$19="","",HLOOKUP(W$19,woningen_gebouwen_gegevens,ROWS(bibliotheek!$E$13:$E$14),FALSE))</f>
        <v/>
      </c>
      <c r="X21" s="388"/>
      <c r="Y21" s="181"/>
      <c r="Z21" s="389"/>
      <c r="AA21" s="453" t="str">
        <f>IF(AA$19="","",HLOOKUP(AA$19,woningen_gebouwen_gegevens,ROWS(bibliotheek!$E$13:$E$14),FALSE))</f>
        <v/>
      </c>
      <c r="AB21" s="453" t="str">
        <f>IF(AB$19="","",HLOOKUP(AB$19,woningen_gebouwen_gegevens,ROWS(bibliotheek!$E$13:$E$14),FALSE))</f>
        <v/>
      </c>
      <c r="AC21" s="453" t="str">
        <f>IF(AC$19="","",HLOOKUP(AC$19,woningen_gebouwen_gegevens,ROWS(bibliotheek!$E$13:$E$14),FALSE))</f>
        <v/>
      </c>
      <c r="AD21" s="453" t="str">
        <f>IF(AD$19="","",HLOOKUP(AD$19,woningen_gebouwen_gegevens,ROWS(bibliotheek!$E$13:$E$14),FALSE))</f>
        <v/>
      </c>
      <c r="AE21" s="453" t="str">
        <f>IF(AE$19="","",HLOOKUP(AE$19,woningen_gebouwen_gegevens,ROWS(bibliotheek!$E$13:$E$14),FALSE))</f>
        <v/>
      </c>
      <c r="AF21" s="453" t="str">
        <f>IF(AF$19="","",HLOOKUP(AF$19,woningen_gebouwen_gegevens,ROWS(bibliotheek!$E$13:$E$14),FALSE))</f>
        <v/>
      </c>
      <c r="AG21" s="453" t="str">
        <f>IF(AG$19="","",HLOOKUP(AG$19,woningen_gebouwen_gegevens,ROWS(bibliotheek!$E$13:$E$14),FALSE))</f>
        <v/>
      </c>
      <c r="AH21" s="453" t="str">
        <f>IF(AH$19="","",HLOOKUP(AH$19,woningen_gebouwen_gegevens,ROWS(bibliotheek!$E$13:$E$14),FALSE))</f>
        <v/>
      </c>
      <c r="AI21" s="453" t="str">
        <f>IF(AI$19="","",HLOOKUP(AI$19,woningen_gebouwen_gegevens,ROWS(bibliotheek!$E$13:$E$14),FALSE))</f>
        <v/>
      </c>
      <c r="AJ21" s="388"/>
      <c r="AK21" s="181"/>
      <c r="AL21" s="389"/>
      <c r="AM21" s="453" t="str">
        <f>IF(AM$19="","",HLOOKUP(AM$19,woningen_gebouwen_gegevens,ROWS(bibliotheek!$E$13:$E$14),FALSE))</f>
        <v/>
      </c>
      <c r="AN21" s="453" t="str">
        <f>IF(AN$19="","",HLOOKUP(AN$19,woningen_gebouwen_gegevens,ROWS(bibliotheek!$E$13:$E$14),FALSE))</f>
        <v/>
      </c>
      <c r="AO21" s="453" t="str">
        <f>IF(AO$19="","",HLOOKUP(AO$19,woningen_gebouwen_gegevens,ROWS(bibliotheek!$E$13:$E$14),FALSE))</f>
        <v/>
      </c>
      <c r="AP21" s="453" t="str">
        <f>IF(AP$19="","",HLOOKUP(AP$19,woningen_gebouwen_gegevens,ROWS(bibliotheek!$E$13:$E$14),FALSE))</f>
        <v/>
      </c>
      <c r="AQ21" s="453" t="str">
        <f>IF(AQ$19="","",HLOOKUP(AQ$19,woningen_gebouwen_gegevens,ROWS(bibliotheek!$E$13:$E$14),FALSE))</f>
        <v/>
      </c>
      <c r="AR21" s="453" t="str">
        <f>IF(AR$19="","",HLOOKUP(AR$19,woningen_gebouwen_gegevens,ROWS(bibliotheek!$E$13:$E$14),FALSE))</f>
        <v/>
      </c>
      <c r="AS21" s="453" t="str">
        <f>IF(AS$19="","",HLOOKUP(AS$19,woningen_gebouwen_gegevens,ROWS(bibliotheek!$E$13:$E$14),FALSE))</f>
        <v/>
      </c>
      <c r="AT21" s="453" t="str">
        <f>IF(AT$19="","",HLOOKUP(AT$19,woningen_gebouwen_gegevens,ROWS(bibliotheek!$E$13:$E$14),FALSE))</f>
        <v/>
      </c>
      <c r="AU21" s="453" t="str">
        <f>IF(AU$19="","",HLOOKUP(AU$19,woningen_gebouwen_gegevens,ROWS(bibliotheek!$E$13:$E$14),FALSE))</f>
        <v/>
      </c>
      <c r="AV21" s="388"/>
      <c r="AW21" s="181"/>
      <c r="AX21" s="389"/>
      <c r="AY21" s="453" t="str">
        <f>IF(AY$19="","",HLOOKUP(AY$19,woningen_gebouwen_gegevens,ROWS(bibliotheek!$E$13:$E$14),FALSE))</f>
        <v/>
      </c>
      <c r="AZ21" s="453" t="str">
        <f>IF(AZ$19="","",HLOOKUP(AZ$19,woningen_gebouwen_gegevens,ROWS(bibliotheek!$E$13:$E$14),FALSE))</f>
        <v/>
      </c>
      <c r="BA21" s="453" t="str">
        <f>IF(BA$19="","",HLOOKUP(BA$19,woningen_gebouwen_gegevens,ROWS(bibliotheek!$E$13:$E$14),FALSE))</f>
        <v/>
      </c>
      <c r="BB21" s="453" t="str">
        <f>IF(BB$19="","",HLOOKUP(BB$19,woningen_gebouwen_gegevens,ROWS(bibliotheek!$E$13:$E$14),FALSE))</f>
        <v/>
      </c>
      <c r="BC21" s="453" t="str">
        <f>IF(BC$19="","",HLOOKUP(BC$19,woningen_gebouwen_gegevens,ROWS(bibliotheek!$E$13:$E$14),FALSE))</f>
        <v/>
      </c>
      <c r="BD21" s="453" t="str">
        <f>IF(BD$19="","",HLOOKUP(BD$19,woningen_gebouwen_gegevens,ROWS(bibliotheek!$E$13:$E$14),FALSE))</f>
        <v/>
      </c>
      <c r="BE21" s="453" t="str">
        <f>IF(BE$19="","",HLOOKUP(BE$19,woningen_gebouwen_gegevens,ROWS(bibliotheek!$E$13:$E$14),FALSE))</f>
        <v/>
      </c>
      <c r="BF21" s="453" t="str">
        <f>IF(BF$19="","",HLOOKUP(BF$19,woningen_gebouwen_gegevens,ROWS(bibliotheek!$E$13:$E$14),FALSE))</f>
        <v/>
      </c>
      <c r="BG21" s="453" t="str">
        <f>IF(BG$19="","",HLOOKUP(BG$19,woningen_gebouwen_gegevens,ROWS(bibliotheek!$E$13:$E$14),FALSE))</f>
        <v/>
      </c>
      <c r="BH21" s="258"/>
    </row>
    <row r="22" spans="1:60" x14ac:dyDescent="0.2">
      <c r="A22" s="648"/>
      <c r="B22" s="739" t="s">
        <v>120</v>
      </c>
      <c r="C22" s="656" t="s">
        <v>113</v>
      </c>
      <c r="D22" s="747"/>
      <c r="E22" s="220" t="s">
        <v>125</v>
      </c>
      <c r="F22" s="220"/>
      <c r="G22" s="220"/>
      <c r="H22" s="221" t="s">
        <v>70</v>
      </c>
      <c r="I22" s="129"/>
      <c r="J22" s="719"/>
      <c r="K22" s="294"/>
      <c r="L22" s="294"/>
      <c r="M22" s="228"/>
      <c r="N22" s="100"/>
      <c r="O22" s="453" t="str">
        <f>IF(O$19="","",HLOOKUP(O$19,woningen_gebouwen_gegevens,ROWS(bibliotheek!$E$13:$E$15),FALSE))</f>
        <v/>
      </c>
      <c r="P22" s="453" t="str">
        <f>IF(P$19="","",HLOOKUP(P$19,woningen_gebouwen_gegevens,ROWS(bibliotheek!$E$13:$E$15),FALSE))</f>
        <v/>
      </c>
      <c r="Q22" s="453" t="str">
        <f>IF(Q$19="","",HLOOKUP(Q$19,woningen_gebouwen_gegevens,ROWS(bibliotheek!$E$13:$E$15),FALSE))</f>
        <v/>
      </c>
      <c r="R22" s="453" t="str">
        <f>IF(R$19="","",HLOOKUP(R$19,woningen_gebouwen_gegevens,ROWS(bibliotheek!$E$13:$E$15),FALSE))</f>
        <v/>
      </c>
      <c r="S22" s="453" t="str">
        <f>IF(S$19="","",HLOOKUP(S$19,woningen_gebouwen_gegevens,ROWS(bibliotheek!$E$13:$E$15),FALSE))</f>
        <v/>
      </c>
      <c r="T22" s="453" t="str">
        <f>IF(T$19="","",HLOOKUP(T$19,woningen_gebouwen_gegevens,ROWS(bibliotheek!$E$13:$E$15),FALSE))</f>
        <v/>
      </c>
      <c r="U22" s="453" t="str">
        <f>IF(U$19="","",HLOOKUP(U$19,woningen_gebouwen_gegevens,ROWS(bibliotheek!$E$13:$E$15),FALSE))</f>
        <v/>
      </c>
      <c r="V22" s="453" t="str">
        <f>IF(V$19="","",HLOOKUP(V$19,woningen_gebouwen_gegevens,ROWS(bibliotheek!$E$13:$E$15),FALSE))</f>
        <v/>
      </c>
      <c r="W22" s="453" t="str">
        <f>IF(W$19="","",HLOOKUP(W$19,woningen_gebouwen_gegevens,ROWS(bibliotheek!$E$13:$E$15),FALSE))</f>
        <v/>
      </c>
      <c r="X22" s="101"/>
      <c r="Y22" s="228"/>
      <c r="Z22" s="100"/>
      <c r="AA22" s="453" t="str">
        <f>IF(AA$19="","",HLOOKUP(AA$19,woningen_gebouwen_gegevens,ROWS(bibliotheek!$E$13:$E$15),FALSE))</f>
        <v/>
      </c>
      <c r="AB22" s="453" t="str">
        <f>IF(AB$19="","",HLOOKUP(AB$19,woningen_gebouwen_gegevens,ROWS(bibliotheek!$E$13:$E$15),FALSE))</f>
        <v/>
      </c>
      <c r="AC22" s="453" t="str">
        <f>IF(AC$19="","",HLOOKUP(AC$19,woningen_gebouwen_gegevens,ROWS(bibliotheek!$E$13:$E$15),FALSE))</f>
        <v/>
      </c>
      <c r="AD22" s="453" t="str">
        <f>IF(AD$19="","",HLOOKUP(AD$19,woningen_gebouwen_gegevens,ROWS(bibliotheek!$E$13:$E$15),FALSE))</f>
        <v/>
      </c>
      <c r="AE22" s="453" t="str">
        <f>IF(AE$19="","",HLOOKUP(AE$19,woningen_gebouwen_gegevens,ROWS(bibliotheek!$E$13:$E$15),FALSE))</f>
        <v/>
      </c>
      <c r="AF22" s="453" t="str">
        <f>IF(AF$19="","",HLOOKUP(AF$19,woningen_gebouwen_gegevens,ROWS(bibliotheek!$E$13:$E$15),FALSE))</f>
        <v/>
      </c>
      <c r="AG22" s="453" t="str">
        <f>IF(AG$19="","",HLOOKUP(AG$19,woningen_gebouwen_gegevens,ROWS(bibliotheek!$E$13:$E$15),FALSE))</f>
        <v/>
      </c>
      <c r="AH22" s="453" t="str">
        <f>IF(AH$19="","",HLOOKUP(AH$19,woningen_gebouwen_gegevens,ROWS(bibliotheek!$E$13:$E$15),FALSE))</f>
        <v/>
      </c>
      <c r="AI22" s="453" t="str">
        <f>IF(AI$19="","",HLOOKUP(AI$19,woningen_gebouwen_gegevens,ROWS(bibliotheek!$E$13:$E$15),FALSE))</f>
        <v/>
      </c>
      <c r="AJ22" s="101"/>
      <c r="AK22" s="228"/>
      <c r="AL22" s="100"/>
      <c r="AM22" s="453" t="str">
        <f>IF(AM$19="","",HLOOKUP(AM$19,woningen_gebouwen_gegevens,ROWS(bibliotheek!$E$13:$E$15),FALSE))</f>
        <v/>
      </c>
      <c r="AN22" s="453" t="str">
        <f>IF(AN$19="","",HLOOKUP(AN$19,woningen_gebouwen_gegevens,ROWS(bibliotheek!$E$13:$E$15),FALSE))</f>
        <v/>
      </c>
      <c r="AO22" s="453" t="str">
        <f>IF(AO$19="","",HLOOKUP(AO$19,woningen_gebouwen_gegevens,ROWS(bibliotheek!$E$13:$E$15),FALSE))</f>
        <v/>
      </c>
      <c r="AP22" s="453" t="str">
        <f>IF(AP$19="","",HLOOKUP(AP$19,woningen_gebouwen_gegevens,ROWS(bibliotheek!$E$13:$E$15),FALSE))</f>
        <v/>
      </c>
      <c r="AQ22" s="453" t="str">
        <f>IF(AQ$19="","",HLOOKUP(AQ$19,woningen_gebouwen_gegevens,ROWS(bibliotheek!$E$13:$E$15),FALSE))</f>
        <v/>
      </c>
      <c r="AR22" s="453" t="str">
        <f>IF(AR$19="","",HLOOKUP(AR$19,woningen_gebouwen_gegevens,ROWS(bibliotheek!$E$13:$E$15),FALSE))</f>
        <v/>
      </c>
      <c r="AS22" s="453" t="str">
        <f>IF(AS$19="","",HLOOKUP(AS$19,woningen_gebouwen_gegevens,ROWS(bibliotheek!$E$13:$E$15),FALSE))</f>
        <v/>
      </c>
      <c r="AT22" s="453" t="str">
        <f>IF(AT$19="","",HLOOKUP(AT$19,woningen_gebouwen_gegevens,ROWS(bibliotheek!$E$13:$E$15),FALSE))</f>
        <v/>
      </c>
      <c r="AU22" s="453" t="str">
        <f>IF(AU$19="","",HLOOKUP(AU$19,woningen_gebouwen_gegevens,ROWS(bibliotheek!$E$13:$E$15),FALSE))</f>
        <v/>
      </c>
      <c r="AV22" s="101"/>
      <c r="AW22" s="228"/>
      <c r="AX22" s="100"/>
      <c r="AY22" s="453" t="str">
        <f>IF(AY$19="","",HLOOKUP(AY$19,woningen_gebouwen_gegevens,ROWS(bibliotheek!$E$13:$E$15),FALSE))</f>
        <v/>
      </c>
      <c r="AZ22" s="453" t="str">
        <f>IF(AZ$19="","",HLOOKUP(AZ$19,woningen_gebouwen_gegevens,ROWS(bibliotheek!$E$13:$E$15),FALSE))</f>
        <v/>
      </c>
      <c r="BA22" s="453" t="str">
        <f>IF(BA$19="","",HLOOKUP(BA$19,woningen_gebouwen_gegevens,ROWS(bibliotheek!$E$13:$E$15),FALSE))</f>
        <v/>
      </c>
      <c r="BB22" s="453" t="str">
        <f>IF(BB$19="","",HLOOKUP(BB$19,woningen_gebouwen_gegevens,ROWS(bibliotheek!$E$13:$E$15),FALSE))</f>
        <v/>
      </c>
      <c r="BC22" s="453" t="str">
        <f>IF(BC$19="","",HLOOKUP(BC$19,woningen_gebouwen_gegevens,ROWS(bibliotheek!$E$13:$E$15),FALSE))</f>
        <v/>
      </c>
      <c r="BD22" s="453" t="str">
        <f>IF(BD$19="","",HLOOKUP(BD$19,woningen_gebouwen_gegevens,ROWS(bibliotheek!$E$13:$E$15),FALSE))</f>
        <v/>
      </c>
      <c r="BE22" s="453" t="str">
        <f>IF(BE$19="","",HLOOKUP(BE$19,woningen_gebouwen_gegevens,ROWS(bibliotheek!$E$13:$E$15),FALSE))</f>
        <v/>
      </c>
      <c r="BF22" s="453" t="str">
        <f>IF(BF$19="","",HLOOKUP(BF$19,woningen_gebouwen_gegevens,ROWS(bibliotheek!$E$13:$E$15),FALSE))</f>
        <v/>
      </c>
      <c r="BG22" s="453" t="str">
        <f>IF(BG$19="","",HLOOKUP(BG$19,woningen_gebouwen_gegevens,ROWS(bibliotheek!$E$13:$E$15),FALSE))</f>
        <v/>
      </c>
      <c r="BH22" s="259"/>
    </row>
    <row r="23" spans="1:60" ht="18.75" x14ac:dyDescent="0.2">
      <c r="A23" s="648"/>
      <c r="B23" s="739" t="s">
        <v>120</v>
      </c>
      <c r="C23" s="739" t="s">
        <v>104</v>
      </c>
      <c r="D23" s="747"/>
      <c r="E23" s="236" t="s">
        <v>126</v>
      </c>
      <c r="F23" s="236"/>
      <c r="G23" s="236"/>
      <c r="H23" s="89"/>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38"/>
    </row>
    <row r="24" spans="1:60" x14ac:dyDescent="0.2">
      <c r="A24" s="648"/>
      <c r="B24" s="739" t="s">
        <v>120</v>
      </c>
      <c r="C24" s="656" t="s">
        <v>127</v>
      </c>
      <c r="D24" s="747"/>
      <c r="E24" s="316" t="s">
        <v>128</v>
      </c>
      <c r="F24" s="316"/>
      <c r="G24" s="316"/>
      <c r="H24" s="361" t="s">
        <v>129</v>
      </c>
      <c r="I24" s="131"/>
      <c r="J24" s="225">
        <f>M24+Y24+AK24+AW24</f>
        <v>0</v>
      </c>
      <c r="K24" s="102"/>
      <c r="L24" s="102"/>
      <c r="M24" s="469">
        <f>SUM(N24:X24)</f>
        <v>0</v>
      </c>
      <c r="N24" s="103"/>
      <c r="O24" s="618">
        <f>IF('woningen|utiliteit'!L18="",0,IF(O25&lt;&gt;"",O25,'woningen|utiliteit'!L21))</f>
        <v>0</v>
      </c>
      <c r="P24" s="618">
        <f>IF('woningen|utiliteit'!M18="",0,IF(P25&lt;&gt;"",P25,'woningen|utiliteit'!M21))</f>
        <v>0</v>
      </c>
      <c r="Q24" s="619">
        <f>IF('woningen|utiliteit'!N18="",0,IF(Q25&lt;&gt;"",Q25,'woningen|utiliteit'!N21))</f>
        <v>0</v>
      </c>
      <c r="R24" s="619">
        <f>IF('woningen|utiliteit'!O18="",0,IF(R25&lt;&gt;"",R25,'woningen|utiliteit'!O21))</f>
        <v>0</v>
      </c>
      <c r="S24" s="619">
        <f>IF('woningen|utiliteit'!P18="",0,IF(S25&lt;&gt;"",S25,'woningen|utiliteit'!P21))</f>
        <v>0</v>
      </c>
      <c r="T24" s="619">
        <f>IF('woningen|utiliteit'!Q18="",0,IF(T25&lt;&gt;"",T25,'woningen|utiliteit'!Q21))</f>
        <v>0</v>
      </c>
      <c r="U24" s="619">
        <f>IF('woningen|utiliteit'!R18="",0,IF(U25&lt;&gt;"",U25,'woningen|utiliteit'!R21))</f>
        <v>0</v>
      </c>
      <c r="V24" s="619">
        <f>IF('woningen|utiliteit'!S18="",0,IF(V25&lt;&gt;"",V25,'woningen|utiliteit'!S21))</f>
        <v>0</v>
      </c>
      <c r="W24" s="618">
        <f>IF('woningen|utiliteit'!T18="",0,IF(W25&lt;&gt;"",W25,'woningen|utiliteit'!T21))</f>
        <v>0</v>
      </c>
      <c r="X24" s="104"/>
      <c r="Y24" s="229">
        <f>SUM(Z24:AJ24)</f>
        <v>0</v>
      </c>
      <c r="Z24" s="103"/>
      <c r="AA24" s="618">
        <f>IF('woningen|utiliteit'!L32="",0,IF(AA25&lt;&gt;"",AA25,'woningen|utiliteit'!L35))</f>
        <v>0</v>
      </c>
      <c r="AB24" s="618">
        <f>IF('woningen|utiliteit'!M32="",0,IF(AB25&lt;&gt;"",AB25,'woningen|utiliteit'!M35))</f>
        <v>0</v>
      </c>
      <c r="AC24" s="619">
        <f>IF('woningen|utiliteit'!N32="",0,IF(AC25&lt;&gt;"",AC25,'woningen|utiliteit'!N35))</f>
        <v>0</v>
      </c>
      <c r="AD24" s="619">
        <f>IF('woningen|utiliteit'!O32="",0,IF(AD25&lt;&gt;"",AD25,'woningen|utiliteit'!O35))</f>
        <v>0</v>
      </c>
      <c r="AE24" s="619">
        <f>IF('woningen|utiliteit'!P32="",0,IF(AE25&lt;&gt;"",AE25,'woningen|utiliteit'!P35))</f>
        <v>0</v>
      </c>
      <c r="AF24" s="619">
        <f>IF('woningen|utiliteit'!Q32="",0,IF(AF25&lt;&gt;"",AF25,'woningen|utiliteit'!Q35))</f>
        <v>0</v>
      </c>
      <c r="AG24" s="619">
        <f>IF('woningen|utiliteit'!R32="",0,IF(AG25&lt;&gt;"",AG25,'woningen|utiliteit'!R35))</f>
        <v>0</v>
      </c>
      <c r="AH24" s="619">
        <f>IF('woningen|utiliteit'!S32="",0,IF(AH25&lt;&gt;"",AH25,'woningen|utiliteit'!S35))</f>
        <v>0</v>
      </c>
      <c r="AI24" s="618">
        <f>IF('woningen|utiliteit'!T32="",0,IF(AI25&lt;&gt;"",AI25,'woningen|utiliteit'!T35))</f>
        <v>0</v>
      </c>
      <c r="AJ24" s="104"/>
      <c r="AK24" s="229">
        <f>SUM(AL24:AV24)</f>
        <v>0</v>
      </c>
      <c r="AL24" s="103"/>
      <c r="AM24" s="618">
        <f>IF('woningen|utiliteit'!L46="",0,IF(AM25&lt;&gt;"",AM25,'woningen|utiliteit'!L49))</f>
        <v>0</v>
      </c>
      <c r="AN24" s="618">
        <f>IF('woningen|utiliteit'!M46="",0,IF(AN25&lt;&gt;"",AN25,'woningen|utiliteit'!M49))</f>
        <v>0</v>
      </c>
      <c r="AO24" s="619">
        <f>IF('woningen|utiliteit'!N46="",0,IF(AO25&lt;&gt;"",AO25,'woningen|utiliteit'!N49))</f>
        <v>0</v>
      </c>
      <c r="AP24" s="619">
        <f>IF('woningen|utiliteit'!O46="",0,IF(AP25&lt;&gt;"",AP25,'woningen|utiliteit'!O49))</f>
        <v>0</v>
      </c>
      <c r="AQ24" s="619">
        <f>IF('woningen|utiliteit'!P46="",0,IF(AQ25&lt;&gt;"",AQ25,'woningen|utiliteit'!P49))</f>
        <v>0</v>
      </c>
      <c r="AR24" s="619">
        <f>IF('woningen|utiliteit'!Q46="",0,IF(AR25&lt;&gt;"",AR25,'woningen|utiliteit'!Q49))</f>
        <v>0</v>
      </c>
      <c r="AS24" s="619">
        <f>IF('woningen|utiliteit'!R46="",0,IF(AS25&lt;&gt;"",AS25,'woningen|utiliteit'!R49))</f>
        <v>0</v>
      </c>
      <c r="AT24" s="619">
        <f>IF('woningen|utiliteit'!S46="",0,IF(AT25&lt;&gt;"",AT25,'woningen|utiliteit'!S49))</f>
        <v>0</v>
      </c>
      <c r="AU24" s="618">
        <f>IF('woningen|utiliteit'!T46="",0,IF(AU25&lt;&gt;"",AU25,'woningen|utiliteit'!T49))</f>
        <v>0</v>
      </c>
      <c r="AV24" s="104"/>
      <c r="AW24" s="229">
        <f>SUM(AX24:BH24)</f>
        <v>0</v>
      </c>
      <c r="AX24" s="103"/>
      <c r="AY24" s="618">
        <f>IF('woningen|utiliteit'!L60="",0,IF(AY25&lt;&gt;"",AY25,'woningen|utiliteit'!L63))</f>
        <v>0</v>
      </c>
      <c r="AZ24" s="618">
        <f>IF('woningen|utiliteit'!M60="",0,IF(AZ25&lt;&gt;"",AZ25,'woningen|utiliteit'!M63))</f>
        <v>0</v>
      </c>
      <c r="BA24" s="619">
        <f>IF('woningen|utiliteit'!N60="",0,IF(BA25&lt;&gt;"",BA25,'woningen|utiliteit'!N63))</f>
        <v>0</v>
      </c>
      <c r="BB24" s="619">
        <f>IF('woningen|utiliteit'!O60="",0,IF(BB25&lt;&gt;"",BB25,'woningen|utiliteit'!O63))</f>
        <v>0</v>
      </c>
      <c r="BC24" s="619">
        <f>IF('woningen|utiliteit'!P60="",0,IF(BC25&lt;&gt;"",BC25,'woningen|utiliteit'!P63))</f>
        <v>0</v>
      </c>
      <c r="BD24" s="619">
        <f>IF('woningen|utiliteit'!Q60="",0,IF(BD25&lt;&gt;"",BD25,'woningen|utiliteit'!Q63))</f>
        <v>0</v>
      </c>
      <c r="BE24" s="619">
        <f>IF('woningen|utiliteit'!R60="",0,IF(BE25&lt;&gt;"",BE25,'woningen|utiliteit'!R63))</f>
        <v>0</v>
      </c>
      <c r="BF24" s="619">
        <f>IF('woningen|utiliteit'!S60="",0,IF(BF25&lt;&gt;"",BF25,'woningen|utiliteit'!S63))</f>
        <v>0</v>
      </c>
      <c r="BG24" s="618">
        <f>IF('woningen|utiliteit'!T60="",0,IF(BG25&lt;&gt;"",BG25,'woningen|utiliteit'!T63))</f>
        <v>0</v>
      </c>
      <c r="BH24" s="258"/>
    </row>
    <row r="25" spans="1:60" x14ac:dyDescent="0.2">
      <c r="A25" s="648"/>
      <c r="B25" s="739" t="s">
        <v>120</v>
      </c>
      <c r="C25" s="656" t="s">
        <v>127</v>
      </c>
      <c r="D25" s="747"/>
      <c r="E25" s="412" t="s">
        <v>82</v>
      </c>
      <c r="F25" s="317"/>
      <c r="G25" s="317"/>
      <c r="H25" s="360"/>
      <c r="I25" s="97"/>
      <c r="J25" s="362"/>
      <c r="K25" s="105"/>
      <c r="L25" s="105"/>
      <c r="M25" s="467"/>
      <c r="N25" s="106"/>
      <c r="O25" s="325"/>
      <c r="P25" s="325"/>
      <c r="Q25" s="325"/>
      <c r="R25" s="325"/>
      <c r="S25" s="325"/>
      <c r="T25" s="325"/>
      <c r="U25" s="325"/>
      <c r="V25" s="325"/>
      <c r="W25" s="325"/>
      <c r="X25" s="98"/>
      <c r="Y25" s="238"/>
      <c r="Z25" s="106"/>
      <c r="AA25" s="325"/>
      <c r="AB25" s="325"/>
      <c r="AC25" s="325"/>
      <c r="AD25" s="325"/>
      <c r="AE25" s="325"/>
      <c r="AF25" s="325"/>
      <c r="AG25" s="325"/>
      <c r="AH25" s="325"/>
      <c r="AI25" s="325"/>
      <c r="AJ25" s="98"/>
      <c r="AK25" s="238"/>
      <c r="AL25" s="106"/>
      <c r="AM25" s="325"/>
      <c r="AN25" s="325"/>
      <c r="AO25" s="325"/>
      <c r="AP25" s="325"/>
      <c r="AQ25" s="325"/>
      <c r="AR25" s="325"/>
      <c r="AS25" s="325"/>
      <c r="AT25" s="325"/>
      <c r="AU25" s="325"/>
      <c r="AV25" s="98"/>
      <c r="AW25" s="238"/>
      <c r="AX25" s="106"/>
      <c r="AY25" s="325"/>
      <c r="AZ25" s="325"/>
      <c r="BA25" s="325"/>
      <c r="BB25" s="325"/>
      <c r="BC25" s="325"/>
      <c r="BD25" s="325"/>
      <c r="BE25" s="325"/>
      <c r="BF25" s="325"/>
      <c r="BG25" s="325"/>
      <c r="BH25" s="214"/>
    </row>
    <row r="26" spans="1:60" x14ac:dyDescent="0.2">
      <c r="A26" s="648"/>
      <c r="B26" s="739" t="s">
        <v>120</v>
      </c>
      <c r="C26" s="656" t="s">
        <v>113</v>
      </c>
      <c r="D26" s="747"/>
      <c r="E26" s="316" t="s">
        <v>130</v>
      </c>
      <c r="F26" s="220"/>
      <c r="G26" s="220"/>
      <c r="H26" s="183" t="s">
        <v>77</v>
      </c>
      <c r="I26" s="107"/>
      <c r="J26" s="225">
        <f>M26+Y26+AK26+AW26</f>
        <v>0</v>
      </c>
      <c r="K26" s="102"/>
      <c r="L26" s="102"/>
      <c r="M26" s="249">
        <f>SUM(N26:X26)</f>
        <v>0</v>
      </c>
      <c r="N26" s="108"/>
      <c r="O26" s="620">
        <f t="shared" ref="O26:W26" si="16">IF(O$21=woning,O$24,0)</f>
        <v>0</v>
      </c>
      <c r="P26" s="620">
        <f t="shared" si="16"/>
        <v>0</v>
      </c>
      <c r="Q26" s="620">
        <f t="shared" si="16"/>
        <v>0</v>
      </c>
      <c r="R26" s="620">
        <f t="shared" si="16"/>
        <v>0</v>
      </c>
      <c r="S26" s="620">
        <f t="shared" si="16"/>
        <v>0</v>
      </c>
      <c r="T26" s="620">
        <f t="shared" si="16"/>
        <v>0</v>
      </c>
      <c r="U26" s="620">
        <f t="shared" si="16"/>
        <v>0</v>
      </c>
      <c r="V26" s="620">
        <f t="shared" si="16"/>
        <v>0</v>
      </c>
      <c r="W26" s="620">
        <f t="shared" si="16"/>
        <v>0</v>
      </c>
      <c r="X26" s="109"/>
      <c r="Y26" s="469">
        <f>SUM(Z26:AJ26)</f>
        <v>0</v>
      </c>
      <c r="Z26" s="108"/>
      <c r="AA26" s="620">
        <f t="shared" ref="AA26:AI26" si="17">IF(AA$21=woning,AA$24,0)</f>
        <v>0</v>
      </c>
      <c r="AB26" s="620">
        <f t="shared" si="17"/>
        <v>0</v>
      </c>
      <c r="AC26" s="620">
        <f t="shared" si="17"/>
        <v>0</v>
      </c>
      <c r="AD26" s="620">
        <f t="shared" si="17"/>
        <v>0</v>
      </c>
      <c r="AE26" s="620">
        <f t="shared" si="17"/>
        <v>0</v>
      </c>
      <c r="AF26" s="620">
        <f t="shared" si="17"/>
        <v>0</v>
      </c>
      <c r="AG26" s="620">
        <f t="shared" si="17"/>
        <v>0</v>
      </c>
      <c r="AH26" s="620">
        <f t="shared" si="17"/>
        <v>0</v>
      </c>
      <c r="AI26" s="620">
        <f t="shared" si="17"/>
        <v>0</v>
      </c>
      <c r="AJ26" s="109"/>
      <c r="AK26" s="229">
        <f>SUM(AL26:AV26)</f>
        <v>0</v>
      </c>
      <c r="AL26" s="108"/>
      <c r="AM26" s="620">
        <f>IF(AM$21=woning,AM$24,0)</f>
        <v>0</v>
      </c>
      <c r="AN26" s="620">
        <f t="shared" ref="AN26:AU26" si="18">IF(AN$21=woning,AN$24,0)</f>
        <v>0</v>
      </c>
      <c r="AO26" s="620">
        <f t="shared" si="18"/>
        <v>0</v>
      </c>
      <c r="AP26" s="620">
        <f t="shared" si="18"/>
        <v>0</v>
      </c>
      <c r="AQ26" s="620">
        <f t="shared" si="18"/>
        <v>0</v>
      </c>
      <c r="AR26" s="620">
        <f t="shared" si="18"/>
        <v>0</v>
      </c>
      <c r="AS26" s="620">
        <f t="shared" si="18"/>
        <v>0</v>
      </c>
      <c r="AT26" s="620">
        <f t="shared" si="18"/>
        <v>0</v>
      </c>
      <c r="AU26" s="620">
        <f t="shared" si="18"/>
        <v>0</v>
      </c>
      <c r="AV26" s="109"/>
      <c r="AW26" s="469">
        <f>SUM(AX26:BH26)</f>
        <v>0</v>
      </c>
      <c r="AX26" s="108"/>
      <c r="AY26" s="620">
        <f t="shared" ref="AY26:BG26" si="19">IF(AY$21=woning,AY$24,0)</f>
        <v>0</v>
      </c>
      <c r="AZ26" s="620">
        <f t="shared" si="19"/>
        <v>0</v>
      </c>
      <c r="BA26" s="620">
        <f t="shared" si="19"/>
        <v>0</v>
      </c>
      <c r="BB26" s="620">
        <f t="shared" si="19"/>
        <v>0</v>
      </c>
      <c r="BC26" s="620">
        <f t="shared" si="19"/>
        <v>0</v>
      </c>
      <c r="BD26" s="620">
        <f t="shared" si="19"/>
        <v>0</v>
      </c>
      <c r="BE26" s="620">
        <f t="shared" si="19"/>
        <v>0</v>
      </c>
      <c r="BF26" s="620">
        <f t="shared" si="19"/>
        <v>0</v>
      </c>
      <c r="BG26" s="620">
        <f t="shared" si="19"/>
        <v>0</v>
      </c>
      <c r="BH26" s="214"/>
    </row>
    <row r="27" spans="1:60" x14ac:dyDescent="0.2">
      <c r="A27" s="648"/>
      <c r="B27" s="739" t="s">
        <v>120</v>
      </c>
      <c r="C27" s="656" t="s">
        <v>113</v>
      </c>
      <c r="D27" s="747"/>
      <c r="E27" s="316" t="s">
        <v>131</v>
      </c>
      <c r="F27" s="220"/>
      <c r="G27" s="220"/>
      <c r="H27" s="183" t="s">
        <v>77</v>
      </c>
      <c r="I27" s="107"/>
      <c r="J27" s="225">
        <f>M27+Y27+AK27+AW27</f>
        <v>0</v>
      </c>
      <c r="K27" s="102"/>
      <c r="L27" s="102"/>
      <c r="M27" s="249">
        <f>SUM(N27:X27)</f>
        <v>0</v>
      </c>
      <c r="N27" s="108"/>
      <c r="O27" s="620">
        <f t="shared" ref="O27:W27" si="20">IF(O$21=woongebouw,O$24,0)</f>
        <v>0</v>
      </c>
      <c r="P27" s="620">
        <f t="shared" si="20"/>
        <v>0</v>
      </c>
      <c r="Q27" s="620">
        <f t="shared" si="20"/>
        <v>0</v>
      </c>
      <c r="R27" s="620">
        <f t="shared" si="20"/>
        <v>0</v>
      </c>
      <c r="S27" s="620">
        <f t="shared" si="20"/>
        <v>0</v>
      </c>
      <c r="T27" s="620">
        <f t="shared" si="20"/>
        <v>0</v>
      </c>
      <c r="U27" s="620">
        <f t="shared" si="20"/>
        <v>0</v>
      </c>
      <c r="V27" s="620">
        <f t="shared" si="20"/>
        <v>0</v>
      </c>
      <c r="W27" s="620">
        <f t="shared" si="20"/>
        <v>0</v>
      </c>
      <c r="X27" s="109"/>
      <c r="Y27" s="469">
        <f>SUM(Z27:AJ27)</f>
        <v>0</v>
      </c>
      <c r="Z27" s="108"/>
      <c r="AA27" s="620">
        <f t="shared" ref="AA27:AI27" si="21">IF(AA$21=woongebouw,AA$24,0)</f>
        <v>0</v>
      </c>
      <c r="AB27" s="620">
        <f t="shared" si="21"/>
        <v>0</v>
      </c>
      <c r="AC27" s="620">
        <f t="shared" si="21"/>
        <v>0</v>
      </c>
      <c r="AD27" s="620">
        <f t="shared" si="21"/>
        <v>0</v>
      </c>
      <c r="AE27" s="620">
        <f t="shared" si="21"/>
        <v>0</v>
      </c>
      <c r="AF27" s="620">
        <f t="shared" si="21"/>
        <v>0</v>
      </c>
      <c r="AG27" s="620">
        <f t="shared" si="21"/>
        <v>0</v>
      </c>
      <c r="AH27" s="620">
        <f t="shared" si="21"/>
        <v>0</v>
      </c>
      <c r="AI27" s="620">
        <f t="shared" si="21"/>
        <v>0</v>
      </c>
      <c r="AJ27" s="109"/>
      <c r="AK27" s="229">
        <f>SUM(AL27:AV27)</f>
        <v>0</v>
      </c>
      <c r="AL27" s="108"/>
      <c r="AM27" s="620">
        <f>IF(AM$21=woongebouw,AM$24,0)</f>
        <v>0</v>
      </c>
      <c r="AN27" s="620">
        <f t="shared" ref="AN27:AU27" si="22">IF(AN$21=woongebouw,AN$24,0)</f>
        <v>0</v>
      </c>
      <c r="AO27" s="620">
        <f t="shared" si="22"/>
        <v>0</v>
      </c>
      <c r="AP27" s="620">
        <f t="shared" si="22"/>
        <v>0</v>
      </c>
      <c r="AQ27" s="620">
        <f t="shared" si="22"/>
        <v>0</v>
      </c>
      <c r="AR27" s="620">
        <f t="shared" si="22"/>
        <v>0</v>
      </c>
      <c r="AS27" s="620">
        <f t="shared" si="22"/>
        <v>0</v>
      </c>
      <c r="AT27" s="620">
        <f t="shared" si="22"/>
        <v>0</v>
      </c>
      <c r="AU27" s="620">
        <f t="shared" si="22"/>
        <v>0</v>
      </c>
      <c r="AV27" s="109"/>
      <c r="AW27" s="469">
        <f>SUM(AX27:BH27)</f>
        <v>0</v>
      </c>
      <c r="AX27" s="108"/>
      <c r="AY27" s="620">
        <f t="shared" ref="AY27:BG27" si="23">IF(AY$21=woongebouw,AY$24,0)</f>
        <v>0</v>
      </c>
      <c r="AZ27" s="620">
        <f t="shared" si="23"/>
        <v>0</v>
      </c>
      <c r="BA27" s="620">
        <f t="shared" si="23"/>
        <v>0</v>
      </c>
      <c r="BB27" s="620">
        <f t="shared" si="23"/>
        <v>0</v>
      </c>
      <c r="BC27" s="620">
        <f t="shared" si="23"/>
        <v>0</v>
      </c>
      <c r="BD27" s="620">
        <f t="shared" si="23"/>
        <v>0</v>
      </c>
      <c r="BE27" s="620">
        <f t="shared" si="23"/>
        <v>0</v>
      </c>
      <c r="BF27" s="620">
        <f t="shared" si="23"/>
        <v>0</v>
      </c>
      <c r="BG27" s="620">
        <f t="shared" si="23"/>
        <v>0</v>
      </c>
      <c r="BH27" s="214"/>
    </row>
    <row r="28" spans="1:60" x14ac:dyDescent="0.2">
      <c r="A28" s="648"/>
      <c r="B28" s="739" t="s">
        <v>120</v>
      </c>
      <c r="C28" s="656" t="s">
        <v>113</v>
      </c>
      <c r="D28" s="747"/>
      <c r="E28" s="316" t="s">
        <v>78</v>
      </c>
      <c r="F28" s="220"/>
      <c r="G28" s="220"/>
      <c r="H28" s="183" t="s">
        <v>79</v>
      </c>
      <c r="I28" s="107"/>
      <c r="J28" s="225">
        <f>M28+Y28+AK28+AW28</f>
        <v>0</v>
      </c>
      <c r="K28" s="102"/>
      <c r="L28" s="102"/>
      <c r="M28" s="468">
        <f>SUM(N28:X28)</f>
        <v>0</v>
      </c>
      <c r="N28" s="108"/>
      <c r="O28" s="620">
        <f>O24-O27-O26</f>
        <v>0</v>
      </c>
      <c r="P28" s="620">
        <f t="shared" ref="P28:W28" si="24">P24-P27-P26</f>
        <v>0</v>
      </c>
      <c r="Q28" s="620">
        <f t="shared" si="24"/>
        <v>0</v>
      </c>
      <c r="R28" s="620">
        <f t="shared" si="24"/>
        <v>0</v>
      </c>
      <c r="S28" s="620">
        <f t="shared" si="24"/>
        <v>0</v>
      </c>
      <c r="T28" s="620">
        <f t="shared" si="24"/>
        <v>0</v>
      </c>
      <c r="U28" s="620">
        <f t="shared" si="24"/>
        <v>0</v>
      </c>
      <c r="V28" s="620">
        <f t="shared" si="24"/>
        <v>0</v>
      </c>
      <c r="W28" s="620">
        <f t="shared" si="24"/>
        <v>0</v>
      </c>
      <c r="X28" s="109"/>
      <c r="Y28" s="249">
        <f>SUM(Z28:AJ28)</f>
        <v>0</v>
      </c>
      <c r="Z28" s="108"/>
      <c r="AA28" s="620">
        <f t="shared" ref="AA28:AI28" si="25">AA24-AA27-AA26</f>
        <v>0</v>
      </c>
      <c r="AB28" s="620">
        <f t="shared" si="25"/>
        <v>0</v>
      </c>
      <c r="AC28" s="620">
        <f t="shared" si="25"/>
        <v>0</v>
      </c>
      <c r="AD28" s="620">
        <f t="shared" si="25"/>
        <v>0</v>
      </c>
      <c r="AE28" s="620">
        <f t="shared" si="25"/>
        <v>0</v>
      </c>
      <c r="AF28" s="620">
        <f t="shared" si="25"/>
        <v>0</v>
      </c>
      <c r="AG28" s="620">
        <f t="shared" si="25"/>
        <v>0</v>
      </c>
      <c r="AH28" s="620">
        <f t="shared" si="25"/>
        <v>0</v>
      </c>
      <c r="AI28" s="620">
        <f t="shared" si="25"/>
        <v>0</v>
      </c>
      <c r="AJ28" s="109"/>
      <c r="AK28" s="469">
        <f>SUM(AL28:AV28)</f>
        <v>0</v>
      </c>
      <c r="AL28" s="108"/>
      <c r="AM28" s="620">
        <f t="shared" ref="AM28:AU28" si="26">AM24-AM27-AM26</f>
        <v>0</v>
      </c>
      <c r="AN28" s="620">
        <f t="shared" si="26"/>
        <v>0</v>
      </c>
      <c r="AO28" s="620">
        <f t="shared" si="26"/>
        <v>0</v>
      </c>
      <c r="AP28" s="620">
        <f t="shared" si="26"/>
        <v>0</v>
      </c>
      <c r="AQ28" s="620">
        <f t="shared" si="26"/>
        <v>0</v>
      </c>
      <c r="AR28" s="620">
        <f t="shared" si="26"/>
        <v>0</v>
      </c>
      <c r="AS28" s="620">
        <f t="shared" si="26"/>
        <v>0</v>
      </c>
      <c r="AT28" s="620">
        <f t="shared" si="26"/>
        <v>0</v>
      </c>
      <c r="AU28" s="620">
        <f t="shared" si="26"/>
        <v>0</v>
      </c>
      <c r="AV28" s="109"/>
      <c r="AW28" s="249">
        <f>SUM(AX28:BH28)</f>
        <v>0</v>
      </c>
      <c r="AX28" s="108"/>
      <c r="AY28" s="620">
        <f t="shared" ref="AY28:BG28" si="27">AY24-AY27-AY26</f>
        <v>0</v>
      </c>
      <c r="AZ28" s="620">
        <f t="shared" si="27"/>
        <v>0</v>
      </c>
      <c r="BA28" s="620">
        <f t="shared" si="27"/>
        <v>0</v>
      </c>
      <c r="BB28" s="620">
        <f t="shared" si="27"/>
        <v>0</v>
      </c>
      <c r="BC28" s="620">
        <f t="shared" si="27"/>
        <v>0</v>
      </c>
      <c r="BD28" s="620">
        <f t="shared" si="27"/>
        <v>0</v>
      </c>
      <c r="BE28" s="620">
        <f t="shared" si="27"/>
        <v>0</v>
      </c>
      <c r="BF28" s="620">
        <f t="shared" si="27"/>
        <v>0</v>
      </c>
      <c r="BG28" s="620">
        <f t="shared" si="27"/>
        <v>0</v>
      </c>
      <c r="BH28" s="214"/>
    </row>
    <row r="29" spans="1:60" x14ac:dyDescent="0.2">
      <c r="A29" s="648"/>
      <c r="B29" s="739" t="s">
        <v>120</v>
      </c>
      <c r="C29" s="656" t="s">
        <v>113</v>
      </c>
      <c r="D29" s="747"/>
      <c r="E29" s="220" t="s">
        <v>132</v>
      </c>
      <c r="F29" s="220"/>
      <c r="G29" s="220"/>
      <c r="H29" s="183" t="s">
        <v>64</v>
      </c>
      <c r="I29" s="107"/>
      <c r="J29" s="639"/>
      <c r="K29" s="816"/>
      <c r="L29" s="816"/>
      <c r="M29" s="639">
        <f>SUM(M26:M28)</f>
        <v>0</v>
      </c>
      <c r="N29" s="108"/>
      <c r="O29" s="620">
        <f>$M24</f>
        <v>0</v>
      </c>
      <c r="P29" s="620">
        <f t="shared" ref="P29:W29" si="28">$M24</f>
        <v>0</v>
      </c>
      <c r="Q29" s="620">
        <f t="shared" si="28"/>
        <v>0</v>
      </c>
      <c r="R29" s="620">
        <f t="shared" si="28"/>
        <v>0</v>
      </c>
      <c r="S29" s="620">
        <f t="shared" si="28"/>
        <v>0</v>
      </c>
      <c r="T29" s="620">
        <f t="shared" si="28"/>
        <v>0</v>
      </c>
      <c r="U29" s="620">
        <f t="shared" si="28"/>
        <v>0</v>
      </c>
      <c r="V29" s="620">
        <f t="shared" si="28"/>
        <v>0</v>
      </c>
      <c r="W29" s="620">
        <f t="shared" si="28"/>
        <v>0</v>
      </c>
      <c r="X29" s="109"/>
      <c r="Y29" s="639">
        <f>SUM(Y26:Y28)</f>
        <v>0</v>
      </c>
      <c r="Z29" s="108"/>
      <c r="AA29" s="620">
        <f>$Y24</f>
        <v>0</v>
      </c>
      <c r="AB29" s="620">
        <f t="shared" ref="AB29:AI29" si="29">$Y24</f>
        <v>0</v>
      </c>
      <c r="AC29" s="620">
        <f t="shared" si="29"/>
        <v>0</v>
      </c>
      <c r="AD29" s="620">
        <f t="shared" si="29"/>
        <v>0</v>
      </c>
      <c r="AE29" s="620">
        <f t="shared" si="29"/>
        <v>0</v>
      </c>
      <c r="AF29" s="620">
        <f t="shared" si="29"/>
        <v>0</v>
      </c>
      <c r="AG29" s="620">
        <f t="shared" si="29"/>
        <v>0</v>
      </c>
      <c r="AH29" s="620">
        <f t="shared" si="29"/>
        <v>0</v>
      </c>
      <c r="AI29" s="620">
        <f t="shared" si="29"/>
        <v>0</v>
      </c>
      <c r="AJ29" s="109"/>
      <c r="AK29" s="639">
        <f>SUM(AK26:AK28)</f>
        <v>0</v>
      </c>
      <c r="AL29" s="108"/>
      <c r="AM29" s="620">
        <f t="shared" ref="AM29:AU29" si="30">$AK24</f>
        <v>0</v>
      </c>
      <c r="AN29" s="620">
        <f t="shared" si="30"/>
        <v>0</v>
      </c>
      <c r="AO29" s="620">
        <f t="shared" si="30"/>
        <v>0</v>
      </c>
      <c r="AP29" s="620">
        <f t="shared" si="30"/>
        <v>0</v>
      </c>
      <c r="AQ29" s="620">
        <f t="shared" si="30"/>
        <v>0</v>
      </c>
      <c r="AR29" s="620">
        <f t="shared" si="30"/>
        <v>0</v>
      </c>
      <c r="AS29" s="620">
        <f t="shared" si="30"/>
        <v>0</v>
      </c>
      <c r="AT29" s="620">
        <f t="shared" si="30"/>
        <v>0</v>
      </c>
      <c r="AU29" s="620">
        <f t="shared" si="30"/>
        <v>0</v>
      </c>
      <c r="AV29" s="109"/>
      <c r="AW29" s="639"/>
      <c r="AX29" s="639">
        <f>SUM(AX26:AX28)</f>
        <v>0</v>
      </c>
      <c r="AY29" s="620">
        <f>$AW24</f>
        <v>0</v>
      </c>
      <c r="AZ29" s="620">
        <f t="shared" ref="AZ29:BG29" si="31">$AW24</f>
        <v>0</v>
      </c>
      <c r="BA29" s="620">
        <f t="shared" si="31"/>
        <v>0</v>
      </c>
      <c r="BB29" s="620">
        <f t="shared" si="31"/>
        <v>0</v>
      </c>
      <c r="BC29" s="620">
        <f t="shared" si="31"/>
        <v>0</v>
      </c>
      <c r="BD29" s="620">
        <f t="shared" si="31"/>
        <v>0</v>
      </c>
      <c r="BE29" s="620">
        <f t="shared" si="31"/>
        <v>0</v>
      </c>
      <c r="BF29" s="620">
        <f t="shared" si="31"/>
        <v>0</v>
      </c>
      <c r="BG29" s="620">
        <f t="shared" si="31"/>
        <v>0</v>
      </c>
      <c r="BH29" s="214"/>
    </row>
    <row r="30" spans="1:60" ht="18.75" x14ac:dyDescent="0.2">
      <c r="A30" s="648"/>
      <c r="B30" s="739" t="s">
        <v>120</v>
      </c>
      <c r="C30" s="739" t="s">
        <v>104</v>
      </c>
      <c r="D30" s="747"/>
      <c r="E30" s="236" t="s">
        <v>133</v>
      </c>
      <c r="F30" s="236"/>
      <c r="G30" s="236"/>
      <c r="H30" s="89"/>
      <c r="I30" s="236"/>
      <c r="J30" s="236"/>
      <c r="K30" s="236"/>
      <c r="L30" s="236"/>
      <c r="M30" s="236"/>
      <c r="N30" s="236"/>
      <c r="O30" s="236"/>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38"/>
    </row>
    <row r="31" spans="1:60" x14ac:dyDescent="0.2">
      <c r="A31" s="648"/>
      <c r="B31" s="739" t="s">
        <v>120</v>
      </c>
      <c r="C31" s="656" t="s">
        <v>113</v>
      </c>
      <c r="D31" s="747"/>
      <c r="E31" s="316" t="s">
        <v>80</v>
      </c>
      <c r="F31" s="220" t="s">
        <v>134</v>
      </c>
      <c r="G31" s="220"/>
      <c r="H31" s="221" t="s">
        <v>81</v>
      </c>
      <c r="I31" s="90"/>
      <c r="J31" s="227">
        <f>M31+Y31+AK31+AW31</f>
        <v>0</v>
      </c>
      <c r="K31" s="294"/>
      <c r="L31" s="294"/>
      <c r="M31" s="227">
        <f>SUMPRODUCT(N$24:X$24,N31:X31)</f>
        <v>0</v>
      </c>
      <c r="N31" s="100"/>
      <c r="O31" s="184">
        <f>IF(O$19="",0,'woningen|utiliteit'!L24)</f>
        <v>0</v>
      </c>
      <c r="P31" s="184">
        <f>IF(P$19="",0,'woningen|utiliteit'!M24)</f>
        <v>0</v>
      </c>
      <c r="Q31" s="184">
        <f>IF(Q$19="",0,'woningen|utiliteit'!N24)</f>
        <v>0</v>
      </c>
      <c r="R31" s="184">
        <f>IF(R$19="",0,'woningen|utiliteit'!O24)</f>
        <v>0</v>
      </c>
      <c r="S31" s="184">
        <f>IF(S$19="",0,'woningen|utiliteit'!P24)</f>
        <v>0</v>
      </c>
      <c r="T31" s="184">
        <f>IF(T$19="",0,'woningen|utiliteit'!Q24)</f>
        <v>0</v>
      </c>
      <c r="U31" s="184">
        <f>IF(U$19="",0,'woningen|utiliteit'!R24)</f>
        <v>0</v>
      </c>
      <c r="V31" s="184">
        <f>IF(V$19="",0,'woningen|utiliteit'!S24)</f>
        <v>0</v>
      </c>
      <c r="W31" s="184">
        <f>IF(W$19="",0,'woningen|utiliteit'!T24)</f>
        <v>0</v>
      </c>
      <c r="X31" s="110"/>
      <c r="Y31" s="227">
        <f>SUMPRODUCT(Z$24:AJ$24,Z31:AJ31)</f>
        <v>0</v>
      </c>
      <c r="Z31" s="100"/>
      <c r="AA31" s="184">
        <f>IF(AA$19="",0,'woningen|utiliteit'!L38)</f>
        <v>0</v>
      </c>
      <c r="AB31" s="184">
        <f>IF(AB$19="",0,'woningen|utiliteit'!M38)</f>
        <v>0</v>
      </c>
      <c r="AC31" s="184">
        <f>IF(AC$19="",0,'woningen|utiliteit'!N38)</f>
        <v>0</v>
      </c>
      <c r="AD31" s="184">
        <f>IF(AD$19="",0,'woningen|utiliteit'!O38)</f>
        <v>0</v>
      </c>
      <c r="AE31" s="184">
        <f>IF(AE$19="",0,'woningen|utiliteit'!P38)</f>
        <v>0</v>
      </c>
      <c r="AF31" s="184">
        <f>IF(AF$19="",0,'woningen|utiliteit'!Q38)</f>
        <v>0</v>
      </c>
      <c r="AG31" s="184">
        <f>IF(AG$19="",0,'woningen|utiliteit'!R38)</f>
        <v>0</v>
      </c>
      <c r="AH31" s="184">
        <f>IF(AH$19="",0,'woningen|utiliteit'!S38)</f>
        <v>0</v>
      </c>
      <c r="AI31" s="184">
        <f>IF(AI$19="",0,'woningen|utiliteit'!T38)</f>
        <v>0</v>
      </c>
      <c r="AJ31" s="110"/>
      <c r="AK31" s="227">
        <f>SUMPRODUCT(AL$24:AV$24,AL31:AV31)</f>
        <v>0</v>
      </c>
      <c r="AL31" s="100"/>
      <c r="AM31" s="184">
        <f>IF(AM$19="",0,'woningen|utiliteit'!L52)</f>
        <v>0</v>
      </c>
      <c r="AN31" s="184">
        <f>IF(AN$19="",0,'woningen|utiliteit'!M52)</f>
        <v>0</v>
      </c>
      <c r="AO31" s="184">
        <f>IF(AO$19="",0,'woningen|utiliteit'!N52)</f>
        <v>0</v>
      </c>
      <c r="AP31" s="184">
        <f>IF(AP$19="",0,'woningen|utiliteit'!O52)</f>
        <v>0</v>
      </c>
      <c r="AQ31" s="184">
        <f>IF(AQ$19="",0,'woningen|utiliteit'!P52)</f>
        <v>0</v>
      </c>
      <c r="AR31" s="184">
        <f>IF(AR$19="",0,'woningen|utiliteit'!Q52)</f>
        <v>0</v>
      </c>
      <c r="AS31" s="184">
        <f>IF(AS$19="",0,'woningen|utiliteit'!R52)</f>
        <v>0</v>
      </c>
      <c r="AT31" s="184">
        <f>IF(AT$19="",0,'woningen|utiliteit'!S52)</f>
        <v>0</v>
      </c>
      <c r="AU31" s="184">
        <f>IF(AU$19="",0,'woningen|utiliteit'!T52)</f>
        <v>0</v>
      </c>
      <c r="AV31" s="110"/>
      <c r="AW31" s="227">
        <f>SUMPRODUCT(AX$24:BH$24,AX31:BH31)</f>
        <v>0</v>
      </c>
      <c r="AX31" s="100"/>
      <c r="AY31" s="184">
        <f>IF(AY$19="",0,'woningen|utiliteit'!L66)</f>
        <v>0</v>
      </c>
      <c r="AZ31" s="184">
        <f>IF(AZ$19="",0,'woningen|utiliteit'!M66)</f>
        <v>0</v>
      </c>
      <c r="BA31" s="184">
        <f>IF(BA$19="",0,'woningen|utiliteit'!N66)</f>
        <v>0</v>
      </c>
      <c r="BB31" s="184">
        <f>IF(BB$19="",0,'woningen|utiliteit'!O66)</f>
        <v>0</v>
      </c>
      <c r="BC31" s="184">
        <f>IF(BC$19="",0,'woningen|utiliteit'!P66)</f>
        <v>0</v>
      </c>
      <c r="BD31" s="184">
        <f>IF(BD$19="",0,'woningen|utiliteit'!Q66)</f>
        <v>0</v>
      </c>
      <c r="BE31" s="184">
        <f>IF(BE$19="",0,'woningen|utiliteit'!R66)</f>
        <v>0</v>
      </c>
      <c r="BF31" s="184">
        <f>IF(BF$19="",0,'woningen|utiliteit'!S66)</f>
        <v>0</v>
      </c>
      <c r="BG31" s="184">
        <f>IF(BG$19="",0,'woningen|utiliteit'!T66)</f>
        <v>0</v>
      </c>
      <c r="BH31" s="214"/>
    </row>
    <row r="32" spans="1:60" x14ac:dyDescent="0.2">
      <c r="A32" s="653"/>
      <c r="B32" s="739" t="s">
        <v>120</v>
      </c>
      <c r="C32" s="656" t="s">
        <v>113</v>
      </c>
      <c r="D32" s="747"/>
      <c r="E32" s="687"/>
      <c r="F32" s="220" t="s">
        <v>135</v>
      </c>
      <c r="G32" s="220"/>
      <c r="H32" s="221" t="s">
        <v>136</v>
      </c>
      <c r="I32" s="111"/>
      <c r="J32" s="227"/>
      <c r="K32" s="817"/>
      <c r="L32" s="817"/>
      <c r="M32" s="717"/>
      <c r="N32" s="718"/>
      <c r="O32" s="637">
        <f>O24*O31</f>
        <v>0</v>
      </c>
      <c r="P32" s="637">
        <f t="shared" ref="P32:W32" si="32">P24*P31</f>
        <v>0</v>
      </c>
      <c r="Q32" s="637">
        <f t="shared" si="32"/>
        <v>0</v>
      </c>
      <c r="R32" s="637">
        <f t="shared" si="32"/>
        <v>0</v>
      </c>
      <c r="S32" s="637">
        <f t="shared" si="32"/>
        <v>0</v>
      </c>
      <c r="T32" s="637">
        <f>T24*T31</f>
        <v>0</v>
      </c>
      <c r="U32" s="637">
        <f t="shared" si="32"/>
        <v>0</v>
      </c>
      <c r="V32" s="637">
        <f t="shared" si="32"/>
        <v>0</v>
      </c>
      <c r="W32" s="637">
        <f t="shared" si="32"/>
        <v>0</v>
      </c>
      <c r="X32" s="113"/>
      <c r="Y32" s="717"/>
      <c r="Z32" s="718"/>
      <c r="AA32" s="637">
        <f t="shared" ref="AA32:AI32" si="33">AA24*AA31</f>
        <v>0</v>
      </c>
      <c r="AB32" s="637">
        <f t="shared" si="33"/>
        <v>0</v>
      </c>
      <c r="AC32" s="637">
        <f t="shared" si="33"/>
        <v>0</v>
      </c>
      <c r="AD32" s="637">
        <f t="shared" si="33"/>
        <v>0</v>
      </c>
      <c r="AE32" s="637">
        <f t="shared" si="33"/>
        <v>0</v>
      </c>
      <c r="AF32" s="637">
        <f t="shared" si="33"/>
        <v>0</v>
      </c>
      <c r="AG32" s="637">
        <f t="shared" si="33"/>
        <v>0</v>
      </c>
      <c r="AH32" s="637">
        <f t="shared" si="33"/>
        <v>0</v>
      </c>
      <c r="AI32" s="637">
        <f t="shared" si="33"/>
        <v>0</v>
      </c>
      <c r="AJ32" s="113"/>
      <c r="AK32" s="717"/>
      <c r="AL32" s="718"/>
      <c r="AM32" s="637">
        <f t="shared" ref="AM32:AU32" si="34">AM24*AM31</f>
        <v>0</v>
      </c>
      <c r="AN32" s="637">
        <f t="shared" si="34"/>
        <v>0</v>
      </c>
      <c r="AO32" s="637">
        <f t="shared" si="34"/>
        <v>0</v>
      </c>
      <c r="AP32" s="637">
        <f t="shared" si="34"/>
        <v>0</v>
      </c>
      <c r="AQ32" s="637">
        <f t="shared" si="34"/>
        <v>0</v>
      </c>
      <c r="AR32" s="637">
        <f t="shared" si="34"/>
        <v>0</v>
      </c>
      <c r="AS32" s="637">
        <f t="shared" si="34"/>
        <v>0</v>
      </c>
      <c r="AT32" s="637">
        <f t="shared" si="34"/>
        <v>0</v>
      </c>
      <c r="AU32" s="637">
        <f t="shared" si="34"/>
        <v>0</v>
      </c>
      <c r="AV32" s="113"/>
      <c r="AW32" s="717"/>
      <c r="AX32" s="718"/>
      <c r="AY32" s="637">
        <f t="shared" ref="AY32:BG32" si="35">AY24*AY31</f>
        <v>0</v>
      </c>
      <c r="AZ32" s="637">
        <f t="shared" si="35"/>
        <v>0</v>
      </c>
      <c r="BA32" s="637">
        <f t="shared" si="35"/>
        <v>0</v>
      </c>
      <c r="BB32" s="637">
        <f t="shared" si="35"/>
        <v>0</v>
      </c>
      <c r="BC32" s="637">
        <f t="shared" si="35"/>
        <v>0</v>
      </c>
      <c r="BD32" s="637">
        <f t="shared" si="35"/>
        <v>0</v>
      </c>
      <c r="BE32" s="637">
        <f t="shared" si="35"/>
        <v>0</v>
      </c>
      <c r="BF32" s="637">
        <f t="shared" si="35"/>
        <v>0</v>
      </c>
      <c r="BG32" s="637">
        <f t="shared" si="35"/>
        <v>0</v>
      </c>
      <c r="BH32" s="214"/>
    </row>
    <row r="33" spans="1:60" x14ac:dyDescent="0.2">
      <c r="A33" s="653"/>
      <c r="B33" s="739" t="s">
        <v>120</v>
      </c>
      <c r="C33" s="656" t="s">
        <v>113</v>
      </c>
      <c r="D33" s="747"/>
      <c r="E33" s="317"/>
      <c r="F33" s="220" t="s">
        <v>137</v>
      </c>
      <c r="G33" s="220"/>
      <c r="H33" s="221" t="s">
        <v>136</v>
      </c>
      <c r="I33" s="111"/>
      <c r="J33" s="227"/>
      <c r="K33" s="817"/>
      <c r="L33" s="817"/>
      <c r="M33" s="227"/>
      <c r="N33" s="112"/>
      <c r="O33" s="453">
        <f>SUMPRODUCT($N24:$X24,$N31:$X31)</f>
        <v>0</v>
      </c>
      <c r="P33" s="453">
        <f t="shared" ref="P33:W33" si="36">SUMPRODUCT($N24:$X24,$N31:$X31)</f>
        <v>0</v>
      </c>
      <c r="Q33" s="453">
        <f t="shared" si="36"/>
        <v>0</v>
      </c>
      <c r="R33" s="453">
        <f t="shared" si="36"/>
        <v>0</v>
      </c>
      <c r="S33" s="453">
        <f t="shared" si="36"/>
        <v>0</v>
      </c>
      <c r="T33" s="453">
        <f t="shared" si="36"/>
        <v>0</v>
      </c>
      <c r="U33" s="453">
        <f t="shared" si="36"/>
        <v>0</v>
      </c>
      <c r="V33" s="453">
        <f t="shared" si="36"/>
        <v>0</v>
      </c>
      <c r="W33" s="453">
        <f t="shared" si="36"/>
        <v>0</v>
      </c>
      <c r="X33" s="113"/>
      <c r="Y33" s="227"/>
      <c r="Z33" s="112"/>
      <c r="AA33" s="453">
        <f t="shared" ref="AA33:AI33" si="37">SUMPRODUCT($Z$24:$AJ$24,$Z$31:$AJ$31)</f>
        <v>0</v>
      </c>
      <c r="AB33" s="453">
        <f t="shared" si="37"/>
        <v>0</v>
      </c>
      <c r="AC33" s="453">
        <f t="shared" si="37"/>
        <v>0</v>
      </c>
      <c r="AD33" s="453">
        <f t="shared" si="37"/>
        <v>0</v>
      </c>
      <c r="AE33" s="453">
        <f t="shared" si="37"/>
        <v>0</v>
      </c>
      <c r="AF33" s="453">
        <f t="shared" si="37"/>
        <v>0</v>
      </c>
      <c r="AG33" s="453">
        <f t="shared" si="37"/>
        <v>0</v>
      </c>
      <c r="AH33" s="453">
        <f t="shared" si="37"/>
        <v>0</v>
      </c>
      <c r="AI33" s="453">
        <f t="shared" si="37"/>
        <v>0</v>
      </c>
      <c r="AJ33" s="113"/>
      <c r="AK33" s="227"/>
      <c r="AL33" s="112"/>
      <c r="AM33" s="453">
        <f>SUMPRODUCT($AL$24:$AV$24,$AL$31:$AV$31)</f>
        <v>0</v>
      </c>
      <c r="AN33" s="453">
        <f t="shared" ref="AN33:AU33" si="38">SUMPRODUCT($AL$24:$AV$24,$AL$31:$AV$31)</f>
        <v>0</v>
      </c>
      <c r="AO33" s="453">
        <f t="shared" si="38"/>
        <v>0</v>
      </c>
      <c r="AP33" s="453">
        <f t="shared" si="38"/>
        <v>0</v>
      </c>
      <c r="AQ33" s="453">
        <f t="shared" si="38"/>
        <v>0</v>
      </c>
      <c r="AR33" s="453">
        <f t="shared" si="38"/>
        <v>0</v>
      </c>
      <c r="AS33" s="453">
        <f t="shared" si="38"/>
        <v>0</v>
      </c>
      <c r="AT33" s="453">
        <f t="shared" si="38"/>
        <v>0</v>
      </c>
      <c r="AU33" s="453">
        <f t="shared" si="38"/>
        <v>0</v>
      </c>
      <c r="AV33" s="113"/>
      <c r="AW33" s="227"/>
      <c r="AX33" s="112"/>
      <c r="AY33" s="453">
        <f>SUMPRODUCT($AX$24:$BH$24,$AX$31:$BH$31)</f>
        <v>0</v>
      </c>
      <c r="AZ33" s="453">
        <f t="shared" ref="AZ33:BG33" si="39">SUMPRODUCT($AX$24:$BH$24,$AX$31:$BH$31)</f>
        <v>0</v>
      </c>
      <c r="BA33" s="453">
        <f t="shared" si="39"/>
        <v>0</v>
      </c>
      <c r="BB33" s="453">
        <f t="shared" si="39"/>
        <v>0</v>
      </c>
      <c r="BC33" s="453">
        <f t="shared" si="39"/>
        <v>0</v>
      </c>
      <c r="BD33" s="453">
        <f t="shared" si="39"/>
        <v>0</v>
      </c>
      <c r="BE33" s="453">
        <f t="shared" si="39"/>
        <v>0</v>
      </c>
      <c r="BF33" s="453">
        <f t="shared" si="39"/>
        <v>0</v>
      </c>
      <c r="BG33" s="453">
        <f t="shared" si="39"/>
        <v>0</v>
      </c>
      <c r="BH33" s="214"/>
    </row>
    <row r="34" spans="1:60" x14ac:dyDescent="0.2">
      <c r="A34" s="653"/>
      <c r="B34" s="739" t="s">
        <v>120</v>
      </c>
      <c r="C34" s="656" t="s">
        <v>113</v>
      </c>
      <c r="D34" s="747"/>
      <c r="E34" s="220" t="s">
        <v>138</v>
      </c>
      <c r="F34" s="220"/>
      <c r="G34" s="220"/>
      <c r="H34" s="221" t="s">
        <v>139</v>
      </c>
      <c r="I34" s="90"/>
      <c r="J34" s="227"/>
      <c r="K34" s="294"/>
      <c r="L34" s="294"/>
      <c r="M34" s="227"/>
      <c r="N34" s="100"/>
      <c r="O34" s="184" t="str">
        <f>IF(O$19="","",HLOOKUP(O$19,woningen_gebouwen_gegevens,ROWS(bibliotheek!$E$13:$E$26),FALSE))</f>
        <v/>
      </c>
      <c r="P34" s="184" t="str">
        <f>IF(P$19="","",HLOOKUP(P$19,woningen_gebouwen_gegevens,ROWS(bibliotheek!$E$13:$E$26),FALSE))</f>
        <v/>
      </c>
      <c r="Q34" s="184" t="str">
        <f>IF(Q$19="","",HLOOKUP(Q$19,woningen_gebouwen_gegevens,ROWS(bibliotheek!$E$13:$E$26),FALSE))</f>
        <v/>
      </c>
      <c r="R34" s="184" t="str">
        <f>IF(R$19="","",HLOOKUP(R$19,woningen_gebouwen_gegevens,ROWS(bibliotheek!$E$13:$E$26),FALSE))</f>
        <v/>
      </c>
      <c r="S34" s="184" t="str">
        <f>IF(S$19="","",HLOOKUP(S$19,woningen_gebouwen_gegevens,ROWS(bibliotheek!$E$13:$E$26),FALSE))</f>
        <v/>
      </c>
      <c r="T34" s="184" t="str">
        <f>IF(T$19="","",HLOOKUP(T$19,woningen_gebouwen_gegevens,ROWS(bibliotheek!$E$13:$E$26),FALSE))</f>
        <v/>
      </c>
      <c r="U34" s="184" t="str">
        <f>IF(U$19="","",HLOOKUP(U$19,woningen_gebouwen_gegevens,ROWS(bibliotheek!$E$13:$E$26),FALSE))</f>
        <v/>
      </c>
      <c r="V34" s="184" t="str">
        <f>IF(V$19="","",HLOOKUP(V$19,woningen_gebouwen_gegevens,ROWS(bibliotheek!$E$13:$E$26),FALSE))</f>
        <v/>
      </c>
      <c r="W34" s="184" t="str">
        <f>IF(W$19="","",HLOOKUP(W$19,woningen_gebouwen_gegevens,ROWS(bibliotheek!$E$13:$E$26),FALSE))</f>
        <v/>
      </c>
      <c r="X34" s="110"/>
      <c r="Y34" s="227"/>
      <c r="Z34" s="100"/>
      <c r="AA34" s="184" t="str">
        <f>IF(AA$19="","",HLOOKUP(AA$19,woningen_gebouwen_gegevens,ROWS(bibliotheek!$E$13:$E$26),FALSE))</f>
        <v/>
      </c>
      <c r="AB34" s="184" t="str">
        <f>IF(AB$19="","",HLOOKUP(AB$19,woningen_gebouwen_gegevens,ROWS(bibliotheek!$E$13:$E$26),FALSE))</f>
        <v/>
      </c>
      <c r="AC34" s="184" t="str">
        <f>IF(AC$19="","",HLOOKUP(AC$19,woningen_gebouwen_gegevens,ROWS(bibliotheek!$E$13:$E$26),FALSE))</f>
        <v/>
      </c>
      <c r="AD34" s="184" t="str">
        <f>IF(AD$19="","",HLOOKUP(AD$19,woningen_gebouwen_gegevens,ROWS(bibliotheek!$E$13:$E$26),FALSE))</f>
        <v/>
      </c>
      <c r="AE34" s="184" t="str">
        <f>IF(AE$19="","",HLOOKUP(AE$19,woningen_gebouwen_gegevens,ROWS(bibliotheek!$E$13:$E$26),FALSE))</f>
        <v/>
      </c>
      <c r="AF34" s="184" t="str">
        <f>IF(AF$19="","",HLOOKUP(AF$19,woningen_gebouwen_gegevens,ROWS(bibliotheek!$E$13:$E$26),FALSE))</f>
        <v/>
      </c>
      <c r="AG34" s="184" t="str">
        <f>IF(AG$19="","",HLOOKUP(AG$19,woningen_gebouwen_gegevens,ROWS(bibliotheek!$E$13:$E$26),FALSE))</f>
        <v/>
      </c>
      <c r="AH34" s="184" t="str">
        <f>IF(AH$19="","",HLOOKUP(AH$19,woningen_gebouwen_gegevens,ROWS(bibliotheek!$E$13:$E$26),FALSE))</f>
        <v/>
      </c>
      <c r="AI34" s="184" t="str">
        <f>IF(AI$19="","",HLOOKUP(AI$19,woningen_gebouwen_gegevens,ROWS(bibliotheek!$E$13:$E$26),FALSE))</f>
        <v/>
      </c>
      <c r="AJ34" s="110"/>
      <c r="AK34" s="227"/>
      <c r="AL34" s="100"/>
      <c r="AM34" s="184" t="str">
        <f>IF(AM$19="","",HLOOKUP(AM$19,woningen_gebouwen_gegevens,ROWS(bibliotheek!$E$13:$E$26),FALSE))</f>
        <v/>
      </c>
      <c r="AN34" s="184" t="str">
        <f>IF(AN$19="","",HLOOKUP(AN$19,woningen_gebouwen_gegevens,ROWS(bibliotheek!$E$13:$E$26),FALSE))</f>
        <v/>
      </c>
      <c r="AO34" s="184" t="str">
        <f>IF(AO$19="","",HLOOKUP(AO$19,woningen_gebouwen_gegevens,ROWS(bibliotheek!$E$13:$E$26),FALSE))</f>
        <v/>
      </c>
      <c r="AP34" s="184" t="str">
        <f>IF(AP$19="","",HLOOKUP(AP$19,woningen_gebouwen_gegevens,ROWS(bibliotheek!$E$13:$E$26),FALSE))</f>
        <v/>
      </c>
      <c r="AQ34" s="184" t="str">
        <f>IF(AQ$19="","",HLOOKUP(AQ$19,woningen_gebouwen_gegevens,ROWS(bibliotheek!$E$13:$E$26),FALSE))</f>
        <v/>
      </c>
      <c r="AR34" s="184" t="str">
        <f>IF(AR$19="","",HLOOKUP(AR$19,woningen_gebouwen_gegevens,ROWS(bibliotheek!$E$13:$E$26),FALSE))</f>
        <v/>
      </c>
      <c r="AS34" s="184" t="str">
        <f>IF(AS$19="","",HLOOKUP(AS$19,woningen_gebouwen_gegevens,ROWS(bibliotheek!$E$13:$E$26),FALSE))</f>
        <v/>
      </c>
      <c r="AT34" s="184" t="str">
        <f>IF(AT$19="","",HLOOKUP(AT$19,woningen_gebouwen_gegevens,ROWS(bibliotheek!$E$13:$E$26),FALSE))</f>
        <v/>
      </c>
      <c r="AU34" s="184" t="str">
        <f>IF(AU$19="","",HLOOKUP(AU$19,woningen_gebouwen_gegevens,ROWS(bibliotheek!$E$13:$E$26),FALSE))</f>
        <v/>
      </c>
      <c r="AV34" s="110"/>
      <c r="AW34" s="227"/>
      <c r="AX34" s="100"/>
      <c r="AY34" s="184" t="str">
        <f>IF(AY$19="","",HLOOKUP(AY$19,woningen_gebouwen_gegevens,ROWS(bibliotheek!$E$13:$E$26),FALSE))</f>
        <v/>
      </c>
      <c r="AZ34" s="184" t="str">
        <f>IF(AZ$19="","",HLOOKUP(AZ$19,woningen_gebouwen_gegevens,ROWS(bibliotheek!$E$13:$E$26),FALSE))</f>
        <v/>
      </c>
      <c r="BA34" s="184" t="str">
        <f>IF(BA$19="","",HLOOKUP(BA$19,woningen_gebouwen_gegevens,ROWS(bibliotheek!$E$13:$E$26),FALSE))</f>
        <v/>
      </c>
      <c r="BB34" s="184" t="str">
        <f>IF(BB$19="","",HLOOKUP(BB$19,woningen_gebouwen_gegevens,ROWS(bibliotheek!$E$13:$E$26),FALSE))</f>
        <v/>
      </c>
      <c r="BC34" s="184" t="str">
        <f>IF(BC$19="","",HLOOKUP(BC$19,woningen_gebouwen_gegevens,ROWS(bibliotheek!$E$13:$E$26),FALSE))</f>
        <v/>
      </c>
      <c r="BD34" s="184" t="str">
        <f>IF(BD$19="","",HLOOKUP(BD$19,woningen_gebouwen_gegevens,ROWS(bibliotheek!$E$13:$E$26),FALSE))</f>
        <v/>
      </c>
      <c r="BE34" s="184" t="str">
        <f>IF(BE$19="","",HLOOKUP(BE$19,woningen_gebouwen_gegevens,ROWS(bibliotheek!$E$13:$E$26),FALSE))</f>
        <v/>
      </c>
      <c r="BF34" s="184" t="str">
        <f>IF(BF$19="","",HLOOKUP(BF$19,woningen_gebouwen_gegevens,ROWS(bibliotheek!$E$13:$E$26),FALSE))</f>
        <v/>
      </c>
      <c r="BG34" s="184" t="str">
        <f>IF(BG$19="","",HLOOKUP(BG$19,woningen_gebouwen_gegevens,ROWS(bibliotheek!$E$13:$E$26),FALSE))</f>
        <v/>
      </c>
      <c r="BH34" s="214"/>
    </row>
    <row r="35" spans="1:60" x14ac:dyDescent="0.2">
      <c r="A35" s="653"/>
      <c r="B35" s="739" t="s">
        <v>120</v>
      </c>
      <c r="C35" s="656" t="s">
        <v>113</v>
      </c>
      <c r="D35" s="747"/>
      <c r="E35" s="220" t="s">
        <v>140</v>
      </c>
      <c r="F35" s="220"/>
      <c r="G35" s="220"/>
      <c r="H35" s="221" t="s">
        <v>139</v>
      </c>
      <c r="I35" s="90"/>
      <c r="J35" s="227"/>
      <c r="K35" s="294"/>
      <c r="L35" s="294"/>
      <c r="M35" s="227"/>
      <c r="N35" s="100"/>
      <c r="O35" s="184" t="str">
        <f>IF(O$19="","",HLOOKUP(O$19,woningen_gebouwen_gegevens,ROWS(bibliotheek!$E$13:$E$27),FALSE))</f>
        <v/>
      </c>
      <c r="P35" s="184" t="str">
        <f>IF(P$19="","",HLOOKUP(P$19,woningen_gebouwen_gegevens,ROWS(bibliotheek!$E$13:$E$27),FALSE))</f>
        <v/>
      </c>
      <c r="Q35" s="184" t="str">
        <f>IF(Q$19="","",HLOOKUP(Q$19,woningen_gebouwen_gegevens,ROWS(bibliotheek!$E$13:$E$27),FALSE))</f>
        <v/>
      </c>
      <c r="R35" s="184" t="str">
        <f>IF(R$19="","",HLOOKUP(R$19,woningen_gebouwen_gegevens,ROWS(bibliotheek!$E$13:$E$27),FALSE))</f>
        <v/>
      </c>
      <c r="S35" s="184" t="str">
        <f>IF(S$19="","",HLOOKUP(S$19,woningen_gebouwen_gegevens,ROWS(bibliotheek!$E$13:$E$27),FALSE))</f>
        <v/>
      </c>
      <c r="T35" s="184" t="str">
        <f>IF(T$19="","",HLOOKUP(T$19,woningen_gebouwen_gegevens,ROWS(bibliotheek!$E$13:$E$27),FALSE))</f>
        <v/>
      </c>
      <c r="U35" s="184" t="str">
        <f>IF(U$19="","",HLOOKUP(U$19,woningen_gebouwen_gegevens,ROWS(bibliotheek!$E$13:$E$27),FALSE))</f>
        <v/>
      </c>
      <c r="V35" s="184" t="str">
        <f>IF(V$19="","",HLOOKUP(V$19,woningen_gebouwen_gegevens,ROWS(bibliotheek!$E$13:$E$27),FALSE))</f>
        <v/>
      </c>
      <c r="W35" s="184" t="str">
        <f>IF(W$19="","",HLOOKUP(W$19,woningen_gebouwen_gegevens,ROWS(bibliotheek!$E$13:$E$27),FALSE))</f>
        <v/>
      </c>
      <c r="X35" s="110"/>
      <c r="Y35" s="227"/>
      <c r="Z35" s="100"/>
      <c r="AA35" s="184" t="str">
        <f>IF(AA$19="","",HLOOKUP(AA$19,woningen_gebouwen_gegevens,ROWS(bibliotheek!$E$13:$E$27),FALSE))</f>
        <v/>
      </c>
      <c r="AB35" s="184" t="str">
        <f>IF(AB$19="","",HLOOKUP(AB$19,woningen_gebouwen_gegevens,ROWS(bibliotheek!$E$13:$E$27),FALSE))</f>
        <v/>
      </c>
      <c r="AC35" s="184" t="str">
        <f>IF(AC$19="","",HLOOKUP(AC$19,woningen_gebouwen_gegevens,ROWS(bibliotheek!$E$13:$E$27),FALSE))</f>
        <v/>
      </c>
      <c r="AD35" s="184" t="str">
        <f>IF(AD$19="","",HLOOKUP(AD$19,woningen_gebouwen_gegevens,ROWS(bibliotheek!$E$13:$E$27),FALSE))</f>
        <v/>
      </c>
      <c r="AE35" s="184" t="str">
        <f>IF(AE$19="","",HLOOKUP(AE$19,woningen_gebouwen_gegevens,ROWS(bibliotheek!$E$13:$E$27),FALSE))</f>
        <v/>
      </c>
      <c r="AF35" s="184" t="str">
        <f>IF(AF$19="","",HLOOKUP(AF$19,woningen_gebouwen_gegevens,ROWS(bibliotheek!$E$13:$E$27),FALSE))</f>
        <v/>
      </c>
      <c r="AG35" s="184" t="str">
        <f>IF(AG$19="","",HLOOKUP(AG$19,woningen_gebouwen_gegevens,ROWS(bibliotheek!$E$13:$E$27),FALSE))</f>
        <v/>
      </c>
      <c r="AH35" s="184" t="str">
        <f>IF(AH$19="","",HLOOKUP(AH$19,woningen_gebouwen_gegevens,ROWS(bibliotheek!$E$13:$E$27),FALSE))</f>
        <v/>
      </c>
      <c r="AI35" s="184" t="str">
        <f>IF(AI$19="","",HLOOKUP(AI$19,woningen_gebouwen_gegevens,ROWS(bibliotheek!$E$13:$E$27),FALSE))</f>
        <v/>
      </c>
      <c r="AJ35" s="110"/>
      <c r="AK35" s="227"/>
      <c r="AL35" s="100"/>
      <c r="AM35" s="184" t="str">
        <f>IF(AM$19="","",HLOOKUP(AM$19,woningen_gebouwen_gegevens,ROWS(bibliotheek!$E$13:$E$27),FALSE))</f>
        <v/>
      </c>
      <c r="AN35" s="184" t="str">
        <f>IF(AN$19="","",HLOOKUP(AN$19,woningen_gebouwen_gegevens,ROWS(bibliotheek!$E$13:$E$27),FALSE))</f>
        <v/>
      </c>
      <c r="AO35" s="184" t="str">
        <f>IF(AO$19="","",HLOOKUP(AO$19,woningen_gebouwen_gegevens,ROWS(bibliotheek!$E$13:$E$27),FALSE))</f>
        <v/>
      </c>
      <c r="AP35" s="184" t="str">
        <f>IF(AP$19="","",HLOOKUP(AP$19,woningen_gebouwen_gegevens,ROWS(bibliotheek!$E$13:$E$27),FALSE))</f>
        <v/>
      </c>
      <c r="AQ35" s="184" t="str">
        <f>IF(AQ$19="","",HLOOKUP(AQ$19,woningen_gebouwen_gegevens,ROWS(bibliotheek!$E$13:$E$27),FALSE))</f>
        <v/>
      </c>
      <c r="AR35" s="184" t="str">
        <f>IF(AR$19="","",HLOOKUP(AR$19,woningen_gebouwen_gegevens,ROWS(bibliotheek!$E$13:$E$27),FALSE))</f>
        <v/>
      </c>
      <c r="AS35" s="184" t="str">
        <f>IF(AS$19="","",HLOOKUP(AS$19,woningen_gebouwen_gegevens,ROWS(bibliotheek!$E$13:$E$27),FALSE))</f>
        <v/>
      </c>
      <c r="AT35" s="184" t="str">
        <f>IF(AT$19="","",HLOOKUP(AT$19,woningen_gebouwen_gegevens,ROWS(bibliotheek!$E$13:$E$27),FALSE))</f>
        <v/>
      </c>
      <c r="AU35" s="184" t="str">
        <f>IF(AU$19="","",HLOOKUP(AU$19,woningen_gebouwen_gegevens,ROWS(bibliotheek!$E$13:$E$27),FALSE))</f>
        <v/>
      </c>
      <c r="AV35" s="110"/>
      <c r="AW35" s="227"/>
      <c r="AX35" s="100"/>
      <c r="AY35" s="184" t="str">
        <f>IF(AY$19="","",HLOOKUP(AY$19,woningen_gebouwen_gegevens,ROWS(bibliotheek!$E$13:$E$27),FALSE))</f>
        <v/>
      </c>
      <c r="AZ35" s="184" t="str">
        <f>IF(AZ$19="","",HLOOKUP(AZ$19,woningen_gebouwen_gegevens,ROWS(bibliotheek!$E$13:$E$27),FALSE))</f>
        <v/>
      </c>
      <c r="BA35" s="184" t="str">
        <f>IF(BA$19="","",HLOOKUP(BA$19,woningen_gebouwen_gegevens,ROWS(bibliotheek!$E$13:$E$27),FALSE))</f>
        <v/>
      </c>
      <c r="BB35" s="184" t="str">
        <f>IF(BB$19="","",HLOOKUP(BB$19,woningen_gebouwen_gegevens,ROWS(bibliotheek!$E$13:$E$27),FALSE))</f>
        <v/>
      </c>
      <c r="BC35" s="184" t="str">
        <f>IF(BC$19="","",HLOOKUP(BC$19,woningen_gebouwen_gegevens,ROWS(bibliotheek!$E$13:$E$27),FALSE))</f>
        <v/>
      </c>
      <c r="BD35" s="184" t="str">
        <f>IF(BD$19="","",HLOOKUP(BD$19,woningen_gebouwen_gegevens,ROWS(bibliotheek!$E$13:$E$27),FALSE))</f>
        <v/>
      </c>
      <c r="BE35" s="184" t="str">
        <f>IF(BE$19="","",HLOOKUP(BE$19,woningen_gebouwen_gegevens,ROWS(bibliotheek!$E$13:$E$27),FALSE))</f>
        <v/>
      </c>
      <c r="BF35" s="184" t="str">
        <f>IF(BF$19="","",HLOOKUP(BF$19,woningen_gebouwen_gegevens,ROWS(bibliotheek!$E$13:$E$27),FALSE))</f>
        <v/>
      </c>
      <c r="BG35" s="184" t="str">
        <f>IF(BG$19="","",HLOOKUP(BG$19,woningen_gebouwen_gegevens,ROWS(bibliotheek!$E$13:$E$27),FALSE))</f>
        <v/>
      </c>
      <c r="BH35" s="214"/>
    </row>
    <row r="36" spans="1:60" x14ac:dyDescent="0.2">
      <c r="A36" s="653"/>
      <c r="B36" s="739" t="s">
        <v>120</v>
      </c>
      <c r="C36" s="656" t="s">
        <v>113</v>
      </c>
      <c r="D36" s="747"/>
      <c r="E36" s="90"/>
      <c r="F36" s="90"/>
      <c r="G36" s="90"/>
      <c r="H36" s="96"/>
      <c r="I36" s="90"/>
      <c r="J36" s="93"/>
      <c r="K36" s="90"/>
      <c r="L36" s="90"/>
      <c r="M36" s="93"/>
      <c r="N36" s="93"/>
      <c r="O36" s="93"/>
      <c r="P36" s="93"/>
      <c r="Q36" s="93"/>
      <c r="R36" s="93"/>
      <c r="S36" s="93"/>
      <c r="T36" s="93"/>
      <c r="U36" s="93"/>
      <c r="V36" s="93"/>
      <c r="W36" s="93"/>
      <c r="X36" s="93"/>
      <c r="Y36" s="93"/>
      <c r="Z36" s="90"/>
      <c r="AA36" s="93"/>
      <c r="AB36" s="93"/>
      <c r="AC36" s="93"/>
      <c r="AD36" s="93"/>
      <c r="AE36" s="93"/>
      <c r="AF36" s="93"/>
      <c r="AG36" s="93"/>
      <c r="AH36" s="93"/>
      <c r="AI36" s="93"/>
      <c r="AJ36" s="93"/>
      <c r="AK36" s="93"/>
      <c r="AL36" s="90"/>
      <c r="AM36" s="93"/>
      <c r="AN36" s="93"/>
      <c r="AO36" s="93"/>
      <c r="AP36" s="93"/>
      <c r="AQ36" s="93"/>
      <c r="AR36" s="93"/>
      <c r="AS36" s="93"/>
      <c r="AT36" s="93"/>
      <c r="AU36" s="93"/>
      <c r="AV36" s="93"/>
      <c r="AW36" s="93"/>
      <c r="AX36" s="90"/>
      <c r="AY36" s="93"/>
      <c r="AZ36" s="93"/>
      <c r="BA36" s="93"/>
      <c r="BB36" s="93"/>
      <c r="BC36" s="93"/>
      <c r="BD36" s="93"/>
      <c r="BE36" s="93"/>
      <c r="BF36" s="93"/>
      <c r="BG36" s="93"/>
      <c r="BH36" s="1"/>
    </row>
    <row r="37" spans="1:60" x14ac:dyDescent="0.2">
      <c r="A37" s="653"/>
      <c r="B37" s="492" t="s">
        <v>141</v>
      </c>
      <c r="C37" s="656" t="s">
        <v>104</v>
      </c>
      <c r="D37" s="747"/>
      <c r="E37" s="90"/>
      <c r="F37" s="90"/>
      <c r="G37" s="90"/>
      <c r="H37" s="96"/>
      <c r="I37" s="90"/>
      <c r="J37" s="93"/>
      <c r="K37" s="90"/>
      <c r="L37" s="90"/>
      <c r="M37" s="93"/>
      <c r="N37" s="93"/>
      <c r="O37" s="93"/>
      <c r="P37" s="93"/>
      <c r="Q37" s="93"/>
      <c r="R37" s="93"/>
      <c r="S37" s="93"/>
      <c r="T37" s="93"/>
      <c r="U37" s="93"/>
      <c r="V37" s="93"/>
      <c r="W37" s="93"/>
      <c r="X37" s="93"/>
      <c r="Y37" s="93"/>
      <c r="Z37" s="90"/>
      <c r="AA37" s="93"/>
      <c r="AB37" s="93"/>
      <c r="AC37" s="93"/>
      <c r="AD37" s="93"/>
      <c r="AE37" s="93"/>
      <c r="AF37" s="93"/>
      <c r="AG37" s="93"/>
      <c r="AH37" s="93"/>
      <c r="AI37" s="93"/>
      <c r="AJ37" s="93"/>
      <c r="AK37" s="93"/>
      <c r="AL37" s="90"/>
      <c r="AM37" s="93"/>
      <c r="AN37" s="93"/>
      <c r="AO37" s="93"/>
      <c r="AP37" s="93"/>
      <c r="AQ37" s="93"/>
      <c r="AR37" s="93"/>
      <c r="AS37" s="93"/>
      <c r="AT37" s="93"/>
      <c r="AU37" s="93"/>
      <c r="AV37" s="93"/>
      <c r="AW37" s="93"/>
      <c r="AX37" s="90"/>
      <c r="AY37" s="93"/>
      <c r="AZ37" s="93"/>
      <c r="BA37" s="93"/>
      <c r="BB37" s="93"/>
      <c r="BC37" s="93"/>
      <c r="BD37" s="93"/>
      <c r="BE37" s="93"/>
      <c r="BF37" s="93"/>
      <c r="BG37" s="93"/>
      <c r="BH37" s="1"/>
    </row>
    <row r="38" spans="1:60" s="2" customFormat="1" ht="21" x14ac:dyDescent="0.2">
      <c r="A38" s="654"/>
      <c r="B38" s="492" t="s">
        <v>141</v>
      </c>
      <c r="C38" s="739" t="s">
        <v>104</v>
      </c>
      <c r="D38" s="749"/>
      <c r="E38" s="253" t="s">
        <v>142</v>
      </c>
      <c r="F38" s="253"/>
      <c r="G38" s="253"/>
      <c r="H38" s="253"/>
      <c r="I38" s="146"/>
      <c r="J38" s="318"/>
      <c r="K38" s="142"/>
      <c r="L38" s="142"/>
      <c r="M38" s="319" t="str">
        <f>M$10</f>
        <v>totaal</v>
      </c>
      <c r="N38" s="234"/>
      <c r="O38" s="320" t="str">
        <f t="shared" ref="O38:W38" si="40">O$17</f>
        <v/>
      </c>
      <c r="P38" s="320" t="str">
        <f t="shared" si="40"/>
        <v/>
      </c>
      <c r="Q38" s="320" t="str">
        <f t="shared" si="40"/>
        <v/>
      </c>
      <c r="R38" s="320" t="str">
        <f t="shared" si="40"/>
        <v/>
      </c>
      <c r="S38" s="320" t="str">
        <f t="shared" si="40"/>
        <v/>
      </c>
      <c r="T38" s="320" t="str">
        <f t="shared" si="40"/>
        <v/>
      </c>
      <c r="U38" s="320" t="str">
        <f t="shared" si="40"/>
        <v/>
      </c>
      <c r="V38" s="320" t="str">
        <f t="shared" si="40"/>
        <v/>
      </c>
      <c r="W38" s="320" t="str">
        <f t="shared" si="40"/>
        <v/>
      </c>
      <c r="X38" s="214"/>
      <c r="Y38" s="319" t="str">
        <f>Y$10</f>
        <v>totaal</v>
      </c>
      <c r="Z38" s="234"/>
      <c r="AA38" s="320" t="str">
        <f t="shared" ref="AA38:AI38" si="41">AA$17</f>
        <v/>
      </c>
      <c r="AB38" s="320" t="str">
        <f t="shared" si="41"/>
        <v/>
      </c>
      <c r="AC38" s="320" t="str">
        <f t="shared" si="41"/>
        <v/>
      </c>
      <c r="AD38" s="320" t="str">
        <f t="shared" si="41"/>
        <v/>
      </c>
      <c r="AE38" s="320" t="str">
        <f t="shared" si="41"/>
        <v/>
      </c>
      <c r="AF38" s="320" t="str">
        <f t="shared" si="41"/>
        <v/>
      </c>
      <c r="AG38" s="320" t="str">
        <f t="shared" si="41"/>
        <v/>
      </c>
      <c r="AH38" s="320" t="str">
        <f t="shared" si="41"/>
        <v/>
      </c>
      <c r="AI38" s="320" t="str">
        <f t="shared" si="41"/>
        <v/>
      </c>
      <c r="AJ38" s="214"/>
      <c r="AK38" s="319" t="str">
        <f>AK$10</f>
        <v>totaal</v>
      </c>
      <c r="AL38" s="234"/>
      <c r="AM38" s="320" t="str">
        <f>AM$17</f>
        <v/>
      </c>
      <c r="AN38" s="320" t="str">
        <f t="shared" ref="AN38:AU38" si="42">AN$17</f>
        <v/>
      </c>
      <c r="AO38" s="320" t="str">
        <f t="shared" si="42"/>
        <v/>
      </c>
      <c r="AP38" s="320" t="str">
        <f t="shared" si="42"/>
        <v/>
      </c>
      <c r="AQ38" s="320" t="str">
        <f t="shared" si="42"/>
        <v/>
      </c>
      <c r="AR38" s="320" t="str">
        <f t="shared" si="42"/>
        <v/>
      </c>
      <c r="AS38" s="320" t="str">
        <f t="shared" si="42"/>
        <v/>
      </c>
      <c r="AT38" s="320" t="str">
        <f t="shared" si="42"/>
        <v/>
      </c>
      <c r="AU38" s="320" t="str">
        <f t="shared" si="42"/>
        <v/>
      </c>
      <c r="AV38" s="214"/>
      <c r="AW38" s="319" t="str">
        <f>AW$10</f>
        <v>totaal</v>
      </c>
      <c r="AX38" s="234"/>
      <c r="AY38" s="320" t="str">
        <f>AY$17</f>
        <v/>
      </c>
      <c r="AZ38" s="320" t="str">
        <f t="shared" ref="AZ38:BG38" si="43">AZ$17</f>
        <v/>
      </c>
      <c r="BA38" s="320" t="str">
        <f t="shared" si="43"/>
        <v/>
      </c>
      <c r="BB38" s="320" t="str">
        <f t="shared" si="43"/>
        <v/>
      </c>
      <c r="BC38" s="320" t="str">
        <f t="shared" si="43"/>
        <v/>
      </c>
      <c r="BD38" s="320" t="str">
        <f t="shared" si="43"/>
        <v/>
      </c>
      <c r="BE38" s="320" t="str">
        <f t="shared" si="43"/>
        <v/>
      </c>
      <c r="BF38" s="320" t="str">
        <f t="shared" si="43"/>
        <v/>
      </c>
      <c r="BG38" s="320" t="str">
        <f t="shared" si="43"/>
        <v/>
      </c>
      <c r="BH38" s="1"/>
    </row>
    <row r="39" spans="1:60" ht="18.75" x14ac:dyDescent="0.2">
      <c r="A39" s="653"/>
      <c r="B39" s="492" t="s">
        <v>141</v>
      </c>
      <c r="C39" s="656" t="s">
        <v>127</v>
      </c>
      <c r="D39" s="747"/>
      <c r="E39" s="236" t="s">
        <v>143</v>
      </c>
      <c r="F39" s="236"/>
      <c r="G39" s="236"/>
      <c r="H39" s="89"/>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38"/>
    </row>
    <row r="40" spans="1:60" x14ac:dyDescent="0.2">
      <c r="A40" s="653"/>
      <c r="B40" s="492" t="s">
        <v>141</v>
      </c>
      <c r="C40" s="739" t="s">
        <v>127</v>
      </c>
      <c r="D40" s="750" t="s">
        <v>50</v>
      </c>
      <c r="E40" s="713" t="s">
        <v>144</v>
      </c>
      <c r="F40" s="713"/>
      <c r="G40" s="713"/>
      <c r="H40" s="183" t="s">
        <v>70</v>
      </c>
      <c r="I40" s="210"/>
      <c r="J40" s="711"/>
      <c r="K40" s="90"/>
      <c r="L40" s="90"/>
      <c r="M40" s="224"/>
      <c r="N40" s="236"/>
      <c r="O40" s="184" t="str">
        <f t="shared" ref="O40:W40" si="44">IF(O$19="","",IF(AND(O41&lt;&gt;"",
ISERROR(MATCH(O41,isolatiepakketten_gebouwschil_namen,0))=FALSE),O41,
INDEX(referentiepakketten_bij_gebouwen,MATCH(O$19,woningen_gebouwen_namen,0))))</f>
        <v/>
      </c>
      <c r="P40" s="184" t="str">
        <f t="shared" si="44"/>
        <v/>
      </c>
      <c r="Q40" s="184" t="str">
        <f t="shared" si="44"/>
        <v/>
      </c>
      <c r="R40" s="184" t="str">
        <f t="shared" si="44"/>
        <v/>
      </c>
      <c r="S40" s="184" t="str">
        <f t="shared" si="44"/>
        <v/>
      </c>
      <c r="T40" s="184" t="str">
        <f t="shared" si="44"/>
        <v/>
      </c>
      <c r="U40" s="184" t="str">
        <f t="shared" si="44"/>
        <v/>
      </c>
      <c r="V40" s="184" t="str">
        <f t="shared" si="44"/>
        <v/>
      </c>
      <c r="W40" s="184" t="str">
        <f t="shared" si="44"/>
        <v/>
      </c>
      <c r="X40" s="767"/>
      <c r="Y40" s="224"/>
      <c r="Z40" s="236"/>
      <c r="AA40" s="184" t="str">
        <f t="shared" ref="AA40:AI40" si="45">IF(AA$19="","",IF(AND(AA41&lt;&gt;"",
ISERROR(MATCH(AA41,isolatiepakketten_gebouwschil_namen,0))=FALSE),AA41,
INDEX(referentiepakketten_bij_gebouwen,MATCH(AA$19,woningen_gebouwen_namen,0))))</f>
        <v/>
      </c>
      <c r="AB40" s="184" t="str">
        <f t="shared" si="45"/>
        <v/>
      </c>
      <c r="AC40" s="184" t="str">
        <f t="shared" si="45"/>
        <v/>
      </c>
      <c r="AD40" s="184" t="str">
        <f t="shared" si="45"/>
        <v/>
      </c>
      <c r="AE40" s="184" t="str">
        <f t="shared" si="45"/>
        <v/>
      </c>
      <c r="AF40" s="184" t="str">
        <f t="shared" si="45"/>
        <v/>
      </c>
      <c r="AG40" s="184" t="str">
        <f t="shared" si="45"/>
        <v/>
      </c>
      <c r="AH40" s="184" t="str">
        <f t="shared" si="45"/>
        <v/>
      </c>
      <c r="AI40" s="184" t="str">
        <f t="shared" si="45"/>
        <v/>
      </c>
      <c r="AJ40" s="767"/>
      <c r="AK40" s="224"/>
      <c r="AL40" s="236"/>
      <c r="AM40" s="184" t="str">
        <f t="shared" ref="AM40:AU40" si="46">IF(AM$19="","",IF(AND(AM41&lt;&gt;"",
ISERROR(MATCH(AM41,isolatiepakketten_gebouwschil_namen,0))=FALSE),AM41,
INDEX(referentiepakketten_bij_gebouwen,MATCH(AM$19,woningen_gebouwen_namen,0))))</f>
        <v/>
      </c>
      <c r="AN40" s="184" t="str">
        <f t="shared" si="46"/>
        <v/>
      </c>
      <c r="AO40" s="184" t="str">
        <f t="shared" si="46"/>
        <v/>
      </c>
      <c r="AP40" s="184" t="str">
        <f t="shared" si="46"/>
        <v/>
      </c>
      <c r="AQ40" s="184" t="str">
        <f t="shared" si="46"/>
        <v/>
      </c>
      <c r="AR40" s="184" t="str">
        <f t="shared" si="46"/>
        <v/>
      </c>
      <c r="AS40" s="184" t="str">
        <f t="shared" si="46"/>
        <v/>
      </c>
      <c r="AT40" s="184" t="str">
        <f t="shared" si="46"/>
        <v/>
      </c>
      <c r="AU40" s="184" t="str">
        <f t="shared" si="46"/>
        <v/>
      </c>
      <c r="AV40" s="767"/>
      <c r="AW40" s="224"/>
      <c r="AX40" s="236"/>
      <c r="AY40" s="184" t="str">
        <f t="shared" ref="AY40:BG40" si="47">IF(AY$19="","",IF(AND(AY41&lt;&gt;"",
ISERROR(MATCH(AY41,isolatiepakketten_gebouwschil_namen,0))=FALSE),AY41,
INDEX(referentiepakketten_bij_gebouwen,MATCH(AY$19,woningen_gebouwen_namen,0))))</f>
        <v/>
      </c>
      <c r="AZ40" s="184" t="str">
        <f t="shared" si="47"/>
        <v/>
      </c>
      <c r="BA40" s="184" t="str">
        <f t="shared" si="47"/>
        <v/>
      </c>
      <c r="BB40" s="184" t="str">
        <f t="shared" si="47"/>
        <v/>
      </c>
      <c r="BC40" s="184" t="str">
        <f t="shared" si="47"/>
        <v/>
      </c>
      <c r="BD40" s="184" t="str">
        <f t="shared" si="47"/>
        <v/>
      </c>
      <c r="BE40" s="184" t="str">
        <f t="shared" si="47"/>
        <v/>
      </c>
      <c r="BF40" s="184" t="str">
        <f t="shared" si="47"/>
        <v/>
      </c>
      <c r="BG40" s="184" t="str">
        <f t="shared" si="47"/>
        <v/>
      </c>
      <c r="BH40" s="260"/>
    </row>
    <row r="41" spans="1:60" x14ac:dyDescent="0.2">
      <c r="A41" s="653"/>
      <c r="B41" s="492" t="s">
        <v>141</v>
      </c>
      <c r="C41" s="739" t="s">
        <v>127</v>
      </c>
      <c r="D41" s="747"/>
      <c r="E41" s="412" t="s">
        <v>1130</v>
      </c>
      <c r="F41" s="286"/>
      <c r="G41" s="286"/>
      <c r="H41" s="183" t="s">
        <v>70</v>
      </c>
      <c r="I41" s="210"/>
      <c r="J41" s="711"/>
      <c r="K41" s="90"/>
      <c r="L41" s="90"/>
      <c r="M41" s="224"/>
      <c r="N41" s="236"/>
      <c r="O41" s="1051"/>
      <c r="P41" s="1051"/>
      <c r="Q41" s="1051"/>
      <c r="R41" s="1051"/>
      <c r="S41" s="1051"/>
      <c r="T41" s="1051"/>
      <c r="U41" s="1051"/>
      <c r="V41" s="1051"/>
      <c r="W41" s="1051"/>
      <c r="X41" s="767"/>
      <c r="Y41" s="224"/>
      <c r="Z41" s="236"/>
      <c r="AA41" s="1051"/>
      <c r="AB41" s="1051"/>
      <c r="AC41" s="1051"/>
      <c r="AD41" s="1051"/>
      <c r="AE41" s="1051"/>
      <c r="AF41" s="1051"/>
      <c r="AG41" s="1051"/>
      <c r="AH41" s="1051"/>
      <c r="AI41" s="1051"/>
      <c r="AJ41" s="767"/>
      <c r="AK41" s="224"/>
      <c r="AL41" s="236"/>
      <c r="AM41" s="1051"/>
      <c r="AN41" s="1051"/>
      <c r="AO41" s="1051"/>
      <c r="AP41" s="1051"/>
      <c r="AQ41" s="1051"/>
      <c r="AR41" s="1051"/>
      <c r="AS41" s="1051"/>
      <c r="AT41" s="1051"/>
      <c r="AU41" s="1051"/>
      <c r="AV41" s="767"/>
      <c r="AW41" s="224"/>
      <c r="AX41" s="236"/>
      <c r="AY41" s="1051"/>
      <c r="AZ41" s="1051"/>
      <c r="BA41" s="1051"/>
      <c r="BB41" s="1051"/>
      <c r="BC41" s="1051"/>
      <c r="BD41" s="1051"/>
      <c r="BE41" s="1051"/>
      <c r="BF41" s="1051"/>
      <c r="BG41" s="1051"/>
      <c r="BH41" s="260"/>
    </row>
    <row r="42" spans="1:60" s="38" customFormat="1" ht="25.5" x14ac:dyDescent="0.2">
      <c r="A42" s="655"/>
      <c r="B42" s="492" t="s">
        <v>141</v>
      </c>
      <c r="C42" s="656" t="s">
        <v>127</v>
      </c>
      <c r="D42" s="751"/>
      <c r="E42" s="182" t="s">
        <v>145</v>
      </c>
      <c r="F42" s="182"/>
      <c r="G42" s="182"/>
      <c r="H42" s="183" t="s">
        <v>70</v>
      </c>
      <c r="I42" s="114"/>
      <c r="J42" s="711"/>
      <c r="K42" s="97"/>
      <c r="L42" s="97"/>
      <c r="M42" s="224"/>
      <c r="N42" s="99"/>
      <c r="O42" s="886" t="s">
        <v>146</v>
      </c>
      <c r="P42" s="886" t="s">
        <v>146</v>
      </c>
      <c r="Q42" s="886" t="s">
        <v>146</v>
      </c>
      <c r="R42" s="886" t="s">
        <v>146</v>
      </c>
      <c r="S42" s="886" t="s">
        <v>146</v>
      </c>
      <c r="T42" s="886" t="s">
        <v>146</v>
      </c>
      <c r="U42" s="886" t="s">
        <v>146</v>
      </c>
      <c r="V42" s="886" t="s">
        <v>146</v>
      </c>
      <c r="W42" s="886" t="s">
        <v>146</v>
      </c>
      <c r="X42" s="768"/>
      <c r="Y42" s="224"/>
      <c r="Z42" s="769"/>
      <c r="AA42" s="886" t="s">
        <v>146</v>
      </c>
      <c r="AB42" s="886" t="s">
        <v>146</v>
      </c>
      <c r="AC42" s="886" t="s">
        <v>146</v>
      </c>
      <c r="AD42" s="886" t="s">
        <v>146</v>
      </c>
      <c r="AE42" s="886" t="s">
        <v>146</v>
      </c>
      <c r="AF42" s="886" t="s">
        <v>146</v>
      </c>
      <c r="AG42" s="886" t="s">
        <v>146</v>
      </c>
      <c r="AH42" s="886" t="s">
        <v>146</v>
      </c>
      <c r="AI42" s="886" t="s">
        <v>146</v>
      </c>
      <c r="AJ42" s="768"/>
      <c r="AK42" s="224"/>
      <c r="AL42" s="770"/>
      <c r="AM42" s="886" t="s">
        <v>146</v>
      </c>
      <c r="AN42" s="886" t="s">
        <v>146</v>
      </c>
      <c r="AO42" s="886" t="s">
        <v>146</v>
      </c>
      <c r="AP42" s="886" t="s">
        <v>146</v>
      </c>
      <c r="AQ42" s="886" t="s">
        <v>146</v>
      </c>
      <c r="AR42" s="886" t="s">
        <v>146</v>
      </c>
      <c r="AS42" s="886" t="s">
        <v>146</v>
      </c>
      <c r="AT42" s="886" t="s">
        <v>146</v>
      </c>
      <c r="AU42" s="886" t="s">
        <v>146</v>
      </c>
      <c r="AV42" s="768"/>
      <c r="AW42" s="224"/>
      <c r="AX42" s="770"/>
      <c r="AY42" s="886" t="s">
        <v>146</v>
      </c>
      <c r="AZ42" s="886" t="s">
        <v>146</v>
      </c>
      <c r="BA42" s="886" t="s">
        <v>146</v>
      </c>
      <c r="BB42" s="886" t="s">
        <v>146</v>
      </c>
      <c r="BC42" s="886" t="s">
        <v>146</v>
      </c>
      <c r="BD42" s="886" t="s">
        <v>146</v>
      </c>
      <c r="BE42" s="886" t="s">
        <v>146</v>
      </c>
      <c r="BF42" s="886" t="s">
        <v>146</v>
      </c>
      <c r="BG42" s="886" t="s">
        <v>146</v>
      </c>
      <c r="BH42" s="262"/>
    </row>
    <row r="43" spans="1:60" ht="25.5" x14ac:dyDescent="0.2">
      <c r="A43" s="655"/>
      <c r="B43" s="492" t="s">
        <v>141</v>
      </c>
      <c r="C43" s="739" t="s">
        <v>127</v>
      </c>
      <c r="D43" s="751"/>
      <c r="E43" s="182" t="s">
        <v>147</v>
      </c>
      <c r="F43" s="182"/>
      <c r="G43" s="182"/>
      <c r="H43" s="183" t="s">
        <v>70</v>
      </c>
      <c r="I43" s="114"/>
      <c r="J43" s="224"/>
      <c r="K43" s="97"/>
      <c r="L43" s="97"/>
      <c r="M43" s="224"/>
      <c r="N43" s="99"/>
      <c r="O43" s="886" t="s">
        <v>148</v>
      </c>
      <c r="P43" s="886" t="s">
        <v>148</v>
      </c>
      <c r="Q43" s="886" t="s">
        <v>148</v>
      </c>
      <c r="R43" s="886" t="s">
        <v>148</v>
      </c>
      <c r="S43" s="886" t="s">
        <v>148</v>
      </c>
      <c r="T43" s="886" t="s">
        <v>148</v>
      </c>
      <c r="U43" s="886" t="s">
        <v>148</v>
      </c>
      <c r="V43" s="886" t="s">
        <v>148</v>
      </c>
      <c r="W43" s="886" t="s">
        <v>148</v>
      </c>
      <c r="X43" s="768"/>
      <c r="Y43" s="224"/>
      <c r="Z43" s="236"/>
      <c r="AA43" s="886" t="s">
        <v>148</v>
      </c>
      <c r="AB43" s="886" t="s">
        <v>148</v>
      </c>
      <c r="AC43" s="886" t="s">
        <v>148</v>
      </c>
      <c r="AD43" s="886" t="s">
        <v>148</v>
      </c>
      <c r="AE43" s="886" t="s">
        <v>148</v>
      </c>
      <c r="AF43" s="886" t="s">
        <v>148</v>
      </c>
      <c r="AG43" s="886" t="s">
        <v>148</v>
      </c>
      <c r="AH43" s="886" t="s">
        <v>148</v>
      </c>
      <c r="AI43" s="886" t="s">
        <v>148</v>
      </c>
      <c r="AJ43" s="768"/>
      <c r="AK43" s="224"/>
      <c r="AL43" s="770"/>
      <c r="AM43" s="886" t="s">
        <v>148</v>
      </c>
      <c r="AN43" s="886" t="s">
        <v>148</v>
      </c>
      <c r="AO43" s="886" t="s">
        <v>148</v>
      </c>
      <c r="AP43" s="886" t="s">
        <v>148</v>
      </c>
      <c r="AQ43" s="886" t="s">
        <v>148</v>
      </c>
      <c r="AR43" s="886" t="s">
        <v>148</v>
      </c>
      <c r="AS43" s="886" t="s">
        <v>148</v>
      </c>
      <c r="AT43" s="886" t="s">
        <v>148</v>
      </c>
      <c r="AU43" s="886" t="s">
        <v>148</v>
      </c>
      <c r="AV43" s="768"/>
      <c r="AW43" s="224"/>
      <c r="AX43" s="770"/>
      <c r="AY43" s="886" t="s">
        <v>148</v>
      </c>
      <c r="AZ43" s="886" t="s">
        <v>148</v>
      </c>
      <c r="BA43" s="886" t="s">
        <v>148</v>
      </c>
      <c r="BB43" s="886" t="s">
        <v>148</v>
      </c>
      <c r="BC43" s="886" t="s">
        <v>148</v>
      </c>
      <c r="BD43" s="886" t="s">
        <v>148</v>
      </c>
      <c r="BE43" s="886" t="s">
        <v>148</v>
      </c>
      <c r="BF43" s="886" t="s">
        <v>148</v>
      </c>
      <c r="BG43" s="886" t="s">
        <v>148</v>
      </c>
      <c r="BH43" s="262"/>
    </row>
    <row r="44" spans="1:60" x14ac:dyDescent="0.2">
      <c r="A44" s="655"/>
      <c r="B44" s="492" t="s">
        <v>141</v>
      </c>
      <c r="C44" s="739" t="s">
        <v>127</v>
      </c>
      <c r="D44" s="750" t="s">
        <v>50</v>
      </c>
      <c r="E44" s="182" t="s">
        <v>149</v>
      </c>
      <c r="F44" s="182"/>
      <c r="G44" s="182"/>
      <c r="H44" s="183" t="s">
        <v>150</v>
      </c>
      <c r="I44" s="210"/>
      <c r="J44" s="224"/>
      <c r="K44" s="90"/>
      <c r="L44" s="90"/>
      <c r="M44" s="224"/>
      <c r="N44" s="99"/>
      <c r="O44" s="887">
        <v>1</v>
      </c>
      <c r="P44" s="887">
        <v>1</v>
      </c>
      <c r="Q44" s="887">
        <v>1</v>
      </c>
      <c r="R44" s="887">
        <v>1</v>
      </c>
      <c r="S44" s="887">
        <v>1</v>
      </c>
      <c r="T44" s="887">
        <v>1</v>
      </c>
      <c r="U44" s="887">
        <v>1</v>
      </c>
      <c r="V44" s="887">
        <v>1</v>
      </c>
      <c r="W44" s="887">
        <v>1</v>
      </c>
      <c r="X44" s="767"/>
      <c r="Y44" s="224"/>
      <c r="Z44" s="236"/>
      <c r="AA44" s="887">
        <v>1</v>
      </c>
      <c r="AB44" s="887">
        <v>1</v>
      </c>
      <c r="AC44" s="887">
        <v>1</v>
      </c>
      <c r="AD44" s="887">
        <v>1</v>
      </c>
      <c r="AE44" s="887">
        <v>1</v>
      </c>
      <c r="AF44" s="887">
        <v>1</v>
      </c>
      <c r="AG44" s="887">
        <v>1</v>
      </c>
      <c r="AH44" s="887">
        <v>1</v>
      </c>
      <c r="AI44" s="887">
        <v>1</v>
      </c>
      <c r="AJ44" s="767"/>
      <c r="AK44" s="224"/>
      <c r="AL44" s="771"/>
      <c r="AM44" s="887">
        <v>1</v>
      </c>
      <c r="AN44" s="887">
        <v>1</v>
      </c>
      <c r="AO44" s="887">
        <v>1</v>
      </c>
      <c r="AP44" s="887">
        <v>1</v>
      </c>
      <c r="AQ44" s="887">
        <v>1</v>
      </c>
      <c r="AR44" s="887">
        <v>1</v>
      </c>
      <c r="AS44" s="887">
        <v>1</v>
      </c>
      <c r="AT44" s="887">
        <v>1</v>
      </c>
      <c r="AU44" s="887">
        <v>1</v>
      </c>
      <c r="AV44" s="767"/>
      <c r="AW44" s="224"/>
      <c r="AX44" s="771"/>
      <c r="AY44" s="887">
        <v>1</v>
      </c>
      <c r="AZ44" s="887">
        <v>1</v>
      </c>
      <c r="BA44" s="887">
        <v>1</v>
      </c>
      <c r="BB44" s="887">
        <v>1</v>
      </c>
      <c r="BC44" s="887">
        <v>1</v>
      </c>
      <c r="BD44" s="887">
        <v>1</v>
      </c>
      <c r="BE44" s="887">
        <v>1</v>
      </c>
      <c r="BF44" s="887">
        <v>1</v>
      </c>
      <c r="BG44" s="887">
        <v>1</v>
      </c>
      <c r="BH44" s="261"/>
    </row>
    <row r="45" spans="1:60" x14ac:dyDescent="0.2">
      <c r="A45" s="655"/>
      <c r="B45" s="492" t="s">
        <v>141</v>
      </c>
      <c r="C45" s="739" t="s">
        <v>127</v>
      </c>
      <c r="D45" s="750" t="s">
        <v>50</v>
      </c>
      <c r="E45" s="182" t="s">
        <v>151</v>
      </c>
      <c r="F45" s="182"/>
      <c r="G45" s="182"/>
      <c r="H45" s="183" t="s">
        <v>152</v>
      </c>
      <c r="I45" s="210"/>
      <c r="J45" s="282"/>
      <c r="K45" s="294"/>
      <c r="L45" s="294"/>
      <c r="M45" s="282"/>
      <c r="N45" s="99"/>
      <c r="O45" s="888"/>
      <c r="P45" s="888"/>
      <c r="Q45" s="888"/>
      <c r="R45" s="888"/>
      <c r="S45" s="888"/>
      <c r="T45" s="888"/>
      <c r="U45" s="888"/>
      <c r="V45" s="888"/>
      <c r="W45" s="888"/>
      <c r="X45" s="772"/>
      <c r="Y45" s="282"/>
      <c r="Z45" s="279"/>
      <c r="AA45" s="888"/>
      <c r="AB45" s="888"/>
      <c r="AC45" s="888"/>
      <c r="AD45" s="888"/>
      <c r="AE45" s="888"/>
      <c r="AF45" s="888"/>
      <c r="AG45" s="888"/>
      <c r="AH45" s="888"/>
      <c r="AI45" s="888"/>
      <c r="AJ45" s="772"/>
      <c r="AK45" s="282"/>
      <c r="AL45" s="773"/>
      <c r="AM45" s="888"/>
      <c r="AN45" s="888"/>
      <c r="AO45" s="888"/>
      <c r="AP45" s="888"/>
      <c r="AQ45" s="888"/>
      <c r="AR45" s="888"/>
      <c r="AS45" s="888"/>
      <c r="AT45" s="888"/>
      <c r="AU45" s="888"/>
      <c r="AV45" s="772"/>
      <c r="AW45" s="282"/>
      <c r="AX45" s="773"/>
      <c r="AY45" s="888"/>
      <c r="AZ45" s="888"/>
      <c r="BA45" s="888"/>
      <c r="BB45" s="888"/>
      <c r="BC45" s="888"/>
      <c r="BD45" s="888"/>
      <c r="BE45" s="888"/>
      <c r="BF45" s="888"/>
      <c r="BG45" s="888"/>
      <c r="BH45" s="261"/>
    </row>
    <row r="46" spans="1:60" x14ac:dyDescent="0.2">
      <c r="A46" s="655"/>
      <c r="B46" s="492" t="s">
        <v>141</v>
      </c>
      <c r="C46" s="739" t="s">
        <v>127</v>
      </c>
      <c r="D46" s="751"/>
      <c r="E46" s="182" t="s">
        <v>153</v>
      </c>
      <c r="F46" s="182"/>
      <c r="G46" s="182"/>
      <c r="H46" s="183" t="s">
        <v>70</v>
      </c>
      <c r="I46" s="114"/>
      <c r="J46" s="711"/>
      <c r="K46" s="97"/>
      <c r="L46" s="97"/>
      <c r="M46" s="224"/>
      <c r="N46" s="99"/>
      <c r="O46" s="886"/>
      <c r="P46" s="886"/>
      <c r="Q46" s="886"/>
      <c r="R46" s="886"/>
      <c r="S46" s="886"/>
      <c r="T46" s="886"/>
      <c r="U46" s="886"/>
      <c r="V46" s="886"/>
      <c r="W46" s="886"/>
      <c r="X46" s="768"/>
      <c r="Y46" s="224"/>
      <c r="Z46" s="236"/>
      <c r="AA46" s="886"/>
      <c r="AB46" s="886"/>
      <c r="AC46" s="886"/>
      <c r="AD46" s="886"/>
      <c r="AE46" s="886"/>
      <c r="AF46" s="886"/>
      <c r="AG46" s="886"/>
      <c r="AH46" s="886"/>
      <c r="AI46" s="886"/>
      <c r="AJ46" s="768"/>
      <c r="AK46" s="224"/>
      <c r="AL46" s="770"/>
      <c r="AM46" s="886"/>
      <c r="AN46" s="886"/>
      <c r="AO46" s="886"/>
      <c r="AP46" s="886"/>
      <c r="AQ46" s="886"/>
      <c r="AR46" s="886"/>
      <c r="AS46" s="886"/>
      <c r="AT46" s="886"/>
      <c r="AU46" s="886"/>
      <c r="AV46" s="768"/>
      <c r="AW46" s="224"/>
      <c r="AX46" s="770"/>
      <c r="AY46" s="886"/>
      <c r="AZ46" s="886"/>
      <c r="BA46" s="886"/>
      <c r="BB46" s="886"/>
      <c r="BC46" s="886"/>
      <c r="BD46" s="886"/>
      <c r="BE46" s="886"/>
      <c r="BF46" s="886"/>
      <c r="BG46" s="886"/>
      <c r="BH46" s="262"/>
    </row>
    <row r="47" spans="1:60" x14ac:dyDescent="0.2">
      <c r="A47" s="655"/>
      <c r="B47" s="492" t="s">
        <v>141</v>
      </c>
      <c r="C47" s="739" t="s">
        <v>127</v>
      </c>
      <c r="D47" s="751"/>
      <c r="E47" s="182" t="s">
        <v>155</v>
      </c>
      <c r="F47" s="182"/>
      <c r="G47" s="182"/>
      <c r="H47" s="183" t="s">
        <v>70</v>
      </c>
      <c r="I47" s="114"/>
      <c r="J47" s="711"/>
      <c r="K47" s="97"/>
      <c r="L47" s="97"/>
      <c r="M47" s="224"/>
      <c r="N47" s="99"/>
      <c r="O47" s="886" t="s">
        <v>156</v>
      </c>
      <c r="P47" s="886" t="s">
        <v>156</v>
      </c>
      <c r="Q47" s="886" t="s">
        <v>156</v>
      </c>
      <c r="R47" s="886" t="s">
        <v>156</v>
      </c>
      <c r="S47" s="886" t="s">
        <v>156</v>
      </c>
      <c r="T47" s="886" t="s">
        <v>156</v>
      </c>
      <c r="U47" s="886" t="s">
        <v>156</v>
      </c>
      <c r="V47" s="886" t="s">
        <v>156</v>
      </c>
      <c r="W47" s="886" t="s">
        <v>156</v>
      </c>
      <c r="X47" s="768"/>
      <c r="Y47" s="224"/>
      <c r="Z47" s="236"/>
      <c r="AA47" s="886" t="s">
        <v>156</v>
      </c>
      <c r="AB47" s="886" t="s">
        <v>156</v>
      </c>
      <c r="AC47" s="886" t="s">
        <v>156</v>
      </c>
      <c r="AD47" s="886" t="s">
        <v>156</v>
      </c>
      <c r="AE47" s="886" t="s">
        <v>156</v>
      </c>
      <c r="AF47" s="886" t="s">
        <v>156</v>
      </c>
      <c r="AG47" s="886" t="s">
        <v>156</v>
      </c>
      <c r="AH47" s="886" t="s">
        <v>156</v>
      </c>
      <c r="AI47" s="886" t="s">
        <v>156</v>
      </c>
      <c r="AJ47" s="768"/>
      <c r="AK47" s="224"/>
      <c r="AL47" s="770"/>
      <c r="AM47" s="886" t="s">
        <v>156</v>
      </c>
      <c r="AN47" s="886" t="s">
        <v>156</v>
      </c>
      <c r="AO47" s="886" t="s">
        <v>156</v>
      </c>
      <c r="AP47" s="886" t="s">
        <v>156</v>
      </c>
      <c r="AQ47" s="886" t="s">
        <v>156</v>
      </c>
      <c r="AR47" s="886" t="s">
        <v>156</v>
      </c>
      <c r="AS47" s="886" t="s">
        <v>156</v>
      </c>
      <c r="AT47" s="886" t="s">
        <v>156</v>
      </c>
      <c r="AU47" s="886" t="s">
        <v>156</v>
      </c>
      <c r="AV47" s="768"/>
      <c r="AW47" s="224"/>
      <c r="AX47" s="770"/>
      <c r="AY47" s="886" t="s">
        <v>156</v>
      </c>
      <c r="AZ47" s="886" t="s">
        <v>156</v>
      </c>
      <c r="BA47" s="886" t="s">
        <v>156</v>
      </c>
      <c r="BB47" s="886" t="s">
        <v>156</v>
      </c>
      <c r="BC47" s="886" t="s">
        <v>156</v>
      </c>
      <c r="BD47" s="886" t="s">
        <v>156</v>
      </c>
      <c r="BE47" s="886" t="s">
        <v>156</v>
      </c>
      <c r="BF47" s="886" t="s">
        <v>156</v>
      </c>
      <c r="BG47" s="886" t="s">
        <v>156</v>
      </c>
      <c r="BH47" s="262"/>
    </row>
    <row r="48" spans="1:60" x14ac:dyDescent="0.2">
      <c r="A48" s="655"/>
      <c r="B48" s="492" t="s">
        <v>141</v>
      </c>
      <c r="C48" s="739" t="s">
        <v>127</v>
      </c>
      <c r="D48" s="750" t="s">
        <v>50</v>
      </c>
      <c r="E48" s="182" t="s">
        <v>157</v>
      </c>
      <c r="F48" s="182"/>
      <c r="G48" s="182"/>
      <c r="H48" s="183" t="s">
        <v>150</v>
      </c>
      <c r="I48" s="210"/>
      <c r="J48" s="224"/>
      <c r="K48" s="90"/>
      <c r="L48" s="90"/>
      <c r="M48" s="224"/>
      <c r="N48" s="99"/>
      <c r="O48" s="887">
        <v>0</v>
      </c>
      <c r="P48" s="887">
        <v>0</v>
      </c>
      <c r="Q48" s="887">
        <v>0</v>
      </c>
      <c r="R48" s="887">
        <v>0</v>
      </c>
      <c r="S48" s="887">
        <v>0</v>
      </c>
      <c r="T48" s="887">
        <v>0</v>
      </c>
      <c r="U48" s="887">
        <v>0</v>
      </c>
      <c r="V48" s="887">
        <v>0</v>
      </c>
      <c r="W48" s="887">
        <v>0</v>
      </c>
      <c r="X48" s="767"/>
      <c r="Y48" s="224"/>
      <c r="Z48" s="236"/>
      <c r="AA48" s="887">
        <v>0</v>
      </c>
      <c r="AB48" s="887">
        <v>0</v>
      </c>
      <c r="AC48" s="887">
        <v>0</v>
      </c>
      <c r="AD48" s="887">
        <v>0</v>
      </c>
      <c r="AE48" s="887">
        <v>0</v>
      </c>
      <c r="AF48" s="887">
        <v>0</v>
      </c>
      <c r="AG48" s="887">
        <v>0</v>
      </c>
      <c r="AH48" s="887">
        <v>0</v>
      </c>
      <c r="AI48" s="887">
        <v>0</v>
      </c>
      <c r="AJ48" s="767"/>
      <c r="AK48" s="224"/>
      <c r="AL48" s="771"/>
      <c r="AM48" s="887">
        <v>0</v>
      </c>
      <c r="AN48" s="887">
        <v>0</v>
      </c>
      <c r="AO48" s="887">
        <v>0</v>
      </c>
      <c r="AP48" s="887">
        <v>0</v>
      </c>
      <c r="AQ48" s="887">
        <v>0</v>
      </c>
      <c r="AR48" s="887">
        <v>0</v>
      </c>
      <c r="AS48" s="887">
        <v>0</v>
      </c>
      <c r="AT48" s="887">
        <v>0</v>
      </c>
      <c r="AU48" s="887">
        <v>0</v>
      </c>
      <c r="AV48" s="767"/>
      <c r="AW48" s="224"/>
      <c r="AX48" s="771"/>
      <c r="AY48" s="887">
        <v>0</v>
      </c>
      <c r="AZ48" s="887">
        <v>0</v>
      </c>
      <c r="BA48" s="887">
        <v>0</v>
      </c>
      <c r="BB48" s="887">
        <v>0</v>
      </c>
      <c r="BC48" s="887">
        <v>0</v>
      </c>
      <c r="BD48" s="887">
        <v>0</v>
      </c>
      <c r="BE48" s="887">
        <v>0</v>
      </c>
      <c r="BF48" s="887">
        <v>0</v>
      </c>
      <c r="BG48" s="887">
        <v>0</v>
      </c>
      <c r="BH48" s="261"/>
    </row>
    <row r="49" spans="1:60" ht="18.75" x14ac:dyDescent="0.2">
      <c r="A49" s="653"/>
      <c r="B49" s="492" t="s">
        <v>158</v>
      </c>
      <c r="C49" s="739" t="s">
        <v>104</v>
      </c>
      <c r="D49" s="749"/>
      <c r="E49" s="708" t="s">
        <v>159</v>
      </c>
      <c r="F49" s="167"/>
      <c r="G49" s="167"/>
      <c r="H49" s="89"/>
      <c r="I49" s="169"/>
      <c r="J49" s="170"/>
      <c r="K49" s="142"/>
      <c r="L49" s="142"/>
      <c r="M49" s="186"/>
      <c r="N49" s="186"/>
      <c r="O49" s="186"/>
      <c r="P49" s="186"/>
      <c r="Q49" s="186"/>
      <c r="R49" s="186"/>
      <c r="S49" s="186"/>
      <c r="T49" s="186"/>
      <c r="U49" s="186"/>
      <c r="V49" s="186"/>
      <c r="W49" s="186"/>
      <c r="X49" s="173"/>
      <c r="Y49" s="172"/>
      <c r="Z49" s="172"/>
      <c r="AA49" s="172"/>
      <c r="AB49" s="172"/>
      <c r="AC49" s="172"/>
      <c r="AD49" s="172"/>
      <c r="AE49" s="172"/>
      <c r="AF49" s="172"/>
      <c r="AG49" s="172"/>
      <c r="AH49" s="172"/>
      <c r="AI49" s="172"/>
      <c r="AJ49" s="173"/>
      <c r="AK49" s="172"/>
      <c r="AL49" s="172"/>
      <c r="AM49" s="172"/>
      <c r="AN49" s="172"/>
      <c r="AO49" s="172"/>
      <c r="AP49" s="172"/>
      <c r="AQ49" s="172"/>
      <c r="AR49" s="172"/>
      <c r="AS49" s="172"/>
      <c r="AT49" s="172"/>
      <c r="AU49" s="172"/>
      <c r="AV49" s="173"/>
      <c r="AW49" s="172"/>
      <c r="AX49" s="172"/>
      <c r="AY49" s="172"/>
      <c r="AZ49" s="172"/>
      <c r="BA49" s="172"/>
      <c r="BB49" s="172"/>
      <c r="BC49" s="172"/>
      <c r="BD49" s="172"/>
      <c r="BE49" s="172"/>
      <c r="BF49" s="172"/>
      <c r="BG49" s="172"/>
      <c r="BH49" s="263"/>
    </row>
    <row r="50" spans="1:60" x14ac:dyDescent="0.2">
      <c r="A50" s="655"/>
      <c r="B50" s="492" t="s">
        <v>141</v>
      </c>
      <c r="C50" s="739" t="s">
        <v>127</v>
      </c>
      <c r="D50" s="751"/>
      <c r="E50" s="182" t="s">
        <v>160</v>
      </c>
      <c r="F50" s="182"/>
      <c r="G50" s="182"/>
      <c r="H50" s="183" t="s">
        <v>70</v>
      </c>
      <c r="I50" s="116"/>
      <c r="J50" s="774" t="str">
        <f>IF(COUNTIF(N50:X50,"nee")&gt;0,"nee: locatie 1",
IF(COUNTIF(Z50:AJ50,"nee")&gt;0,"nee: locatie 2",
IF(COUNTIF(AL50:AV50,"nee")&gt;0,"nee: locatie 3",
IF(COUNTIF(AX50:BH50,"nee")&gt;0,"nee: locatie 4",
"OK"))))</f>
        <v>OK</v>
      </c>
      <c r="K50" s="818"/>
      <c r="L50" s="818"/>
      <c r="M50" s="224"/>
      <c r="N50" s="775"/>
      <c r="O50" s="776" t="str">
        <f>IF(OR(O$19="",O$24=0),"",IF(OR(O$40="",O$42="",AND(O$42&lt;&gt;bibliotheek!$E$51,O$43=""),O$44="",AND(O$21&lt;&gt;woning,O$21&lt;&gt;woongebouw,O$45=""),AND(O$21&lt;&gt;woning,O$21&lt;&gt;woongebouw,O$46=""),AND(OR(O$21=woning,O$21=woongebouw),O$47=""),O$48=""),"nee","ja"))</f>
        <v/>
      </c>
      <c r="P50" s="776" t="str">
        <f>IF(OR(P$19="",P$24=0),"",IF(OR(P$40="",P$42="",AND(P$42&lt;&gt;bibliotheek!$E$51,P$43=""),P$44="",AND(P$21&lt;&gt;woning,P$21&lt;&gt;woongebouw,P$45=""),AND(P$21&lt;&gt;woning,P$21&lt;&gt;woongebouw,P$46=""),AND(OR(P$21=woning,P$21=woongebouw),P$47=""),P$48=""),"nee","ja"))</f>
        <v/>
      </c>
      <c r="Q50" s="776" t="str">
        <f>IF(OR(Q$19="",Q$24=0),"",IF(OR(Q$40="",Q$42="",AND(Q$42&lt;&gt;bibliotheek!$E$51,Q$43=""),Q$44="",AND(Q$21&lt;&gt;woning,Q$21&lt;&gt;woongebouw,Q$45=""),AND(Q$21&lt;&gt;woning,Q$21&lt;&gt;woongebouw,Q$46=""),AND(OR(Q$21=woning,Q$21=woongebouw),Q$47=""),Q$48=""),"nee","ja"))</f>
        <v/>
      </c>
      <c r="R50" s="776" t="str">
        <f>IF(OR(R$19="",R$24=0),"",IF(OR(R$40="",R$42="",AND(R$42&lt;&gt;bibliotheek!$E$51,R$43=""),R$44="",AND(R$21&lt;&gt;woning,R$21&lt;&gt;woongebouw,R$45=""),AND(R$21&lt;&gt;woning,R$21&lt;&gt;woongebouw,R$46=""),AND(OR(R$21=woning,R$21=woongebouw),R$47=""),R$48=""),"nee","ja"))</f>
        <v/>
      </c>
      <c r="S50" s="776" t="str">
        <f>IF(OR(S$19="",S$24=0),"",IF(OR(S$40="",S$42="",AND(S$42&lt;&gt;bibliotheek!$E$51,S$43=""),S$44="",AND(S$21&lt;&gt;woning,S$21&lt;&gt;woongebouw,S$45=""),AND(S$21&lt;&gt;woning,S$21&lt;&gt;woongebouw,S$46=""),AND(OR(S$21=woning,S$21=woongebouw),S$47=""),S$48=""),"nee","ja"))</f>
        <v/>
      </c>
      <c r="T50" s="776" t="str">
        <f>IF(OR(T$19="",T$24=0),"",IF(OR(T$40="",T$42="",AND(T$42&lt;&gt;bibliotheek!$E$51,T$43=""),T$44="",AND(T$21&lt;&gt;woning,T$21&lt;&gt;woongebouw,T$45=""),AND(T$21&lt;&gt;woning,T$21&lt;&gt;woongebouw,T$46=""),AND(OR(T$21=woning,T$21=woongebouw),T$47=""),T$48=""),"nee","ja"))</f>
        <v/>
      </c>
      <c r="U50" s="776" t="str">
        <f>IF(OR(U$19="",U$24=0),"",IF(OR(U$40="",U$42="",AND(U$42&lt;&gt;bibliotheek!$E$51,U$43=""),U$44="",AND(U$21&lt;&gt;woning,U$21&lt;&gt;woongebouw,U$45=""),AND(U$21&lt;&gt;woning,U$21&lt;&gt;woongebouw,U$46=""),AND(OR(U$21=woning,U$21=woongebouw),U$47=""),U$48=""),"nee","ja"))</f>
        <v/>
      </c>
      <c r="V50" s="776" t="str">
        <f>IF(OR(V$19="",V$24=0),"",IF(OR(V$40="",V$42="",AND(V$42&lt;&gt;bibliotheek!$E$51,V$43=""),V$44="",AND(V$21&lt;&gt;woning,V$21&lt;&gt;woongebouw,V$45=""),AND(V$21&lt;&gt;woning,V$21&lt;&gt;woongebouw,V$46=""),AND(OR(V$21=woning,V$21=woongebouw),V$47=""),V$48=""),"nee","ja"))</f>
        <v/>
      </c>
      <c r="W50" s="776" t="str">
        <f>IF(OR(W$19="",W$24=0),"",IF(OR(W$40="",W$42="",AND(W$42&lt;&gt;bibliotheek!$E$51,W$43=""),W$44="",AND(W$21&lt;&gt;woning,W$21&lt;&gt;woongebouw,W$45=""),AND(W$21&lt;&gt;woning,W$21&lt;&gt;woongebouw,W$46=""),AND(OR(W$21=woning,W$21=woongebouw),W$47=""),W$48=""),"nee","ja"))</f>
        <v/>
      </c>
      <c r="X50" s="777"/>
      <c r="Y50" s="224"/>
      <c r="Z50" s="236"/>
      <c r="AA50" s="776" t="str">
        <f>IF(OR(AA$19="",AA$24=0),"",IF(OR(AA$40="",AA$42="",AND(AA$42&lt;&gt;bibliotheek!$E$51,AA$43=""),AA$44="",AND(AA$21&lt;&gt;woning,AA$21&lt;&gt;woongebouw,AA$45=""),AND(AA$21&lt;&gt;woning,AA$21&lt;&gt;woongebouw,AA$46=""),AND(OR(AA$21=woning,AA$21=woongebouw),AA$47=""),AA$48=""),"nee","ja"))</f>
        <v/>
      </c>
      <c r="AB50" s="776" t="str">
        <f>IF(OR(AB$19="",AB$24=0),"",IF(OR(AB$40="",AB$42="",AND(AB$42&lt;&gt;bibliotheek!$E$51,AB$43=""),AB$44="",AND(AB$21&lt;&gt;woning,AB$21&lt;&gt;woongebouw,AB$45=""),AND(AB$21&lt;&gt;woning,AB$21&lt;&gt;woongebouw,AB$46=""),AND(OR(AB$21=woning,AB$21=woongebouw),AB$47=""),AB$48=""),"nee","ja"))</f>
        <v/>
      </c>
      <c r="AC50" s="776" t="str">
        <f>IF(OR(AC$19="",AC$24=0),"",IF(OR(AC$40="",AC$42="",AND(AC$42&lt;&gt;bibliotheek!$E$51,AC$43=""),AC$44="",AND(AC$21&lt;&gt;woning,AC$21&lt;&gt;woongebouw,AC$45=""),AND(AC$21&lt;&gt;woning,AC$21&lt;&gt;woongebouw,AC$46=""),AND(OR(AC$21=woning,AC$21=woongebouw),AC$47=""),AC$48=""),"nee","ja"))</f>
        <v/>
      </c>
      <c r="AD50" s="776" t="str">
        <f>IF(OR(AD$19="",AD$24=0),"",IF(OR(AD$40="",AD$42="",AND(AD$42&lt;&gt;bibliotheek!$E$51,AD$43=""),AD$44="",AND(AD$21&lt;&gt;woning,AD$21&lt;&gt;woongebouw,AD$45=""),AND(AD$21&lt;&gt;woning,AD$21&lt;&gt;woongebouw,AD$46=""),AND(OR(AD$21=woning,AD$21=woongebouw),AD$47=""),AD$48=""),"nee","ja"))</f>
        <v/>
      </c>
      <c r="AE50" s="776" t="str">
        <f>IF(OR(AE$19="",AE$24=0),"",IF(OR(AE$40="",AE$42="",AND(AE$42&lt;&gt;bibliotheek!$E$51,AE$43=""),AE$44="",AND(AE$21&lt;&gt;woning,AE$21&lt;&gt;woongebouw,AE$45=""),AND(AE$21&lt;&gt;woning,AE$21&lt;&gt;woongebouw,AE$46=""),AND(OR(AE$21=woning,AE$21=woongebouw),AE$47=""),AE$48=""),"nee","ja"))</f>
        <v/>
      </c>
      <c r="AF50" s="776" t="str">
        <f>IF(OR(AF$19="",AF$24=0),"",IF(OR(AF$40="",AF$42="",AND(AF$42&lt;&gt;bibliotheek!$E$51,AF$43=""),AF$44="",AND(AF$21&lt;&gt;woning,AF$21&lt;&gt;woongebouw,AF$45=""),AND(AF$21&lt;&gt;woning,AF$21&lt;&gt;woongebouw,AF$46=""),AND(OR(AF$21=woning,AF$21=woongebouw),AF$47=""),AF$48=""),"nee","ja"))</f>
        <v/>
      </c>
      <c r="AG50" s="776" t="str">
        <f>IF(OR(AG$19="",AG$24=0),"",IF(OR(AG$40="",AG$42="",AND(AG$42&lt;&gt;bibliotheek!$E$51,AG$43=""),AG$44="",AND(AG$21&lt;&gt;woning,AG$21&lt;&gt;woongebouw,AG$45=""),AND(AG$21&lt;&gt;woning,AG$21&lt;&gt;woongebouw,AG$46=""),AND(OR(AG$21=woning,AG$21=woongebouw),AG$47=""),AG$48=""),"nee","ja"))</f>
        <v/>
      </c>
      <c r="AH50" s="776" t="str">
        <f>IF(OR(AH$19="",AH$24=0),"",IF(OR(AH$40="",AH$42="",AND(AH$42&lt;&gt;bibliotheek!$E$51,AH$43=""),AH$44="",AND(AH$21&lt;&gt;woning,AH$21&lt;&gt;woongebouw,AH$45=""),AND(AH$21&lt;&gt;woning,AH$21&lt;&gt;woongebouw,AH$46=""),AND(OR(AH$21=woning,AH$21=woongebouw),AH$47=""),AH$48=""),"nee","ja"))</f>
        <v/>
      </c>
      <c r="AI50" s="776" t="str">
        <f>IF(OR(AI$19="",AI$24=0),"",IF(OR(AI$40="",AI$42="",AND(AI$42&lt;&gt;bibliotheek!$E$51,AI$43=""),AI$44="",AND(AI$21&lt;&gt;woning,AI$21&lt;&gt;woongebouw,AI$45=""),AND(AI$21&lt;&gt;woning,AI$21&lt;&gt;woongebouw,AI$46=""),AND(OR(AI$21=woning,AI$21=woongebouw),AI$47=""),AI$48=""),"nee","ja"))</f>
        <v/>
      </c>
      <c r="AJ50" s="777"/>
      <c r="AK50" s="224"/>
      <c r="AL50" s="778"/>
      <c r="AM50" s="776" t="str">
        <f>IF(OR(AM$19="",AM$24=0),"",IF(OR(AM$40="",AM$42="",AND(AM$42&lt;&gt;bibliotheek!$E$51,AM$43=""),AM$44="",AND(AM$21&lt;&gt;woning,AM$21&lt;&gt;woongebouw,AM$45=""),AND(AM$21&lt;&gt;woning,AM$21&lt;&gt;woongebouw,AM$46=""),AND(OR(AM$21=woning,AM$21=woongebouw),AM$47=""),AM$48=""),"nee","ja"))</f>
        <v/>
      </c>
      <c r="AN50" s="776" t="str">
        <f>IF(OR(AN$19="",AN$24=0),"",IF(OR(AN$40="",AN$42="",AND(AN$42&lt;&gt;bibliotheek!$E$51,AN$43=""),AN$44="",AND(AN$21&lt;&gt;woning,AN$21&lt;&gt;woongebouw,AN$45=""),AND(AN$21&lt;&gt;woning,AN$21&lt;&gt;woongebouw,AN$46=""),AND(OR(AN$21=woning,AN$21=woongebouw),AN$47=""),AN$48=""),"nee","ja"))</f>
        <v/>
      </c>
      <c r="AO50" s="776" t="str">
        <f>IF(OR(AO$19="",AO$24=0),"",IF(OR(AO$40="",AO$42="",AND(AO$42&lt;&gt;bibliotheek!$E$51,AO$43=""),AO$44="",AND(AO$21&lt;&gt;woning,AO$21&lt;&gt;woongebouw,AO$45=""),AND(AO$21&lt;&gt;woning,AO$21&lt;&gt;woongebouw,AO$46=""),AND(OR(AO$21=woning,AO$21=woongebouw),AO$47=""),AO$48=""),"nee","ja"))</f>
        <v/>
      </c>
      <c r="AP50" s="776" t="str">
        <f>IF(OR(AP$19="",AP$24=0),"",IF(OR(AP$40="",AP$42="",AND(AP$42&lt;&gt;bibliotheek!$E$51,AP$43=""),AP$44="",AND(AP$21&lt;&gt;woning,AP$21&lt;&gt;woongebouw,AP$45=""),AND(AP$21&lt;&gt;woning,AP$21&lt;&gt;woongebouw,AP$46=""),AND(OR(AP$21=woning,AP$21=woongebouw),AP$47=""),AP$48=""),"nee","ja"))</f>
        <v/>
      </c>
      <c r="AQ50" s="776" t="str">
        <f>IF(OR(AQ$19="",AQ$24=0),"",IF(OR(AQ$40="",AQ$42="",AND(AQ$42&lt;&gt;bibliotheek!$E$51,AQ$43=""),AQ$44="",AND(AQ$21&lt;&gt;woning,AQ$21&lt;&gt;woongebouw,AQ$45=""),AND(AQ$21&lt;&gt;woning,AQ$21&lt;&gt;woongebouw,AQ$46=""),AND(OR(AQ$21=woning,AQ$21=woongebouw),AQ$47=""),AQ$48=""),"nee","ja"))</f>
        <v/>
      </c>
      <c r="AR50" s="776" t="str">
        <f>IF(OR(AR$19="",AR$24=0),"",IF(OR(AR$40="",AR$42="",AND(AR$42&lt;&gt;bibliotheek!$E$51,AR$43=""),AR$44="",AND(AR$21&lt;&gt;woning,AR$21&lt;&gt;woongebouw,AR$45=""),AND(AR$21&lt;&gt;woning,AR$21&lt;&gt;woongebouw,AR$46=""),AND(OR(AR$21=woning,AR$21=woongebouw),AR$47=""),AR$48=""),"nee","ja"))</f>
        <v/>
      </c>
      <c r="AS50" s="776" t="str">
        <f>IF(OR(AS$19="",AS$24=0),"",IF(OR(AS$40="",AS$42="",AND(AS$42&lt;&gt;bibliotheek!$E$51,AS$43=""),AS$44="",AND(AS$21&lt;&gt;woning,AS$21&lt;&gt;woongebouw,AS$45=""),AND(AS$21&lt;&gt;woning,AS$21&lt;&gt;woongebouw,AS$46=""),AND(OR(AS$21=woning,AS$21=woongebouw),AS$47=""),AS$48=""),"nee","ja"))</f>
        <v/>
      </c>
      <c r="AT50" s="776" t="str">
        <f>IF(OR(AT$19="",AT$24=0),"",IF(OR(AT$40="",AT$42="",AND(AT$42&lt;&gt;bibliotheek!$E$51,AT$43=""),AT$44="",AND(AT$21&lt;&gt;woning,AT$21&lt;&gt;woongebouw,AT$45=""),AND(AT$21&lt;&gt;woning,AT$21&lt;&gt;woongebouw,AT$46=""),AND(OR(AT$21=woning,AT$21=woongebouw),AT$47=""),AT$48=""),"nee","ja"))</f>
        <v/>
      </c>
      <c r="AU50" s="776" t="str">
        <f>IF(OR(AU$19="",AU$24=0),"",IF(OR(AU$40="",AU$42="",AND(AU$42&lt;&gt;bibliotheek!$E$51,AU$43=""),AU$44="",AND(AU$21&lt;&gt;woning,AU$21&lt;&gt;woongebouw,AU$45=""),AND(AU$21&lt;&gt;woning,AU$21&lt;&gt;woongebouw,AU$46=""),AND(OR(AU$21=woning,AU$21=woongebouw),AU$47=""),AU$48=""),"nee","ja"))</f>
        <v/>
      </c>
      <c r="AV50" s="777"/>
      <c r="AW50" s="224"/>
      <c r="AX50" s="778"/>
      <c r="AY50" s="776" t="str">
        <f>IF(OR(AY$19="",AY$24=0),"",IF(OR(AY$40="",AY$42="",AND(AY$42&lt;&gt;bibliotheek!$E$51,AY$43=""),AY$44="",AND(AY$21&lt;&gt;woning,AY$21&lt;&gt;woongebouw,AY$45=""),AND(AY$21&lt;&gt;woning,AY$21&lt;&gt;woongebouw,AY$46=""),AND(OR(AY$21=woning,AY$21=woongebouw),AY$47=""),AY$48=""),"nee","ja"))</f>
        <v/>
      </c>
      <c r="AZ50" s="776" t="str">
        <f>IF(OR(AZ$19="",AZ$24=0),"",IF(OR(AZ$40="",AZ$42="",AND(AZ$42&lt;&gt;bibliotheek!$E$51,AZ$43=""),AZ$44="",AND(AZ$21&lt;&gt;woning,AZ$21&lt;&gt;woongebouw,AZ$45=""),AND(AZ$21&lt;&gt;woning,AZ$21&lt;&gt;woongebouw,AZ$46=""),AND(OR(AZ$21=woning,AZ$21=woongebouw),AZ$47=""),AZ$48=""),"nee","ja"))</f>
        <v/>
      </c>
      <c r="BA50" s="776" t="str">
        <f>IF(OR(BA$19="",BA$24=0),"",IF(OR(BA$40="",BA$42="",AND(BA$42&lt;&gt;bibliotheek!$E$51,BA$43=""),BA$44="",AND(BA$21&lt;&gt;woning,BA$21&lt;&gt;woongebouw,BA$45=""),AND(BA$21&lt;&gt;woning,BA$21&lt;&gt;woongebouw,BA$46=""),AND(OR(BA$21=woning,BA$21=woongebouw),BA$47=""),BA$48=""),"nee","ja"))</f>
        <v/>
      </c>
      <c r="BB50" s="776" t="str">
        <f>IF(OR(BB$19="",BB$24=0),"",IF(OR(BB$40="",BB$42="",AND(BB$42&lt;&gt;bibliotheek!$E$51,BB$43=""),BB$44="",AND(BB$21&lt;&gt;woning,BB$21&lt;&gt;woongebouw,BB$45=""),AND(BB$21&lt;&gt;woning,BB$21&lt;&gt;woongebouw,BB$46=""),AND(OR(BB$21=woning,BB$21=woongebouw),BB$47=""),BB$48=""),"nee","ja"))</f>
        <v/>
      </c>
      <c r="BC50" s="776" t="str">
        <f>IF(OR(BC$19="",BC$24=0),"",IF(OR(BC$40="",BC$42="",AND(BC$42&lt;&gt;bibliotheek!$E$51,BC$43=""),BC$44="",AND(BC$21&lt;&gt;woning,BC$21&lt;&gt;woongebouw,BC$45=""),AND(BC$21&lt;&gt;woning,BC$21&lt;&gt;woongebouw,BC$46=""),AND(OR(BC$21=woning,BC$21=woongebouw),BC$47=""),BC$48=""),"nee","ja"))</f>
        <v/>
      </c>
      <c r="BD50" s="776" t="str">
        <f>IF(OR(BD$19="",BD$24=0),"",IF(OR(BD$40="",BD$42="",AND(BD$42&lt;&gt;bibliotheek!$E$51,BD$43=""),BD$44="",AND(BD$21&lt;&gt;woning,BD$21&lt;&gt;woongebouw,BD$45=""),AND(BD$21&lt;&gt;woning,BD$21&lt;&gt;woongebouw,BD$46=""),AND(OR(BD$21=woning,BD$21=woongebouw),BD$47=""),BD$48=""),"nee","ja"))</f>
        <v/>
      </c>
      <c r="BE50" s="776" t="str">
        <f>IF(OR(BE$19="",BE$24=0),"",IF(OR(BE$40="",BE$42="",AND(BE$42&lt;&gt;bibliotheek!$E$51,BE$43=""),BE$44="",AND(BE$21&lt;&gt;woning,BE$21&lt;&gt;woongebouw,BE$45=""),AND(BE$21&lt;&gt;woning,BE$21&lt;&gt;woongebouw,BE$46=""),AND(OR(BE$21=woning,BE$21=woongebouw),BE$47=""),BE$48=""),"nee","ja"))</f>
        <v/>
      </c>
      <c r="BF50" s="776" t="str">
        <f>IF(OR(BF$19="",BF$24=0),"",IF(OR(BF$40="",BF$42="",AND(BF$42&lt;&gt;bibliotheek!$E$51,BF$43=""),BF$44="",AND(BF$21&lt;&gt;woning,BF$21&lt;&gt;woongebouw,BF$45=""),AND(BF$21&lt;&gt;woning,BF$21&lt;&gt;woongebouw,BF$46=""),AND(OR(BF$21=woning,BF$21=woongebouw),BF$47=""),BF$48=""),"nee","ja"))</f>
        <v/>
      </c>
      <c r="BG50" s="776" t="str">
        <f>IF(OR(BG$19="",BG$24=0),"",IF(OR(BG$40="",BG$42="",AND(BG$42&lt;&gt;bibliotheek!$E$51,BG$43=""),BG$44="",AND(BG$21&lt;&gt;woning,BG$21&lt;&gt;woongebouw,BG$45=""),AND(BG$21&lt;&gt;woning,BG$21&lt;&gt;woongebouw,BG$46=""),AND(OR(BG$21=woning,BG$21=woongebouw),BG$47=""),BG$48=""),"nee","ja"))</f>
        <v/>
      </c>
      <c r="BH50" s="261"/>
    </row>
    <row r="51" spans="1:60" ht="18.75" x14ac:dyDescent="0.2">
      <c r="A51" s="653"/>
      <c r="B51" s="492" t="s">
        <v>158</v>
      </c>
      <c r="C51" s="739" t="s">
        <v>104</v>
      </c>
      <c r="D51" s="749"/>
      <c r="E51" s="708" t="s">
        <v>161</v>
      </c>
      <c r="F51" s="167"/>
      <c r="G51" s="167"/>
      <c r="H51" s="89"/>
      <c r="I51" s="169"/>
      <c r="J51" s="170"/>
      <c r="K51" s="142"/>
      <c r="L51" s="142"/>
      <c r="M51" s="186"/>
      <c r="N51" s="186"/>
      <c r="O51" s="186"/>
      <c r="P51" s="186"/>
      <c r="Q51" s="186"/>
      <c r="R51" s="186"/>
      <c r="S51" s="186"/>
      <c r="T51" s="186"/>
      <c r="U51" s="186"/>
      <c r="V51" s="186"/>
      <c r="W51" s="186"/>
      <c r="X51" s="186"/>
      <c r="Y51" s="172"/>
      <c r="Z51" s="172"/>
      <c r="AA51" s="172"/>
      <c r="AB51" s="172"/>
      <c r="AC51" s="172"/>
      <c r="AD51" s="172"/>
      <c r="AE51" s="172"/>
      <c r="AF51" s="172"/>
      <c r="AG51" s="172"/>
      <c r="AH51" s="172"/>
      <c r="AI51" s="172"/>
      <c r="AJ51" s="173"/>
      <c r="AK51" s="172"/>
      <c r="AL51" s="172"/>
      <c r="AM51" s="172"/>
      <c r="AN51" s="172"/>
      <c r="AO51" s="172"/>
      <c r="AP51" s="172"/>
      <c r="AQ51" s="172"/>
      <c r="AR51" s="172"/>
      <c r="AS51" s="172"/>
      <c r="AT51" s="172"/>
      <c r="AU51" s="172"/>
      <c r="AV51" s="173"/>
      <c r="AW51" s="172"/>
      <c r="AX51" s="172"/>
      <c r="AY51" s="172"/>
      <c r="AZ51" s="172"/>
      <c r="BA51" s="172"/>
      <c r="BB51" s="172"/>
      <c r="BC51" s="172"/>
      <c r="BD51" s="172"/>
      <c r="BE51" s="172"/>
      <c r="BF51" s="172"/>
      <c r="BG51" s="172"/>
      <c r="BH51" s="263"/>
    </row>
    <row r="52" spans="1:60" x14ac:dyDescent="0.2">
      <c r="A52" s="655"/>
      <c r="B52" s="492" t="s">
        <v>141</v>
      </c>
      <c r="C52" s="739" t="s">
        <v>127</v>
      </c>
      <c r="D52" s="751"/>
      <c r="E52" s="182" t="s">
        <v>162</v>
      </c>
      <c r="F52" s="182"/>
      <c r="G52" s="182"/>
      <c r="H52" s="183" t="s">
        <v>163</v>
      </c>
      <c r="I52" s="116"/>
      <c r="J52" s="224"/>
      <c r="K52" s="819"/>
      <c r="L52" s="819"/>
      <c r="M52" s="224"/>
      <c r="N52" s="99"/>
      <c r="O52" s="1052" t="str">
        <f ca="1">IF(OR(O$19="",O$40=""),"",
SUMPRODUCT(
OFFSET(bibliotheek!$H$19,0,MATCH(O$19,woningen_gebouwen_namen,0)-1,ROWS(bibliotheek!$I$19:$I$24),1),
OFFSET(bibliotheek!$H$40,0,MATCH(O$40,isolatiepakketten_gebouwschil_namen,0)-1,ROWS(bibliotheek!$I$19:$I$24),1)) /
HLOOKUP(O$19,woningen_gebouwen_gegevens,ROWS(bibliotheek!$E$13:$E$25),FALSE))</f>
        <v/>
      </c>
      <c r="P52" s="1052" t="str">
        <f ca="1">IF(OR(P$19="",P$40=""),"",
SUMPRODUCT(
OFFSET(bibliotheek!$H$19,0,MATCH(P$19,woningen_gebouwen_namen,0)-1,ROWS(bibliotheek!$I$19:$I$24),1),
OFFSET(bibliotheek!$H$40,0,MATCH(P$40,isolatiepakketten_gebouwschil_namen,0)-1,ROWS(bibliotheek!$I$19:$I$24),1)) /
HLOOKUP(P$19,woningen_gebouwen_gegevens,ROWS(bibliotheek!$E$13:$E$25),FALSE))</f>
        <v/>
      </c>
      <c r="Q52" s="1052" t="str">
        <f ca="1">IF(OR(Q$19="",Q$40=""),"",
SUMPRODUCT(
OFFSET(bibliotheek!$H$19,0,MATCH(Q$19,woningen_gebouwen_namen,0)-1,ROWS(bibliotheek!$I$19:$I$24),1),
OFFSET(bibliotheek!$H$40,0,MATCH(Q$40,isolatiepakketten_gebouwschil_namen,0)-1,ROWS(bibliotheek!$I$19:$I$24),1)) /
HLOOKUP(Q$19,woningen_gebouwen_gegevens,ROWS(bibliotheek!$E$13:$E$25),FALSE))</f>
        <v/>
      </c>
      <c r="R52" s="1052" t="str">
        <f ca="1">IF(OR(R$19="",R$40=""),"",
SUMPRODUCT(
OFFSET(bibliotheek!$H$19,0,MATCH(R$19,woningen_gebouwen_namen,0)-1,ROWS(bibliotheek!$I$19:$I$24),1),
OFFSET(bibliotheek!$H$40,0,MATCH(R$40,isolatiepakketten_gebouwschil_namen,0)-1,ROWS(bibliotheek!$I$19:$I$24),1)) /
HLOOKUP(R$19,woningen_gebouwen_gegevens,ROWS(bibliotheek!$E$13:$E$25),FALSE))</f>
        <v/>
      </c>
      <c r="S52" s="1052" t="str">
        <f ca="1">IF(OR(S$19="",S$40=""),"",
SUMPRODUCT(
OFFSET(bibliotheek!$H$19,0,MATCH(S$19,woningen_gebouwen_namen,0)-1,ROWS(bibliotheek!$I$19:$I$24),1),
OFFSET(bibliotheek!$H$40,0,MATCH(S$40,isolatiepakketten_gebouwschil_namen,0)-1,ROWS(bibliotheek!$I$19:$I$24),1)) /
HLOOKUP(S$19,woningen_gebouwen_gegevens,ROWS(bibliotheek!$E$13:$E$25),FALSE))</f>
        <v/>
      </c>
      <c r="T52" s="1052" t="str">
        <f ca="1">IF(OR(T$19="",T$40=""),"",
SUMPRODUCT(
OFFSET(bibliotheek!$H$19,0,MATCH(T$19,woningen_gebouwen_namen,0)-1,ROWS(bibliotheek!$I$19:$I$24),1),
OFFSET(bibliotheek!$H$40,0,MATCH(T$40,isolatiepakketten_gebouwschil_namen,0)-1,ROWS(bibliotheek!$I$19:$I$24),1)) /
HLOOKUP(T$19,woningen_gebouwen_gegevens,ROWS(bibliotheek!$E$13:$E$25),FALSE))</f>
        <v/>
      </c>
      <c r="U52" s="1052" t="str">
        <f ca="1">IF(OR(U$19="",U$40=""),"",
SUMPRODUCT(
OFFSET(bibliotheek!$H$19,0,MATCH(U$19,woningen_gebouwen_namen,0)-1,ROWS(bibliotheek!$I$19:$I$24),1),
OFFSET(bibliotheek!$H$40,0,MATCH(U$40,isolatiepakketten_gebouwschil_namen,0)-1,ROWS(bibliotheek!$I$19:$I$24),1)) /
HLOOKUP(U$19,woningen_gebouwen_gegevens,ROWS(bibliotheek!$E$13:$E$25),FALSE))</f>
        <v/>
      </c>
      <c r="V52" s="1052" t="str">
        <f ca="1">IF(OR(V$19="",V$40=""),"",
SUMPRODUCT(
OFFSET(bibliotheek!$H$19,0,MATCH(V$19,woningen_gebouwen_namen,0)-1,ROWS(bibliotheek!$I$19:$I$24),1),
OFFSET(bibliotheek!$H$40,0,MATCH(V$40,isolatiepakketten_gebouwschil_namen,0)-1,ROWS(bibliotheek!$I$19:$I$24),1)) /
HLOOKUP(V$19,woningen_gebouwen_gegevens,ROWS(bibliotheek!$E$13:$E$25),FALSE))</f>
        <v/>
      </c>
      <c r="W52" s="1052" t="str">
        <f ca="1">IF(OR(W$19="",W$40=""),"",
SUMPRODUCT(
OFFSET(bibliotheek!$H$19,0,MATCH(W$19,woningen_gebouwen_namen,0)-1,ROWS(bibliotheek!$I$19:$I$24),1),
OFFSET(bibliotheek!$H$40,0,MATCH(W$40,isolatiepakketten_gebouwschil_namen,0)-1,ROWS(bibliotheek!$I$19:$I$24),1)) /
HLOOKUP(W$19,woningen_gebouwen_gegevens,ROWS(bibliotheek!$E$13:$E$25),FALSE))</f>
        <v/>
      </c>
      <c r="X52" s="211"/>
      <c r="Y52" s="224"/>
      <c r="Z52" s="236"/>
      <c r="AA52" s="237" t="str">
        <f ca="1">IF(OR(AA$19="",AA$40=""),"",
SUMPRODUCT(
OFFSET(bibliotheek!$H$19,0,MATCH(AA$19,woningen_gebouwen_namen,0)-1,ROWS(bibliotheek!$I$19:$I$24),1),
OFFSET(bibliotheek!$H$40,0,MATCH(AA$40,isolatiepakketten_gebouwschil_namen,0)-1,ROWS(bibliotheek!$I$19:$I$24),1)) /
HLOOKUP(AA$19,woningen_gebouwen_gegevens,ROWS(bibliotheek!$E$13:$E$25),FALSE))</f>
        <v/>
      </c>
      <c r="AB52" s="237" t="str">
        <f ca="1">IF(OR(AB$19="",AB$40=""),"",
SUMPRODUCT(
OFFSET(bibliotheek!$H$19,0,MATCH(AB$19,woningen_gebouwen_namen,0)-1,ROWS(bibliotheek!$I$19:$I$24),1),
OFFSET(bibliotheek!$H$40,0,MATCH(AB$40,isolatiepakketten_gebouwschil_namen,0)-1,ROWS(bibliotheek!$I$19:$I$24),1)) /
HLOOKUP(AB$19,woningen_gebouwen_gegevens,ROWS(bibliotheek!$E$13:$E$25),FALSE))</f>
        <v/>
      </c>
      <c r="AC52" s="237" t="str">
        <f ca="1">IF(OR(AC$19="",AC$40=""),"",
SUMPRODUCT(
OFFSET(bibliotheek!$H$19,0,MATCH(AC$19,woningen_gebouwen_namen,0)-1,ROWS(bibliotheek!$I$19:$I$24),1),
OFFSET(bibliotheek!$H$40,0,MATCH(AC$40,isolatiepakketten_gebouwschil_namen,0)-1,ROWS(bibliotheek!$I$19:$I$24),1)) /
HLOOKUP(AC$19,woningen_gebouwen_gegevens,ROWS(bibliotheek!$E$13:$E$25),FALSE))</f>
        <v/>
      </c>
      <c r="AD52" s="237" t="str">
        <f ca="1">IF(OR(AD$19="",AD$40=""),"",
SUMPRODUCT(
OFFSET(bibliotheek!$H$19,0,MATCH(AD$19,woningen_gebouwen_namen,0)-1,ROWS(bibliotheek!$I$19:$I$24),1),
OFFSET(bibliotheek!$H$40,0,MATCH(AD$40,isolatiepakketten_gebouwschil_namen,0)-1,ROWS(bibliotheek!$I$19:$I$24),1)) /
HLOOKUP(AD$19,woningen_gebouwen_gegevens,ROWS(bibliotheek!$E$13:$E$25),FALSE))</f>
        <v/>
      </c>
      <c r="AE52" s="237" t="str">
        <f ca="1">IF(OR(AE$19="",AE$40=""),"",
SUMPRODUCT(
OFFSET(bibliotheek!$H$19,0,MATCH(AE$19,woningen_gebouwen_namen,0)-1,ROWS(bibliotheek!$I$19:$I$24),1),
OFFSET(bibliotheek!$H$40,0,MATCH(AE$40,isolatiepakketten_gebouwschil_namen,0)-1,ROWS(bibliotheek!$I$19:$I$24),1)) /
HLOOKUP(AE$19,woningen_gebouwen_gegevens,ROWS(bibliotheek!$E$13:$E$25),FALSE))</f>
        <v/>
      </c>
      <c r="AF52" s="237" t="str">
        <f ca="1">IF(OR(AF$19="",AF$40=""),"",
SUMPRODUCT(
OFFSET(bibliotheek!$H$19,0,MATCH(AF$19,woningen_gebouwen_namen,0)-1,ROWS(bibliotheek!$I$19:$I$24),1),
OFFSET(bibliotheek!$H$40,0,MATCH(AF$40,isolatiepakketten_gebouwschil_namen,0)-1,ROWS(bibliotheek!$I$19:$I$24),1)) /
HLOOKUP(AF$19,woningen_gebouwen_gegevens,ROWS(bibliotheek!$E$13:$E$25),FALSE))</f>
        <v/>
      </c>
      <c r="AG52" s="237" t="str">
        <f ca="1">IF(OR(AG$19="",AG$40=""),"",
SUMPRODUCT(
OFFSET(bibliotheek!$H$19,0,MATCH(AG$19,woningen_gebouwen_namen,0)-1,ROWS(bibliotheek!$I$19:$I$24),1),
OFFSET(bibliotheek!$H$40,0,MATCH(AG$40,isolatiepakketten_gebouwschil_namen,0)-1,ROWS(bibliotheek!$I$19:$I$24),1)) /
HLOOKUP(AG$19,woningen_gebouwen_gegevens,ROWS(bibliotheek!$E$13:$E$25),FALSE))</f>
        <v/>
      </c>
      <c r="AH52" s="237" t="str">
        <f ca="1">IF(OR(AH$19="",AH$40=""),"",
SUMPRODUCT(
OFFSET(bibliotheek!$H$19,0,MATCH(AH$19,woningen_gebouwen_namen,0)-1,ROWS(bibliotheek!$I$19:$I$24),1),
OFFSET(bibliotheek!$H$40,0,MATCH(AH$40,isolatiepakketten_gebouwschil_namen,0)-1,ROWS(bibliotheek!$I$19:$I$24),1)) /
HLOOKUP(AH$19,woningen_gebouwen_gegevens,ROWS(bibliotheek!$E$13:$E$25),FALSE))</f>
        <v/>
      </c>
      <c r="AI52" s="237" t="str">
        <f ca="1">IF(OR(AI$19="",AI$40=""),"",
SUMPRODUCT(
OFFSET(bibliotheek!$H$19,0,MATCH(AI$19,woningen_gebouwen_namen,0)-1,ROWS(bibliotheek!$I$19:$I$24),1),
OFFSET(bibliotheek!$H$40,0,MATCH(AI$40,isolatiepakketten_gebouwschil_namen,0)-1,ROWS(bibliotheek!$I$19:$I$24),1)) /
HLOOKUP(AI$19,woningen_gebouwen_gegevens,ROWS(bibliotheek!$E$13:$E$25),FALSE))</f>
        <v/>
      </c>
      <c r="AJ52" s="211"/>
      <c r="AK52" s="224"/>
      <c r="AL52" s="212"/>
      <c r="AM52" s="237" t="str">
        <f ca="1">IF(OR(AM$19="",AM$40=""),"",
SUMPRODUCT(
OFFSET(bibliotheek!$H$19,0,MATCH(AM$19,woningen_gebouwen_namen,0)-1,ROWS(bibliotheek!$I$19:$I$24),1),
OFFSET(bibliotheek!$H$40,0,MATCH(AM$40,isolatiepakketten_gebouwschil_namen,0)-1,ROWS(bibliotheek!$I$19:$I$24),1)) /
HLOOKUP(AM$19,woningen_gebouwen_gegevens,ROWS(bibliotheek!$E$13:$E$25),FALSE))</f>
        <v/>
      </c>
      <c r="AN52" s="237" t="str">
        <f ca="1">IF(OR(AN$19="",AN$40=""),"",
SUMPRODUCT(
OFFSET(bibliotheek!$H$19,0,MATCH(AN$19,woningen_gebouwen_namen,0)-1,ROWS(bibliotheek!$I$19:$I$24),1),
OFFSET(bibliotheek!$H$40,0,MATCH(AN$40,isolatiepakketten_gebouwschil_namen,0)-1,ROWS(bibliotheek!$I$19:$I$24),1)) /
HLOOKUP(AN$19,woningen_gebouwen_gegevens,ROWS(bibliotheek!$E$13:$E$25),FALSE))</f>
        <v/>
      </c>
      <c r="AO52" s="237" t="str">
        <f ca="1">IF(OR(AO$19="",AO$40=""),"",
SUMPRODUCT(
OFFSET(bibliotheek!$H$19,0,MATCH(AO$19,woningen_gebouwen_namen,0)-1,ROWS(bibliotheek!$I$19:$I$24),1),
OFFSET(bibliotheek!$H$40,0,MATCH(AO$40,isolatiepakketten_gebouwschil_namen,0)-1,ROWS(bibliotheek!$I$19:$I$24),1)) /
HLOOKUP(AO$19,woningen_gebouwen_gegevens,ROWS(bibliotheek!$E$13:$E$25),FALSE))</f>
        <v/>
      </c>
      <c r="AP52" s="237" t="str">
        <f ca="1">IF(OR(AP$19="",AP$40=""),"",
SUMPRODUCT(
OFFSET(bibliotheek!$H$19,0,MATCH(AP$19,woningen_gebouwen_namen,0)-1,ROWS(bibliotheek!$I$19:$I$24),1),
OFFSET(bibliotheek!$H$40,0,MATCH(AP$40,isolatiepakketten_gebouwschil_namen,0)-1,ROWS(bibliotheek!$I$19:$I$24),1)) /
HLOOKUP(AP$19,woningen_gebouwen_gegevens,ROWS(bibliotheek!$E$13:$E$25),FALSE))</f>
        <v/>
      </c>
      <c r="AQ52" s="237" t="str">
        <f ca="1">IF(OR(AQ$19="",AQ$40=""),"",
SUMPRODUCT(
OFFSET(bibliotheek!$H$19,0,MATCH(AQ$19,woningen_gebouwen_namen,0)-1,ROWS(bibliotheek!$I$19:$I$24),1),
OFFSET(bibliotheek!$H$40,0,MATCH(AQ$40,isolatiepakketten_gebouwschil_namen,0)-1,ROWS(bibliotheek!$I$19:$I$24),1)) /
HLOOKUP(AQ$19,woningen_gebouwen_gegevens,ROWS(bibliotheek!$E$13:$E$25),FALSE))</f>
        <v/>
      </c>
      <c r="AR52" s="237" t="str">
        <f ca="1">IF(OR(AR$19="",AR$40=""),"",
SUMPRODUCT(
OFFSET(bibliotheek!$H$19,0,MATCH(AR$19,woningen_gebouwen_namen,0)-1,ROWS(bibliotheek!$I$19:$I$24),1),
OFFSET(bibliotheek!$H$40,0,MATCH(AR$40,isolatiepakketten_gebouwschil_namen,0)-1,ROWS(bibliotheek!$I$19:$I$24),1)) /
HLOOKUP(AR$19,woningen_gebouwen_gegevens,ROWS(bibliotheek!$E$13:$E$25),FALSE))</f>
        <v/>
      </c>
      <c r="AS52" s="237" t="str">
        <f ca="1">IF(OR(AS$19="",AS$40=""),"",
SUMPRODUCT(
OFFSET(bibliotheek!$H$19,0,MATCH(AS$19,woningen_gebouwen_namen,0)-1,ROWS(bibliotheek!$I$19:$I$24),1),
OFFSET(bibliotheek!$H$40,0,MATCH(AS$40,isolatiepakketten_gebouwschil_namen,0)-1,ROWS(bibliotheek!$I$19:$I$24),1)) /
HLOOKUP(AS$19,woningen_gebouwen_gegevens,ROWS(bibliotheek!$E$13:$E$25),FALSE))</f>
        <v/>
      </c>
      <c r="AT52" s="237" t="str">
        <f ca="1">IF(OR(AT$19="",AT$40=""),"",
SUMPRODUCT(
OFFSET(bibliotheek!$H$19,0,MATCH(AT$19,woningen_gebouwen_namen,0)-1,ROWS(bibliotheek!$I$19:$I$24),1),
OFFSET(bibliotheek!$H$40,0,MATCH(AT$40,isolatiepakketten_gebouwschil_namen,0)-1,ROWS(bibliotheek!$I$19:$I$24),1)) /
HLOOKUP(AT$19,woningen_gebouwen_gegevens,ROWS(bibliotheek!$E$13:$E$25),FALSE))</f>
        <v/>
      </c>
      <c r="AU52" s="237" t="str">
        <f ca="1">IF(OR(AU$19="",AU$40=""),"",
SUMPRODUCT(
OFFSET(bibliotheek!$H$19,0,MATCH(AU$19,woningen_gebouwen_namen,0)-1,ROWS(bibliotheek!$I$19:$I$24),1),
OFFSET(bibliotheek!$H$40,0,MATCH(AU$40,isolatiepakketten_gebouwschil_namen,0)-1,ROWS(bibliotheek!$I$19:$I$24),1)) /
HLOOKUP(AU$19,woningen_gebouwen_gegevens,ROWS(bibliotheek!$E$13:$E$25),FALSE))</f>
        <v/>
      </c>
      <c r="AV52" s="211"/>
      <c r="AW52" s="224"/>
      <c r="AX52" s="212"/>
      <c r="AY52" s="237" t="str">
        <f ca="1">IF(OR(AY$19="",AY$40=""),"",
SUMPRODUCT(
OFFSET(bibliotheek!$H$19,0,MATCH(AY$19,woningen_gebouwen_namen,0)-1,ROWS(bibliotheek!$I$19:$I$24),1),
OFFSET(bibliotheek!$H$40,0,MATCH(AY$40,isolatiepakketten_gebouwschil_namen,0)-1,ROWS(bibliotheek!$I$19:$I$24),1)) /
HLOOKUP(AY$19,woningen_gebouwen_gegevens,ROWS(bibliotheek!$E$13:$E$25),FALSE))</f>
        <v/>
      </c>
      <c r="AZ52" s="237" t="str">
        <f ca="1">IF(OR(AZ$19="",AZ$40=""),"",
SUMPRODUCT(
OFFSET(bibliotheek!$H$19,0,MATCH(AZ$19,woningen_gebouwen_namen,0)-1,ROWS(bibliotheek!$I$19:$I$24),1),
OFFSET(bibliotheek!$H$40,0,MATCH(AZ$40,isolatiepakketten_gebouwschil_namen,0)-1,ROWS(bibliotheek!$I$19:$I$24),1)) /
HLOOKUP(AZ$19,woningen_gebouwen_gegevens,ROWS(bibliotheek!$E$13:$E$25),FALSE))</f>
        <v/>
      </c>
      <c r="BA52" s="237" t="str">
        <f ca="1">IF(OR(BA$19="",BA$40=""),"",
SUMPRODUCT(
OFFSET(bibliotheek!$H$19,0,MATCH(BA$19,woningen_gebouwen_namen,0)-1,ROWS(bibliotheek!$I$19:$I$24),1),
OFFSET(bibliotheek!$H$40,0,MATCH(BA$40,isolatiepakketten_gebouwschil_namen,0)-1,ROWS(bibliotheek!$I$19:$I$24),1)) /
HLOOKUP(BA$19,woningen_gebouwen_gegevens,ROWS(bibliotheek!$E$13:$E$25),FALSE))</f>
        <v/>
      </c>
      <c r="BB52" s="237" t="str">
        <f ca="1">IF(OR(BB$19="",BB$40=""),"",
SUMPRODUCT(
OFFSET(bibliotheek!$H$19,0,MATCH(BB$19,woningen_gebouwen_namen,0)-1,ROWS(bibliotheek!$I$19:$I$24),1),
OFFSET(bibliotheek!$H$40,0,MATCH(BB$40,isolatiepakketten_gebouwschil_namen,0)-1,ROWS(bibliotheek!$I$19:$I$24),1)) /
HLOOKUP(BB$19,woningen_gebouwen_gegevens,ROWS(bibliotheek!$E$13:$E$25),FALSE))</f>
        <v/>
      </c>
      <c r="BC52" s="237" t="str">
        <f ca="1">IF(OR(BC$19="",BC$40=""),"",
SUMPRODUCT(
OFFSET(bibliotheek!$H$19,0,MATCH(BC$19,woningen_gebouwen_namen,0)-1,ROWS(bibliotheek!$I$19:$I$24),1),
OFFSET(bibliotheek!$H$40,0,MATCH(BC$40,isolatiepakketten_gebouwschil_namen,0)-1,ROWS(bibliotheek!$I$19:$I$24),1)) /
HLOOKUP(BC$19,woningen_gebouwen_gegevens,ROWS(bibliotheek!$E$13:$E$25),FALSE))</f>
        <v/>
      </c>
      <c r="BD52" s="237" t="str">
        <f ca="1">IF(OR(BD$19="",BD$40=""),"",
SUMPRODUCT(
OFFSET(bibliotheek!$H$19,0,MATCH(BD$19,woningen_gebouwen_namen,0)-1,ROWS(bibliotheek!$I$19:$I$24),1),
OFFSET(bibliotheek!$H$40,0,MATCH(BD$40,isolatiepakketten_gebouwschil_namen,0)-1,ROWS(bibliotheek!$I$19:$I$24),1)) /
HLOOKUP(BD$19,woningen_gebouwen_gegevens,ROWS(bibliotheek!$E$13:$E$25),FALSE))</f>
        <v/>
      </c>
      <c r="BE52" s="237" t="str">
        <f ca="1">IF(OR(BE$19="",BE$40=""),"",
SUMPRODUCT(
OFFSET(bibliotheek!$H$19,0,MATCH(BE$19,woningen_gebouwen_namen,0)-1,ROWS(bibliotheek!$I$19:$I$24),1),
OFFSET(bibliotheek!$H$40,0,MATCH(BE$40,isolatiepakketten_gebouwschil_namen,0)-1,ROWS(bibliotheek!$I$19:$I$24),1)) /
HLOOKUP(BE$19,woningen_gebouwen_gegevens,ROWS(bibliotheek!$E$13:$E$25),FALSE))</f>
        <v/>
      </c>
      <c r="BF52" s="237" t="str">
        <f ca="1">IF(OR(BF$19="",BF$40=""),"",
SUMPRODUCT(
OFFSET(bibliotheek!$H$19,0,MATCH(BF$19,woningen_gebouwen_namen,0)-1,ROWS(bibliotheek!$I$19:$I$24),1),
OFFSET(bibliotheek!$H$40,0,MATCH(BF$40,isolatiepakketten_gebouwschil_namen,0)-1,ROWS(bibliotheek!$I$19:$I$24),1)) /
HLOOKUP(BF$19,woningen_gebouwen_gegevens,ROWS(bibliotheek!$E$13:$E$25),FALSE))</f>
        <v/>
      </c>
      <c r="BG52" s="237" t="str">
        <f ca="1">IF(OR(BG$19="",BG$40=""),"",
SUMPRODUCT(
OFFSET(bibliotheek!$H$19,0,MATCH(BG$19,woningen_gebouwen_namen,0)-1,ROWS(bibliotheek!$I$19:$I$24),1),
OFFSET(bibliotheek!$H$40,0,MATCH(BG$40,isolatiepakketten_gebouwschil_namen,0)-1,ROWS(bibliotheek!$I$19:$I$24),1)) /
HLOOKUP(BG$19,woningen_gebouwen_gegevens,ROWS(bibliotheek!$E$13:$E$25),FALSE))</f>
        <v/>
      </c>
      <c r="BH52" s="261"/>
    </row>
    <row r="53" spans="1:60" s="2" customFormat="1" x14ac:dyDescent="0.2">
      <c r="A53" s="927"/>
      <c r="B53" s="741" t="s">
        <v>141</v>
      </c>
      <c r="C53" s="739" t="s">
        <v>127</v>
      </c>
      <c r="D53" s="751" t="s">
        <v>50</v>
      </c>
      <c r="E53" s="316" t="s">
        <v>164</v>
      </c>
      <c r="F53" s="316"/>
      <c r="G53" s="316"/>
      <c r="H53" s="354" t="s">
        <v>70</v>
      </c>
      <c r="I53" s="116"/>
      <c r="J53" s="928"/>
      <c r="K53" s="819"/>
      <c r="L53" s="819"/>
      <c r="M53" s="1056">
        <f>IF(SUMPRODUCT(N32:X32,N60:X60)=0,0,SUMPRODUCT(N53:X53,N32:X32,N60:X60)/SUMPRODUCT(N32:X32,N60:X60))</f>
        <v>0</v>
      </c>
      <c r="N53" s="103"/>
      <c r="O53" s="1053">
        <f t="shared" ref="O53:W53" si="48">IF(OR(O$19="",O$24=0,O$40=""),0,IF($G$6=FALSE,1,IF(O54&lt;&gt;"",O54,O55)))</f>
        <v>0</v>
      </c>
      <c r="P53" s="1053">
        <f t="shared" si="48"/>
        <v>0</v>
      </c>
      <c r="Q53" s="1053">
        <f t="shared" si="48"/>
        <v>0</v>
      </c>
      <c r="R53" s="1053">
        <f t="shared" si="48"/>
        <v>0</v>
      </c>
      <c r="S53" s="1053">
        <f t="shared" si="48"/>
        <v>0</v>
      </c>
      <c r="T53" s="1053">
        <f t="shared" si="48"/>
        <v>0</v>
      </c>
      <c r="U53" s="1053">
        <f t="shared" si="48"/>
        <v>0</v>
      </c>
      <c r="V53" s="1053">
        <f t="shared" si="48"/>
        <v>0</v>
      </c>
      <c r="W53" s="1053">
        <f t="shared" si="48"/>
        <v>0</v>
      </c>
      <c r="X53" s="211"/>
      <c r="Y53" s="1056">
        <f>IF(SUMPRODUCT(Z32:AJ32,Z60:AJ60)=0,0,SUMPRODUCT(Z53:AJ53,Z32:AJ32,Z60:AJ60)/SUMPRODUCT(Z32:AJ32,Z60:AJ60))</f>
        <v>0</v>
      </c>
      <c r="Z53" s="103"/>
      <c r="AA53" s="1052">
        <f t="shared" ref="AA53:AI53" si="49">IF(OR(AA$19="",AA$24=0,AA$40=""),0,IF($G$6=FALSE,1,IF(AA54&lt;&gt;"",AA54,AA55)))</f>
        <v>0</v>
      </c>
      <c r="AB53" s="1052">
        <f t="shared" si="49"/>
        <v>0</v>
      </c>
      <c r="AC53" s="1052">
        <f t="shared" si="49"/>
        <v>0</v>
      </c>
      <c r="AD53" s="1052">
        <f t="shared" si="49"/>
        <v>0</v>
      </c>
      <c r="AE53" s="1052">
        <f t="shared" si="49"/>
        <v>0</v>
      </c>
      <c r="AF53" s="1052">
        <f t="shared" si="49"/>
        <v>0</v>
      </c>
      <c r="AG53" s="1052">
        <f t="shared" si="49"/>
        <v>0</v>
      </c>
      <c r="AH53" s="1052">
        <f t="shared" si="49"/>
        <v>0</v>
      </c>
      <c r="AI53" s="1052">
        <f t="shared" si="49"/>
        <v>0</v>
      </c>
      <c r="AJ53" s="211"/>
      <c r="AK53" s="1056">
        <f>IF(SUMPRODUCT(AL32:AV32,AL60:AV60)=0,0,SUMPRODUCT(AL53:AV53,AL32:AV32,AL60:AV60)/SUMPRODUCT(AL32:AV32,AL60:AV60))</f>
        <v>0</v>
      </c>
      <c r="AL53" s="103"/>
      <c r="AM53" s="1052">
        <f t="shared" ref="AM53:AU53" si="50">IF(OR(AM$19="",AM$24=0,AM$40=""),0,IF($G$6=FALSE,1,IF(AM54&lt;&gt;"",AM54,AM55)))</f>
        <v>0</v>
      </c>
      <c r="AN53" s="1052">
        <f t="shared" si="50"/>
        <v>0</v>
      </c>
      <c r="AO53" s="1052">
        <f t="shared" si="50"/>
        <v>0</v>
      </c>
      <c r="AP53" s="1052">
        <f t="shared" si="50"/>
        <v>0</v>
      </c>
      <c r="AQ53" s="1052">
        <f t="shared" si="50"/>
        <v>0</v>
      </c>
      <c r="AR53" s="1052">
        <f t="shared" si="50"/>
        <v>0</v>
      </c>
      <c r="AS53" s="1052">
        <f t="shared" si="50"/>
        <v>0</v>
      </c>
      <c r="AT53" s="1052">
        <f t="shared" si="50"/>
        <v>0</v>
      </c>
      <c r="AU53" s="1052">
        <f t="shared" si="50"/>
        <v>0</v>
      </c>
      <c r="AV53" s="211"/>
      <c r="AW53" s="1056">
        <f>IF(SUMPRODUCT(AX32:BH32,AX60:BH60)=0,0,SUMPRODUCT(AX53:BH53,AX32:BH32,AX60:BH60)/SUMPRODUCT(AX32:BH32,AX60:BH60))</f>
        <v>0</v>
      </c>
      <c r="AX53" s="103"/>
      <c r="AY53" s="1052">
        <f t="shared" ref="AY53:BG53" si="51">IF(OR(AY$19="",AY$24=0,AY$40=""),0,IF($G$6=FALSE,1,IF(AY54&lt;&gt;"",AY54,AY55)))</f>
        <v>0</v>
      </c>
      <c r="AZ53" s="1052">
        <f t="shared" si="51"/>
        <v>0</v>
      </c>
      <c r="BA53" s="1052">
        <f t="shared" si="51"/>
        <v>0</v>
      </c>
      <c r="BB53" s="1052">
        <f t="shared" si="51"/>
        <v>0</v>
      </c>
      <c r="BC53" s="1052">
        <f t="shared" si="51"/>
        <v>0</v>
      </c>
      <c r="BD53" s="1052">
        <f t="shared" si="51"/>
        <v>0</v>
      </c>
      <c r="BE53" s="1052">
        <f t="shared" si="51"/>
        <v>0</v>
      </c>
      <c r="BF53" s="1052">
        <f t="shared" si="51"/>
        <v>0</v>
      </c>
      <c r="BG53" s="1052">
        <f t="shared" si="51"/>
        <v>0</v>
      </c>
      <c r="BH53" s="261"/>
    </row>
    <row r="54" spans="1:60" s="2" customFormat="1" x14ac:dyDescent="0.2">
      <c r="A54" s="927"/>
      <c r="B54" s="741" t="s">
        <v>141</v>
      </c>
      <c r="C54" s="739" t="s">
        <v>127</v>
      </c>
      <c r="D54" s="748"/>
      <c r="E54" s="455" t="s">
        <v>165</v>
      </c>
      <c r="F54" s="687"/>
      <c r="G54" s="687"/>
      <c r="H54" s="929"/>
      <c r="I54" s="116"/>
      <c r="J54" s="930"/>
      <c r="K54" s="819"/>
      <c r="L54" s="819"/>
      <c r="M54" s="931"/>
      <c r="N54" s="294"/>
      <c r="O54" s="1054"/>
      <c r="P54" s="1054"/>
      <c r="Q54" s="1054"/>
      <c r="R54" s="1054"/>
      <c r="S54" s="1054"/>
      <c r="T54" s="1054"/>
      <c r="U54" s="1054"/>
      <c r="V54" s="1054"/>
      <c r="W54" s="1054"/>
      <c r="X54" s="211"/>
      <c r="Y54" s="931"/>
      <c r="Z54" s="294"/>
      <c r="AA54" s="1054"/>
      <c r="AB54" s="1054"/>
      <c r="AC54" s="1054"/>
      <c r="AD54" s="1054"/>
      <c r="AE54" s="1054"/>
      <c r="AF54" s="1054"/>
      <c r="AG54" s="1054"/>
      <c r="AH54" s="1054"/>
      <c r="AI54" s="1054"/>
      <c r="AJ54" s="211"/>
      <c r="AK54" s="931"/>
      <c r="AL54" s="294"/>
      <c r="AM54" s="1054"/>
      <c r="AN54" s="1054"/>
      <c r="AO54" s="1054"/>
      <c r="AP54" s="1054"/>
      <c r="AQ54" s="1054"/>
      <c r="AR54" s="1054"/>
      <c r="AS54" s="1054"/>
      <c r="AT54" s="1054"/>
      <c r="AU54" s="1054"/>
      <c r="AV54" s="211"/>
      <c r="AW54" s="931"/>
      <c r="AX54" s="294"/>
      <c r="AY54" s="1054"/>
      <c r="AZ54" s="1054"/>
      <c r="BA54" s="1054"/>
      <c r="BB54" s="1054"/>
      <c r="BC54" s="1054"/>
      <c r="BD54" s="1054"/>
      <c r="BE54" s="1054"/>
      <c r="BF54" s="1054"/>
      <c r="BG54" s="1054"/>
      <c r="BH54" s="261"/>
    </row>
    <row r="55" spans="1:60" s="2" customFormat="1" x14ac:dyDescent="0.2">
      <c r="A55" s="927"/>
      <c r="B55" s="741" t="s">
        <v>141</v>
      </c>
      <c r="C55" s="739" t="s">
        <v>127</v>
      </c>
      <c r="D55" s="748"/>
      <c r="E55" s="932" t="s">
        <v>166</v>
      </c>
      <c r="F55" s="933"/>
      <c r="G55" s="933"/>
      <c r="H55" s="934"/>
      <c r="I55" s="935"/>
      <c r="J55" s="936"/>
      <c r="K55" s="937"/>
      <c r="L55" s="937"/>
      <c r="M55" s="938"/>
      <c r="N55" s="718"/>
      <c r="O55" s="1055" t="str" cm="1">
        <f t="array" ref="O55">IF(O24=0,"",ROUND(INDEX(Correctiefactoren,ROWS(bibliotheek!$E$278:$E$279),MATCH(O$21,bibliotheek!$E$278:$U$278,0))*O$52^INDEX(Correctiefactoren,ROWS(bibliotheek!$E$278:$E$280),MATCH(O$21,bibliotheek!$E$278:$U$278,0)),2))</f>
        <v/>
      </c>
      <c r="P55" s="1055" t="str" cm="1">
        <f t="array" ref="P55">IF(P24=0,"",ROUND(INDEX(Correctiefactoren,ROWS(bibliotheek!$E$278:$E$279),MATCH(P$21,bibliotheek!$E$278:$U$278,0))*P$52^INDEX(Correctiefactoren,ROWS(bibliotheek!$E$278:$E$280),MATCH(P$21,bibliotheek!$E$278:$U$278,0)),2))</f>
        <v/>
      </c>
      <c r="Q55" s="1055" t="str" cm="1">
        <f t="array" ref="Q55">IF(Q24=0,"",ROUND(INDEX(Correctiefactoren,ROWS(bibliotheek!$E$278:$E$279),MATCH(Q$21,bibliotheek!$E$278:$U$278,0))*Q$52^INDEX(Correctiefactoren,ROWS(bibliotheek!$E$278:$E$280),MATCH(Q$21,bibliotheek!$E$278:$U$278,0)),2))</f>
        <v/>
      </c>
      <c r="R55" s="1055" t="str" cm="1">
        <f t="array" ref="R55">IF(R24=0,"",ROUND(INDEX(Correctiefactoren,ROWS(bibliotheek!$E$278:$E$279),MATCH(R$21,bibliotheek!$E$278:$U$278,0))*R$52^INDEX(Correctiefactoren,ROWS(bibliotheek!$E$278:$E$280),MATCH(R$21,bibliotheek!$E$278:$U$278,0)),2))</f>
        <v/>
      </c>
      <c r="S55" s="1055" t="str" cm="1">
        <f t="array" ref="S55">IF(S24=0,"",ROUND(INDEX(Correctiefactoren,ROWS(bibliotheek!$E$278:$E$279),MATCH(S$21,bibliotheek!$E$278:$U$278,0))*S$52^INDEX(Correctiefactoren,ROWS(bibliotheek!$E$278:$E$280),MATCH(S$21,bibliotheek!$E$278:$U$278,0)),2))</f>
        <v/>
      </c>
      <c r="T55" s="1055" t="str" cm="1">
        <f t="array" ref="T55">IF(T24=0,"",ROUND(INDEX(Correctiefactoren,ROWS(bibliotheek!$E$278:$E$279),MATCH(T$21,bibliotheek!$E$278:$U$278,0))*T$52^INDEX(Correctiefactoren,ROWS(bibliotheek!$E$278:$E$280),MATCH(T$21,bibliotheek!$E$278:$U$278,0)),2))</f>
        <v/>
      </c>
      <c r="U55" s="1055" t="str" cm="1">
        <f t="array" ref="U55">IF(U24=0,"",ROUND(INDEX(Correctiefactoren,ROWS(bibliotheek!$E$278:$E$279),MATCH(U$21,bibliotheek!$E$278:$U$278,0))*U$52^INDEX(Correctiefactoren,ROWS(bibliotheek!$E$278:$E$280),MATCH(U$21,bibliotheek!$E$278:$U$278,0)),2))</f>
        <v/>
      </c>
      <c r="V55" s="1055" t="str" cm="1">
        <f t="array" ref="V55">IF(V24=0,"",ROUND(INDEX(Correctiefactoren,ROWS(bibliotheek!$E$278:$E$279),MATCH(V$21,bibliotheek!$E$278:$U$278,0))*V$52^INDEX(Correctiefactoren,ROWS(bibliotheek!$E$278:$E$280),MATCH(V$21,bibliotheek!$E$278:$U$278,0)),2))</f>
        <v/>
      </c>
      <c r="W55" s="1055" t="str" cm="1">
        <f t="array" ref="W55">IF(W24=0,"",ROUND(INDEX(Correctiefactoren,ROWS(bibliotheek!$E$278:$E$279),MATCH(W$21,bibliotheek!$E$278:$U$278,0))*W$52^INDEX(Correctiefactoren,ROWS(bibliotheek!$E$278:$E$280),MATCH(W$21,bibliotheek!$E$278:$U$278,0)),2))</f>
        <v/>
      </c>
      <c r="X55" s="939"/>
      <c r="Y55" s="938"/>
      <c r="Z55" s="718"/>
      <c r="AA55" s="1057" t="str" cm="1">
        <f t="array" ref="AA55">IF(AA24=0,"",ROUND(INDEX(Correctiefactoren,ROWS(bibliotheek!$E$278:$E$279),MATCH(AA$21,bibliotheek!$E$278:$U$278,0))*AA$52^INDEX(Correctiefactoren,ROWS(bibliotheek!$E$278:$E$280),MATCH(AA$21,bibliotheek!$E$278:$U$278,0)),2))</f>
        <v/>
      </c>
      <c r="AB55" s="1057" t="str" cm="1">
        <f t="array" ref="AB55">IF(AB24=0,"",ROUND(INDEX(Correctiefactoren,ROWS(bibliotheek!$E$278:$E$279),MATCH(AB$21,bibliotheek!$E$278:$U$278,0))*AB$52^INDEX(Correctiefactoren,ROWS(bibliotheek!$E$278:$E$280),MATCH(AB$21,bibliotheek!$E$278:$U$278,0)),2))</f>
        <v/>
      </c>
      <c r="AC55" s="1057" t="str" cm="1">
        <f t="array" ref="AC55">IF(AC24=0,"",ROUND(INDEX(Correctiefactoren,ROWS(bibliotheek!$E$278:$E$279),MATCH(AC$21,bibliotheek!$E$278:$U$278,0))*AC$52^INDEX(Correctiefactoren,ROWS(bibliotheek!$E$278:$E$280),MATCH(AC$21,bibliotheek!$E$278:$U$278,0)),2))</f>
        <v/>
      </c>
      <c r="AD55" s="1057" t="str" cm="1">
        <f t="array" ref="AD55">IF(AD24=0,"",ROUND(INDEX(Correctiefactoren,ROWS(bibliotheek!$E$278:$E$279),MATCH(AD$21,bibliotheek!$E$278:$U$278,0))*AD$52^INDEX(Correctiefactoren,ROWS(bibliotheek!$E$278:$E$280),MATCH(AD$21,bibliotheek!$E$278:$U$278,0)),2))</f>
        <v/>
      </c>
      <c r="AE55" s="1057" t="str" cm="1">
        <f t="array" ref="AE55">IF(AE24=0,"",ROUND(INDEX(Correctiefactoren,ROWS(bibliotheek!$E$278:$E$279),MATCH(AE$21,bibliotheek!$E$278:$U$278,0))*AE$52^INDEX(Correctiefactoren,ROWS(bibliotheek!$E$278:$E$280),MATCH(AE$21,bibliotheek!$E$278:$U$278,0)),2))</f>
        <v/>
      </c>
      <c r="AF55" s="1057" t="str" cm="1">
        <f t="array" ref="AF55">IF(AF24=0,"",ROUND(INDEX(Correctiefactoren,ROWS(bibliotheek!$E$278:$E$279),MATCH(AF$21,bibliotheek!$E$278:$U$278,0))*AF$52^INDEX(Correctiefactoren,ROWS(bibliotheek!$E$278:$E$280),MATCH(AF$21,bibliotheek!$E$278:$U$278,0)),2))</f>
        <v/>
      </c>
      <c r="AG55" s="1057" t="str" cm="1">
        <f t="array" ref="AG55">IF(AG24=0,"",ROUND(INDEX(Correctiefactoren,ROWS(bibliotheek!$E$278:$E$279),MATCH(AG$21,bibliotheek!$E$278:$U$278,0))*AG$52^INDEX(Correctiefactoren,ROWS(bibliotheek!$E$278:$E$280),MATCH(AG$21,bibliotheek!$E$278:$U$278,0)),2))</f>
        <v/>
      </c>
      <c r="AH55" s="1057" t="str" cm="1">
        <f t="array" ref="AH55">IF(AH24=0,"",ROUND(INDEX(Correctiefactoren,ROWS(bibliotheek!$E$278:$E$279),MATCH(AH$21,bibliotheek!$E$278:$U$278,0))*AH$52^INDEX(Correctiefactoren,ROWS(bibliotheek!$E$278:$E$280),MATCH(AH$21,bibliotheek!$E$278:$U$278,0)),2))</f>
        <v/>
      </c>
      <c r="AI55" s="1057" t="str" cm="1">
        <f t="array" ref="AI55">IF(AI24=0,"",ROUND(INDEX(Correctiefactoren,ROWS(bibliotheek!$E$278:$E$279),MATCH(AI$21,bibliotheek!$E$278:$U$278,0))*AI$52^INDEX(Correctiefactoren,ROWS(bibliotheek!$E$278:$E$280),MATCH(AI$21,bibliotheek!$E$278:$U$278,0)),2))</f>
        <v/>
      </c>
      <c r="AJ55" s="939"/>
      <c r="AK55" s="938"/>
      <c r="AL55" s="718"/>
      <c r="AM55" s="1057" t="str" cm="1">
        <f t="array" ref="AM55">IF(AM24=0,"",ROUND(INDEX(Correctiefactoren,ROWS(bibliotheek!$E$278:$E$279),MATCH(AM$21,bibliotheek!$E$278:$U$278,0))*AM$52^INDEX(Correctiefactoren,ROWS(bibliotheek!$E$278:$E$280),MATCH(AM$21,bibliotheek!$E$278:$U$278,0)),2))</f>
        <v/>
      </c>
      <c r="AN55" s="1057" t="str" cm="1">
        <f t="array" ref="AN55">IF(AN24=0,"",ROUND(INDEX(Correctiefactoren,ROWS(bibliotheek!$E$278:$E$279),MATCH(AN$21,bibliotheek!$E$278:$U$278,0))*AN$52^INDEX(Correctiefactoren,ROWS(bibliotheek!$E$278:$E$280),MATCH(AN$21,bibliotheek!$E$278:$U$278,0)),2))</f>
        <v/>
      </c>
      <c r="AO55" s="1057" t="str" cm="1">
        <f t="array" ref="AO55">IF(AO24=0,"",ROUND(INDEX(Correctiefactoren,ROWS(bibliotheek!$E$278:$E$279),MATCH(AO$21,bibliotheek!$E$278:$U$278,0))*AO$52^INDEX(Correctiefactoren,ROWS(bibliotheek!$E$278:$E$280),MATCH(AO$21,bibliotheek!$E$278:$U$278,0)),2))</f>
        <v/>
      </c>
      <c r="AP55" s="1057" t="str" cm="1">
        <f t="array" ref="AP55">IF(AP24=0,"",ROUND(INDEX(Correctiefactoren,ROWS(bibliotheek!$E$278:$E$279),MATCH(AP$21,bibliotheek!$E$278:$U$278,0))*AP$52^INDEX(Correctiefactoren,ROWS(bibliotheek!$E$278:$E$280),MATCH(AP$21,bibliotheek!$E$278:$U$278,0)),2))</f>
        <v/>
      </c>
      <c r="AQ55" s="1057" t="str" cm="1">
        <f t="array" ref="AQ55">IF(AQ24=0,"",ROUND(INDEX(Correctiefactoren,ROWS(bibliotheek!$E$278:$E$279),MATCH(AQ$21,bibliotheek!$E$278:$U$278,0))*AQ$52^INDEX(Correctiefactoren,ROWS(bibliotheek!$E$278:$E$280),MATCH(AQ$21,bibliotheek!$E$278:$U$278,0)),2))</f>
        <v/>
      </c>
      <c r="AR55" s="1057" t="str" cm="1">
        <f t="array" ref="AR55">IF(AR24=0,"",ROUND(INDEX(Correctiefactoren,ROWS(bibliotheek!$E$278:$E$279),MATCH(AR$21,bibliotheek!$E$278:$U$278,0))*AR$52^INDEX(Correctiefactoren,ROWS(bibliotheek!$E$278:$E$280),MATCH(AR$21,bibliotheek!$E$278:$U$278,0)),2))</f>
        <v/>
      </c>
      <c r="AS55" s="1057" t="str" cm="1">
        <f t="array" ref="AS55">IF(AS24=0,"",ROUND(INDEX(Correctiefactoren,ROWS(bibliotheek!$E$278:$E$279),MATCH(AS$21,bibliotheek!$E$278:$U$278,0))*AS$52^INDEX(Correctiefactoren,ROWS(bibliotheek!$E$278:$E$280),MATCH(AS$21,bibliotheek!$E$278:$U$278,0)),2))</f>
        <v/>
      </c>
      <c r="AT55" s="1057" t="str" cm="1">
        <f t="array" ref="AT55">IF(AT24=0,"",ROUND(INDEX(Correctiefactoren,ROWS(bibliotheek!$E$278:$E$279),MATCH(AT$21,bibliotheek!$E$278:$U$278,0))*AT$52^INDEX(Correctiefactoren,ROWS(bibliotheek!$E$278:$E$280),MATCH(AT$21,bibliotheek!$E$278:$U$278,0)),2))</f>
        <v/>
      </c>
      <c r="AU55" s="1057" t="str" cm="1">
        <f t="array" ref="AU55">IF(AU24=0,"",ROUND(INDEX(Correctiefactoren,ROWS(bibliotheek!$E$278:$E$279),MATCH(AU$21,bibliotheek!$E$278:$U$278,0))*AU$52^INDEX(Correctiefactoren,ROWS(bibliotheek!$E$278:$E$280),MATCH(AU$21,bibliotheek!$E$278:$U$278,0)),2))</f>
        <v/>
      </c>
      <c r="AV55" s="939"/>
      <c r="AW55" s="938"/>
      <c r="AX55" s="718"/>
      <c r="AY55" s="1057" t="str" cm="1">
        <f t="array" ref="AY55">IF(AY24=0,"",ROUND(INDEX(Correctiefactoren,ROWS(bibliotheek!$E$278:$E$279),MATCH(AY$21,bibliotheek!$E$278:$U$278,0))*AY$52^INDEX(Correctiefactoren,ROWS(bibliotheek!$E$278:$E$280),MATCH(AY$21,bibliotheek!$E$278:$U$278,0)),2))</f>
        <v/>
      </c>
      <c r="AZ55" s="1057" t="str" cm="1">
        <f t="array" ref="AZ55">IF(AZ24=0,"",ROUND(INDEX(Correctiefactoren,ROWS(bibliotheek!$E$278:$E$279),MATCH(AZ$21,bibliotheek!$E$278:$U$278,0))*AZ$52^INDEX(Correctiefactoren,ROWS(bibliotheek!$E$278:$E$280),MATCH(AZ$21,bibliotheek!$E$278:$U$278,0)),2))</f>
        <v/>
      </c>
      <c r="BA55" s="1057" t="str" cm="1">
        <f t="array" ref="BA55">IF(BA24=0,"",ROUND(INDEX(Correctiefactoren,ROWS(bibliotheek!$E$278:$E$279),MATCH(BA$21,bibliotheek!$E$278:$U$278,0))*BA$52^INDEX(Correctiefactoren,ROWS(bibliotheek!$E$278:$E$280),MATCH(BA$21,bibliotheek!$E$278:$U$278,0)),2))</f>
        <v/>
      </c>
      <c r="BB55" s="1057" t="str" cm="1">
        <f t="array" ref="BB55">IF(BB24=0,"",ROUND(INDEX(Correctiefactoren,ROWS(bibliotheek!$E$278:$E$279),MATCH(BB$21,bibliotheek!$E$278:$U$278,0))*BB$52^INDEX(Correctiefactoren,ROWS(bibliotheek!$E$278:$E$280),MATCH(BB$21,bibliotheek!$E$278:$U$278,0)),2))</f>
        <v/>
      </c>
      <c r="BC55" s="1057" t="str" cm="1">
        <f t="array" ref="BC55">IF(BC24=0,"",ROUND(INDEX(Correctiefactoren,ROWS(bibliotheek!$E$278:$E$279),MATCH(BC$21,bibliotheek!$E$278:$U$278,0))*BC$52^INDEX(Correctiefactoren,ROWS(bibliotheek!$E$278:$E$280),MATCH(BC$21,bibliotheek!$E$278:$U$278,0)),2))</f>
        <v/>
      </c>
      <c r="BD55" s="1057" t="str" cm="1">
        <f t="array" ref="BD55">IF(BD24=0,"",ROUND(INDEX(Correctiefactoren,ROWS(bibliotheek!$E$278:$E$279),MATCH(BD$21,bibliotheek!$E$278:$U$278,0))*BD$52^INDEX(Correctiefactoren,ROWS(bibliotheek!$E$278:$E$280),MATCH(BD$21,bibliotheek!$E$278:$U$278,0)),2))</f>
        <v/>
      </c>
      <c r="BE55" s="1057" t="str" cm="1">
        <f t="array" ref="BE55">IF(BE24=0,"",ROUND(INDEX(Correctiefactoren,ROWS(bibliotheek!$E$278:$E$279),MATCH(BE$21,bibliotheek!$E$278:$U$278,0))*BE$52^INDEX(Correctiefactoren,ROWS(bibliotheek!$E$278:$E$280),MATCH(BE$21,bibliotheek!$E$278:$U$278,0)),2))</f>
        <v/>
      </c>
      <c r="BF55" s="1057" t="str" cm="1">
        <f t="array" ref="BF55">IF(BF24=0,"",ROUND(INDEX(Correctiefactoren,ROWS(bibliotheek!$E$278:$E$279),MATCH(BF$21,bibliotheek!$E$278:$U$278,0))*BF$52^INDEX(Correctiefactoren,ROWS(bibliotheek!$E$278:$E$280),MATCH(BF$21,bibliotheek!$E$278:$U$278,0)),2))</f>
        <v/>
      </c>
      <c r="BG55" s="1057" t="str" cm="1">
        <f t="array" ref="BG55">IF(BG24=0,"",ROUND(INDEX(Correctiefactoren,ROWS(bibliotheek!$E$278:$E$279),MATCH(BG$21,bibliotheek!$E$278:$U$278,0))*BG$52^INDEX(Correctiefactoren,ROWS(bibliotheek!$E$278:$E$280),MATCH(BG$21,bibliotheek!$E$278:$U$278,0)),2))</f>
        <v/>
      </c>
      <c r="BH55" s="261"/>
    </row>
    <row r="56" spans="1:60" x14ac:dyDescent="0.2">
      <c r="A56" s="653"/>
      <c r="B56" s="492" t="s">
        <v>158</v>
      </c>
      <c r="C56" s="656" t="s">
        <v>104</v>
      </c>
      <c r="D56" s="747"/>
      <c r="E56" s="90"/>
      <c r="F56" s="90"/>
      <c r="G56" s="90"/>
      <c r="H56" s="96"/>
      <c r="I56" s="116"/>
      <c r="J56" s="93"/>
      <c r="K56" s="819"/>
      <c r="L56" s="819"/>
      <c r="M56" s="93"/>
      <c r="N56" s="93"/>
      <c r="O56" s="93"/>
      <c r="P56" s="93"/>
      <c r="Q56" s="93"/>
      <c r="R56" s="93"/>
      <c r="S56" s="93"/>
      <c r="T56" s="93"/>
      <c r="U56" s="93"/>
      <c r="V56" s="93"/>
      <c r="W56" s="93"/>
      <c r="X56" s="93"/>
      <c r="Y56" s="93"/>
      <c r="Z56" s="90"/>
      <c r="AA56" s="93"/>
      <c r="AB56" s="93"/>
      <c r="AC56" s="93"/>
      <c r="AD56" s="93"/>
      <c r="AE56" s="93"/>
      <c r="AF56" s="93"/>
      <c r="AG56" s="93"/>
      <c r="AH56" s="93"/>
      <c r="AI56" s="93"/>
      <c r="AJ56" s="93"/>
      <c r="AK56" s="93"/>
      <c r="AL56" s="90"/>
      <c r="AM56" s="93"/>
      <c r="AN56" s="93"/>
      <c r="AO56" s="93"/>
      <c r="AP56" s="93"/>
      <c r="AQ56" s="93"/>
      <c r="AR56" s="93"/>
      <c r="AS56" s="93"/>
      <c r="AT56" s="93"/>
      <c r="AU56" s="93"/>
      <c r="AV56" s="93"/>
      <c r="AW56" s="93"/>
      <c r="AX56" s="90"/>
      <c r="AY56" s="93"/>
      <c r="AZ56" s="93"/>
      <c r="BA56" s="93"/>
      <c r="BB56" s="93"/>
      <c r="BC56" s="93"/>
      <c r="BD56" s="93"/>
      <c r="BE56" s="93"/>
      <c r="BF56" s="93"/>
      <c r="BG56" s="93"/>
      <c r="BH56" s="1"/>
    </row>
    <row r="57" spans="1:60" x14ac:dyDescent="0.2">
      <c r="A57" s="653"/>
      <c r="B57" s="492" t="s">
        <v>158</v>
      </c>
      <c r="C57" s="739" t="s">
        <v>104</v>
      </c>
      <c r="D57" s="747"/>
      <c r="E57" s="90"/>
      <c r="F57" s="90"/>
      <c r="G57" s="90"/>
      <c r="H57" s="96"/>
      <c r="I57" s="90"/>
      <c r="J57" s="93"/>
      <c r="K57" s="90"/>
      <c r="L57" s="90"/>
      <c r="M57" s="93"/>
      <c r="N57" s="93"/>
      <c r="O57" s="93"/>
      <c r="P57" s="93"/>
      <c r="Q57" s="93"/>
      <c r="R57" s="93"/>
      <c r="S57" s="93"/>
      <c r="T57" s="93"/>
      <c r="U57" s="93"/>
      <c r="V57" s="93"/>
      <c r="W57" s="93"/>
      <c r="X57" s="93"/>
      <c r="Y57" s="93"/>
      <c r="Z57" s="90"/>
      <c r="AA57" s="93"/>
      <c r="AB57" s="93"/>
      <c r="AC57" s="93"/>
      <c r="AD57" s="93"/>
      <c r="AE57" s="93"/>
      <c r="AF57" s="93"/>
      <c r="AG57" s="93"/>
      <c r="AH57" s="93"/>
      <c r="AI57" s="93"/>
      <c r="AJ57" s="93"/>
      <c r="AK57" s="93"/>
      <c r="AL57" s="90"/>
      <c r="AM57" s="93"/>
      <c r="AN57" s="93"/>
      <c r="AO57" s="93"/>
      <c r="AP57" s="93"/>
      <c r="AQ57" s="93"/>
      <c r="AR57" s="93"/>
      <c r="AS57" s="93"/>
      <c r="AT57" s="93"/>
      <c r="AU57" s="93"/>
      <c r="AV57" s="93"/>
      <c r="AW57" s="93"/>
      <c r="AX57" s="90"/>
      <c r="AY57" s="93"/>
      <c r="AZ57" s="93"/>
      <c r="BA57" s="93"/>
      <c r="BB57" s="93"/>
      <c r="BC57" s="93"/>
      <c r="BD57" s="93"/>
      <c r="BE57" s="93"/>
      <c r="BF57" s="93"/>
      <c r="BG57" s="93"/>
      <c r="BH57" s="1"/>
    </row>
    <row r="58" spans="1:60" s="2" customFormat="1" ht="21" x14ac:dyDescent="0.2">
      <c r="A58" s="654"/>
      <c r="B58" s="492" t="s">
        <v>158</v>
      </c>
      <c r="C58" s="739" t="s">
        <v>104</v>
      </c>
      <c r="D58" s="749"/>
      <c r="E58" s="253" t="s">
        <v>167</v>
      </c>
      <c r="F58" s="253"/>
      <c r="G58" s="253"/>
      <c r="H58" s="253"/>
      <c r="I58" s="146"/>
      <c r="J58" s="318" t="str">
        <f>J$10&amp;" MWh"</f>
        <v>totaal MWh</v>
      </c>
      <c r="K58" s="142"/>
      <c r="L58" s="142"/>
      <c r="M58" s="319" t="str">
        <f>M$10&amp;" MWh"</f>
        <v>totaal MWh</v>
      </c>
      <c r="N58" s="234"/>
      <c r="O58" s="320" t="str">
        <f t="shared" ref="O58:W58" si="52">O$17</f>
        <v/>
      </c>
      <c r="P58" s="320" t="str">
        <f t="shared" si="52"/>
        <v/>
      </c>
      <c r="Q58" s="320" t="str">
        <f t="shared" si="52"/>
        <v/>
      </c>
      <c r="R58" s="320" t="str">
        <f t="shared" si="52"/>
        <v/>
      </c>
      <c r="S58" s="320" t="str">
        <f t="shared" si="52"/>
        <v/>
      </c>
      <c r="T58" s="320" t="str">
        <f t="shared" si="52"/>
        <v/>
      </c>
      <c r="U58" s="320" t="str">
        <f t="shared" si="52"/>
        <v/>
      </c>
      <c r="V58" s="320" t="str">
        <f t="shared" si="52"/>
        <v/>
      </c>
      <c r="W58" s="320" t="str">
        <f t="shared" si="52"/>
        <v/>
      </c>
      <c r="X58" s="214"/>
      <c r="Y58" s="319" t="str">
        <f>Y$10&amp;" MWh"</f>
        <v>totaal MWh</v>
      </c>
      <c r="Z58" s="234"/>
      <c r="AA58" s="320" t="str">
        <f t="shared" ref="AA58:AI58" si="53">AA$17</f>
        <v/>
      </c>
      <c r="AB58" s="320" t="str">
        <f t="shared" si="53"/>
        <v/>
      </c>
      <c r="AC58" s="320" t="str">
        <f t="shared" si="53"/>
        <v/>
      </c>
      <c r="AD58" s="320" t="str">
        <f t="shared" si="53"/>
        <v/>
      </c>
      <c r="AE58" s="320" t="str">
        <f t="shared" si="53"/>
        <v/>
      </c>
      <c r="AF58" s="320" t="str">
        <f t="shared" si="53"/>
        <v/>
      </c>
      <c r="AG58" s="320" t="str">
        <f t="shared" si="53"/>
        <v/>
      </c>
      <c r="AH58" s="320" t="str">
        <f t="shared" si="53"/>
        <v/>
      </c>
      <c r="AI58" s="320" t="str">
        <f t="shared" si="53"/>
        <v/>
      </c>
      <c r="AJ58" s="214"/>
      <c r="AK58" s="319" t="str">
        <f>AK$10&amp;" MWh"</f>
        <v>totaal MWh</v>
      </c>
      <c r="AL58" s="234"/>
      <c r="AM58" s="320" t="str">
        <f>AM$17</f>
        <v/>
      </c>
      <c r="AN58" s="320" t="str">
        <f t="shared" ref="AN58:AU58" si="54">AN$17</f>
        <v/>
      </c>
      <c r="AO58" s="320" t="str">
        <f t="shared" si="54"/>
        <v/>
      </c>
      <c r="AP58" s="320" t="str">
        <f t="shared" si="54"/>
        <v/>
      </c>
      <c r="AQ58" s="320" t="str">
        <f t="shared" si="54"/>
        <v/>
      </c>
      <c r="AR58" s="320" t="str">
        <f t="shared" si="54"/>
        <v/>
      </c>
      <c r="AS58" s="320" t="str">
        <f t="shared" si="54"/>
        <v/>
      </c>
      <c r="AT58" s="320" t="str">
        <f t="shared" si="54"/>
        <v/>
      </c>
      <c r="AU58" s="320" t="str">
        <f t="shared" si="54"/>
        <v/>
      </c>
      <c r="AV58" s="214"/>
      <c r="AW58" s="319" t="str">
        <f>AW$10&amp;" MWh"</f>
        <v>totaal MWh</v>
      </c>
      <c r="AX58" s="234"/>
      <c r="AY58" s="320" t="str">
        <f>AY$17</f>
        <v/>
      </c>
      <c r="AZ58" s="320" t="str">
        <f t="shared" ref="AZ58:BG58" si="55">AZ$17</f>
        <v/>
      </c>
      <c r="BA58" s="320" t="str">
        <f t="shared" si="55"/>
        <v/>
      </c>
      <c r="BB58" s="320" t="str">
        <f t="shared" si="55"/>
        <v/>
      </c>
      <c r="BC58" s="320" t="str">
        <f t="shared" si="55"/>
        <v/>
      </c>
      <c r="BD58" s="320" t="str">
        <f t="shared" si="55"/>
        <v/>
      </c>
      <c r="BE58" s="320" t="str">
        <f t="shared" si="55"/>
        <v/>
      </c>
      <c r="BF58" s="320" t="str">
        <f t="shared" si="55"/>
        <v/>
      </c>
      <c r="BG58" s="320" t="str">
        <f t="shared" si="55"/>
        <v/>
      </c>
      <c r="BH58" s="1"/>
    </row>
    <row r="59" spans="1:60" ht="18.75" x14ac:dyDescent="0.2">
      <c r="A59" s="653"/>
      <c r="B59" s="492" t="s">
        <v>158</v>
      </c>
      <c r="C59" s="739" t="s">
        <v>104</v>
      </c>
      <c r="D59" s="749"/>
      <c r="E59" s="708" t="s">
        <v>168</v>
      </c>
      <c r="F59" s="167"/>
      <c r="G59" s="167"/>
      <c r="H59" s="89"/>
      <c r="I59" s="169"/>
      <c r="J59" s="170"/>
      <c r="K59" s="142"/>
      <c r="L59" s="142"/>
      <c r="M59" s="186"/>
      <c r="N59" s="186"/>
      <c r="O59" s="186"/>
      <c r="P59" s="186"/>
      <c r="Q59" s="186"/>
      <c r="R59" s="186"/>
      <c r="S59" s="186"/>
      <c r="T59" s="186"/>
      <c r="U59" s="186"/>
      <c r="V59" s="186"/>
      <c r="W59" s="186"/>
      <c r="X59" s="173"/>
      <c r="Y59" s="172"/>
      <c r="Z59" s="172"/>
      <c r="AA59" s="172"/>
      <c r="AB59" s="172"/>
      <c r="AC59" s="172"/>
      <c r="AD59" s="172"/>
      <c r="AE59" s="172"/>
      <c r="AF59" s="172"/>
      <c r="AG59" s="172"/>
      <c r="AH59" s="172"/>
      <c r="AI59" s="172"/>
      <c r="AJ59" s="173"/>
      <c r="AK59" s="172"/>
      <c r="AL59" s="172"/>
      <c r="AM59" s="172"/>
      <c r="AN59" s="172"/>
      <c r="AO59" s="172"/>
      <c r="AP59" s="172"/>
      <c r="AQ59" s="172"/>
      <c r="AR59" s="172"/>
      <c r="AS59" s="172"/>
      <c r="AT59" s="172"/>
      <c r="AU59" s="172"/>
      <c r="AV59" s="173"/>
      <c r="AW59" s="172"/>
      <c r="AX59" s="172"/>
      <c r="AY59" s="172"/>
      <c r="AZ59" s="172"/>
      <c r="BA59" s="172"/>
      <c r="BB59" s="172"/>
      <c r="BC59" s="172"/>
      <c r="BD59" s="172"/>
      <c r="BE59" s="172"/>
      <c r="BF59" s="172"/>
      <c r="BG59" s="172"/>
      <c r="BH59" s="263"/>
    </row>
    <row r="60" spans="1:60" x14ac:dyDescent="0.2">
      <c r="A60" s="653"/>
      <c r="B60" s="492" t="s">
        <v>158</v>
      </c>
      <c r="C60" s="656" t="s">
        <v>113</v>
      </c>
      <c r="D60" s="750" t="s">
        <v>50</v>
      </c>
      <c r="E60" s="482" t="str">
        <f>$O$10</f>
        <v>verwarming</v>
      </c>
      <c r="F60" s="359"/>
      <c r="G60" s="359"/>
      <c r="H60" s="358" t="s">
        <v>169</v>
      </c>
      <c r="I60" s="321"/>
      <c r="J60" s="323">
        <f t="shared" ref="J60:J66" si="56">M60+Y60+AK60+AW60</f>
        <v>0</v>
      </c>
      <c r="K60" s="142"/>
      <c r="L60" s="142"/>
      <c r="M60" s="323">
        <f t="shared" ref="M60:M66" si="57">SUMPRODUCT(N$24:X$24,N$31:X$31,N60:X60)/1000</f>
        <v>0</v>
      </c>
      <c r="N60" s="321"/>
      <c r="O60" s="322">
        <f t="shared" ref="O60:W60" si="58">IF(OR(O$19="",O$40="",O$42=""),0,O$53*MAX(warmtebehoefte_verwarming_ondergrens,
VLOOKUP(O$42,warmtebehoefte_verwarming_snijpunt,MATCH(O$21,warmtebehoefte_verwarming_gebruiksfuncties,0),FALSE)+
VLOOKUP(O$42,warmtebehoefte_verwarming_C,MATCH(O$21,warmtebehoefte_verwarming_gebruiksfuncties,0),FALSE)*
O$52*O$34^VLOOKUP(O$42,warmtebehoefte_verwarming_n,MATCH(O$21,warmtebehoefte_verwarming_gebruiksfuncties,0),FALSE)))</f>
        <v>0</v>
      </c>
      <c r="P60" s="322">
        <f t="shared" si="58"/>
        <v>0</v>
      </c>
      <c r="Q60" s="322">
        <f t="shared" si="58"/>
        <v>0</v>
      </c>
      <c r="R60" s="322">
        <f t="shared" si="58"/>
        <v>0</v>
      </c>
      <c r="S60" s="322">
        <f t="shared" si="58"/>
        <v>0</v>
      </c>
      <c r="T60" s="322">
        <f t="shared" si="58"/>
        <v>0</v>
      </c>
      <c r="U60" s="322">
        <f t="shared" si="58"/>
        <v>0</v>
      </c>
      <c r="V60" s="322">
        <f t="shared" si="58"/>
        <v>0</v>
      </c>
      <c r="W60" s="322">
        <f t="shared" si="58"/>
        <v>0</v>
      </c>
      <c r="X60" s="142"/>
      <c r="Y60" s="323">
        <f t="shared" ref="Y60:Y66" si="59">SUMPRODUCT(Z$24:AJ$24,Z$31:AJ$31,Z60:AJ60)/1000</f>
        <v>0</v>
      </c>
      <c r="Z60" s="321"/>
      <c r="AA60" s="322">
        <f t="shared" ref="AA60:AI60" si="60">IF(OR(AA$19="",AA$40="",AA$42=""),0,AA$53*MAX(warmtebehoefte_verwarming_ondergrens,
VLOOKUP(AA$42,warmtebehoefte_verwarming_snijpunt,MATCH(AA$21,warmtebehoefte_verwarming_gebruiksfuncties,0),FALSE)+
VLOOKUP(AA$42,warmtebehoefte_verwarming_C,MATCH(AA$21,warmtebehoefte_verwarming_gebruiksfuncties,0),FALSE)*
AA$52*AA$34^VLOOKUP(AA$42,warmtebehoefte_verwarming_n,MATCH(AA$21,warmtebehoefte_verwarming_gebruiksfuncties,0),FALSE)))</f>
        <v>0</v>
      </c>
      <c r="AB60" s="322">
        <f t="shared" si="60"/>
        <v>0</v>
      </c>
      <c r="AC60" s="322">
        <f t="shared" si="60"/>
        <v>0</v>
      </c>
      <c r="AD60" s="322">
        <f t="shared" si="60"/>
        <v>0</v>
      </c>
      <c r="AE60" s="322">
        <f t="shared" si="60"/>
        <v>0</v>
      </c>
      <c r="AF60" s="322">
        <f t="shared" si="60"/>
        <v>0</v>
      </c>
      <c r="AG60" s="322">
        <f t="shared" si="60"/>
        <v>0</v>
      </c>
      <c r="AH60" s="322">
        <f t="shared" si="60"/>
        <v>0</v>
      </c>
      <c r="AI60" s="322">
        <f t="shared" si="60"/>
        <v>0</v>
      </c>
      <c r="AJ60" s="142"/>
      <c r="AK60" s="323">
        <f t="shared" ref="AK60:AK66" si="61">SUMPRODUCT(AL$24:AV$24,AL$31:AV$31,AL60:AV60)/1000</f>
        <v>0</v>
      </c>
      <c r="AL60" s="321"/>
      <c r="AM60" s="322">
        <f t="shared" ref="AM60:AU60" si="62">IF(OR(AM$19="",AM$40="",AM$42=""),0,AM$53*MAX(warmtebehoefte_verwarming_ondergrens,
VLOOKUP(AM$42,warmtebehoefte_verwarming_snijpunt,MATCH(AM$21,warmtebehoefte_verwarming_gebruiksfuncties,0),FALSE)+
VLOOKUP(AM$42,warmtebehoefte_verwarming_C,MATCH(AM$21,warmtebehoefte_verwarming_gebruiksfuncties,0),FALSE)*
AM$52*AM$34^VLOOKUP(AM$42,warmtebehoefte_verwarming_n,MATCH(AM$21,warmtebehoefte_verwarming_gebruiksfuncties,0),FALSE)))</f>
        <v>0</v>
      </c>
      <c r="AN60" s="322">
        <f t="shared" si="62"/>
        <v>0</v>
      </c>
      <c r="AO60" s="322">
        <f t="shared" si="62"/>
        <v>0</v>
      </c>
      <c r="AP60" s="322">
        <f t="shared" si="62"/>
        <v>0</v>
      </c>
      <c r="AQ60" s="322">
        <f t="shared" si="62"/>
        <v>0</v>
      </c>
      <c r="AR60" s="322">
        <f t="shared" si="62"/>
        <v>0</v>
      </c>
      <c r="AS60" s="322">
        <f t="shared" si="62"/>
        <v>0</v>
      </c>
      <c r="AT60" s="322">
        <f t="shared" si="62"/>
        <v>0</v>
      </c>
      <c r="AU60" s="322">
        <f t="shared" si="62"/>
        <v>0</v>
      </c>
      <c r="AV60" s="142"/>
      <c r="AW60" s="323">
        <f t="shared" ref="AW60:AW66" si="63">SUMPRODUCT(AX$24:BH$24,AX$31:BH$31,AX60:BH60)/1000</f>
        <v>0</v>
      </c>
      <c r="AX60" s="321"/>
      <c r="AY60" s="322">
        <f t="shared" ref="AY60:BG60" si="64">IF(OR(AY$19="",AY$40="",AY$42=""),0,AY$53*MAX(warmtebehoefte_verwarming_ondergrens,
VLOOKUP(AY$42,warmtebehoefte_verwarming_snijpunt,MATCH(AY$21,warmtebehoefte_verwarming_gebruiksfuncties,0),FALSE)+
VLOOKUP(AY$42,warmtebehoefte_verwarming_C,MATCH(AY$21,warmtebehoefte_verwarming_gebruiksfuncties,0),FALSE)*
AY$52*AY$34^VLOOKUP(AY$42,warmtebehoefte_verwarming_n,MATCH(AY$21,warmtebehoefte_verwarming_gebruiksfuncties,0),FALSE)))</f>
        <v>0</v>
      </c>
      <c r="AZ60" s="322">
        <f t="shared" si="64"/>
        <v>0</v>
      </c>
      <c r="BA60" s="322">
        <f t="shared" si="64"/>
        <v>0</v>
      </c>
      <c r="BB60" s="322">
        <f t="shared" si="64"/>
        <v>0</v>
      </c>
      <c r="BC60" s="322">
        <f t="shared" si="64"/>
        <v>0</v>
      </c>
      <c r="BD60" s="322">
        <f t="shared" si="64"/>
        <v>0</v>
      </c>
      <c r="BE60" s="322">
        <f t="shared" si="64"/>
        <v>0</v>
      </c>
      <c r="BF60" s="322">
        <f t="shared" si="64"/>
        <v>0</v>
      </c>
      <c r="BG60" s="322">
        <f t="shared" si="64"/>
        <v>0</v>
      </c>
      <c r="BH60" s="255"/>
    </row>
    <row r="61" spans="1:60" x14ac:dyDescent="0.2">
      <c r="A61" s="653"/>
      <c r="B61" s="492" t="s">
        <v>158</v>
      </c>
      <c r="C61" s="656" t="s">
        <v>113</v>
      </c>
      <c r="D61" s="750" t="s">
        <v>50</v>
      </c>
      <c r="E61" s="358" t="str">
        <f>$P$10</f>
        <v>koeling</v>
      </c>
      <c r="F61" s="359"/>
      <c r="G61" s="359"/>
      <c r="H61" s="358" t="s">
        <v>169</v>
      </c>
      <c r="I61" s="321"/>
      <c r="J61" s="323">
        <f t="shared" si="56"/>
        <v>0</v>
      </c>
      <c r="K61" s="142"/>
      <c r="L61" s="142"/>
      <c r="M61" s="323">
        <f t="shared" si="57"/>
        <v>0</v>
      </c>
      <c r="N61" s="321"/>
      <c r="O61" s="322">
        <f t="shared" ref="O61:W61" si="65">IF(OR(O$19="",O$40="",O$42=""),0,MAX(koudebehoefte_koeling_ondergrens,
VLOOKUP(O$42,koudebehoefte_snijpunt,MATCH(O$21,warmtebehoefte_verwarming_gebruiksfuncties,0),FALSE)
+VLOOKUP(O$42,koudebehoefte_C1,MATCH(O$21,warmtebehoefte_verwarming_gebruiksfuncties,0),FALSE)
*O$31^VLOOKUP(O$42,koudebehoefte_n1,MATCH(O$21,warmtebehoefte_verwarming_gebruiksfuncties,0),FALSE)
+VLOOKUP(O$42,koudebehoefte_C2,MATCH(O$21,warmtebehoefte_verwarming_gebruiksfuncties,0),FALSE)
*O$34^VLOOKUP(O$42,koudebehoefte_n2,MATCH(O$21,warmtebehoefte_verwarming_gebruiksfuncties,0),FALSE)
+VLOOKUP(O$42,koudebehoefte_C3,MATCH(O$21,warmtebehoefte_verwarming_gebruiksfuncties,0),FALSE)
*O$52^VLOOKUP(O$42,koudebehoefte_n3,MATCH(O$21,warmtebehoefte_verwarming_gebruiksfuncties,0),FALSE)
+VLOOKUP(O$42,koudebehoefte_C4,MATCH(O$21,warmtebehoefte_verwarming_gebruiksfuncties,0),FALSE)
*O$35^VLOOKUP(O$42,koudebehoefte_n4,MATCH(O$21,warmtebehoefte_verwarming_gebruiksfuncties,0),FALSE)))</f>
        <v>0</v>
      </c>
      <c r="P61" s="322">
        <f t="shared" si="65"/>
        <v>0</v>
      </c>
      <c r="Q61" s="322">
        <f t="shared" si="65"/>
        <v>0</v>
      </c>
      <c r="R61" s="322">
        <f t="shared" si="65"/>
        <v>0</v>
      </c>
      <c r="S61" s="322">
        <f t="shared" si="65"/>
        <v>0</v>
      </c>
      <c r="T61" s="322">
        <f t="shared" si="65"/>
        <v>0</v>
      </c>
      <c r="U61" s="322">
        <f t="shared" si="65"/>
        <v>0</v>
      </c>
      <c r="V61" s="322">
        <f t="shared" si="65"/>
        <v>0</v>
      </c>
      <c r="W61" s="322">
        <f t="shared" si="65"/>
        <v>0</v>
      </c>
      <c r="X61" s="142"/>
      <c r="Y61" s="323">
        <f t="shared" si="59"/>
        <v>0</v>
      </c>
      <c r="Z61" s="321"/>
      <c r="AA61" s="322">
        <f t="shared" ref="AA61:AI61" si="66">IF(OR(AA$19="",AA$40="",AA$42=""),0,MAX(koudebehoefte_koeling_ondergrens,
VLOOKUP(AA$42,koudebehoefte_snijpunt,MATCH(AA$21,warmtebehoefte_verwarming_gebruiksfuncties,0),FALSE)
+VLOOKUP(AA$42,koudebehoefte_C1,MATCH(AA$21,warmtebehoefte_verwarming_gebruiksfuncties,0),FALSE)
*AA$31^VLOOKUP(AA$42,koudebehoefte_n1,MATCH(AA$21,warmtebehoefte_verwarming_gebruiksfuncties,0),FALSE)
+VLOOKUP(AA$42,koudebehoefte_C2,MATCH(AA$21,warmtebehoefte_verwarming_gebruiksfuncties,0),FALSE)
*AA$34^VLOOKUP(AA$42,koudebehoefte_n2,MATCH(AA$21,warmtebehoefte_verwarming_gebruiksfuncties,0),FALSE)
+VLOOKUP(AA$42,koudebehoefte_C3,MATCH(AA$21,warmtebehoefte_verwarming_gebruiksfuncties,0),FALSE)
*AA$52^VLOOKUP(AA$42,koudebehoefte_n3,MATCH(AA$21,warmtebehoefte_verwarming_gebruiksfuncties,0),FALSE)
+VLOOKUP(AA$42,koudebehoefte_C4,MATCH(AA$21,warmtebehoefte_verwarming_gebruiksfuncties,0),FALSE)
*AA$35^VLOOKUP(AA$42,koudebehoefte_n4,MATCH(AA$21,warmtebehoefte_verwarming_gebruiksfuncties,0),FALSE)))</f>
        <v>0</v>
      </c>
      <c r="AB61" s="322">
        <f t="shared" si="66"/>
        <v>0</v>
      </c>
      <c r="AC61" s="322">
        <f t="shared" si="66"/>
        <v>0</v>
      </c>
      <c r="AD61" s="322">
        <f t="shared" si="66"/>
        <v>0</v>
      </c>
      <c r="AE61" s="322">
        <f t="shared" si="66"/>
        <v>0</v>
      </c>
      <c r="AF61" s="322">
        <f t="shared" si="66"/>
        <v>0</v>
      </c>
      <c r="AG61" s="322">
        <f t="shared" si="66"/>
        <v>0</v>
      </c>
      <c r="AH61" s="322">
        <f t="shared" si="66"/>
        <v>0</v>
      </c>
      <c r="AI61" s="322">
        <f t="shared" si="66"/>
        <v>0</v>
      </c>
      <c r="AJ61" s="142"/>
      <c r="AK61" s="323">
        <f t="shared" si="61"/>
        <v>0</v>
      </c>
      <c r="AL61" s="321"/>
      <c r="AM61" s="322">
        <f t="shared" ref="AM61:AU61" si="67">IF(OR(AM$19="",AM$40="",AM$42=""),0,MAX(koudebehoefte_koeling_ondergrens,
VLOOKUP(AM$42,koudebehoefte_snijpunt,MATCH(AM$21,warmtebehoefte_verwarming_gebruiksfuncties,0),FALSE)
+VLOOKUP(AM$42,koudebehoefte_C1,MATCH(AM$21,warmtebehoefte_verwarming_gebruiksfuncties,0),FALSE)
*AM$31^VLOOKUP(AM$42,koudebehoefte_n1,MATCH(AM$21,warmtebehoefte_verwarming_gebruiksfuncties,0),FALSE)
+VLOOKUP(AM$42,koudebehoefte_C2,MATCH(AM$21,warmtebehoefte_verwarming_gebruiksfuncties,0),FALSE)
*AM$34^VLOOKUP(AM$42,koudebehoefte_n2,MATCH(AM$21,warmtebehoefte_verwarming_gebruiksfuncties,0),FALSE)
+VLOOKUP(AM$42,koudebehoefte_C3,MATCH(AM$21,warmtebehoefte_verwarming_gebruiksfuncties,0),FALSE)
*AM$52^VLOOKUP(AM$42,koudebehoefte_n3,MATCH(AM$21,warmtebehoefte_verwarming_gebruiksfuncties,0),FALSE)
+VLOOKUP(AM$42,koudebehoefte_C4,MATCH(AM$21,warmtebehoefte_verwarming_gebruiksfuncties,0),FALSE)
*AM$35^VLOOKUP(AM$42,koudebehoefte_n4,MATCH(AM$21,warmtebehoefte_verwarming_gebruiksfuncties,0),FALSE)))</f>
        <v>0</v>
      </c>
      <c r="AN61" s="322">
        <f t="shared" si="67"/>
        <v>0</v>
      </c>
      <c r="AO61" s="322">
        <f t="shared" si="67"/>
        <v>0</v>
      </c>
      <c r="AP61" s="322">
        <f t="shared" si="67"/>
        <v>0</v>
      </c>
      <c r="AQ61" s="322">
        <f t="shared" si="67"/>
        <v>0</v>
      </c>
      <c r="AR61" s="322">
        <f t="shared" si="67"/>
        <v>0</v>
      </c>
      <c r="AS61" s="322">
        <f t="shared" si="67"/>
        <v>0</v>
      </c>
      <c r="AT61" s="322">
        <f t="shared" si="67"/>
        <v>0</v>
      </c>
      <c r="AU61" s="322">
        <f t="shared" si="67"/>
        <v>0</v>
      </c>
      <c r="AV61" s="142"/>
      <c r="AW61" s="323">
        <f t="shared" si="63"/>
        <v>0</v>
      </c>
      <c r="AX61" s="321"/>
      <c r="AY61" s="322">
        <f t="shared" ref="AY61:BG61" si="68">IF(OR(AY$19="",AY$40="",AY$42=""),0,MAX(koudebehoefte_koeling_ondergrens,
VLOOKUP(AY$42,koudebehoefte_snijpunt,MATCH(AY$21,warmtebehoefte_verwarming_gebruiksfuncties,0),FALSE)
+VLOOKUP(AY$42,koudebehoefte_C1,MATCH(AY$21,warmtebehoefte_verwarming_gebruiksfuncties,0),FALSE)
*AY$31^VLOOKUP(AY$42,koudebehoefte_n1,MATCH(AY$21,warmtebehoefte_verwarming_gebruiksfuncties,0),FALSE)
+VLOOKUP(AY$42,koudebehoefte_C2,MATCH(AY$21,warmtebehoefte_verwarming_gebruiksfuncties,0),FALSE)
*AY$34^VLOOKUP(AY$42,koudebehoefte_n2,MATCH(AY$21,warmtebehoefte_verwarming_gebruiksfuncties,0),FALSE)
+VLOOKUP(AY$42,koudebehoefte_C3,MATCH(AY$21,warmtebehoefte_verwarming_gebruiksfuncties,0),FALSE)
*AY$52^VLOOKUP(AY$42,koudebehoefte_n3,MATCH(AY$21,warmtebehoefte_verwarming_gebruiksfuncties,0),FALSE)
+VLOOKUP(AY$42,koudebehoefte_C4,MATCH(AY$21,warmtebehoefte_verwarming_gebruiksfuncties,0),FALSE)
*AY$35^VLOOKUP(AY$42,koudebehoefte_n4,MATCH(AY$21,warmtebehoefte_verwarming_gebruiksfuncties,0),FALSE)))</f>
        <v>0</v>
      </c>
      <c r="AZ61" s="322">
        <f t="shared" si="68"/>
        <v>0</v>
      </c>
      <c r="BA61" s="322">
        <f t="shared" si="68"/>
        <v>0</v>
      </c>
      <c r="BB61" s="322">
        <f t="shared" si="68"/>
        <v>0</v>
      </c>
      <c r="BC61" s="322">
        <f t="shared" si="68"/>
        <v>0</v>
      </c>
      <c r="BD61" s="322">
        <f t="shared" si="68"/>
        <v>0</v>
      </c>
      <c r="BE61" s="322">
        <f t="shared" si="68"/>
        <v>0</v>
      </c>
      <c r="BF61" s="322">
        <f t="shared" si="68"/>
        <v>0</v>
      </c>
      <c r="BG61" s="322">
        <f t="shared" si="68"/>
        <v>0</v>
      </c>
      <c r="BH61" s="255"/>
    </row>
    <row r="62" spans="1:60" x14ac:dyDescent="0.2">
      <c r="A62" s="653"/>
      <c r="B62" s="492" t="s">
        <v>158</v>
      </c>
      <c r="C62" s="656" t="s">
        <v>113</v>
      </c>
      <c r="D62" s="750" t="s">
        <v>50</v>
      </c>
      <c r="E62" s="358" t="str">
        <f>$Q$10</f>
        <v>tapwater</v>
      </c>
      <c r="F62" s="359"/>
      <c r="G62" s="359"/>
      <c r="H62" s="358" t="s">
        <v>169</v>
      </c>
      <c r="I62" s="321"/>
      <c r="J62" s="323">
        <f t="shared" si="56"/>
        <v>0</v>
      </c>
      <c r="K62" s="142"/>
      <c r="L62" s="142"/>
      <c r="M62" s="323">
        <f t="shared" si="57"/>
        <v>0</v>
      </c>
      <c r="N62" s="321"/>
      <c r="O62" s="322">
        <f t="shared" ref="O62:W62" si="69">IF(OR(O$19="",O$31=0),0,
IF(OR(O$21=woning,O$21=woongebouw),IF(O$31&gt;100,1.28+0.01*O$31,MAX(1,2.28-1.28/70*(100-O$31)))*856/O$31,
INDEX(warmtapwater_specifieke_warmtebehoefte_waarden,MATCH(O$21,warmtapwater_specifieke_warmtebehoefte_gebruiksfuncties,0)))*O$44)</f>
        <v>0</v>
      </c>
      <c r="P62" s="322">
        <f t="shared" si="69"/>
        <v>0</v>
      </c>
      <c r="Q62" s="322">
        <f t="shared" si="69"/>
        <v>0</v>
      </c>
      <c r="R62" s="322">
        <f t="shared" si="69"/>
        <v>0</v>
      </c>
      <c r="S62" s="322">
        <f t="shared" si="69"/>
        <v>0</v>
      </c>
      <c r="T62" s="322">
        <f t="shared" si="69"/>
        <v>0</v>
      </c>
      <c r="U62" s="322">
        <f t="shared" si="69"/>
        <v>0</v>
      </c>
      <c r="V62" s="322">
        <f t="shared" si="69"/>
        <v>0</v>
      </c>
      <c r="W62" s="322">
        <f t="shared" si="69"/>
        <v>0</v>
      </c>
      <c r="X62" s="142"/>
      <c r="Y62" s="323">
        <f t="shared" si="59"/>
        <v>0</v>
      </c>
      <c r="Z62" s="321"/>
      <c r="AA62" s="322">
        <f t="shared" ref="AA62:AI62" si="70">IF(OR(AA$19="",AA$31=0),0,
IF(OR(AA$21=woning,AA$21=woongebouw),IF(AA$31&gt;100,1.28+0.01*AA$31,MAX(1,2.28-1.28/70*(100-AA$31)))*856/AA$31,
INDEX(warmtapwater_specifieke_warmtebehoefte_waarden,MATCH(AA$21,warmtapwater_specifieke_warmtebehoefte_gebruiksfuncties,0)))*AA$44)</f>
        <v>0</v>
      </c>
      <c r="AB62" s="322">
        <f t="shared" si="70"/>
        <v>0</v>
      </c>
      <c r="AC62" s="322">
        <f t="shared" si="70"/>
        <v>0</v>
      </c>
      <c r="AD62" s="322">
        <f t="shared" si="70"/>
        <v>0</v>
      </c>
      <c r="AE62" s="322">
        <f t="shared" si="70"/>
        <v>0</v>
      </c>
      <c r="AF62" s="322">
        <f t="shared" si="70"/>
        <v>0</v>
      </c>
      <c r="AG62" s="322">
        <f t="shared" si="70"/>
        <v>0</v>
      </c>
      <c r="AH62" s="322">
        <f t="shared" si="70"/>
        <v>0</v>
      </c>
      <c r="AI62" s="322">
        <f t="shared" si="70"/>
        <v>0</v>
      </c>
      <c r="AJ62" s="142"/>
      <c r="AK62" s="323">
        <f t="shared" si="61"/>
        <v>0</v>
      </c>
      <c r="AL62" s="321"/>
      <c r="AM62" s="322">
        <f t="shared" ref="AM62:AU62" si="71">IF(OR(AM$19="",AM$31=0),0,
IF(OR(AM$21=woning,AM$21=woongebouw),IF(AM$31&gt;100,1.28+0.01*AM$31,MAX(1,2.28-1.28/70*(100-AM$31)))*856/AM$31,
INDEX(warmtapwater_specifieke_warmtebehoefte_waarden,MATCH(AM$21,warmtapwater_specifieke_warmtebehoefte_gebruiksfuncties,0)))*AM$44)</f>
        <v>0</v>
      </c>
      <c r="AN62" s="322">
        <f t="shared" si="71"/>
        <v>0</v>
      </c>
      <c r="AO62" s="322">
        <f t="shared" si="71"/>
        <v>0</v>
      </c>
      <c r="AP62" s="322">
        <f t="shared" si="71"/>
        <v>0</v>
      </c>
      <c r="AQ62" s="322">
        <f t="shared" si="71"/>
        <v>0</v>
      </c>
      <c r="AR62" s="322">
        <f t="shared" si="71"/>
        <v>0</v>
      </c>
      <c r="AS62" s="322">
        <f t="shared" si="71"/>
        <v>0</v>
      </c>
      <c r="AT62" s="322">
        <f t="shared" si="71"/>
        <v>0</v>
      </c>
      <c r="AU62" s="322">
        <f t="shared" si="71"/>
        <v>0</v>
      </c>
      <c r="AV62" s="142"/>
      <c r="AW62" s="323">
        <f t="shared" si="63"/>
        <v>0</v>
      </c>
      <c r="AX62" s="321"/>
      <c r="AY62" s="322">
        <f t="shared" ref="AY62:BG62" si="72">IF(OR(AY$19="",AY$31=0),0,
IF(OR(AY$21=woning,AY$21=woongebouw),IF(AY$31&gt;100,1.28+0.01*AY$31,MAX(1,2.28-1.28/70*(100-AY$31)))*856/AY$31,
INDEX(warmtapwater_specifieke_warmtebehoefte_waarden,MATCH(AY$21,warmtapwater_specifieke_warmtebehoefte_gebruiksfuncties,0)))*AY$44)</f>
        <v>0</v>
      </c>
      <c r="AZ62" s="322">
        <f t="shared" si="72"/>
        <v>0</v>
      </c>
      <c r="BA62" s="322">
        <f t="shared" si="72"/>
        <v>0</v>
      </c>
      <c r="BB62" s="322">
        <f t="shared" si="72"/>
        <v>0</v>
      </c>
      <c r="BC62" s="322">
        <f t="shared" si="72"/>
        <v>0</v>
      </c>
      <c r="BD62" s="322">
        <f t="shared" si="72"/>
        <v>0</v>
      </c>
      <c r="BE62" s="322">
        <f t="shared" si="72"/>
        <v>0</v>
      </c>
      <c r="BF62" s="322">
        <f t="shared" si="72"/>
        <v>0</v>
      </c>
      <c r="BG62" s="322">
        <f t="shared" si="72"/>
        <v>0</v>
      </c>
      <c r="BH62" s="255"/>
    </row>
    <row r="63" spans="1:60" x14ac:dyDescent="0.2">
      <c r="A63" s="653"/>
      <c r="B63" s="492" t="s">
        <v>158</v>
      </c>
      <c r="C63" s="656" t="s">
        <v>113</v>
      </c>
      <c r="D63" s="750" t="s">
        <v>50</v>
      </c>
      <c r="E63" s="358" t="str">
        <f>$R$10</f>
        <v>verlichting</v>
      </c>
      <c r="F63" s="359"/>
      <c r="G63" s="359"/>
      <c r="H63" s="358" t="s">
        <v>169</v>
      </c>
      <c r="I63" s="321"/>
      <c r="J63" s="323">
        <f t="shared" si="56"/>
        <v>0</v>
      </c>
      <c r="K63" s="142"/>
      <c r="L63" s="142"/>
      <c r="M63" s="323">
        <f t="shared" si="57"/>
        <v>0</v>
      </c>
      <c r="N63" s="321"/>
      <c r="O63" s="322">
        <f t="shared" ref="O63:W63" si="73">IF(OR(O$19="",AND(O$21&lt;&gt;woning,O$21&lt;&gt;woongebouw,O$46="")),0,
(INDEX(verlichting_parameters_a,MATCH(O$21,verlichting_parameters_gebruiksfuncties,0))+
INDEX(verlichting_parameters_b,MATCH(O$21,verlichting_parameters_gebruiksfuncties,0))*IF(O$45="",INDEX(verlichting_vermogen_forfaitair,MATCH(O$21,verlichting_parameters_gebruiksfuncties,0)),O$45))*
IF(OR(O$21=woning,O$21=woongebouw),1,INDEX(verlichtingsregeling_waarden,MATCH(O$46,verlichtingsregeling_kopregel,0))))</f>
        <v>0</v>
      </c>
      <c r="P63" s="322">
        <f t="shared" si="73"/>
        <v>0</v>
      </c>
      <c r="Q63" s="322">
        <f t="shared" si="73"/>
        <v>0</v>
      </c>
      <c r="R63" s="322">
        <f t="shared" si="73"/>
        <v>0</v>
      </c>
      <c r="S63" s="322">
        <f t="shared" si="73"/>
        <v>0</v>
      </c>
      <c r="T63" s="322">
        <f t="shared" si="73"/>
        <v>0</v>
      </c>
      <c r="U63" s="322">
        <f t="shared" si="73"/>
        <v>0</v>
      </c>
      <c r="V63" s="322">
        <f t="shared" si="73"/>
        <v>0</v>
      </c>
      <c r="W63" s="322">
        <f t="shared" si="73"/>
        <v>0</v>
      </c>
      <c r="X63" s="142"/>
      <c r="Y63" s="323">
        <f t="shared" si="59"/>
        <v>0</v>
      </c>
      <c r="Z63" s="321"/>
      <c r="AA63" s="322">
        <f t="shared" ref="AA63:AI63" si="74">IF(OR(AA$19="",AND(AA$21&lt;&gt;woning,AA$21&lt;&gt;woongebouw,AA$46="")),0,
(INDEX(verlichting_parameters_a,MATCH(AA$21,verlichting_parameters_gebruiksfuncties,0))+
INDEX(verlichting_parameters_b,MATCH(AA$21,verlichting_parameters_gebruiksfuncties,0))*IF(AA$45="",INDEX(verlichting_vermogen_forfaitair,MATCH(AA$21,verlichting_parameters_gebruiksfuncties,0)),AA$45))*
IF(OR(AA$21=woning,AA$21=woongebouw),1,INDEX(verlichtingsregeling_waarden,MATCH(AA$46,verlichtingsregeling_kopregel,0))))</f>
        <v>0</v>
      </c>
      <c r="AB63" s="322">
        <f t="shared" si="74"/>
        <v>0</v>
      </c>
      <c r="AC63" s="322">
        <f t="shared" si="74"/>
        <v>0</v>
      </c>
      <c r="AD63" s="322">
        <f t="shared" si="74"/>
        <v>0</v>
      </c>
      <c r="AE63" s="322">
        <f t="shared" si="74"/>
        <v>0</v>
      </c>
      <c r="AF63" s="322">
        <f t="shared" si="74"/>
        <v>0</v>
      </c>
      <c r="AG63" s="322">
        <f t="shared" si="74"/>
        <v>0</v>
      </c>
      <c r="AH63" s="322">
        <f t="shared" si="74"/>
        <v>0</v>
      </c>
      <c r="AI63" s="322">
        <f t="shared" si="74"/>
        <v>0</v>
      </c>
      <c r="AJ63" s="142"/>
      <c r="AK63" s="323">
        <f t="shared" si="61"/>
        <v>0</v>
      </c>
      <c r="AL63" s="321"/>
      <c r="AM63" s="322">
        <f t="shared" ref="AM63:AU63" si="75">IF(OR(AM$19="",AND(AM$21&lt;&gt;woning,AM$21&lt;&gt;woongebouw,AM$46="")),0,
(INDEX(verlichting_parameters_a,MATCH(AM$21,verlichting_parameters_gebruiksfuncties,0))+
INDEX(verlichting_parameters_b,MATCH(AM$21,verlichting_parameters_gebruiksfuncties,0))*IF(AM$45="",INDEX(verlichting_vermogen_forfaitair,MATCH(AM$21,verlichting_parameters_gebruiksfuncties,0)),AM$45))*
IF(OR(AM$21=woning,AM$21=woongebouw),1,INDEX(verlichtingsregeling_waarden,MATCH(AM$46,verlichtingsregeling_kopregel,0))))</f>
        <v>0</v>
      </c>
      <c r="AN63" s="322">
        <f t="shared" si="75"/>
        <v>0</v>
      </c>
      <c r="AO63" s="322">
        <f t="shared" si="75"/>
        <v>0</v>
      </c>
      <c r="AP63" s="322">
        <f t="shared" si="75"/>
        <v>0</v>
      </c>
      <c r="AQ63" s="322">
        <f t="shared" si="75"/>
        <v>0</v>
      </c>
      <c r="AR63" s="322">
        <f t="shared" si="75"/>
        <v>0</v>
      </c>
      <c r="AS63" s="322">
        <f t="shared" si="75"/>
        <v>0</v>
      </c>
      <c r="AT63" s="322">
        <f t="shared" si="75"/>
        <v>0</v>
      </c>
      <c r="AU63" s="322">
        <f t="shared" si="75"/>
        <v>0</v>
      </c>
      <c r="AV63" s="142"/>
      <c r="AW63" s="323">
        <f t="shared" si="63"/>
        <v>0</v>
      </c>
      <c r="AX63" s="321"/>
      <c r="AY63" s="322">
        <f t="shared" ref="AY63:BG63" si="76">IF(OR(AY$19="",AND(AY$21&lt;&gt;woning,AY$21&lt;&gt;woongebouw,AY$46="")),0,
(INDEX(verlichting_parameters_a,MATCH(AY$21,verlichting_parameters_gebruiksfuncties,0))+
INDEX(verlichting_parameters_b,MATCH(AY$21,verlichting_parameters_gebruiksfuncties,0))*IF(AY$45="",INDEX(verlichting_vermogen_forfaitair,MATCH(AY$21,verlichting_parameters_gebruiksfuncties,0)),AY$45))*
IF(OR(AY$21=woning,AY$21=woongebouw),1,INDEX(verlichtingsregeling_waarden,MATCH(AY$46,verlichtingsregeling_kopregel,0))))</f>
        <v>0</v>
      </c>
      <c r="AZ63" s="322">
        <f t="shared" si="76"/>
        <v>0</v>
      </c>
      <c r="BA63" s="322">
        <f t="shared" si="76"/>
        <v>0</v>
      </c>
      <c r="BB63" s="322">
        <f t="shared" si="76"/>
        <v>0</v>
      </c>
      <c r="BC63" s="322">
        <f t="shared" si="76"/>
        <v>0</v>
      </c>
      <c r="BD63" s="322">
        <f t="shared" si="76"/>
        <v>0</v>
      </c>
      <c r="BE63" s="322">
        <f t="shared" si="76"/>
        <v>0</v>
      </c>
      <c r="BF63" s="322">
        <f t="shared" si="76"/>
        <v>0</v>
      </c>
      <c r="BG63" s="322">
        <f t="shared" si="76"/>
        <v>0</v>
      </c>
      <c r="BH63" s="255"/>
    </row>
    <row r="64" spans="1:60" x14ac:dyDescent="0.2">
      <c r="A64" s="653"/>
      <c r="B64" s="492" t="s">
        <v>158</v>
      </c>
      <c r="C64" s="656" t="s">
        <v>113</v>
      </c>
      <c r="D64" s="750" t="s">
        <v>50</v>
      </c>
      <c r="E64" s="358" t="str">
        <f>$S$10</f>
        <v>ventilatoren</v>
      </c>
      <c r="F64" s="359"/>
      <c r="G64" s="359"/>
      <c r="H64" s="358" t="s">
        <v>169</v>
      </c>
      <c r="I64" s="321"/>
      <c r="J64" s="323">
        <f t="shared" si="56"/>
        <v>0</v>
      </c>
      <c r="K64" s="142"/>
      <c r="L64" s="142"/>
      <c r="M64" s="323">
        <f t="shared" si="57"/>
        <v>0</v>
      </c>
      <c r="N64" s="321"/>
      <c r="O64" s="322">
        <f t="shared" ref="O64:W64" si="77">IFERROR(IF(OR(O$19="",O$42=""),0,
IF(INDEX(ventilatiesystemen_code_eenvoudig,MATCH(O$42,ventilatiesystemen_namen,0))="A",0,
IF(INDEX(ventilatiesystemen_code_eenvoudig,MATCH(O$42,ventilatiesystemen_namen,0))="C",VLOOKUP(O$43,ventilatorenergie_ventilatiesysteem_B_C,MATCH(O$21,ventilatorenergie_ventilatiesysteem_B_C_kopregel,0),FALSE),
VLOOKUP(O$43,ventilatorenergie_ventilatiesysteem_D,MATCH(O$21,ventilatorenergie_ventilatiesysteem_D_kopregel,0),FALSE)  ))),0)</f>
        <v>0</v>
      </c>
      <c r="P64" s="322">
        <f t="shared" si="77"/>
        <v>0</v>
      </c>
      <c r="Q64" s="322">
        <f t="shared" si="77"/>
        <v>0</v>
      </c>
      <c r="R64" s="322">
        <f t="shared" si="77"/>
        <v>0</v>
      </c>
      <c r="S64" s="322">
        <f t="shared" si="77"/>
        <v>0</v>
      </c>
      <c r="T64" s="322">
        <f t="shared" si="77"/>
        <v>0</v>
      </c>
      <c r="U64" s="322">
        <f t="shared" si="77"/>
        <v>0</v>
      </c>
      <c r="V64" s="322">
        <f t="shared" si="77"/>
        <v>0</v>
      </c>
      <c r="W64" s="322">
        <f t="shared" si="77"/>
        <v>0</v>
      </c>
      <c r="X64" s="142"/>
      <c r="Y64" s="323">
        <f t="shared" si="59"/>
        <v>0</v>
      </c>
      <c r="Z64" s="321"/>
      <c r="AA64" s="322">
        <f t="shared" ref="AA64:AI64" si="78">IFERROR(IF(OR(AA$19="",AA$42=""),0,
IF(INDEX(ventilatiesystemen_code_eenvoudig,MATCH(AA$42,ventilatiesystemen_namen,0))="A",0,
IF(INDEX(ventilatiesystemen_code_eenvoudig,MATCH(AA$42,ventilatiesystemen_namen,0))="C",VLOOKUP(AA$43,ventilatorenergie_ventilatiesysteem_B_C,MATCH(AA$21,ventilatorenergie_ventilatiesysteem_B_C_kopregel,0),FALSE),
VLOOKUP(AA$43,ventilatorenergie_ventilatiesysteem_D,MATCH(AA$21,ventilatorenergie_ventilatiesysteem_D_kopregel,0),FALSE)  ))),0)</f>
        <v>0</v>
      </c>
      <c r="AB64" s="322">
        <f t="shared" si="78"/>
        <v>0</v>
      </c>
      <c r="AC64" s="322">
        <f t="shared" si="78"/>
        <v>0</v>
      </c>
      <c r="AD64" s="322">
        <f t="shared" si="78"/>
        <v>0</v>
      </c>
      <c r="AE64" s="322">
        <f t="shared" si="78"/>
        <v>0</v>
      </c>
      <c r="AF64" s="322">
        <f t="shared" si="78"/>
        <v>0</v>
      </c>
      <c r="AG64" s="322">
        <f t="shared" si="78"/>
        <v>0</v>
      </c>
      <c r="AH64" s="322">
        <f t="shared" si="78"/>
        <v>0</v>
      </c>
      <c r="AI64" s="322">
        <f t="shared" si="78"/>
        <v>0</v>
      </c>
      <c r="AJ64" s="142"/>
      <c r="AK64" s="323">
        <f t="shared" si="61"/>
        <v>0</v>
      </c>
      <c r="AL64" s="321"/>
      <c r="AM64" s="322">
        <f t="shared" ref="AM64:AU64" si="79">IFERROR(IF(OR(AM$19="",AM$42=""),0,
IF(INDEX(ventilatiesystemen_code_eenvoudig,MATCH(AM$42,ventilatiesystemen_namen,0))="A",0,
IF(INDEX(ventilatiesystemen_code_eenvoudig,MATCH(AM$42,ventilatiesystemen_namen,0))="C",VLOOKUP(AM$43,ventilatorenergie_ventilatiesysteem_B_C,MATCH(AM$21,ventilatorenergie_ventilatiesysteem_B_C_kopregel,0),FALSE),
VLOOKUP(AM$43,ventilatorenergie_ventilatiesysteem_D,MATCH(AM$21,ventilatorenergie_ventilatiesysteem_D_kopregel,0),FALSE)  ))),0)</f>
        <v>0</v>
      </c>
      <c r="AN64" s="322">
        <f t="shared" si="79"/>
        <v>0</v>
      </c>
      <c r="AO64" s="322">
        <f t="shared" si="79"/>
        <v>0</v>
      </c>
      <c r="AP64" s="322">
        <f t="shared" si="79"/>
        <v>0</v>
      </c>
      <c r="AQ64" s="322">
        <f t="shared" si="79"/>
        <v>0</v>
      </c>
      <c r="AR64" s="322">
        <f t="shared" si="79"/>
        <v>0</v>
      </c>
      <c r="AS64" s="322">
        <f t="shared" si="79"/>
        <v>0</v>
      </c>
      <c r="AT64" s="322">
        <f t="shared" si="79"/>
        <v>0</v>
      </c>
      <c r="AU64" s="322">
        <f t="shared" si="79"/>
        <v>0</v>
      </c>
      <c r="AV64" s="142"/>
      <c r="AW64" s="323">
        <f t="shared" si="63"/>
        <v>0</v>
      </c>
      <c r="AX64" s="321"/>
      <c r="AY64" s="322">
        <f t="shared" ref="AY64:BG64" si="80">IFERROR(IF(OR(AY$19="",AY$42=""),0,
IF(INDEX(ventilatiesystemen_code_eenvoudig,MATCH(AY$42,ventilatiesystemen_namen,0))="A",0,
IF(INDEX(ventilatiesystemen_code_eenvoudig,MATCH(AY$42,ventilatiesystemen_namen,0))="C",VLOOKUP(AY$43,ventilatorenergie_ventilatiesysteem_B_C,MATCH(AY$21,ventilatorenergie_ventilatiesysteem_B_C_kopregel,0),FALSE),
VLOOKUP(AY$43,ventilatorenergie_ventilatiesysteem_D,MATCH(AY$21,ventilatorenergie_ventilatiesysteem_D_kopregel,0),FALSE)  ))),0)</f>
        <v>0</v>
      </c>
      <c r="AZ64" s="322">
        <f t="shared" si="80"/>
        <v>0</v>
      </c>
      <c r="BA64" s="322">
        <f t="shared" si="80"/>
        <v>0</v>
      </c>
      <c r="BB64" s="322">
        <f t="shared" si="80"/>
        <v>0</v>
      </c>
      <c r="BC64" s="322">
        <f t="shared" si="80"/>
        <v>0</v>
      </c>
      <c r="BD64" s="322">
        <f t="shared" si="80"/>
        <v>0</v>
      </c>
      <c r="BE64" s="322">
        <f t="shared" si="80"/>
        <v>0</v>
      </c>
      <c r="BF64" s="322">
        <f t="shared" si="80"/>
        <v>0</v>
      </c>
      <c r="BG64" s="322">
        <f t="shared" si="80"/>
        <v>0</v>
      </c>
      <c r="BH64" s="255"/>
    </row>
    <row r="65" spans="1:60" x14ac:dyDescent="0.2">
      <c r="A65" s="653"/>
      <c r="B65" s="492" t="s">
        <v>158</v>
      </c>
      <c r="C65" s="656" t="s">
        <v>113</v>
      </c>
      <c r="D65" s="750" t="s">
        <v>50</v>
      </c>
      <c r="E65" s="482" t="str">
        <f>$T$10</f>
        <v>kookgas</v>
      </c>
      <c r="F65" s="359"/>
      <c r="G65" s="359"/>
      <c r="H65" s="358" t="s">
        <v>169</v>
      </c>
      <c r="I65" s="321"/>
      <c r="J65" s="323">
        <f t="shared" si="56"/>
        <v>0</v>
      </c>
      <c r="K65" s="142"/>
      <c r="L65" s="142"/>
      <c r="M65" s="323">
        <f t="shared" si="57"/>
        <v>0</v>
      </c>
      <c r="N65" s="321"/>
      <c r="O65" s="322">
        <f t="shared" ref="O65:W65" si="81">IF(OR(O$19="",O$31=0,O$47=elektriciteit,AND(O$21&lt;&gt;woning,O$21&lt;&gt;woongebouw)),0,koken_gas/O$31)</f>
        <v>0</v>
      </c>
      <c r="P65" s="322">
        <f t="shared" si="81"/>
        <v>0</v>
      </c>
      <c r="Q65" s="322">
        <f t="shared" si="81"/>
        <v>0</v>
      </c>
      <c r="R65" s="322">
        <f t="shared" si="81"/>
        <v>0</v>
      </c>
      <c r="S65" s="322">
        <f t="shared" si="81"/>
        <v>0</v>
      </c>
      <c r="T65" s="322">
        <f t="shared" si="81"/>
        <v>0</v>
      </c>
      <c r="U65" s="322">
        <f t="shared" si="81"/>
        <v>0</v>
      </c>
      <c r="V65" s="322">
        <f t="shared" si="81"/>
        <v>0</v>
      </c>
      <c r="W65" s="322">
        <f t="shared" si="81"/>
        <v>0</v>
      </c>
      <c r="X65" s="142"/>
      <c r="Y65" s="323">
        <f t="shared" si="59"/>
        <v>0</v>
      </c>
      <c r="Z65" s="321"/>
      <c r="AA65" s="322">
        <f t="shared" ref="AA65:AI65" si="82">IF(OR(AA$19="",AA$31=0,AA$47=elektriciteit,AND(AA$21&lt;&gt;woning,AA$21&lt;&gt;woongebouw)),0,koken_gas/AA$31)</f>
        <v>0</v>
      </c>
      <c r="AB65" s="322">
        <f t="shared" si="82"/>
        <v>0</v>
      </c>
      <c r="AC65" s="322">
        <f t="shared" si="82"/>
        <v>0</v>
      </c>
      <c r="AD65" s="322">
        <f t="shared" si="82"/>
        <v>0</v>
      </c>
      <c r="AE65" s="322">
        <f t="shared" si="82"/>
        <v>0</v>
      </c>
      <c r="AF65" s="322">
        <f t="shared" si="82"/>
        <v>0</v>
      </c>
      <c r="AG65" s="322">
        <f t="shared" si="82"/>
        <v>0</v>
      </c>
      <c r="AH65" s="322">
        <f t="shared" si="82"/>
        <v>0</v>
      </c>
      <c r="AI65" s="322">
        <f t="shared" si="82"/>
        <v>0</v>
      </c>
      <c r="AJ65" s="142"/>
      <c r="AK65" s="323">
        <f t="shared" si="61"/>
        <v>0</v>
      </c>
      <c r="AL65" s="321"/>
      <c r="AM65" s="322">
        <f t="shared" ref="AM65:AU65" si="83">IF(OR(AM$19="",AM$31=0,AM$47=elektriciteit,AND(AM$21&lt;&gt;woning,AM$21&lt;&gt;woongebouw)),0,koken_gas/AM$31)</f>
        <v>0</v>
      </c>
      <c r="AN65" s="322">
        <f t="shared" si="83"/>
        <v>0</v>
      </c>
      <c r="AO65" s="322">
        <f t="shared" si="83"/>
        <v>0</v>
      </c>
      <c r="AP65" s="322">
        <f t="shared" si="83"/>
        <v>0</v>
      </c>
      <c r="AQ65" s="322">
        <f t="shared" si="83"/>
        <v>0</v>
      </c>
      <c r="AR65" s="322">
        <f t="shared" si="83"/>
        <v>0</v>
      </c>
      <c r="AS65" s="322">
        <f t="shared" si="83"/>
        <v>0</v>
      </c>
      <c r="AT65" s="322">
        <f t="shared" si="83"/>
        <v>0</v>
      </c>
      <c r="AU65" s="322">
        <f t="shared" si="83"/>
        <v>0</v>
      </c>
      <c r="AV65" s="142"/>
      <c r="AW65" s="323">
        <f t="shared" si="63"/>
        <v>0</v>
      </c>
      <c r="AX65" s="321"/>
      <c r="AY65" s="322">
        <f t="shared" ref="AY65:BG65" si="84">IF(OR(AY$19="",AY$31=0,AY$47=elektriciteit,AND(AY$21&lt;&gt;woning,AY$21&lt;&gt;woongebouw)),0,koken_gas/AY$31)</f>
        <v>0</v>
      </c>
      <c r="AZ65" s="322">
        <f t="shared" si="84"/>
        <v>0</v>
      </c>
      <c r="BA65" s="322">
        <f t="shared" si="84"/>
        <v>0</v>
      </c>
      <c r="BB65" s="322">
        <f t="shared" si="84"/>
        <v>0</v>
      </c>
      <c r="BC65" s="322">
        <f t="shared" si="84"/>
        <v>0</v>
      </c>
      <c r="BD65" s="322">
        <f t="shared" si="84"/>
        <v>0</v>
      </c>
      <c r="BE65" s="322">
        <f t="shared" si="84"/>
        <v>0</v>
      </c>
      <c r="BF65" s="322">
        <f t="shared" si="84"/>
        <v>0</v>
      </c>
      <c r="BG65" s="322">
        <f t="shared" si="84"/>
        <v>0</v>
      </c>
      <c r="BH65" s="255"/>
    </row>
    <row r="66" spans="1:60" x14ac:dyDescent="0.2">
      <c r="A66" s="653"/>
      <c r="B66" s="492" t="s">
        <v>158</v>
      </c>
      <c r="C66" s="656" t="s">
        <v>113</v>
      </c>
      <c r="D66" s="750" t="s">
        <v>50</v>
      </c>
      <c r="E66" s="358" t="str">
        <f>$U$10</f>
        <v>overig elektra</v>
      </c>
      <c r="F66" s="359"/>
      <c r="G66" s="359"/>
      <c r="H66" s="358" t="s">
        <v>169</v>
      </c>
      <c r="I66" s="321"/>
      <c r="J66" s="323">
        <f t="shared" si="56"/>
        <v>0</v>
      </c>
      <c r="K66" s="142"/>
      <c r="L66" s="142"/>
      <c r="M66" s="323">
        <f t="shared" si="57"/>
        <v>0</v>
      </c>
      <c r="N66" s="321"/>
      <c r="O66" s="322">
        <f t="shared" ref="O66:W66" si="85">IF(O$19="",0,
IF(OR(O$21=woning,O$21=woongebouw),(1-O$48)*niet_gebouwgebonden_elektriciteitgebruik_woningen_per_m2+IF(O$47=elektriciteit,koken_elektriciteit/O$31,0),
(1-O$48)*INDEX(specifiek_niet_gebouwgebonden_elektriciteitsgebruik_waarden,MATCH(O$21,specifiek_niet_gebouwgebonden_elektriciteitsgebruik_gebruiksfuncties,0))))</f>
        <v>0</v>
      </c>
      <c r="P66" s="322">
        <f t="shared" si="85"/>
        <v>0</v>
      </c>
      <c r="Q66" s="322">
        <f t="shared" si="85"/>
        <v>0</v>
      </c>
      <c r="R66" s="322">
        <f t="shared" si="85"/>
        <v>0</v>
      </c>
      <c r="S66" s="322">
        <f t="shared" si="85"/>
        <v>0</v>
      </c>
      <c r="T66" s="322">
        <f t="shared" si="85"/>
        <v>0</v>
      </c>
      <c r="U66" s="322">
        <f t="shared" si="85"/>
        <v>0</v>
      </c>
      <c r="V66" s="322">
        <f t="shared" si="85"/>
        <v>0</v>
      </c>
      <c r="W66" s="322">
        <f t="shared" si="85"/>
        <v>0</v>
      </c>
      <c r="X66" s="142"/>
      <c r="Y66" s="323">
        <f t="shared" si="59"/>
        <v>0</v>
      </c>
      <c r="Z66" s="321"/>
      <c r="AA66" s="322">
        <f t="shared" ref="AA66:AI66" si="86">IF(AA$19="",0,
IF(OR(AA$21=woning,AA$21=woongebouw),(1-AA$48)*niet_gebouwgebonden_elektriciteitgebruik_woningen_per_m2+IF(AA$47=elektriciteit,koken_elektriciteit/AA$31,0),
(1-AA$48)*INDEX(specifiek_niet_gebouwgebonden_elektriciteitsgebruik_waarden,MATCH(AA$21,specifiek_niet_gebouwgebonden_elektriciteitsgebruik_gebruiksfuncties,0))))</f>
        <v>0</v>
      </c>
      <c r="AB66" s="322">
        <f t="shared" si="86"/>
        <v>0</v>
      </c>
      <c r="AC66" s="322">
        <f t="shared" si="86"/>
        <v>0</v>
      </c>
      <c r="AD66" s="322">
        <f t="shared" si="86"/>
        <v>0</v>
      </c>
      <c r="AE66" s="322">
        <f t="shared" si="86"/>
        <v>0</v>
      </c>
      <c r="AF66" s="322">
        <f t="shared" si="86"/>
        <v>0</v>
      </c>
      <c r="AG66" s="322">
        <f t="shared" si="86"/>
        <v>0</v>
      </c>
      <c r="AH66" s="322">
        <f t="shared" si="86"/>
        <v>0</v>
      </c>
      <c r="AI66" s="322">
        <f t="shared" si="86"/>
        <v>0</v>
      </c>
      <c r="AJ66" s="142"/>
      <c r="AK66" s="323">
        <f t="shared" si="61"/>
        <v>0</v>
      </c>
      <c r="AL66" s="321"/>
      <c r="AM66" s="322">
        <f t="shared" ref="AM66:AU66" si="87">IF(AM$19="",0,
IF(OR(AM$21=woning,AM$21=woongebouw),(1-AM$48)*niet_gebouwgebonden_elektriciteitgebruik_woningen_per_m2+IF(AM$47=elektriciteit,koken_elektriciteit/AM$31,0),
(1-AM$48)*INDEX(specifiek_niet_gebouwgebonden_elektriciteitsgebruik_waarden,MATCH(AM$21,specifiek_niet_gebouwgebonden_elektriciteitsgebruik_gebruiksfuncties,0))))</f>
        <v>0</v>
      </c>
      <c r="AN66" s="322">
        <f t="shared" si="87"/>
        <v>0</v>
      </c>
      <c r="AO66" s="322">
        <f t="shared" si="87"/>
        <v>0</v>
      </c>
      <c r="AP66" s="322">
        <f t="shared" si="87"/>
        <v>0</v>
      </c>
      <c r="AQ66" s="322">
        <f t="shared" si="87"/>
        <v>0</v>
      </c>
      <c r="AR66" s="322">
        <f t="shared" si="87"/>
        <v>0</v>
      </c>
      <c r="AS66" s="322">
        <f t="shared" si="87"/>
        <v>0</v>
      </c>
      <c r="AT66" s="322">
        <f t="shared" si="87"/>
        <v>0</v>
      </c>
      <c r="AU66" s="322">
        <f t="shared" si="87"/>
        <v>0</v>
      </c>
      <c r="AV66" s="142"/>
      <c r="AW66" s="323">
        <f t="shared" si="63"/>
        <v>0</v>
      </c>
      <c r="AX66" s="321"/>
      <c r="AY66" s="322">
        <f t="shared" ref="AY66:BG66" si="88">IF(AY$19="",0,
IF(OR(AY$21=woning,AY$21=woongebouw),(1-AY$48)*niet_gebouwgebonden_elektriciteitgebruik_woningen_per_m2+IF(AY$47=elektriciteit,koken_elektriciteit/AY$31,0),
(1-AY$48)*INDEX(specifiek_niet_gebouwgebonden_elektriciteitsgebruik_waarden,MATCH(AY$21,specifiek_niet_gebouwgebonden_elektriciteitsgebruik_gebruiksfuncties,0))))</f>
        <v>0</v>
      </c>
      <c r="AZ66" s="322">
        <f t="shared" si="88"/>
        <v>0</v>
      </c>
      <c r="BA66" s="322">
        <f t="shared" si="88"/>
        <v>0</v>
      </c>
      <c r="BB66" s="322">
        <f t="shared" si="88"/>
        <v>0</v>
      </c>
      <c r="BC66" s="322">
        <f t="shared" si="88"/>
        <v>0</v>
      </c>
      <c r="BD66" s="322">
        <f t="shared" si="88"/>
        <v>0</v>
      </c>
      <c r="BE66" s="322">
        <f t="shared" si="88"/>
        <v>0</v>
      </c>
      <c r="BF66" s="322">
        <f t="shared" si="88"/>
        <v>0</v>
      </c>
      <c r="BG66" s="322">
        <f t="shared" si="88"/>
        <v>0</v>
      </c>
      <c r="BH66" s="255"/>
    </row>
    <row r="67" spans="1:60" ht="18.75" x14ac:dyDescent="0.2">
      <c r="A67" s="653"/>
      <c r="B67" s="492" t="s">
        <v>158</v>
      </c>
      <c r="C67" s="739" t="s">
        <v>104</v>
      </c>
      <c r="D67" s="750"/>
      <c r="E67" s="166" t="s">
        <v>170</v>
      </c>
      <c r="F67" s="167"/>
      <c r="G67" s="167"/>
      <c r="H67" s="168"/>
      <c r="I67" s="169"/>
      <c r="J67" s="170"/>
      <c r="K67" s="142"/>
      <c r="L67" s="142"/>
      <c r="M67" s="172"/>
      <c r="N67" s="172"/>
      <c r="O67" s="172"/>
      <c r="P67" s="172"/>
      <c r="Q67" s="172"/>
      <c r="R67" s="172"/>
      <c r="S67" s="172"/>
      <c r="T67" s="172"/>
      <c r="U67" s="172"/>
      <c r="V67" s="172"/>
      <c r="W67" s="172"/>
      <c r="X67" s="173"/>
      <c r="Y67" s="172"/>
      <c r="Z67" s="172"/>
      <c r="AA67" s="172"/>
      <c r="AB67" s="172"/>
      <c r="AC67" s="172"/>
      <c r="AD67" s="172"/>
      <c r="AE67" s="172"/>
      <c r="AF67" s="172"/>
      <c r="AG67" s="172"/>
      <c r="AH67" s="172"/>
      <c r="AI67" s="172"/>
      <c r="AJ67" s="173"/>
      <c r="AK67" s="172"/>
      <c r="AL67" s="172"/>
      <c r="AM67" s="172"/>
      <c r="AN67" s="172"/>
      <c r="AO67" s="172"/>
      <c r="AP67" s="172"/>
      <c r="AQ67" s="172"/>
      <c r="AR67" s="172"/>
      <c r="AS67" s="172"/>
      <c r="AT67" s="172"/>
      <c r="AU67" s="172"/>
      <c r="AV67" s="173"/>
      <c r="AW67" s="172"/>
      <c r="AX67" s="172"/>
      <c r="AY67" s="172"/>
      <c r="AZ67" s="172"/>
      <c r="BA67" s="172"/>
      <c r="BB67" s="172"/>
      <c r="BC67" s="172"/>
      <c r="BD67" s="172"/>
      <c r="BE67" s="172"/>
      <c r="BF67" s="172"/>
      <c r="BG67" s="172"/>
      <c r="BH67" s="263"/>
    </row>
    <row r="68" spans="1:60" x14ac:dyDescent="0.2">
      <c r="A68" s="653"/>
      <c r="B68" s="492" t="s">
        <v>158</v>
      </c>
      <c r="C68" s="656" t="s">
        <v>127</v>
      </c>
      <c r="D68" s="750" t="s">
        <v>50</v>
      </c>
      <c r="E68" s="358" t="str">
        <f>$V$10</f>
        <v>mobiliteit</v>
      </c>
      <c r="F68" s="359"/>
      <c r="G68" s="359"/>
      <c r="H68" s="358" t="s">
        <v>171</v>
      </c>
      <c r="I68" s="321"/>
      <c r="J68" s="323">
        <f>M68+Y68+AK68+AW68</f>
        <v>0</v>
      </c>
      <c r="K68" s="142"/>
      <c r="L68" s="142"/>
      <c r="M68" s="323">
        <f>SUMPRODUCT(N$24:X$24,N68:X68)/1000</f>
        <v>0</v>
      </c>
      <c r="N68" s="321"/>
      <c r="O68" s="449"/>
      <c r="P68" s="449"/>
      <c r="Q68" s="449"/>
      <c r="R68" s="449"/>
      <c r="S68" s="449"/>
      <c r="T68" s="449"/>
      <c r="U68" s="449"/>
      <c r="V68" s="449"/>
      <c r="W68" s="449"/>
      <c r="X68" s="142"/>
      <c r="Y68" s="323">
        <f>SUMPRODUCT(Z$24:AJ$24,Z68:AJ68)/1000</f>
        <v>0</v>
      </c>
      <c r="Z68" s="321"/>
      <c r="AA68" s="449"/>
      <c r="AB68" s="449"/>
      <c r="AC68" s="449"/>
      <c r="AD68" s="449"/>
      <c r="AE68" s="449"/>
      <c r="AF68" s="449"/>
      <c r="AG68" s="449"/>
      <c r="AH68" s="449"/>
      <c r="AI68" s="449"/>
      <c r="AJ68" s="142"/>
      <c r="AK68" s="323">
        <f>SUMPRODUCT(AL$24:AV$24,AL68:AV68)/1000</f>
        <v>0</v>
      </c>
      <c r="AL68" s="321"/>
      <c r="AM68" s="449"/>
      <c r="AN68" s="449"/>
      <c r="AO68" s="449"/>
      <c r="AP68" s="449"/>
      <c r="AQ68" s="449"/>
      <c r="AR68" s="449"/>
      <c r="AS68" s="449"/>
      <c r="AT68" s="449"/>
      <c r="AU68" s="449"/>
      <c r="AV68" s="142"/>
      <c r="AW68" s="323">
        <f>SUMPRODUCT(AX$24:BH$24,AX68:BH68)/1000</f>
        <v>0</v>
      </c>
      <c r="AX68" s="321"/>
      <c r="AY68" s="449"/>
      <c r="AZ68" s="449"/>
      <c r="BA68" s="449"/>
      <c r="BB68" s="449"/>
      <c r="BC68" s="449"/>
      <c r="BD68" s="449"/>
      <c r="BE68" s="449"/>
      <c r="BF68" s="449"/>
      <c r="BG68" s="449"/>
      <c r="BH68" s="255"/>
    </row>
    <row r="69" spans="1:60" ht="18.75" x14ac:dyDescent="0.2">
      <c r="A69" s="648"/>
      <c r="B69" s="492" t="s">
        <v>158</v>
      </c>
      <c r="C69" s="739" t="s">
        <v>104</v>
      </c>
      <c r="D69" s="750"/>
      <c r="E69" s="915" t="s">
        <v>172</v>
      </c>
      <c r="F69" s="916"/>
      <c r="G69" s="916"/>
      <c r="H69" s="168"/>
      <c r="I69" s="169"/>
      <c r="J69" s="170"/>
      <c r="K69" s="171"/>
      <c r="L69" s="171"/>
      <c r="M69" s="172"/>
      <c r="N69" s="172"/>
      <c r="O69" s="172"/>
      <c r="P69" s="172"/>
      <c r="Q69" s="172"/>
      <c r="R69" s="172"/>
      <c r="S69" s="172"/>
      <c r="T69" s="172"/>
      <c r="U69" s="172"/>
      <c r="V69" s="172"/>
      <c r="W69" s="172"/>
      <c r="X69" s="173"/>
      <c r="Y69" s="172"/>
      <c r="Z69" s="172"/>
      <c r="AA69" s="172"/>
      <c r="AB69" s="172"/>
      <c r="AC69" s="172"/>
      <c r="AD69" s="172"/>
      <c r="AE69" s="172"/>
      <c r="AF69" s="172"/>
      <c r="AG69" s="172"/>
      <c r="AH69" s="172"/>
      <c r="AI69" s="172"/>
      <c r="AJ69" s="173"/>
      <c r="AK69" s="172"/>
      <c r="AL69" s="172"/>
      <c r="AM69" s="172"/>
      <c r="AN69" s="172"/>
      <c r="AO69" s="172"/>
      <c r="AP69" s="172"/>
      <c r="AQ69" s="172"/>
      <c r="AR69" s="172"/>
      <c r="AS69" s="172"/>
      <c r="AT69" s="172"/>
      <c r="AU69" s="172"/>
      <c r="AV69" s="173"/>
      <c r="AW69" s="172"/>
      <c r="AX69" s="172"/>
      <c r="AY69" s="172"/>
      <c r="AZ69" s="172"/>
      <c r="BA69" s="172"/>
      <c r="BB69" s="172"/>
      <c r="BC69" s="172"/>
      <c r="BD69" s="172"/>
      <c r="BE69" s="172"/>
      <c r="BF69" s="172"/>
      <c r="BG69" s="172"/>
      <c r="BH69" s="263"/>
    </row>
    <row r="70" spans="1:60" x14ac:dyDescent="0.2">
      <c r="A70" s="648"/>
      <c r="B70" s="492" t="s">
        <v>158</v>
      </c>
      <c r="C70" s="656" t="s">
        <v>127</v>
      </c>
      <c r="D70" s="750" t="s">
        <v>50</v>
      </c>
      <c r="E70" s="358" t="s">
        <v>173</v>
      </c>
      <c r="F70" s="359"/>
      <c r="G70" s="359"/>
      <c r="H70" s="358" t="s">
        <v>171</v>
      </c>
      <c r="I70" s="321"/>
      <c r="J70" s="323">
        <f>M70+Y70+AK70+AW70</f>
        <v>0</v>
      </c>
      <c r="K70" s="142"/>
      <c r="L70" s="142"/>
      <c r="M70" s="323">
        <f>SUMPRODUCT(N$24:X$24,N70:X70)/1000</f>
        <v>0</v>
      </c>
      <c r="N70" s="321"/>
      <c r="O70" s="449"/>
      <c r="P70" s="449"/>
      <c r="Q70" s="449"/>
      <c r="R70" s="449"/>
      <c r="S70" s="449"/>
      <c r="T70" s="449"/>
      <c r="U70" s="449"/>
      <c r="V70" s="449"/>
      <c r="W70" s="449"/>
      <c r="X70" s="142"/>
      <c r="Y70" s="323">
        <f>SUMPRODUCT(Z$24:AJ$24,Z70:AJ70)/1000</f>
        <v>0</v>
      </c>
      <c r="Z70" s="321"/>
      <c r="AA70" s="449"/>
      <c r="AB70" s="449"/>
      <c r="AC70" s="449"/>
      <c r="AD70" s="449"/>
      <c r="AE70" s="449"/>
      <c r="AF70" s="449"/>
      <c r="AG70" s="449"/>
      <c r="AH70" s="449"/>
      <c r="AI70" s="449"/>
      <c r="AJ70" s="142"/>
      <c r="AK70" s="323">
        <f>SUMPRODUCT(AL$24:AV$24,AL70:AV70)/1000</f>
        <v>0</v>
      </c>
      <c r="AL70" s="321"/>
      <c r="AM70" s="449"/>
      <c r="AN70" s="449"/>
      <c r="AO70" s="449"/>
      <c r="AP70" s="449"/>
      <c r="AQ70" s="449"/>
      <c r="AR70" s="449"/>
      <c r="AS70" s="449"/>
      <c r="AT70" s="449"/>
      <c r="AU70" s="449"/>
      <c r="AV70" s="142"/>
      <c r="AW70" s="323">
        <f>SUMPRODUCT(AX$24:BH$24,AX70:BH70)/1000</f>
        <v>0</v>
      </c>
      <c r="AX70" s="321"/>
      <c r="AY70" s="449"/>
      <c r="AZ70" s="449"/>
      <c r="BA70" s="449"/>
      <c r="BB70" s="449"/>
      <c r="BC70" s="449"/>
      <c r="BD70" s="449"/>
      <c r="BE70" s="449"/>
      <c r="BF70" s="449"/>
      <c r="BG70" s="449"/>
      <c r="BH70" s="255"/>
    </row>
    <row r="71" spans="1:60" x14ac:dyDescent="0.2">
      <c r="A71" s="648"/>
      <c r="B71" s="492" t="s">
        <v>158</v>
      </c>
      <c r="C71" s="656" t="s">
        <v>127</v>
      </c>
      <c r="D71" s="747"/>
      <c r="E71" s="90"/>
      <c r="F71" s="90"/>
      <c r="G71" s="90"/>
      <c r="H71" s="96"/>
      <c r="I71" s="90"/>
      <c r="J71" s="93"/>
      <c r="K71" s="90"/>
      <c r="L71" s="90"/>
      <c r="M71" s="93"/>
      <c r="N71" s="90"/>
      <c r="O71" s="117"/>
      <c r="P71" s="93"/>
      <c r="Q71" s="117"/>
      <c r="R71" s="117"/>
      <c r="S71" s="117"/>
      <c r="T71" s="117"/>
      <c r="U71" s="117"/>
      <c r="V71" s="117"/>
      <c r="W71" s="117"/>
      <c r="X71" s="93"/>
      <c r="Y71" s="93"/>
      <c r="Z71" s="90"/>
      <c r="AA71" s="117"/>
      <c r="AB71" s="93"/>
      <c r="AC71" s="117"/>
      <c r="AD71" s="117"/>
      <c r="AE71" s="117"/>
      <c r="AF71" s="117"/>
      <c r="AG71" s="117"/>
      <c r="AH71" s="117"/>
      <c r="AI71" s="117"/>
      <c r="AJ71" s="93"/>
      <c r="AK71" s="93"/>
      <c r="AL71" s="90"/>
      <c r="AM71" s="117"/>
      <c r="AN71" s="93"/>
      <c r="AO71" s="117"/>
      <c r="AP71" s="117"/>
      <c r="AQ71" s="117"/>
      <c r="AR71" s="117"/>
      <c r="AS71" s="117"/>
      <c r="AT71" s="117"/>
      <c r="AU71" s="117"/>
      <c r="AV71" s="93"/>
      <c r="AW71" s="93"/>
      <c r="AX71" s="90"/>
      <c r="AY71" s="93"/>
      <c r="AZ71" s="93"/>
      <c r="BA71" s="93"/>
      <c r="BB71" s="93"/>
      <c r="BC71" s="93"/>
      <c r="BD71" s="93"/>
      <c r="BE71" s="93"/>
      <c r="BF71" s="93"/>
      <c r="BG71" s="93"/>
      <c r="BH71" s="1"/>
    </row>
    <row r="72" spans="1:60" x14ac:dyDescent="0.2">
      <c r="A72" s="648"/>
      <c r="B72" s="492" t="s">
        <v>158</v>
      </c>
      <c r="C72" s="656" t="s">
        <v>104</v>
      </c>
      <c r="D72" s="747"/>
      <c r="E72" s="90"/>
      <c r="F72" s="90"/>
      <c r="G72" s="90"/>
      <c r="H72" s="96"/>
      <c r="I72" s="90"/>
      <c r="J72" s="93"/>
      <c r="K72" s="90"/>
      <c r="L72" s="90"/>
      <c r="M72" s="93"/>
      <c r="N72" s="90"/>
      <c r="O72" s="117"/>
      <c r="P72" s="93"/>
      <c r="Q72" s="117"/>
      <c r="R72" s="117"/>
      <c r="S72" s="117"/>
      <c r="T72" s="117"/>
      <c r="U72" s="117"/>
      <c r="V72" s="117"/>
      <c r="W72" s="117"/>
      <c r="X72" s="93"/>
      <c r="Y72" s="93"/>
      <c r="Z72" s="90"/>
      <c r="AA72" s="117"/>
      <c r="AB72" s="93"/>
      <c r="AC72" s="117"/>
      <c r="AD72" s="117"/>
      <c r="AE72" s="117"/>
      <c r="AF72" s="117"/>
      <c r="AG72" s="117"/>
      <c r="AH72" s="117"/>
      <c r="AI72" s="117"/>
      <c r="AJ72" s="93"/>
      <c r="AK72" s="93"/>
      <c r="AL72" s="90"/>
      <c r="AM72" s="117"/>
      <c r="AN72" s="93"/>
      <c r="AO72" s="117"/>
      <c r="AP72" s="117"/>
      <c r="AQ72" s="117"/>
      <c r="AR72" s="117"/>
      <c r="AS72" s="117"/>
      <c r="AT72" s="117"/>
      <c r="AU72" s="117"/>
      <c r="AV72" s="93"/>
      <c r="AW72" s="93"/>
      <c r="AX72" s="90"/>
      <c r="AY72" s="93"/>
      <c r="AZ72" s="93"/>
      <c r="BA72" s="93"/>
      <c r="BB72" s="93"/>
      <c r="BC72" s="93"/>
      <c r="BD72" s="93"/>
      <c r="BE72" s="93"/>
      <c r="BF72" s="93"/>
      <c r="BG72" s="93"/>
      <c r="BH72" s="1"/>
    </row>
    <row r="73" spans="1:60" ht="21" x14ac:dyDescent="0.2">
      <c r="A73" s="648"/>
      <c r="B73" s="492" t="s">
        <v>158</v>
      </c>
      <c r="C73" s="739" t="s">
        <v>104</v>
      </c>
      <c r="D73" s="752"/>
      <c r="E73" s="240" t="s">
        <v>174</v>
      </c>
      <c r="F73" s="240"/>
      <c r="G73" s="240"/>
      <c r="H73" s="240"/>
      <c r="I73" s="88"/>
      <c r="J73" s="241" t="str">
        <f>J$10&amp;" MWh"</f>
        <v>totaal MWh</v>
      </c>
      <c r="K73" s="142"/>
      <c r="L73" s="142"/>
      <c r="M73" s="216" t="str">
        <f>M$10&amp;" MWh"</f>
        <v>totaal MWh</v>
      </c>
      <c r="N73" s="222"/>
      <c r="O73" s="217" t="str">
        <f t="shared" ref="O73:W73" si="89">O$10</f>
        <v>verwarming</v>
      </c>
      <c r="P73" s="217" t="str">
        <f t="shared" si="89"/>
        <v>koeling</v>
      </c>
      <c r="Q73" s="217" t="str">
        <f t="shared" si="89"/>
        <v>tapwater</v>
      </c>
      <c r="R73" s="217" t="str">
        <f t="shared" si="89"/>
        <v>verlichting</v>
      </c>
      <c r="S73" s="217" t="str">
        <f t="shared" si="89"/>
        <v>ventilatoren</v>
      </c>
      <c r="T73" s="217" t="str">
        <f t="shared" si="89"/>
        <v>kookgas</v>
      </c>
      <c r="U73" s="217" t="str">
        <f t="shared" si="89"/>
        <v>overig elektra</v>
      </c>
      <c r="V73" s="217" t="str">
        <f t="shared" si="89"/>
        <v>mobiliteit</v>
      </c>
      <c r="W73" s="217" t="str">
        <f t="shared" si="89"/>
        <v>zonnepanelen</v>
      </c>
      <c r="X73" s="214"/>
      <c r="Y73" s="216" t="str">
        <f>Y$10&amp;" MWh"</f>
        <v>totaal MWh</v>
      </c>
      <c r="Z73" s="222"/>
      <c r="AA73" s="217" t="str">
        <f t="shared" ref="AA73:AI73" si="90">AA$10</f>
        <v>verwarming</v>
      </c>
      <c r="AB73" s="217" t="str">
        <f t="shared" si="90"/>
        <v>koeling</v>
      </c>
      <c r="AC73" s="217" t="str">
        <f t="shared" si="90"/>
        <v>tapwater</v>
      </c>
      <c r="AD73" s="217" t="str">
        <f t="shared" si="90"/>
        <v>verlichting</v>
      </c>
      <c r="AE73" s="217" t="str">
        <f t="shared" si="90"/>
        <v>ventilatoren</v>
      </c>
      <c r="AF73" s="217" t="str">
        <f t="shared" si="90"/>
        <v>kookgas</v>
      </c>
      <c r="AG73" s="217" t="str">
        <f t="shared" si="90"/>
        <v>overig elektra</v>
      </c>
      <c r="AH73" s="217" t="str">
        <f t="shared" si="90"/>
        <v>mobiliteit</v>
      </c>
      <c r="AI73" s="217" t="str">
        <f t="shared" si="90"/>
        <v>zonnepanelen</v>
      </c>
      <c r="AJ73" s="214"/>
      <c r="AK73" s="216" t="str">
        <f>AK$10&amp;" MWh"</f>
        <v>totaal MWh</v>
      </c>
      <c r="AL73" s="222"/>
      <c r="AM73" s="217" t="str">
        <f>AM$10</f>
        <v>verwarming</v>
      </c>
      <c r="AN73" s="217" t="str">
        <f t="shared" ref="AN73:AU73" si="91">AN$10</f>
        <v>koeling</v>
      </c>
      <c r="AO73" s="217" t="str">
        <f t="shared" si="91"/>
        <v>tapwater</v>
      </c>
      <c r="AP73" s="217" t="str">
        <f t="shared" si="91"/>
        <v>verlichting</v>
      </c>
      <c r="AQ73" s="217" t="str">
        <f t="shared" si="91"/>
        <v>ventilatoren</v>
      </c>
      <c r="AR73" s="217" t="str">
        <f t="shared" si="91"/>
        <v>kookgas</v>
      </c>
      <c r="AS73" s="217" t="str">
        <f t="shared" si="91"/>
        <v>overig elektra</v>
      </c>
      <c r="AT73" s="217" t="str">
        <f t="shared" si="91"/>
        <v>mobiliteit</v>
      </c>
      <c r="AU73" s="217" t="str">
        <f t="shared" si="91"/>
        <v>zonnepanelen</v>
      </c>
      <c r="AV73" s="214"/>
      <c r="AW73" s="216" t="str">
        <f>AW$10&amp;" MWh"</f>
        <v>totaal MWh</v>
      </c>
      <c r="AX73" s="222"/>
      <c r="AY73" s="217" t="str">
        <f>AY$10</f>
        <v>verwarming</v>
      </c>
      <c r="AZ73" s="217" t="str">
        <f t="shared" ref="AZ73:BG73" si="92">AZ$10</f>
        <v>koeling</v>
      </c>
      <c r="BA73" s="217" t="str">
        <f t="shared" si="92"/>
        <v>tapwater</v>
      </c>
      <c r="BB73" s="217" t="str">
        <f t="shared" si="92"/>
        <v>verlichting</v>
      </c>
      <c r="BC73" s="217" t="str">
        <f t="shared" si="92"/>
        <v>ventilatoren</v>
      </c>
      <c r="BD73" s="217" t="str">
        <f t="shared" si="92"/>
        <v>kookgas</v>
      </c>
      <c r="BE73" s="217" t="str">
        <f t="shared" si="92"/>
        <v>overig elektra</v>
      </c>
      <c r="BF73" s="217" t="str">
        <f t="shared" si="92"/>
        <v>mobiliteit</v>
      </c>
      <c r="BG73" s="217" t="str">
        <f t="shared" si="92"/>
        <v>zonnepanelen</v>
      </c>
      <c r="BH73" s="1"/>
    </row>
    <row r="74" spans="1:60" ht="18.75" x14ac:dyDescent="0.2">
      <c r="A74" s="648"/>
      <c r="B74" s="492" t="s">
        <v>158</v>
      </c>
      <c r="C74" s="739" t="s">
        <v>104</v>
      </c>
      <c r="D74" s="750"/>
      <c r="E74" s="174" t="s">
        <v>175</v>
      </c>
      <c r="F74" s="175"/>
      <c r="G74" s="175"/>
      <c r="H74" s="176"/>
      <c r="I74" s="177"/>
      <c r="J74" s="141"/>
      <c r="K74" s="178"/>
      <c r="L74" s="178"/>
      <c r="M74" s="141"/>
      <c r="N74" s="141"/>
      <c r="O74" s="141"/>
      <c r="P74" s="141"/>
      <c r="Q74" s="141"/>
      <c r="R74" s="141"/>
      <c r="S74" s="141"/>
      <c r="T74" s="141"/>
      <c r="U74" s="141"/>
      <c r="V74" s="141"/>
      <c r="W74" s="141"/>
      <c r="X74" s="179"/>
      <c r="Y74" s="141"/>
      <c r="Z74" s="141"/>
      <c r="AA74" s="141"/>
      <c r="AB74" s="141"/>
      <c r="AC74" s="141"/>
      <c r="AD74" s="141"/>
      <c r="AE74" s="141"/>
      <c r="AF74" s="141"/>
      <c r="AG74" s="141"/>
      <c r="AH74" s="141"/>
      <c r="AI74" s="141"/>
      <c r="AJ74" s="179"/>
      <c r="AK74" s="141"/>
      <c r="AL74" s="141"/>
      <c r="AM74" s="141"/>
      <c r="AN74" s="141"/>
      <c r="AO74" s="141"/>
      <c r="AP74" s="141"/>
      <c r="AQ74" s="141"/>
      <c r="AR74" s="141"/>
      <c r="AS74" s="141"/>
      <c r="AT74" s="141"/>
      <c r="AU74" s="141"/>
      <c r="AV74" s="179"/>
      <c r="AW74" s="141"/>
      <c r="AX74" s="141"/>
      <c r="AY74" s="141"/>
      <c r="AZ74" s="141"/>
      <c r="BA74" s="141"/>
      <c r="BB74" s="141"/>
      <c r="BC74" s="141"/>
      <c r="BD74" s="141"/>
      <c r="BE74" s="141"/>
      <c r="BF74" s="141"/>
      <c r="BG74" s="141"/>
      <c r="BH74" s="263"/>
    </row>
    <row r="75" spans="1:60" x14ac:dyDescent="0.2">
      <c r="A75" s="648"/>
      <c r="B75" s="492" t="s">
        <v>158</v>
      </c>
      <c r="C75" s="656" t="s">
        <v>113</v>
      </c>
      <c r="D75" s="750" t="s">
        <v>50</v>
      </c>
      <c r="E75" s="358" t="s">
        <v>176</v>
      </c>
      <c r="F75" s="359"/>
      <c r="G75" s="359"/>
      <c r="H75" s="358" t="s">
        <v>177</v>
      </c>
      <c r="I75" s="321"/>
      <c r="J75" s="323">
        <f>M75+Y75+AK75+AW75</f>
        <v>0</v>
      </c>
      <c r="K75" s="142"/>
      <c r="L75" s="142"/>
      <c r="M75" s="323">
        <f>SUM(N75:X75)</f>
        <v>0</v>
      </c>
      <c r="N75" s="321"/>
      <c r="O75" s="322">
        <f>SUMPRODUCT(N24:X24,N31:X31,N60:X60)/1000</f>
        <v>0</v>
      </c>
      <c r="P75" s="322">
        <f>SUMPRODUCT(N24:X24,N31:X31,N61:X61)/1000</f>
        <v>0</v>
      </c>
      <c r="Q75" s="322">
        <f>SUMPRODUCT(N24:X24,N31:X31,N62:X62)/1000</f>
        <v>0</v>
      </c>
      <c r="R75" s="322">
        <f>SUMPRODUCT(N24:X24,N31:X31,N63:X63)/1000</f>
        <v>0</v>
      </c>
      <c r="S75" s="322">
        <f>SUMPRODUCT(N24:X24,N31:X31,N64:X64)/1000</f>
        <v>0</v>
      </c>
      <c r="T75" s="322">
        <f>SUMPRODUCT(N24:X24,N31:X31,N65:X65)/1000</f>
        <v>0</v>
      </c>
      <c r="U75" s="322">
        <f>SUMPRODUCT(N24:X24,N31:X31,N66:X66)/1000</f>
        <v>0</v>
      </c>
      <c r="V75" s="322">
        <f>SUMPRODUCT(N24:X24,N68:X68)/1000</f>
        <v>0</v>
      </c>
      <c r="W75" s="322">
        <f>-SUMPRODUCT(N24:X24,N70:X70)/1000</f>
        <v>0</v>
      </c>
      <c r="X75" s="142"/>
      <c r="Y75" s="323">
        <f>SUM(Z75:AJ75)</f>
        <v>0</v>
      </c>
      <c r="Z75" s="321"/>
      <c r="AA75" s="322">
        <f>SUMPRODUCT(Z24:AJ24,Z31:AJ31,Z60:AJ60)/1000</f>
        <v>0</v>
      </c>
      <c r="AB75" s="322">
        <f>SUMPRODUCT(Z24:AJ24,Z31:AJ31,Z61:AJ61)/1000</f>
        <v>0</v>
      </c>
      <c r="AC75" s="322">
        <f>SUMPRODUCT(Z24:AJ24,Z31:AJ31,Z62:AJ62)/1000</f>
        <v>0</v>
      </c>
      <c r="AD75" s="322">
        <f>SUMPRODUCT(Z24:AJ24,Z31:AJ31,Z63:AJ63)/1000</f>
        <v>0</v>
      </c>
      <c r="AE75" s="322">
        <f>SUMPRODUCT(Z24:AJ24,Z31:AJ31,Z64:AJ64)/1000</f>
        <v>0</v>
      </c>
      <c r="AF75" s="322">
        <f>SUMPRODUCT(Z24:AJ24,Z31:AJ31,Z65:AJ65)/1000</f>
        <v>0</v>
      </c>
      <c r="AG75" s="322">
        <f>SUMPRODUCT(Z24:AJ24,Z31:AJ31,Z66:AJ66)/1000</f>
        <v>0</v>
      </c>
      <c r="AH75" s="322">
        <f>SUMPRODUCT(Z24:AJ24,Z68:AJ68)/1000</f>
        <v>0</v>
      </c>
      <c r="AI75" s="322">
        <f>-SUMPRODUCT(Z24:AJ24,Z70:AJ70)/1000</f>
        <v>0</v>
      </c>
      <c r="AJ75" s="142"/>
      <c r="AK75" s="323">
        <f>SUM(AL75:AV75)</f>
        <v>0</v>
      </c>
      <c r="AL75" s="321"/>
      <c r="AM75" s="322">
        <f>SUMPRODUCT(AL24:AV24,AL31:AV31,AL60:AV60)/1000</f>
        <v>0</v>
      </c>
      <c r="AN75" s="322">
        <f>SUMPRODUCT(AL24:AV24,AL31:AV31,AL61:AV61)/1000</f>
        <v>0</v>
      </c>
      <c r="AO75" s="322">
        <f>SUMPRODUCT(AL24:AV24,AL31:AV31,AL62:AV62)/1000</f>
        <v>0</v>
      </c>
      <c r="AP75" s="322">
        <f>SUMPRODUCT(AL24:AV24,AL31:AV31,AL63:AV63)/1000</f>
        <v>0</v>
      </c>
      <c r="AQ75" s="322">
        <f>SUMPRODUCT(AL24:AV24,AL31:AV31,AL64:AV64)/1000</f>
        <v>0</v>
      </c>
      <c r="AR75" s="322">
        <f>SUMPRODUCT(AL24:AV24,AL31:AV31,AL65:AV65)/1000</f>
        <v>0</v>
      </c>
      <c r="AS75" s="322">
        <f>SUMPRODUCT(AL24:AV24,AL31:AV31,AL66:AV66)/1000</f>
        <v>0</v>
      </c>
      <c r="AT75" s="322">
        <f>SUMPRODUCT(AL24:AV24,AL68:AV68)/1000</f>
        <v>0</v>
      </c>
      <c r="AU75" s="322">
        <f>-SUMPRODUCT(AL24:AV24,AL70:AV70)/1000</f>
        <v>0</v>
      </c>
      <c r="AV75" s="142"/>
      <c r="AW75" s="323">
        <f>SUM(AX75:BH75)</f>
        <v>0</v>
      </c>
      <c r="AX75" s="321"/>
      <c r="AY75" s="322">
        <f>SUMPRODUCT(AX24:BH24,AX31:BH31,AX60:BH60)/1000</f>
        <v>0</v>
      </c>
      <c r="AZ75" s="322">
        <f>SUMPRODUCT(AX24:BH24,AX31:BH31,AX61:BH61)/1000</f>
        <v>0</v>
      </c>
      <c r="BA75" s="322">
        <f>SUMPRODUCT(AX24:BH24,AX31:BH31,AX62:BH62)/1000</f>
        <v>0</v>
      </c>
      <c r="BB75" s="322">
        <f>SUMPRODUCT(AX24:BH24,AX31:BH31,AX63:BH63)/1000</f>
        <v>0</v>
      </c>
      <c r="BC75" s="322">
        <f>SUMPRODUCT(AX24:BH24,AX31:BH31,AX64:BH64)/1000</f>
        <v>0</v>
      </c>
      <c r="BD75" s="322">
        <f>SUMPRODUCT(AX24:BH24,AX31:BH31,AX65:BH65)/1000</f>
        <v>0</v>
      </c>
      <c r="BE75" s="322">
        <f>SUMPRODUCT(AX24:BH24,AX31:BH31,AX66:BH66)/1000</f>
        <v>0</v>
      </c>
      <c r="BF75" s="322">
        <f>SUMPRODUCT(AX24:BH24,AX68:BH68)/1000</f>
        <v>0</v>
      </c>
      <c r="BG75" s="322">
        <f>-SUMPRODUCT(AX24:BH24,AX70:BH70)/1000</f>
        <v>0</v>
      </c>
      <c r="BH75" s="255"/>
    </row>
    <row r="76" spans="1:60" x14ac:dyDescent="0.2">
      <c r="A76" s="648"/>
      <c r="B76" s="492" t="s">
        <v>158</v>
      </c>
      <c r="C76" s="739" t="s">
        <v>104</v>
      </c>
      <c r="D76" s="747"/>
      <c r="E76" s="90"/>
      <c r="F76" s="90"/>
      <c r="G76" s="90"/>
      <c r="H76" s="96"/>
      <c r="I76" s="90"/>
      <c r="J76" s="93"/>
      <c r="K76" s="90"/>
      <c r="L76" s="90"/>
      <c r="M76" s="93"/>
      <c r="N76" s="90"/>
      <c r="O76" s="93"/>
      <c r="P76" s="93"/>
      <c r="Q76" s="93"/>
      <c r="R76" s="93"/>
      <c r="S76" s="93"/>
      <c r="T76" s="93"/>
      <c r="U76" s="93"/>
      <c r="V76" s="93"/>
      <c r="W76" s="93"/>
      <c r="X76" s="93"/>
      <c r="Y76" s="93"/>
      <c r="Z76" s="90"/>
      <c r="AA76" s="122"/>
      <c r="AB76" s="93"/>
      <c r="AC76" s="122"/>
      <c r="AD76" s="93"/>
      <c r="AE76" s="93"/>
      <c r="AF76" s="93"/>
      <c r="AG76" s="93"/>
      <c r="AH76" s="93"/>
      <c r="AI76" s="93"/>
      <c r="AJ76" s="93"/>
      <c r="AK76" s="93"/>
      <c r="AL76" s="90"/>
      <c r="AM76" s="93"/>
      <c r="AN76" s="93"/>
      <c r="AO76" s="93"/>
      <c r="AP76" s="93"/>
      <c r="AQ76" s="93"/>
      <c r="AR76" s="93"/>
      <c r="AS76" s="93"/>
      <c r="AT76" s="93"/>
      <c r="AU76" s="93"/>
      <c r="AV76" s="93"/>
      <c r="AW76" s="93"/>
      <c r="AX76" s="90"/>
      <c r="AY76" s="93"/>
      <c r="AZ76" s="93"/>
      <c r="BA76" s="93"/>
      <c r="BB76" s="93"/>
      <c r="BC76" s="93"/>
      <c r="BD76" s="93"/>
      <c r="BE76" s="93"/>
      <c r="BF76" s="93"/>
      <c r="BG76" s="93"/>
      <c r="BH76" s="1"/>
    </row>
    <row r="77" spans="1:60" x14ac:dyDescent="0.2">
      <c r="A77" s="648"/>
      <c r="B77" s="492" t="s">
        <v>178</v>
      </c>
      <c r="C77" s="656" t="s">
        <v>104</v>
      </c>
      <c r="D77" s="747"/>
      <c r="E77" s="90"/>
      <c r="F77" s="90"/>
      <c r="G77" s="90"/>
      <c r="H77" s="96"/>
      <c r="I77" s="90"/>
      <c r="J77" s="93"/>
      <c r="K77" s="90"/>
      <c r="L77" s="90"/>
      <c r="M77" s="93"/>
      <c r="N77" s="90"/>
      <c r="O77" s="93"/>
      <c r="P77" s="93"/>
      <c r="Q77" s="93"/>
      <c r="R77" s="93"/>
      <c r="S77" s="93"/>
      <c r="T77" s="93"/>
      <c r="U77" s="93"/>
      <c r="V77" s="93"/>
      <c r="W77" s="93"/>
      <c r="X77" s="93"/>
      <c r="Y77" s="93"/>
      <c r="Z77" s="90"/>
      <c r="AA77" s="122"/>
      <c r="AB77" s="122"/>
      <c r="AC77" s="93"/>
      <c r="AD77" s="93"/>
      <c r="AE77" s="93"/>
      <c r="AF77" s="93"/>
      <c r="AG77" s="93"/>
      <c r="AH77" s="93"/>
      <c r="AI77" s="93"/>
      <c r="AJ77" s="93"/>
      <c r="AK77" s="93"/>
      <c r="AL77" s="90"/>
      <c r="AM77" s="93"/>
      <c r="AN77" s="93"/>
      <c r="AO77" s="93"/>
      <c r="AP77" s="93"/>
      <c r="AQ77" s="93"/>
      <c r="AR77" s="93"/>
      <c r="AS77" s="93"/>
      <c r="AT77" s="93"/>
      <c r="AU77" s="93"/>
      <c r="AV77" s="93"/>
      <c r="AW77" s="93"/>
      <c r="AX77" s="90"/>
      <c r="AY77" s="93"/>
      <c r="AZ77" s="93"/>
      <c r="BA77" s="93"/>
      <c r="BB77" s="93"/>
      <c r="BC77" s="93"/>
      <c r="BD77" s="93"/>
      <c r="BE77" s="93"/>
      <c r="BF77" s="93"/>
      <c r="BG77" s="93"/>
      <c r="BH77" s="1"/>
    </row>
    <row r="78" spans="1:60" ht="21" x14ac:dyDescent="0.2">
      <c r="A78" s="648"/>
      <c r="B78" s="492" t="s">
        <v>178</v>
      </c>
      <c r="C78" s="739" t="s">
        <v>104</v>
      </c>
      <c r="D78" s="750" t="s">
        <v>50</v>
      </c>
      <c r="E78" s="240" t="s">
        <v>179</v>
      </c>
      <c r="F78" s="240"/>
      <c r="G78" s="240"/>
      <c r="H78" s="240"/>
      <c r="I78" s="88"/>
      <c r="J78" s="241"/>
      <c r="K78" s="142"/>
      <c r="L78" s="142"/>
      <c r="M78" s="216"/>
      <c r="N78" s="222"/>
      <c r="O78" s="217"/>
      <c r="P78" s="217"/>
      <c r="Q78" s="217"/>
      <c r="R78" s="217"/>
      <c r="S78" s="217"/>
      <c r="T78" s="217"/>
      <c r="U78" s="217"/>
      <c r="V78" s="217"/>
      <c r="W78" s="217"/>
      <c r="X78" s="214"/>
      <c r="Y78" s="216"/>
      <c r="Z78" s="222"/>
      <c r="AA78" s="217"/>
      <c r="AB78" s="217"/>
      <c r="AC78" s="217"/>
      <c r="AD78" s="217"/>
      <c r="AE78" s="217"/>
      <c r="AF78" s="217"/>
      <c r="AG78" s="217"/>
      <c r="AH78" s="217"/>
      <c r="AI78" s="217"/>
      <c r="AJ78" s="214"/>
      <c r="AK78" s="216"/>
      <c r="AL78" s="222"/>
      <c r="AM78" s="217"/>
      <c r="AN78" s="217"/>
      <c r="AO78" s="217"/>
      <c r="AP78" s="217"/>
      <c r="AQ78" s="217"/>
      <c r="AR78" s="217"/>
      <c r="AS78" s="217"/>
      <c r="AT78" s="217"/>
      <c r="AU78" s="217"/>
      <c r="AV78" s="214"/>
      <c r="AW78" s="216"/>
      <c r="AX78" s="222"/>
      <c r="AY78" s="217"/>
      <c r="AZ78" s="217"/>
      <c r="BA78" s="217"/>
      <c r="BB78" s="217"/>
      <c r="BC78" s="217"/>
      <c r="BD78" s="217"/>
      <c r="BE78" s="217"/>
      <c r="BF78" s="217"/>
      <c r="BG78" s="217"/>
      <c r="BH78" s="1"/>
    </row>
    <row r="79" spans="1:60" ht="18.75" x14ac:dyDescent="0.2">
      <c r="A79" s="648"/>
      <c r="B79" s="492" t="s">
        <v>178</v>
      </c>
      <c r="C79" s="739" t="s">
        <v>104</v>
      </c>
      <c r="D79" s="750" t="s">
        <v>50</v>
      </c>
      <c r="E79" s="174" t="s">
        <v>180</v>
      </c>
      <c r="F79" s="175"/>
      <c r="G79" s="175"/>
      <c r="H79" s="176"/>
      <c r="I79" s="177"/>
      <c r="J79" s="141"/>
      <c r="K79" s="178"/>
      <c r="L79" s="178"/>
      <c r="M79" s="141"/>
      <c r="N79" s="141"/>
      <c r="O79" s="141"/>
      <c r="P79" s="141"/>
      <c r="Q79" s="141"/>
      <c r="R79" s="141">
        <v>1</v>
      </c>
      <c r="S79" s="141">
        <v>1</v>
      </c>
      <c r="T79" s="141"/>
      <c r="U79" s="141"/>
      <c r="V79" s="141"/>
      <c r="W79" s="141"/>
      <c r="X79" s="179"/>
      <c r="Y79" s="141"/>
      <c r="Z79" s="141"/>
      <c r="AA79" s="141"/>
      <c r="AB79" s="141"/>
      <c r="AC79" s="141"/>
      <c r="AD79" s="141"/>
      <c r="AE79" s="141"/>
      <c r="AF79" s="141"/>
      <c r="AG79" s="141"/>
      <c r="AH79" s="141"/>
      <c r="AI79" s="141"/>
      <c r="AJ79" s="179"/>
      <c r="AK79" s="141"/>
      <c r="AL79" s="141"/>
      <c r="AM79" s="141"/>
      <c r="AN79" s="141"/>
      <c r="AO79" s="141"/>
      <c r="AP79" s="141"/>
      <c r="AQ79" s="141"/>
      <c r="AR79" s="141"/>
      <c r="AS79" s="141"/>
      <c r="AT79" s="141"/>
      <c r="AU79" s="141"/>
      <c r="AV79" s="179"/>
      <c r="AW79" s="141"/>
      <c r="AX79" s="141"/>
      <c r="AY79" s="141"/>
      <c r="AZ79" s="141"/>
      <c r="BA79" s="141"/>
      <c r="BB79" s="141"/>
      <c r="BC79" s="141"/>
      <c r="BD79" s="141"/>
      <c r="BE79" s="141"/>
      <c r="BF79" s="141"/>
      <c r="BG79" s="141"/>
      <c r="BH79" s="263"/>
    </row>
    <row r="80" spans="1:60" ht="38.25" x14ac:dyDescent="0.2">
      <c r="A80" s="648"/>
      <c r="B80" s="492" t="s">
        <v>178</v>
      </c>
      <c r="C80" s="656" t="s">
        <v>127</v>
      </c>
      <c r="D80" s="747"/>
      <c r="E80" s="183" t="s">
        <v>181</v>
      </c>
      <c r="F80" s="357"/>
      <c r="G80" s="357"/>
      <c r="H80" s="183" t="s">
        <v>70</v>
      </c>
      <c r="I80" s="188"/>
      <c r="J80" s="330" t="str">
        <f>IF(AND(M$31&gt;0,COUNTBLANK(O80:Q80)&gt;0),"kies installatie locatie 1",
IF(AND(Y$31&gt;0,COUNTBLANK(AA80:AC80)&gt;0),"kies installatie locatie 2",
IF(AND(AK$31&gt;0,COUNTBLANK(AM80:AO80)&gt;0),"kies installatie locatie 3",
IF(AND(AW$31&gt;0,COUNTBLANK(AY80:BA80)&gt;0),"kies installatie locatie 4",
"OK"))))</f>
        <v>OK</v>
      </c>
      <c r="K80" s="820"/>
      <c r="L80" s="820"/>
      <c r="M80" s="330"/>
      <c r="N80" s="136"/>
      <c r="O80" s="1038" t="s">
        <v>561</v>
      </c>
      <c r="P80" s="1038" t="s">
        <v>183</v>
      </c>
      <c r="Q80" s="1038" t="s">
        <v>561</v>
      </c>
      <c r="R80" s="190"/>
      <c r="S80" s="190"/>
      <c r="T80" s="190"/>
      <c r="U80" s="190"/>
      <c r="V80" s="190"/>
      <c r="W80" s="190"/>
      <c r="X80" s="179"/>
      <c r="Y80" s="189"/>
      <c r="Z80" s="136"/>
      <c r="AA80" s="1038" t="s">
        <v>561</v>
      </c>
      <c r="AB80" s="1038" t="s">
        <v>183</v>
      </c>
      <c r="AC80" s="1038" t="s">
        <v>561</v>
      </c>
      <c r="AD80" s="190"/>
      <c r="AE80" s="190"/>
      <c r="AF80" s="190"/>
      <c r="AG80" s="190"/>
      <c r="AH80" s="190"/>
      <c r="AI80" s="190"/>
      <c r="AJ80" s="179"/>
      <c r="AK80" s="189"/>
      <c r="AL80" s="136"/>
      <c r="AM80" s="1038" t="s">
        <v>561</v>
      </c>
      <c r="AN80" s="1038" t="s">
        <v>183</v>
      </c>
      <c r="AO80" s="1038" t="s">
        <v>561</v>
      </c>
      <c r="AP80" s="190"/>
      <c r="AQ80" s="190"/>
      <c r="AR80" s="190"/>
      <c r="AS80" s="190"/>
      <c r="AT80" s="190"/>
      <c r="AU80" s="190"/>
      <c r="AV80" s="179"/>
      <c r="AW80" s="189"/>
      <c r="AX80" s="141"/>
      <c r="AY80" s="1038" t="s">
        <v>561</v>
      </c>
      <c r="AZ80" s="1038" t="s">
        <v>183</v>
      </c>
      <c r="BA80" s="1038" t="s">
        <v>561</v>
      </c>
      <c r="BB80" s="190"/>
      <c r="BC80" s="190"/>
      <c r="BD80" s="190"/>
      <c r="BE80" s="190"/>
      <c r="BF80" s="190"/>
      <c r="BG80" s="190"/>
      <c r="BH80" s="263"/>
    </row>
    <row r="81" spans="1:60" x14ac:dyDescent="0.2">
      <c r="A81" s="648"/>
      <c r="B81" s="492" t="s">
        <v>178</v>
      </c>
      <c r="C81" s="656" t="s">
        <v>127</v>
      </c>
      <c r="D81" s="747"/>
      <c r="E81" s="221" t="str">
        <f>bibliotheek!$E$81</f>
        <v>geografisch niveau installatie [keuzelijst]</v>
      </c>
      <c r="F81" s="220"/>
      <c r="G81" s="220"/>
      <c r="H81" s="221" t="s">
        <v>70</v>
      </c>
      <c r="I81" s="146"/>
      <c r="J81" s="230"/>
      <c r="K81" s="121"/>
      <c r="L81" s="121"/>
      <c r="M81" s="230"/>
      <c r="N81" s="129"/>
      <c r="O81" s="348" t="str">
        <f>HLOOKUP(IF(O$80="",referentie_verwarming,O$80),toestellen_RV,ROWS(bibliotheek!$E$79:$E$81),FALSE)</f>
        <v>gebouw</v>
      </c>
      <c r="P81" s="348" t="str">
        <f>HLOOKUP(IF(P$80="",referentie_koeling,P$80),toestellen_KOEL,ROWS(bibliotheek!$E$170:$E$172),FALSE)</f>
        <v>gebouw</v>
      </c>
      <c r="Q81" s="348" t="str">
        <f>HLOOKUP(IF(Q$80="",referentie_warmtapwater,Q$80),toestellen_TAP,ROWS(bibliotheek!$E$136:$E$138),FALSE)</f>
        <v>gebouw</v>
      </c>
      <c r="R81" s="193"/>
      <c r="S81" s="193"/>
      <c r="T81" s="193"/>
      <c r="U81" s="193"/>
      <c r="V81" s="193"/>
      <c r="W81" s="193"/>
      <c r="X81" s="179"/>
      <c r="Y81" s="145"/>
      <c r="Z81" s="129"/>
      <c r="AA81" s="348" t="str">
        <f>HLOOKUP(IF(AA$80="",referentie_verwarming,AA$80),toestellen_RV,ROWS(bibliotheek!$E$79:$E$81),FALSE)</f>
        <v>gebouw</v>
      </c>
      <c r="AB81" s="348" t="str">
        <f>HLOOKUP(IF(AB$80="",referentie_koeling,AB$80),toestellen_KOEL,ROWS(bibliotheek!$E$170:$E$172),FALSE)</f>
        <v>gebouw</v>
      </c>
      <c r="AC81" s="348" t="str">
        <f>HLOOKUP(IF(AC$80="",referentie_warmtapwater,AC$80),toestellen_TAP,ROWS(bibliotheek!$E$136:$E$138),FALSE)</f>
        <v>gebouw</v>
      </c>
      <c r="AD81" s="193"/>
      <c r="AE81" s="193"/>
      <c r="AF81" s="193"/>
      <c r="AG81" s="193"/>
      <c r="AH81" s="193"/>
      <c r="AI81" s="193"/>
      <c r="AJ81" s="179"/>
      <c r="AK81" s="145"/>
      <c r="AL81" s="136"/>
      <c r="AM81" s="348" t="str">
        <f>HLOOKUP(IF(AM$80="",referentie_verwarming,AM$80),toestellen_RV,ROWS(bibliotheek!$E$79:$E$81),FALSE)</f>
        <v>gebouw</v>
      </c>
      <c r="AN81" s="348" t="str">
        <f>HLOOKUP(IF(AN$80="",referentie_koeling,AN$80),toestellen_KOEL,ROWS(bibliotheek!$E$170:$E$172),FALSE)</f>
        <v>gebouw</v>
      </c>
      <c r="AO81" s="348" t="str">
        <f>HLOOKUP(IF(AO$80="",referentie_warmtapwater,AO$80),toestellen_TAP,ROWS(bibliotheek!$E$136:$E$138),FALSE)</f>
        <v>gebouw</v>
      </c>
      <c r="AP81" s="193"/>
      <c r="AQ81" s="193"/>
      <c r="AR81" s="193"/>
      <c r="AS81" s="193"/>
      <c r="AT81" s="193"/>
      <c r="AU81" s="193"/>
      <c r="AV81" s="179"/>
      <c r="AW81" s="145"/>
      <c r="AX81" s="141"/>
      <c r="AY81" s="348" t="str">
        <f>HLOOKUP(IF(AY$80="",referentie_verwarming,AY$80),toestellen_RV,ROWS(bibliotheek!$E$79:$E$81),FALSE)</f>
        <v>gebouw</v>
      </c>
      <c r="AZ81" s="348" t="str">
        <f>HLOOKUP(IF(AZ$80="",referentie_koeling,AZ$80),toestellen_KOEL,ROWS(bibliotheek!$E$170:$E$172),FALSE)</f>
        <v>gebouw</v>
      </c>
      <c r="BA81" s="348" t="str">
        <f>HLOOKUP(IF(BA$80="",referentie_warmtapwater,BA$80),toestellen_TAP,ROWS(bibliotheek!$E$136:$E$138),FALSE)</f>
        <v>gebouw</v>
      </c>
      <c r="BB81" s="193"/>
      <c r="BC81" s="193"/>
      <c r="BD81" s="193"/>
      <c r="BE81" s="193"/>
      <c r="BF81" s="193"/>
      <c r="BG81" s="193"/>
      <c r="BH81" s="214"/>
    </row>
    <row r="82" spans="1:60" ht="18.75" x14ac:dyDescent="0.2">
      <c r="A82" s="648"/>
      <c r="B82" s="492" t="s">
        <v>178</v>
      </c>
      <c r="C82" s="739" t="s">
        <v>104</v>
      </c>
      <c r="D82" s="750" t="s">
        <v>50</v>
      </c>
      <c r="E82" s="194" t="s">
        <v>186</v>
      </c>
      <c r="F82" s="202"/>
      <c r="G82" s="202"/>
      <c r="H82" s="203"/>
      <c r="I82" s="204"/>
      <c r="J82" s="205"/>
      <c r="K82" s="138"/>
      <c r="L82" s="138"/>
      <c r="M82" s="205"/>
      <c r="N82" s="205"/>
      <c r="O82" s="205"/>
      <c r="P82" s="205"/>
      <c r="Q82" s="205"/>
      <c r="R82" s="205"/>
      <c r="S82" s="205"/>
      <c r="T82" s="205"/>
      <c r="U82" s="205"/>
      <c r="V82" s="205"/>
      <c r="W82" s="205"/>
      <c r="X82" s="179"/>
      <c r="Y82" s="205"/>
      <c r="Z82" s="205"/>
      <c r="AA82" s="214"/>
      <c r="AB82" s="214"/>
      <c r="AC82" s="214"/>
      <c r="AD82" s="205"/>
      <c r="AE82" s="205"/>
      <c r="AF82" s="205"/>
      <c r="AG82" s="205"/>
      <c r="AH82" s="205"/>
      <c r="AI82" s="205"/>
      <c r="AJ82" s="179"/>
      <c r="AK82" s="205"/>
      <c r="AL82" s="205"/>
      <c r="AM82" s="205"/>
      <c r="AN82" s="205"/>
      <c r="AO82" s="205"/>
      <c r="AP82" s="205"/>
      <c r="AQ82" s="205"/>
      <c r="AR82" s="205"/>
      <c r="AS82" s="205"/>
      <c r="AT82" s="205"/>
      <c r="AU82" s="205"/>
      <c r="AV82" s="179"/>
      <c r="AW82" s="205"/>
      <c r="AX82" s="141"/>
      <c r="AY82" s="205"/>
      <c r="AZ82" s="205"/>
      <c r="BA82" s="205"/>
      <c r="BB82" s="205"/>
      <c r="BC82" s="205"/>
      <c r="BD82" s="205"/>
      <c r="BE82" s="205"/>
      <c r="BF82" s="205"/>
      <c r="BG82" s="205"/>
      <c r="BH82" s="214"/>
    </row>
    <row r="83" spans="1:60" x14ac:dyDescent="0.2">
      <c r="A83" s="648"/>
      <c r="B83" s="492" t="s">
        <v>178</v>
      </c>
      <c r="C83" s="739" t="s">
        <v>127</v>
      </c>
      <c r="D83" s="747"/>
      <c r="E83" s="354" t="s">
        <v>187</v>
      </c>
      <c r="F83" s="316"/>
      <c r="G83" s="316"/>
      <c r="H83" s="354" t="s">
        <v>70</v>
      </c>
      <c r="I83" s="151"/>
      <c r="J83" s="229"/>
      <c r="K83" s="121"/>
      <c r="L83" s="121"/>
      <c r="M83" s="229"/>
      <c r="N83" s="131"/>
      <c r="O83" s="452">
        <f>IF(O84&lt;&gt;"",O84,HLOOKUP(IF(O$80="",referentie_verwarming,O$80),toestellen_RV,ROWS(bibliotheek!$E$79:$E$86),FALSE))</f>
        <v>1</v>
      </c>
      <c r="P83" s="155">
        <v>1</v>
      </c>
      <c r="Q83" s="452">
        <f>IF(Q84&lt;&gt;"",Q84,HLOOKUP(IF(Q$80="",referentie_warmtapwater,Q$80),toestellen_TAP,ROWS(bibliotheek!$E$136:$E$143),FALSE))</f>
        <v>0.85</v>
      </c>
      <c r="R83" s="156"/>
      <c r="S83" s="156"/>
      <c r="T83" s="156"/>
      <c r="U83" s="156"/>
      <c r="V83" s="156"/>
      <c r="W83" s="156"/>
      <c r="X83" s="87"/>
      <c r="Y83" s="150"/>
      <c r="Z83" s="151"/>
      <c r="AA83" s="452">
        <f>IF(AA84&lt;&gt;"",AA84,HLOOKUP(IF(AA$80="",referentie_verwarming,AA$80),toestellen_RV,ROWS(bibliotheek!$E$79:$E$86),FALSE))</f>
        <v>1</v>
      </c>
      <c r="AB83" s="155">
        <f>1</f>
        <v>1</v>
      </c>
      <c r="AC83" s="452">
        <f>IF(AC84&lt;&gt;"",AC84,HLOOKUP(IF(AC$80="",referentie_warmtapwater,AC$80),toestellen_TAP,ROWS(bibliotheek!$E$136:$E$143),FALSE))</f>
        <v>0.85</v>
      </c>
      <c r="AD83" s="156"/>
      <c r="AE83" s="156"/>
      <c r="AF83" s="156"/>
      <c r="AG83" s="156"/>
      <c r="AH83" s="156"/>
      <c r="AI83" s="156"/>
      <c r="AJ83" s="87"/>
      <c r="AK83" s="150"/>
      <c r="AL83" s="151"/>
      <c r="AM83" s="452">
        <f>IF(AM84&lt;&gt;"",AM84,HLOOKUP(IF(AM$80="",referentie_verwarming,AM$80),toestellen_RV,ROWS(bibliotheek!$E$79:$E$86),FALSE))</f>
        <v>1</v>
      </c>
      <c r="AN83" s="155">
        <f>1</f>
        <v>1</v>
      </c>
      <c r="AO83" s="452">
        <f>IF(AO84&lt;&gt;"",AO84,HLOOKUP(IF(AO$80="",referentie_warmtapwater,AO$80),toestellen_TAP,ROWS(bibliotheek!$E$136:$E$143),FALSE))</f>
        <v>0.85</v>
      </c>
      <c r="AP83" s="156"/>
      <c r="AQ83" s="156"/>
      <c r="AR83" s="156"/>
      <c r="AS83" s="156"/>
      <c r="AT83" s="156"/>
      <c r="AU83" s="156"/>
      <c r="AV83" s="87"/>
      <c r="AW83" s="150"/>
      <c r="AX83" s="151"/>
      <c r="AY83" s="452">
        <f>IF(AY84&lt;&gt;"",AY84,HLOOKUP(IF(AY$80="",referentie_verwarming,AY$80),toestellen_RV,ROWS(bibliotheek!$E$79:$E$86),FALSE))</f>
        <v>1</v>
      </c>
      <c r="AZ83" s="155">
        <f>1</f>
        <v>1</v>
      </c>
      <c r="BA83" s="452">
        <f>IF(BA84&lt;&gt;"",BA84,HLOOKUP(IF(BA$80="",referentie_warmtapwater,BA$80),toestellen_TAP,ROWS(bibliotheek!$E$136:$E$143),FALSE))</f>
        <v>0.85</v>
      </c>
      <c r="BB83" s="195"/>
      <c r="BC83" s="195"/>
      <c r="BD83" s="195"/>
      <c r="BE83" s="195"/>
      <c r="BF83" s="195"/>
      <c r="BG83" s="195"/>
      <c r="BH83" s="255"/>
    </row>
    <row r="84" spans="1:60" x14ac:dyDescent="0.2">
      <c r="A84" s="648"/>
      <c r="B84" s="492" t="s">
        <v>178</v>
      </c>
      <c r="C84" s="739" t="s">
        <v>127</v>
      </c>
      <c r="D84" s="747"/>
      <c r="E84" s="412" t="s">
        <v>188</v>
      </c>
      <c r="F84" s="317"/>
      <c r="G84" s="317"/>
      <c r="H84" s="355" t="s">
        <v>70</v>
      </c>
      <c r="I84" s="153"/>
      <c r="J84" s="362"/>
      <c r="K84" s="121"/>
      <c r="L84" s="121"/>
      <c r="M84" s="239"/>
      <c r="N84" s="196"/>
      <c r="O84" s="337"/>
      <c r="P84" s="343"/>
      <c r="Q84" s="337"/>
      <c r="R84" s="197"/>
      <c r="S84" s="197"/>
      <c r="T84" s="197"/>
      <c r="U84" s="197"/>
      <c r="V84" s="197"/>
      <c r="W84" s="197"/>
      <c r="X84" s="125"/>
      <c r="Y84" s="349"/>
      <c r="Z84" s="196"/>
      <c r="AA84" s="337"/>
      <c r="AB84" s="343"/>
      <c r="AC84" s="337"/>
      <c r="AD84" s="197"/>
      <c r="AE84" s="197"/>
      <c r="AF84" s="197"/>
      <c r="AG84" s="197"/>
      <c r="AH84" s="197"/>
      <c r="AI84" s="197"/>
      <c r="AJ84" s="125"/>
      <c r="AK84" s="349"/>
      <c r="AL84" s="196"/>
      <c r="AM84" s="337"/>
      <c r="AN84" s="343"/>
      <c r="AO84" s="337"/>
      <c r="AP84" s="197"/>
      <c r="AQ84" s="197"/>
      <c r="AR84" s="197"/>
      <c r="AS84" s="197"/>
      <c r="AT84" s="197"/>
      <c r="AU84" s="197"/>
      <c r="AV84" s="125"/>
      <c r="AW84" s="349"/>
      <c r="AX84" s="196"/>
      <c r="AY84" s="337"/>
      <c r="AZ84" s="343"/>
      <c r="BA84" s="337"/>
      <c r="BB84" s="197"/>
      <c r="BC84" s="197"/>
      <c r="BD84" s="197"/>
      <c r="BE84" s="197"/>
      <c r="BF84" s="197"/>
      <c r="BG84" s="197"/>
      <c r="BH84" s="255"/>
    </row>
    <row r="85" spans="1:60" x14ac:dyDescent="0.2">
      <c r="A85" s="648"/>
      <c r="B85" s="492" t="s">
        <v>178</v>
      </c>
      <c r="C85" s="739" t="s">
        <v>127</v>
      </c>
      <c r="D85" s="750"/>
      <c r="E85" s="221" t="s">
        <v>189</v>
      </c>
      <c r="F85" s="220"/>
      <c r="G85" s="220"/>
      <c r="H85" s="221" t="s">
        <v>177</v>
      </c>
      <c r="I85" s="146"/>
      <c r="J85" s="230"/>
      <c r="K85" s="121"/>
      <c r="L85" s="121"/>
      <c r="M85" s="230"/>
      <c r="N85" s="129"/>
      <c r="O85" s="251">
        <f>IF(O$75=0,0,O$75/O$83-O$75)</f>
        <v>0</v>
      </c>
      <c r="P85" s="251">
        <f>IF(P$75=0,0,P$75/P$83-P$75)</f>
        <v>0</v>
      </c>
      <c r="Q85" s="251">
        <f>IF(Q$75=0,0,Q$75/Q$83-Q$75)</f>
        <v>0</v>
      </c>
      <c r="R85" s="147"/>
      <c r="S85" s="147"/>
      <c r="T85" s="147"/>
      <c r="U85" s="147"/>
      <c r="V85" s="147"/>
      <c r="W85" s="147"/>
      <c r="X85" s="125"/>
      <c r="Y85" s="149"/>
      <c r="Z85" s="129"/>
      <c r="AA85" s="251">
        <f>IF(AA$75=0,0,AA$75/AA$83-AA$75)</f>
        <v>0</v>
      </c>
      <c r="AB85" s="251">
        <f>IF(AB$75=0,0,AB$75/AB$83-AB$75)</f>
        <v>0</v>
      </c>
      <c r="AC85" s="251">
        <f>IF(AC$75=0,0,AC$75/AC$83-AC$75)</f>
        <v>0</v>
      </c>
      <c r="AD85" s="147"/>
      <c r="AE85" s="147"/>
      <c r="AF85" s="147"/>
      <c r="AG85" s="147"/>
      <c r="AH85" s="147"/>
      <c r="AI85" s="147"/>
      <c r="AJ85" s="125"/>
      <c r="AK85" s="149"/>
      <c r="AL85" s="129"/>
      <c r="AM85" s="251">
        <f>IF(AM$75=0,0,AM$75/AM$83-AM$75)</f>
        <v>0</v>
      </c>
      <c r="AN85" s="251">
        <f>IF(AN$75=0,0,AN$75/AN$83-AN$75)</f>
        <v>0</v>
      </c>
      <c r="AO85" s="251">
        <f>IF(AO$75=0,0,AO$75/AO$83-AO$75)</f>
        <v>0</v>
      </c>
      <c r="AP85" s="147"/>
      <c r="AQ85" s="147"/>
      <c r="AR85" s="147"/>
      <c r="AS85" s="147"/>
      <c r="AT85" s="147"/>
      <c r="AU85" s="147"/>
      <c r="AV85" s="125"/>
      <c r="AW85" s="149"/>
      <c r="AX85" s="129"/>
      <c r="AY85" s="251">
        <f>IF(AY$75=0,0,AY$75/AY$83-AY$75)</f>
        <v>0</v>
      </c>
      <c r="AZ85" s="251">
        <f>IF(AZ$75=0,0,AZ$75/AZ$83-AZ$75)</f>
        <v>0</v>
      </c>
      <c r="BA85" s="251">
        <f>IF(BA$75=0,0,BA$75/BA$83-BA$75)</f>
        <v>0</v>
      </c>
      <c r="BB85" s="147"/>
      <c r="BC85" s="147"/>
      <c r="BD85" s="147"/>
      <c r="BE85" s="147"/>
      <c r="BF85" s="147"/>
      <c r="BG85" s="147"/>
      <c r="BH85" s="255"/>
    </row>
    <row r="86" spans="1:60" ht="18.75" x14ac:dyDescent="0.2">
      <c r="A86" s="648"/>
      <c r="B86" s="492" t="s">
        <v>178</v>
      </c>
      <c r="C86" s="739" t="s">
        <v>104</v>
      </c>
      <c r="D86" s="750" t="s">
        <v>50</v>
      </c>
      <c r="E86" s="194" t="s">
        <v>190</v>
      </c>
      <c r="F86" s="202"/>
      <c r="G86" s="202"/>
      <c r="H86" s="203"/>
      <c r="I86" s="204"/>
      <c r="J86" s="205"/>
      <c r="K86" s="138"/>
      <c r="L86" s="138"/>
      <c r="M86" s="205"/>
      <c r="N86" s="205"/>
      <c r="O86" s="205"/>
      <c r="P86" s="205"/>
      <c r="Q86" s="205"/>
      <c r="R86" s="205"/>
      <c r="S86" s="205"/>
      <c r="T86" s="205"/>
      <c r="U86" s="205"/>
      <c r="V86" s="205"/>
      <c r="W86" s="205"/>
      <c r="X86" s="163"/>
      <c r="Y86" s="205"/>
      <c r="Z86" s="205"/>
      <c r="AA86" s="205"/>
      <c r="AB86" s="205"/>
      <c r="AC86" s="205"/>
      <c r="AD86" s="205"/>
      <c r="AE86" s="205"/>
      <c r="AF86" s="205"/>
      <c r="AG86" s="205"/>
      <c r="AH86" s="205"/>
      <c r="AI86" s="205"/>
      <c r="AJ86" s="163"/>
      <c r="AK86" s="205"/>
      <c r="AL86" s="205"/>
      <c r="AM86" s="205"/>
      <c r="AN86" s="205"/>
      <c r="AO86" s="205"/>
      <c r="AP86" s="205"/>
      <c r="AQ86" s="205"/>
      <c r="AR86" s="205"/>
      <c r="AS86" s="205"/>
      <c r="AT86" s="205"/>
      <c r="AU86" s="205"/>
      <c r="AV86" s="163"/>
      <c r="AW86" s="205"/>
      <c r="AX86" s="205"/>
      <c r="AY86" s="205"/>
      <c r="AZ86" s="205"/>
      <c r="BA86" s="205"/>
      <c r="BB86" s="205"/>
      <c r="BC86" s="205"/>
      <c r="BD86" s="205"/>
      <c r="BE86" s="205"/>
      <c r="BF86" s="205"/>
      <c r="BG86" s="205"/>
      <c r="BH86" s="214"/>
    </row>
    <row r="87" spans="1:60" x14ac:dyDescent="0.2">
      <c r="A87" s="648"/>
      <c r="B87" s="492" t="s">
        <v>178</v>
      </c>
      <c r="C87" s="739" t="s">
        <v>127</v>
      </c>
      <c r="D87" s="747"/>
      <c r="E87" s="221" t="s">
        <v>190</v>
      </c>
      <c r="F87" s="220"/>
      <c r="G87" s="220"/>
      <c r="H87" s="221" t="s">
        <v>70</v>
      </c>
      <c r="I87" s="146"/>
      <c r="J87" s="230"/>
      <c r="K87" s="121"/>
      <c r="L87" s="121"/>
      <c r="M87" s="230"/>
      <c r="N87" s="129"/>
      <c r="O87" s="1039" t="s">
        <v>191</v>
      </c>
      <c r="P87" s="192"/>
      <c r="Q87" s="1039" t="s">
        <v>191</v>
      </c>
      <c r="R87" s="193"/>
      <c r="S87" s="193"/>
      <c r="T87" s="193"/>
      <c r="U87" s="193"/>
      <c r="V87" s="193"/>
      <c r="W87" s="193"/>
      <c r="X87" s="87"/>
      <c r="Y87" s="145"/>
      <c r="Z87" s="129"/>
      <c r="AA87" s="1039" t="s">
        <v>191</v>
      </c>
      <c r="AB87" s="192"/>
      <c r="AC87" s="1039" t="s">
        <v>191</v>
      </c>
      <c r="AD87" s="193"/>
      <c r="AE87" s="193"/>
      <c r="AF87" s="193"/>
      <c r="AG87" s="193"/>
      <c r="AH87" s="193"/>
      <c r="AI87" s="193"/>
      <c r="AJ87" s="87"/>
      <c r="AK87" s="145"/>
      <c r="AL87" s="129"/>
      <c r="AM87" s="1039" t="s">
        <v>191</v>
      </c>
      <c r="AN87" s="192"/>
      <c r="AO87" s="1039" t="s">
        <v>191</v>
      </c>
      <c r="AP87" s="193"/>
      <c r="AQ87" s="193"/>
      <c r="AR87" s="193"/>
      <c r="AS87" s="193"/>
      <c r="AT87" s="193"/>
      <c r="AU87" s="193"/>
      <c r="AV87" s="87"/>
      <c r="AW87" s="145"/>
      <c r="AX87" s="129"/>
      <c r="AY87" s="1039" t="s">
        <v>191</v>
      </c>
      <c r="AZ87" s="192"/>
      <c r="BA87" s="1039" t="s">
        <v>191</v>
      </c>
      <c r="BB87" s="193"/>
      <c r="BC87" s="193"/>
      <c r="BD87" s="193"/>
      <c r="BE87" s="193"/>
      <c r="BF87" s="193"/>
      <c r="BG87" s="193"/>
      <c r="BH87" s="214"/>
    </row>
    <row r="88" spans="1:60" x14ac:dyDescent="0.2">
      <c r="A88" s="648"/>
      <c r="B88" s="492" t="s">
        <v>178</v>
      </c>
      <c r="C88" s="739" t="s">
        <v>127</v>
      </c>
      <c r="D88" s="750" t="s">
        <v>50</v>
      </c>
      <c r="E88" s="221" t="s">
        <v>192</v>
      </c>
      <c r="F88" s="220"/>
      <c r="G88" s="220"/>
      <c r="H88" s="221" t="s">
        <v>177</v>
      </c>
      <c r="I88" s="146"/>
      <c r="J88" s="230"/>
      <c r="K88" s="121"/>
      <c r="L88" s="121"/>
      <c r="M88" s="230"/>
      <c r="N88" s="129"/>
      <c r="O88" s="207">
        <f>IF(O87="nee",0,(O75+O85)*bijdrage_thermische_zonne_energie_RV)</f>
        <v>0</v>
      </c>
      <c r="P88" s="207"/>
      <c r="Q88" s="207">
        <f>IF(Q87="nee",0,(Q75+Q85)*bijdrage_thermische_zonne_energie_TAP)</f>
        <v>0</v>
      </c>
      <c r="R88" s="147"/>
      <c r="S88" s="147"/>
      <c r="T88" s="147"/>
      <c r="U88" s="147"/>
      <c r="V88" s="147"/>
      <c r="W88" s="147"/>
      <c r="X88" s="684"/>
      <c r="Y88" s="147"/>
      <c r="Z88" s="100"/>
      <c r="AA88" s="207">
        <f>IF(AA87="nee",0,(AA75+AA85)*bijdrage_thermische_zonne_energie_RV)</f>
        <v>0</v>
      </c>
      <c r="AB88" s="207"/>
      <c r="AC88" s="207">
        <f>IF(AC87="nee",0,(AC75+AC85)*bijdrage_thermische_zonne_energie_TAP)</f>
        <v>0</v>
      </c>
      <c r="AD88" s="147"/>
      <c r="AE88" s="147"/>
      <c r="AF88" s="147"/>
      <c r="AG88" s="147"/>
      <c r="AH88" s="147"/>
      <c r="AI88" s="147"/>
      <c r="AJ88" s="684"/>
      <c r="AK88" s="147"/>
      <c r="AL88" s="685"/>
      <c r="AM88" s="207">
        <f>IF(AM87="nee",0,(AM75+AM85)*bijdrage_thermische_zonne_energie_RV)</f>
        <v>0</v>
      </c>
      <c r="AN88" s="207"/>
      <c r="AO88" s="207">
        <f>IF(AO87="nee",0,(AO75+AO85)*bijdrage_thermische_zonne_energie_TAP)</f>
        <v>0</v>
      </c>
      <c r="AP88" s="147"/>
      <c r="AQ88" s="147"/>
      <c r="AR88" s="147"/>
      <c r="AS88" s="147"/>
      <c r="AT88" s="147"/>
      <c r="AU88" s="147"/>
      <c r="AV88" s="684"/>
      <c r="AW88" s="147"/>
      <c r="AX88" s="686"/>
      <c r="AY88" s="207">
        <f>IF(AY87="nee",0,(AY75+AY85)*bijdrage_thermische_zonne_energie_RV)</f>
        <v>0</v>
      </c>
      <c r="AZ88" s="207"/>
      <c r="BA88" s="207">
        <f>IF(BA87="nee",0,(BA75+BA85)*bijdrage_thermische_zonne_energie_TAP)</f>
        <v>0</v>
      </c>
      <c r="BB88" s="193"/>
      <c r="BC88" s="193"/>
      <c r="BD88" s="193"/>
      <c r="BE88" s="193"/>
      <c r="BF88" s="193"/>
      <c r="BG88" s="193"/>
      <c r="BH88" s="214"/>
    </row>
    <row r="89" spans="1:60" ht="18.75" x14ac:dyDescent="0.2">
      <c r="A89" s="648"/>
      <c r="B89" s="492" t="s">
        <v>178</v>
      </c>
      <c r="C89" s="739" t="s">
        <v>104</v>
      </c>
      <c r="D89" s="750" t="s">
        <v>50</v>
      </c>
      <c r="E89" s="194" t="s">
        <v>193</v>
      </c>
      <c r="F89" s="202"/>
      <c r="G89" s="202"/>
      <c r="H89" s="203"/>
      <c r="I89" s="204"/>
      <c r="J89" s="205"/>
      <c r="K89" s="138"/>
      <c r="L89" s="138"/>
      <c r="M89" s="205"/>
      <c r="N89" s="205"/>
      <c r="O89" s="710"/>
      <c r="P89" s="710"/>
      <c r="Q89" s="710"/>
      <c r="R89" s="205"/>
      <c r="S89" s="205"/>
      <c r="T89" s="205"/>
      <c r="U89" s="205"/>
      <c r="V89" s="205"/>
      <c r="W89" s="205"/>
      <c r="X89" s="206"/>
      <c r="Y89" s="205"/>
      <c r="Z89" s="205"/>
      <c r="AA89" s="339"/>
      <c r="AB89" s="339"/>
      <c r="AC89" s="339"/>
      <c r="AD89" s="205"/>
      <c r="AE89" s="205"/>
      <c r="AF89" s="205"/>
      <c r="AG89" s="205"/>
      <c r="AH89" s="205"/>
      <c r="AI89" s="205"/>
      <c r="AJ89" s="206"/>
      <c r="AK89" s="205"/>
      <c r="AL89" s="205"/>
      <c r="AM89" s="339"/>
      <c r="AN89" s="339"/>
      <c r="AO89" s="339"/>
      <c r="AP89" s="205"/>
      <c r="AQ89" s="205"/>
      <c r="AR89" s="205"/>
      <c r="AS89" s="205"/>
      <c r="AT89" s="205"/>
      <c r="AU89" s="205"/>
      <c r="AV89" s="206"/>
      <c r="AW89" s="205"/>
      <c r="AX89" s="205"/>
      <c r="AY89" s="339"/>
      <c r="AZ89" s="339"/>
      <c r="BA89" s="339"/>
      <c r="BB89" s="205"/>
      <c r="BC89" s="205"/>
      <c r="BD89" s="205"/>
      <c r="BE89" s="205"/>
      <c r="BF89" s="205"/>
      <c r="BG89" s="205"/>
      <c r="BH89" s="214"/>
    </row>
    <row r="90" spans="1:60" x14ac:dyDescent="0.2">
      <c r="A90" s="648"/>
      <c r="B90" s="492" t="s">
        <v>178</v>
      </c>
      <c r="C90" s="739" t="s">
        <v>127</v>
      </c>
      <c r="D90" s="747"/>
      <c r="E90" s="354" t="s">
        <v>194</v>
      </c>
      <c r="F90" s="316"/>
      <c r="G90" s="316"/>
      <c r="H90" s="354" t="s">
        <v>195</v>
      </c>
      <c r="I90" s="151"/>
      <c r="J90" s="229"/>
      <c r="K90" s="121"/>
      <c r="L90" s="121"/>
      <c r="M90" s="229"/>
      <c r="N90" s="131"/>
      <c r="O90" s="621">
        <f>IF(M24=0,0,IF(O91&lt;&gt;"",O91,
(HLOOKUP(O80,toestellen_RV,ROWS(bibliotheek!$E$79:$E$88),FALSE)*M26+
HLOOKUP(O80,toestellen_RV,ROWS(bibliotheek!$E$79:$E$89),FALSE)*M27+
HLOOKUP(O80,toestellen_RV,ROWS(bibliotheek!$E$79:$E$90),FALSE)*M28)/M24))</f>
        <v>0</v>
      </c>
      <c r="P90" s="484"/>
      <c r="Q90" s="621">
        <f>IF(M24=0,0,IF(Q91&lt;&gt;"",Q91,
(HLOOKUP(Q80,toestellen_TAP,ROWS(bibliotheek!$E$136:$E$145),FALSE)*M26+
HLOOKUP(Q80,toestellen_TAP,ROWS(bibliotheek!$E$136:$E$146),FALSE)*M27+
HLOOKUP(Q80,toestellen_TAP,ROWS(bibliotheek!$E$136:$E$147),FALSE)*M28)/M24))</f>
        <v>0</v>
      </c>
      <c r="R90" s="195"/>
      <c r="S90" s="195"/>
      <c r="T90" s="195"/>
      <c r="U90" s="195"/>
      <c r="V90" s="195"/>
      <c r="W90" s="195"/>
      <c r="X90" s="127"/>
      <c r="Y90" s="195"/>
      <c r="Z90" s="485"/>
      <c r="AA90" s="621">
        <f>IF(Y24=0,0,IF(AA91&lt;&gt;"",AA91,
(HLOOKUP(AA80,toestellen_RV,ROWS(bibliotheek!$E$79:$E$88),FALSE)*Y26+
HLOOKUP(AA80,toestellen_RV,ROWS(bibliotheek!$E$79:$E$89),FALSE)*Y27+
HLOOKUP(AA80,toestellen_RV,ROWS(bibliotheek!$E$79:$E$90),FALSE)*Y28)/Y24))</f>
        <v>0</v>
      </c>
      <c r="AB90" s="484"/>
      <c r="AC90" s="621">
        <f>IF(Y24=0,0,IF(AC91&lt;&gt;"",AC91,
(HLOOKUP(AC80,toestellen_TAP,ROWS(bibliotheek!$E$136:$E$145),FALSE)*Y26+
HLOOKUP(AC80,toestellen_TAP,ROWS(bibliotheek!$E$136:$E$146),FALSE)*Y27+
HLOOKUP(AC80,toestellen_TAP,ROWS(bibliotheek!$E$136:$E$147),FALSE)*Y28)/Y24))</f>
        <v>0</v>
      </c>
      <c r="AD90" s="195"/>
      <c r="AE90" s="195"/>
      <c r="AF90" s="195"/>
      <c r="AG90" s="195"/>
      <c r="AH90" s="195"/>
      <c r="AI90" s="195"/>
      <c r="AJ90" s="127"/>
      <c r="AK90" s="195"/>
      <c r="AL90" s="485"/>
      <c r="AM90" s="621">
        <f>IF(AK24=0,0,IF(AM91&lt;&gt;"",AM91,
(HLOOKUP(AM80,toestellen_RV,ROWS(bibliotheek!$E$79:$E$88),FALSE)*AK26+
HLOOKUP(AM80,toestellen_RV,ROWS(bibliotheek!$E$79:$E$89),FALSE)*AK27+
HLOOKUP(AM80,toestellen_RV,ROWS(bibliotheek!$E$79:$E$90),FALSE)*AK28)/AK24))</f>
        <v>0</v>
      </c>
      <c r="AN90" s="484"/>
      <c r="AO90" s="621">
        <f>IF(AK24=0,0,IF(AO91&lt;&gt;"",AO91,
(HLOOKUP(AO80,toestellen_TAP,ROWS(bibliotheek!$E$136:$E$145),FALSE)*AK26+
HLOOKUP(AO80,toestellen_TAP,ROWS(bibliotheek!$E$136:$E$146),FALSE)*AK27+
HLOOKUP(AO80,toestellen_TAP,ROWS(bibliotheek!$E$136:$E$147),FALSE)*AK28)/AK24))</f>
        <v>0</v>
      </c>
      <c r="AP90" s="195"/>
      <c r="AQ90" s="195"/>
      <c r="AR90" s="195"/>
      <c r="AS90" s="195"/>
      <c r="AT90" s="195"/>
      <c r="AU90" s="195"/>
      <c r="AV90" s="127"/>
      <c r="AW90" s="195"/>
      <c r="AX90" s="485"/>
      <c r="AY90" s="621">
        <f>IF(AW24=0,0,IF(AY91&lt;&gt;"",AY91,
(HLOOKUP(AY80,toestellen_RV,ROWS(bibliotheek!$E$79:$E$88),FALSE)*AW26+
HLOOKUP(AY80,toestellen_RV,ROWS(bibliotheek!$E$79:$E$89),FALSE)*AW27+
HLOOKUP(AY80,toestellen_RV,ROWS(bibliotheek!$E$79:$E$90),FALSE)*AW28)/AW24))</f>
        <v>0</v>
      </c>
      <c r="AZ90" s="484"/>
      <c r="BA90" s="621">
        <f>IF(AW24=0,0,IF(BA91&lt;&gt;"",BA91,
(HLOOKUP(BA80,toestellen_TAP,ROWS(bibliotheek!$E$136:$E$145),FALSE)*AW26+
HLOOKUP(BA80,toestellen_TAP,ROWS(bibliotheek!$E$136:$E$146),FALSE)*AW27+
HLOOKUP(BA80,toestellen_TAP,ROWS(bibliotheek!$E$136:$E$147),FALSE)*AW28)/AW24))</f>
        <v>0</v>
      </c>
      <c r="BB90" s="195"/>
      <c r="BC90" s="195"/>
      <c r="BD90" s="195"/>
      <c r="BE90" s="195"/>
      <c r="BF90" s="195"/>
      <c r="BG90" s="195"/>
      <c r="BH90" s="255"/>
    </row>
    <row r="91" spans="1:60" x14ac:dyDescent="0.2">
      <c r="A91" s="648"/>
      <c r="B91" s="492" t="s">
        <v>178</v>
      </c>
      <c r="C91" s="739" t="s">
        <v>127</v>
      </c>
      <c r="D91" s="747"/>
      <c r="E91" s="412" t="s">
        <v>196</v>
      </c>
      <c r="F91" s="317"/>
      <c r="G91" s="317"/>
      <c r="H91" s="355" t="s">
        <v>195</v>
      </c>
      <c r="I91" s="153"/>
      <c r="J91" s="362"/>
      <c r="K91" s="121"/>
      <c r="L91" s="121"/>
      <c r="M91" s="239"/>
      <c r="N91" s="196"/>
      <c r="O91" s="338"/>
      <c r="P91" s="344"/>
      <c r="Q91" s="338"/>
      <c r="R91" s="198"/>
      <c r="S91" s="198"/>
      <c r="T91" s="198"/>
      <c r="U91" s="198"/>
      <c r="V91" s="198"/>
      <c r="W91" s="198"/>
      <c r="X91" s="125"/>
      <c r="Y91" s="454"/>
      <c r="Z91" s="371"/>
      <c r="AA91" s="338"/>
      <c r="AB91" s="344"/>
      <c r="AC91" s="338"/>
      <c r="AD91" s="198"/>
      <c r="AE91" s="198"/>
      <c r="AF91" s="198"/>
      <c r="AG91" s="198"/>
      <c r="AH91" s="198"/>
      <c r="AI91" s="198"/>
      <c r="AJ91" s="125"/>
      <c r="AK91" s="454"/>
      <c r="AL91" s="371"/>
      <c r="AM91" s="338"/>
      <c r="AN91" s="344"/>
      <c r="AO91" s="338"/>
      <c r="AP91" s="198"/>
      <c r="AQ91" s="198"/>
      <c r="AR91" s="198"/>
      <c r="AS91" s="198"/>
      <c r="AT91" s="198"/>
      <c r="AU91" s="198"/>
      <c r="AV91" s="125"/>
      <c r="AW91" s="454"/>
      <c r="AX91" s="371"/>
      <c r="AY91" s="338"/>
      <c r="AZ91" s="344"/>
      <c r="BA91" s="338"/>
      <c r="BB91" s="199"/>
      <c r="BC91" s="199"/>
      <c r="BD91" s="199"/>
      <c r="BE91" s="199"/>
      <c r="BF91" s="199"/>
      <c r="BG91" s="199"/>
      <c r="BH91" s="255"/>
    </row>
    <row r="92" spans="1:60" x14ac:dyDescent="0.2">
      <c r="A92" s="648"/>
      <c r="B92" s="492" t="s">
        <v>178</v>
      </c>
      <c r="C92" s="739" t="s">
        <v>127</v>
      </c>
      <c r="D92" s="747"/>
      <c r="E92" s="221" t="s">
        <v>197</v>
      </c>
      <c r="F92" s="220"/>
      <c r="G92" s="220"/>
      <c r="H92" s="221" t="s">
        <v>177</v>
      </c>
      <c r="I92" s="146"/>
      <c r="J92" s="230"/>
      <c r="K92" s="121"/>
      <c r="L92" s="121"/>
      <c r="M92" s="230"/>
      <c r="N92" s="100"/>
      <c r="O92" s="251">
        <f>O$90*M$24</f>
        <v>0</v>
      </c>
      <c r="P92" s="147"/>
      <c r="Q92" s="251">
        <f>Q$90*M$24</f>
        <v>0</v>
      </c>
      <c r="R92" s="147"/>
      <c r="S92" s="147"/>
      <c r="T92" s="147"/>
      <c r="U92" s="147"/>
      <c r="V92" s="147"/>
      <c r="W92" s="147"/>
      <c r="X92" s="125"/>
      <c r="Y92" s="149"/>
      <c r="Z92" s="129"/>
      <c r="AA92" s="251">
        <f>AA$90*Y$24</f>
        <v>0</v>
      </c>
      <c r="AB92" s="147"/>
      <c r="AC92" s="251">
        <f>AC$90*Y$24</f>
        <v>0</v>
      </c>
      <c r="AD92" s="147"/>
      <c r="AE92" s="147"/>
      <c r="AF92" s="147"/>
      <c r="AG92" s="147"/>
      <c r="AH92" s="147"/>
      <c r="AI92" s="147"/>
      <c r="AJ92" s="125"/>
      <c r="AK92" s="149"/>
      <c r="AL92" s="129"/>
      <c r="AM92" s="251">
        <f>AM$90*AK$24</f>
        <v>0</v>
      </c>
      <c r="AN92" s="147"/>
      <c r="AO92" s="251">
        <f>AO$90*AK$24</f>
        <v>0</v>
      </c>
      <c r="AP92" s="147"/>
      <c r="AQ92" s="147"/>
      <c r="AR92" s="147"/>
      <c r="AS92" s="147"/>
      <c r="AT92" s="147"/>
      <c r="AU92" s="147"/>
      <c r="AV92" s="125"/>
      <c r="AW92" s="149"/>
      <c r="AX92" s="129"/>
      <c r="AY92" s="251">
        <f>AY$90*AW$24</f>
        <v>0</v>
      </c>
      <c r="AZ92" s="147"/>
      <c r="BA92" s="251">
        <f>BA$90*AW$24</f>
        <v>0</v>
      </c>
      <c r="BB92" s="147"/>
      <c r="BC92" s="147"/>
      <c r="BD92" s="147"/>
      <c r="BE92" s="147"/>
      <c r="BF92" s="147"/>
      <c r="BG92" s="147"/>
      <c r="BH92" s="255"/>
    </row>
    <row r="93" spans="1:60" ht="18.75" x14ac:dyDescent="0.2">
      <c r="A93" s="648"/>
      <c r="B93" s="492" t="s">
        <v>178</v>
      </c>
      <c r="C93" s="739" t="s">
        <v>104</v>
      </c>
      <c r="D93" s="750" t="s">
        <v>50</v>
      </c>
      <c r="E93" s="194" t="s">
        <v>198</v>
      </c>
      <c r="F93" s="202"/>
      <c r="G93" s="202"/>
      <c r="H93" s="203"/>
      <c r="I93" s="204"/>
      <c r="J93" s="205"/>
      <c r="K93" s="138"/>
      <c r="L93" s="138"/>
      <c r="M93" s="205"/>
      <c r="N93" s="205"/>
      <c r="O93" s="205"/>
      <c r="P93" s="205"/>
      <c r="Q93" s="205"/>
      <c r="R93" s="205"/>
      <c r="S93" s="205"/>
      <c r="T93" s="205"/>
      <c r="U93" s="205"/>
      <c r="V93" s="205"/>
      <c r="W93" s="205"/>
      <c r="X93" s="206"/>
      <c r="Y93" s="205"/>
      <c r="Z93" s="205"/>
      <c r="AA93" s="205"/>
      <c r="AB93" s="205"/>
      <c r="AC93" s="205"/>
      <c r="AD93" s="205"/>
      <c r="AE93" s="205"/>
      <c r="AF93" s="205"/>
      <c r="AG93" s="205"/>
      <c r="AH93" s="205"/>
      <c r="AI93" s="205"/>
      <c r="AJ93" s="206"/>
      <c r="AK93" s="205"/>
      <c r="AL93" s="205"/>
      <c r="AM93" s="205"/>
      <c r="AN93" s="205"/>
      <c r="AO93" s="205"/>
      <c r="AP93" s="205"/>
      <c r="AQ93" s="205"/>
      <c r="AR93" s="205"/>
      <c r="AS93" s="205"/>
      <c r="AT93" s="205"/>
      <c r="AU93" s="205"/>
      <c r="AV93" s="206"/>
      <c r="AW93" s="205"/>
      <c r="AX93" s="205"/>
      <c r="AY93" s="205"/>
      <c r="AZ93" s="205"/>
      <c r="BA93" s="205"/>
      <c r="BB93" s="205"/>
      <c r="BC93" s="205"/>
      <c r="BD93" s="205"/>
      <c r="BE93" s="205"/>
      <c r="BF93" s="205"/>
      <c r="BG93" s="205"/>
      <c r="BH93" s="214"/>
    </row>
    <row r="94" spans="1:60" hidden="1" x14ac:dyDescent="0.2">
      <c r="A94" s="648"/>
      <c r="B94" s="492" t="s">
        <v>178</v>
      </c>
      <c r="C94" s="739" t="s">
        <v>199</v>
      </c>
      <c r="D94" s="747"/>
      <c r="E94" s="221" t="s">
        <v>200</v>
      </c>
      <c r="F94" s="220"/>
      <c r="G94" s="220"/>
      <c r="H94" s="221" t="s">
        <v>177</v>
      </c>
      <c r="I94" s="146"/>
      <c r="J94" s="230"/>
      <c r="K94" s="121"/>
      <c r="L94" s="121"/>
      <c r="M94" s="230"/>
      <c r="N94" s="129"/>
      <c r="O94" s="251">
        <f>IF(O$80="geen",0,O75+O85-O88+O92)</f>
        <v>0</v>
      </c>
      <c r="P94" s="251">
        <f>IF(P$80="geen",0,P75+P85-P88+P92)</f>
        <v>0</v>
      </c>
      <c r="Q94" s="251">
        <f>IF(Q$80="geen",0,Q75+Q85-Q88+Q92)</f>
        <v>0</v>
      </c>
      <c r="R94" s="147"/>
      <c r="S94" s="147"/>
      <c r="T94" s="147"/>
      <c r="U94" s="147"/>
      <c r="V94" s="147"/>
      <c r="W94" s="147"/>
      <c r="X94" s="125"/>
      <c r="Y94" s="149"/>
      <c r="Z94" s="129"/>
      <c r="AA94" s="251">
        <f>IF(AA$80="geen",0,AA75+AA85-AA88+AA92)</f>
        <v>0</v>
      </c>
      <c r="AB94" s="251">
        <f>IF(AB$80="geen",0,AB75+AB85-AB88+AB92)</f>
        <v>0</v>
      </c>
      <c r="AC94" s="251">
        <f>IF(AC$80="geen",0,AC75+AC85-AC88+AC92)</f>
        <v>0</v>
      </c>
      <c r="AD94" s="147"/>
      <c r="AE94" s="147"/>
      <c r="AF94" s="147"/>
      <c r="AG94" s="147"/>
      <c r="AH94" s="147"/>
      <c r="AI94" s="147"/>
      <c r="AJ94" s="125"/>
      <c r="AK94" s="149"/>
      <c r="AL94" s="129"/>
      <c r="AM94" s="251">
        <f>IF(AM$80="geen",0,AM75+AM85-AM88+AM92)</f>
        <v>0</v>
      </c>
      <c r="AN94" s="251">
        <f>IF(AN$80="geen",0,AN75+AN85-AN88+AN92)</f>
        <v>0</v>
      </c>
      <c r="AO94" s="251">
        <f>IF(AO$80="geen",0,AO75+AO85-AO88+AO92)</f>
        <v>0</v>
      </c>
      <c r="AP94" s="147"/>
      <c r="AQ94" s="147"/>
      <c r="AR94" s="147"/>
      <c r="AS94" s="147"/>
      <c r="AT94" s="147"/>
      <c r="AU94" s="147"/>
      <c r="AV94" s="125"/>
      <c r="AW94" s="149"/>
      <c r="AX94" s="129"/>
      <c r="AY94" s="251">
        <f>IF(AY$80="geen",0,AY75+AY85-AY88+AY92)</f>
        <v>0</v>
      </c>
      <c r="AZ94" s="251">
        <f>IF(AZ$80="geen",0,AZ75+AZ85-AZ88+AZ92)</f>
        <v>0</v>
      </c>
      <c r="BA94" s="251">
        <f>IF(BA$80="geen",0,BA75+BA85-BA88+BA92)</f>
        <v>0</v>
      </c>
      <c r="BB94" s="147"/>
      <c r="BC94" s="147"/>
      <c r="BD94" s="147"/>
      <c r="BE94" s="147"/>
      <c r="BF94" s="147"/>
      <c r="BG94" s="147"/>
      <c r="BH94" s="255"/>
    </row>
    <row r="95" spans="1:60" hidden="1" x14ac:dyDescent="0.2">
      <c r="A95" s="648"/>
      <c r="B95" s="492" t="s">
        <v>178</v>
      </c>
      <c r="C95" s="739" t="s">
        <v>199</v>
      </c>
      <c r="D95" s="750" t="s">
        <v>50</v>
      </c>
      <c r="E95" s="221" t="s">
        <v>201</v>
      </c>
      <c r="F95" s="220"/>
      <c r="G95" s="220"/>
      <c r="H95" s="221" t="s">
        <v>202</v>
      </c>
      <c r="I95" s="146"/>
      <c r="J95" s="230"/>
      <c r="K95" s="121"/>
      <c r="L95" s="121"/>
      <c r="M95" s="230"/>
      <c r="N95" s="129"/>
      <c r="O95" s="622">
        <f>IF(OR(O80="geen",O94=0),0,IF(O81=gebouw,O$29,1))</f>
        <v>0</v>
      </c>
      <c r="P95" s="622">
        <f>IF(OR(P80="geen",P94=0),0,IF(P81=gebouw,P$29,1))</f>
        <v>0</v>
      </c>
      <c r="Q95" s="622" t="s">
        <v>70</v>
      </c>
      <c r="R95" s="145"/>
      <c r="S95" s="145"/>
      <c r="T95" s="145"/>
      <c r="U95" s="145"/>
      <c r="V95" s="145"/>
      <c r="W95" s="145"/>
      <c r="X95" s="486"/>
      <c r="Y95" s="149"/>
      <c r="Z95" s="135"/>
      <c r="AA95" s="622">
        <f>IF(OR(AA80="geen",AA94=0),0,IF(AA81=gebouw,AA$29,1))</f>
        <v>0</v>
      </c>
      <c r="AB95" s="622">
        <f>IF(OR(AB80="geen",AB94=0),0,IF(AB81=gebouw,AB$29,1))</f>
        <v>0</v>
      </c>
      <c r="AC95" s="622" t="s">
        <v>70</v>
      </c>
      <c r="AD95" s="145"/>
      <c r="AE95" s="145"/>
      <c r="AF95" s="145"/>
      <c r="AG95" s="145"/>
      <c r="AH95" s="145"/>
      <c r="AI95" s="145"/>
      <c r="AJ95" s="486"/>
      <c r="AK95" s="149"/>
      <c r="AL95" s="135"/>
      <c r="AM95" s="622">
        <f>IF(OR(AM80="geen",AM94=0),0,IF(AM81=gebouw,AM$29,1))</f>
        <v>0</v>
      </c>
      <c r="AN95" s="622">
        <f>IF(OR(AN80="geen",AN94=0),0,IF(AN81=gebouw,AN$29,1))</f>
        <v>0</v>
      </c>
      <c r="AO95" s="622" t="s">
        <v>70</v>
      </c>
      <c r="AP95" s="145"/>
      <c r="AQ95" s="145"/>
      <c r="AR95" s="145"/>
      <c r="AS95" s="145"/>
      <c r="AT95" s="145"/>
      <c r="AU95" s="145"/>
      <c r="AV95" s="486"/>
      <c r="AW95" s="149"/>
      <c r="AX95" s="135"/>
      <c r="AY95" s="622">
        <f>IF(OR(AY80="geen",AY94=0),0,IF(AY81=gebouw,AY$29,1))</f>
        <v>0</v>
      </c>
      <c r="AZ95" s="622">
        <f>IF(OR(AZ80="geen",AZ94=0),0,IF(AZ81=gebouw,AZ$29,1))</f>
        <v>0</v>
      </c>
      <c r="BA95" s="622" t="s">
        <v>70</v>
      </c>
      <c r="BB95" s="147"/>
      <c r="BC95" s="147"/>
      <c r="BD95" s="147"/>
      <c r="BE95" s="147"/>
      <c r="BF95" s="147"/>
      <c r="BG95" s="147"/>
      <c r="BH95" s="255"/>
    </row>
    <row r="96" spans="1:60" hidden="1" x14ac:dyDescent="0.2">
      <c r="A96" s="648"/>
      <c r="B96" s="492" t="s">
        <v>178</v>
      </c>
      <c r="C96" s="739" t="s">
        <v>199</v>
      </c>
      <c r="D96" s="750" t="s">
        <v>50</v>
      </c>
      <c r="E96" s="221" t="s">
        <v>203</v>
      </c>
      <c r="F96" s="220"/>
      <c r="G96" s="220"/>
      <c r="H96" s="221" t="s">
        <v>204</v>
      </c>
      <c r="I96" s="146"/>
      <c r="J96" s="230"/>
      <c r="K96" s="121"/>
      <c r="L96" s="121"/>
      <c r="M96" s="230"/>
      <c r="N96" s="129"/>
      <c r="O96" s="622">
        <f>MROUND(((bibliotheek!$I$121*(O94*1000))/(0.001*bibliotheek!$I$122)*((bibliotheek!$I$123-bibliotheek!$I$125)/(bibliotheek!$I$123-bibliotheek!$I$124))+(O31^0.5*4*3+O31)*bibliotheek!$I$126)/1000,50)</f>
        <v>0</v>
      </c>
      <c r="P96" s="622">
        <f>IF(P80="geen",0,MROUND((P94*1000)*bibliotheek!$I$196,1))</f>
        <v>0</v>
      </c>
      <c r="Q96" s="622" t="s">
        <v>70</v>
      </c>
      <c r="R96" s="145"/>
      <c r="S96" s="145"/>
      <c r="T96" s="145"/>
      <c r="U96" s="145"/>
      <c r="V96" s="145"/>
      <c r="W96" s="145"/>
      <c r="X96" s="486"/>
      <c r="Y96" s="149"/>
      <c r="Z96" s="135"/>
      <c r="AA96" s="622">
        <f>MROUND(((bibliotheek!$I$121*(AA94*1000))/(0.001*bibliotheek!$I$122)*((bibliotheek!$I$123-bibliotheek!$I$125)/(bibliotheek!$I$123-bibliotheek!$I$124))+(AA31^0.5*4*3+AA31)*bibliotheek!$I$126)/1000,50)</f>
        <v>0</v>
      </c>
      <c r="AB96" s="622">
        <f>IF(AB80="geen",0,MROUND((AB94*1000)*bibliotheek!$I$196,1))</f>
        <v>0</v>
      </c>
      <c r="AC96" s="622" t="s">
        <v>70</v>
      </c>
      <c r="AD96" s="145"/>
      <c r="AE96" s="145"/>
      <c r="AF96" s="145"/>
      <c r="AG96" s="145"/>
      <c r="AH96" s="145"/>
      <c r="AI96" s="145"/>
      <c r="AJ96" s="486"/>
      <c r="AK96" s="149"/>
      <c r="AL96" s="135"/>
      <c r="AM96" s="622">
        <f>MROUND(((bibliotheek!$I$121*(AM94*1000))/(0.001*bibliotheek!$I$122)*((bibliotheek!$I$123-bibliotheek!$I$125)/(bibliotheek!$I$123-bibliotheek!$I$124))+(AM31^0.5*4*3+AM31)*bibliotheek!$I$126)/1000,50)</f>
        <v>0</v>
      </c>
      <c r="AN96" s="622">
        <f>IF(AN80="geen",0,MROUND((AN94*1000)*bibliotheek!$I$196,1))</f>
        <v>0</v>
      </c>
      <c r="AO96" s="622" t="s">
        <v>70</v>
      </c>
      <c r="AP96" s="145"/>
      <c r="AQ96" s="145"/>
      <c r="AR96" s="145"/>
      <c r="AS96" s="145"/>
      <c r="AT96" s="145"/>
      <c r="AU96" s="145"/>
      <c r="AV96" s="486"/>
      <c r="AW96" s="149"/>
      <c r="AX96" s="135"/>
      <c r="AY96" s="622">
        <f>MROUND(((bibliotheek!$I$121*(AY94*1000))/(0.001*bibliotheek!$I$122)*((bibliotheek!$I$123-bibliotheek!$I$125)/(bibliotheek!$I$123-bibliotheek!$I$124))+(AY31^0.5*4*3+AY31)*bibliotheek!$I$126)/1000,50)</f>
        <v>0</v>
      </c>
      <c r="AZ96" s="622">
        <f>IF(AZ80="geen",0,MROUND((AZ94*1000)*bibliotheek!$I$196,1))</f>
        <v>0</v>
      </c>
      <c r="BA96" s="622" t="s">
        <v>70</v>
      </c>
      <c r="BB96" s="147"/>
      <c r="BC96" s="147"/>
      <c r="BD96" s="147"/>
      <c r="BE96" s="147"/>
      <c r="BF96" s="147"/>
      <c r="BG96" s="147"/>
      <c r="BH96" s="255"/>
    </row>
    <row r="97" spans="1:60" hidden="1" x14ac:dyDescent="0.2">
      <c r="A97" s="648"/>
      <c r="B97" s="492" t="s">
        <v>178</v>
      </c>
      <c r="C97" s="656" t="s">
        <v>199</v>
      </c>
      <c r="D97" s="747"/>
      <c r="E97" s="90"/>
      <c r="F97" s="90"/>
      <c r="G97" s="90"/>
      <c r="H97" s="96"/>
      <c r="I97" s="90"/>
      <c r="J97" s="93"/>
      <c r="K97" s="90"/>
      <c r="L97" s="90"/>
      <c r="M97" s="93"/>
      <c r="N97" s="90"/>
      <c r="O97" s="93"/>
      <c r="P97" s="93"/>
      <c r="Q97" s="93"/>
      <c r="R97" s="93"/>
      <c r="S97" s="93"/>
      <c r="T97" s="93"/>
      <c r="U97" s="93"/>
      <c r="V97" s="93"/>
      <c r="W97" s="93"/>
      <c r="X97" s="93"/>
      <c r="Y97" s="93"/>
      <c r="Z97" s="90"/>
      <c r="AA97" s="122"/>
      <c r="AB97" s="117"/>
      <c r="AC97" s="122"/>
      <c r="AD97" s="93"/>
      <c r="AE97" s="93"/>
      <c r="AF97" s="93"/>
      <c r="AG97" s="93"/>
      <c r="AH97" s="93"/>
      <c r="AI97" s="93"/>
      <c r="AJ97" s="93"/>
      <c r="AK97" s="93"/>
      <c r="AL97" s="90"/>
      <c r="AM97" s="93"/>
      <c r="AN97" s="117"/>
      <c r="AO97" s="93"/>
      <c r="AP97" s="93"/>
      <c r="AQ97" s="93"/>
      <c r="AR97" s="93"/>
      <c r="AS97" s="93"/>
      <c r="AT97" s="93"/>
      <c r="AU97" s="93"/>
      <c r="AV97" s="93"/>
      <c r="AW97" s="93"/>
      <c r="AX97" s="90"/>
      <c r="AY97" s="93"/>
      <c r="AZ97" s="117"/>
      <c r="BA97" s="93"/>
      <c r="BB97" s="93"/>
      <c r="BC97" s="93"/>
      <c r="BD97" s="93"/>
      <c r="BE97" s="93"/>
      <c r="BF97" s="93"/>
      <c r="BG97" s="93"/>
      <c r="BH97" s="1"/>
    </row>
    <row r="98" spans="1:60" x14ac:dyDescent="0.2">
      <c r="A98" s="648"/>
      <c r="B98" s="492" t="s">
        <v>205</v>
      </c>
      <c r="C98" s="656" t="s">
        <v>104</v>
      </c>
      <c r="D98" s="747"/>
      <c r="E98" s="90"/>
      <c r="F98" s="90"/>
      <c r="G98" s="90"/>
      <c r="H98" s="96"/>
      <c r="I98" s="90"/>
      <c r="J98" s="93"/>
      <c r="K98" s="90"/>
      <c r="L98" s="90"/>
      <c r="M98" s="93"/>
      <c r="N98" s="90"/>
      <c r="O98" s="489"/>
      <c r="P98" s="93"/>
      <c r="Q98" s="93"/>
      <c r="R98" s="93"/>
      <c r="S98" s="93"/>
      <c r="T98" s="93"/>
      <c r="U98" s="93"/>
      <c r="V98" s="93"/>
      <c r="W98" s="93"/>
      <c r="X98" s="93"/>
      <c r="Y98" s="93"/>
      <c r="Z98" s="90"/>
      <c r="AA98" s="93"/>
      <c r="AB98" s="93"/>
      <c r="AC98" s="93"/>
      <c r="AD98" s="93"/>
      <c r="AE98" s="93"/>
      <c r="AF98" s="93"/>
      <c r="AG98" s="93"/>
      <c r="AH98" s="93"/>
      <c r="AI98" s="93"/>
      <c r="AJ98" s="93"/>
      <c r="AK98" s="93"/>
      <c r="AL98" s="90"/>
      <c r="AM98" s="93"/>
      <c r="AN98" s="93"/>
      <c r="AO98" s="93"/>
      <c r="AP98" s="93"/>
      <c r="AQ98" s="93"/>
      <c r="AR98" s="93"/>
      <c r="AS98" s="93"/>
      <c r="AT98" s="93"/>
      <c r="AU98" s="93"/>
      <c r="AV98" s="93"/>
      <c r="AW98" s="93"/>
      <c r="AX98" s="90"/>
      <c r="AY98" s="93"/>
      <c r="AZ98" s="93"/>
      <c r="BA98" s="93"/>
      <c r="BB98" s="93"/>
      <c r="BC98" s="93"/>
      <c r="BD98" s="93"/>
      <c r="BE98" s="93"/>
      <c r="BF98" s="93"/>
      <c r="BG98" s="93"/>
      <c r="BH98" s="1"/>
    </row>
    <row r="99" spans="1:60" ht="21" x14ac:dyDescent="0.2">
      <c r="A99" s="648"/>
      <c r="B99" s="492" t="s">
        <v>205</v>
      </c>
      <c r="C99" s="739" t="s">
        <v>104</v>
      </c>
      <c r="D99" s="750" t="s">
        <v>50</v>
      </c>
      <c r="E99" s="240" t="s">
        <v>206</v>
      </c>
      <c r="F99" s="240"/>
      <c r="G99" s="240"/>
      <c r="H99" s="240"/>
      <c r="I99" s="88"/>
      <c r="J99" s="241" t="str">
        <f>J$10</f>
        <v>totaal</v>
      </c>
      <c r="K99" s="142"/>
      <c r="L99" s="142"/>
      <c r="M99" s="216" t="str">
        <f>M$10</f>
        <v>totaal</v>
      </c>
      <c r="N99" s="222"/>
      <c r="O99" s="217" t="str">
        <f>O$10</f>
        <v>verwarming</v>
      </c>
      <c r="P99" s="217" t="str">
        <f>P$10</f>
        <v>koeling</v>
      </c>
      <c r="Q99" s="217" t="str">
        <f>Q$10</f>
        <v>tapwater</v>
      </c>
      <c r="R99" s="217"/>
      <c r="S99" s="217"/>
      <c r="T99" s="217"/>
      <c r="U99" s="217"/>
      <c r="V99" s="217"/>
      <c r="W99" s="217"/>
      <c r="X99" s="214"/>
      <c r="Y99" s="216" t="str">
        <f>Y$10</f>
        <v>totaal</v>
      </c>
      <c r="Z99" s="222"/>
      <c r="AA99" s="217" t="str">
        <f>AA$10</f>
        <v>verwarming</v>
      </c>
      <c r="AB99" s="217" t="str">
        <f>AB$10</f>
        <v>koeling</v>
      </c>
      <c r="AC99" s="217" t="str">
        <f>AC$10</f>
        <v>tapwater</v>
      </c>
      <c r="AD99" s="217"/>
      <c r="AE99" s="217"/>
      <c r="AF99" s="217"/>
      <c r="AG99" s="217"/>
      <c r="AH99" s="217"/>
      <c r="AI99" s="217"/>
      <c r="AJ99" s="214"/>
      <c r="AK99" s="216" t="str">
        <f>AK$10</f>
        <v>totaal</v>
      </c>
      <c r="AL99" s="222"/>
      <c r="AM99" s="217" t="str">
        <f>AM$10</f>
        <v>verwarming</v>
      </c>
      <c r="AN99" s="217" t="str">
        <f>AN$10</f>
        <v>koeling</v>
      </c>
      <c r="AO99" s="217" t="str">
        <f>AO$10</f>
        <v>tapwater</v>
      </c>
      <c r="AP99" s="217"/>
      <c r="AQ99" s="217"/>
      <c r="AR99" s="217"/>
      <c r="AS99" s="217"/>
      <c r="AT99" s="217"/>
      <c r="AU99" s="217"/>
      <c r="AV99" s="214"/>
      <c r="AW99" s="216" t="str">
        <f>AW$10</f>
        <v>totaal</v>
      </c>
      <c r="AX99" s="222"/>
      <c r="AY99" s="217" t="str">
        <f>AY$10</f>
        <v>verwarming</v>
      </c>
      <c r="AZ99" s="217" t="str">
        <f>AZ$10</f>
        <v>koeling</v>
      </c>
      <c r="BA99" s="217" t="str">
        <f>BA$10</f>
        <v>tapwater</v>
      </c>
      <c r="BB99" s="217"/>
      <c r="BC99" s="217"/>
      <c r="BD99" s="217"/>
      <c r="BE99" s="217"/>
      <c r="BF99" s="217"/>
      <c r="BG99" s="217"/>
      <c r="BH99" s="1"/>
    </row>
    <row r="100" spans="1:60" ht="18.75" x14ac:dyDescent="0.2">
      <c r="A100" s="648"/>
      <c r="B100" s="492" t="s">
        <v>205</v>
      </c>
      <c r="C100" s="739" t="s">
        <v>104</v>
      </c>
      <c r="D100" s="750"/>
      <c r="E100" s="315" t="s">
        <v>207</v>
      </c>
      <c r="F100" s="175"/>
      <c r="G100" s="175"/>
      <c r="H100" s="176"/>
      <c r="I100" s="177"/>
      <c r="J100" s="141"/>
      <c r="K100" s="178"/>
      <c r="L100" s="178"/>
      <c r="M100" s="141"/>
      <c r="N100" s="141"/>
      <c r="O100" s="141"/>
      <c r="P100" s="141"/>
      <c r="Q100" s="141"/>
      <c r="R100" s="141">
        <v>1</v>
      </c>
      <c r="S100" s="141">
        <v>1</v>
      </c>
      <c r="T100" s="141"/>
      <c r="U100" s="141"/>
      <c r="V100" s="141"/>
      <c r="W100" s="141"/>
      <c r="X100" s="179"/>
      <c r="Y100" s="141"/>
      <c r="Z100" s="141"/>
      <c r="AA100" s="141"/>
      <c r="AB100" s="141"/>
      <c r="AC100" s="141"/>
      <c r="AD100" s="141"/>
      <c r="AE100" s="141"/>
      <c r="AF100" s="141"/>
      <c r="AG100" s="141"/>
      <c r="AH100" s="141"/>
      <c r="AI100" s="141"/>
      <c r="AJ100" s="179"/>
      <c r="AK100" s="141"/>
      <c r="AL100" s="141"/>
      <c r="AM100" s="141"/>
      <c r="AN100" s="141"/>
      <c r="AO100" s="141"/>
      <c r="AP100" s="141"/>
      <c r="AQ100" s="141"/>
      <c r="AR100" s="141"/>
      <c r="AS100" s="141"/>
      <c r="AT100" s="141"/>
      <c r="AU100" s="141"/>
      <c r="AV100" s="179"/>
      <c r="AW100" s="141"/>
      <c r="AX100" s="141"/>
      <c r="AY100" s="141"/>
      <c r="AZ100" s="141"/>
      <c r="BA100" s="141"/>
      <c r="BB100" s="141"/>
      <c r="BC100" s="141"/>
      <c r="BD100" s="141"/>
      <c r="BE100" s="141"/>
      <c r="BF100" s="141"/>
      <c r="BG100" s="141"/>
      <c r="BH100" s="263"/>
    </row>
    <row r="101" spans="1:60" ht="38.25" x14ac:dyDescent="0.2">
      <c r="A101" s="648"/>
      <c r="B101" s="492" t="s">
        <v>205</v>
      </c>
      <c r="C101" s="656" t="s">
        <v>127</v>
      </c>
      <c r="D101" s="747"/>
      <c r="E101" s="183" t="s">
        <v>181</v>
      </c>
      <c r="F101" s="357"/>
      <c r="G101" s="357"/>
      <c r="H101" s="183" t="s">
        <v>70</v>
      </c>
      <c r="I101" s="188"/>
      <c r="J101" s="330"/>
      <c r="K101" s="820"/>
      <c r="L101" s="820"/>
      <c r="M101" s="330"/>
      <c r="N101" s="136"/>
      <c r="O101" s="390" t="str">
        <f>O80</f>
        <v>ind WP, ind bodem, elek bijstook</v>
      </c>
      <c r="P101" s="390" t="str">
        <f>P80</f>
        <v>geen</v>
      </c>
      <c r="Q101" s="390" t="str">
        <f>Q80</f>
        <v>ind WP, ind bodem, elek bijstook</v>
      </c>
      <c r="R101" s="190"/>
      <c r="S101" s="190"/>
      <c r="T101" s="190"/>
      <c r="U101" s="190"/>
      <c r="V101" s="190"/>
      <c r="W101" s="190"/>
      <c r="X101" s="191"/>
      <c r="Y101" s="330"/>
      <c r="Z101" s="136"/>
      <c r="AA101" s="390" t="str">
        <f>AA80</f>
        <v>ind WP, ind bodem, elek bijstook</v>
      </c>
      <c r="AB101" s="390" t="str">
        <f>AB80</f>
        <v>geen</v>
      </c>
      <c r="AC101" s="390" t="str">
        <f>AC80</f>
        <v>ind WP, ind bodem, elek bijstook</v>
      </c>
      <c r="AD101" s="190"/>
      <c r="AE101" s="190"/>
      <c r="AF101" s="190"/>
      <c r="AG101" s="190"/>
      <c r="AH101" s="190"/>
      <c r="AI101" s="190"/>
      <c r="AJ101" s="191"/>
      <c r="AK101" s="330"/>
      <c r="AL101" s="136"/>
      <c r="AM101" s="390" t="str">
        <f>AM80</f>
        <v>ind WP, ind bodem, elek bijstook</v>
      </c>
      <c r="AN101" s="390" t="str">
        <f>AN80</f>
        <v>geen</v>
      </c>
      <c r="AO101" s="390" t="str">
        <f>AO80</f>
        <v>ind WP, ind bodem, elek bijstook</v>
      </c>
      <c r="AP101" s="190"/>
      <c r="AQ101" s="190"/>
      <c r="AR101" s="190"/>
      <c r="AS101" s="190"/>
      <c r="AT101" s="190"/>
      <c r="AU101" s="190"/>
      <c r="AV101" s="191"/>
      <c r="AW101" s="330"/>
      <c r="AX101" s="136"/>
      <c r="AY101" s="390" t="str">
        <f>AY80</f>
        <v>ind WP, ind bodem, elek bijstook</v>
      </c>
      <c r="AZ101" s="390" t="str">
        <f>AZ80</f>
        <v>geen</v>
      </c>
      <c r="BA101" s="390" t="str">
        <f>BA80</f>
        <v>ind WP, ind bodem, elek bijstook</v>
      </c>
      <c r="BB101" s="190"/>
      <c r="BC101" s="190"/>
      <c r="BD101" s="190"/>
      <c r="BE101" s="190"/>
      <c r="BF101" s="190"/>
      <c r="BG101" s="190"/>
      <c r="BH101" s="263"/>
    </row>
    <row r="102" spans="1:60" s="38" customFormat="1" hidden="1" x14ac:dyDescent="0.2">
      <c r="A102" s="648"/>
      <c r="B102" s="492" t="s">
        <v>205</v>
      </c>
      <c r="C102" s="656" t="s">
        <v>199</v>
      </c>
      <c r="D102" s="747"/>
      <c r="E102" s="183" t="s">
        <v>208</v>
      </c>
      <c r="F102" s="182"/>
      <c r="G102" s="182"/>
      <c r="H102" s="183" t="s">
        <v>70</v>
      </c>
      <c r="I102" s="340"/>
      <c r="J102" s="350"/>
      <c r="K102" s="821"/>
      <c r="L102" s="821"/>
      <c r="M102" s="350"/>
      <c r="N102" s="235"/>
      <c r="O102" s="390" t="str">
        <f>HLOOKUP(IF(O$80="",referentie_verwarming,O$80),toestellen_RV,ROWS(bibliotheek!$E$79:$E$92),FALSE)</f>
        <v>elektriciteit</v>
      </c>
      <c r="P102" s="390" t="str">
        <f>HLOOKUP(IF(P$80="",referentie_koeling,P$80),toestellen_KOEL,ROWS(bibliotheek!$E$170:$E$177),FALSE)</f>
        <v>nvt</v>
      </c>
      <c r="Q102" s="390" t="str">
        <f>HLOOKUP(IF(Q$80="",referentie_warmtapwater,Q$80),toestellen_TAP,ROWS(bibliotheek!$E$136:$E$149),FALSE)</f>
        <v>elektriciteit</v>
      </c>
      <c r="R102" s="341"/>
      <c r="S102" s="341"/>
      <c r="T102" s="341"/>
      <c r="U102" s="341"/>
      <c r="V102" s="341"/>
      <c r="W102" s="341"/>
      <c r="X102" s="342"/>
      <c r="Y102" s="350"/>
      <c r="Z102" s="235"/>
      <c r="AA102" s="390" t="str">
        <f>HLOOKUP(IF(AA$80="",referentie_verwarming,AA$80),toestellen_RV,ROWS(bibliotheek!$E$79:$E$92),FALSE)</f>
        <v>elektriciteit</v>
      </c>
      <c r="AB102" s="390" t="str">
        <f>HLOOKUP(IF(AB$80="",referentie_koeling,AB$80),toestellen_KOEL,ROWS(bibliotheek!$E$170:$E$177),FALSE)</f>
        <v>nvt</v>
      </c>
      <c r="AC102" s="390" t="str">
        <f>HLOOKUP(IF(AC$80="",referentie_warmtapwater,AC$80),toestellen_TAP,ROWS(bibliotheek!$E$136:$E$149),FALSE)</f>
        <v>elektriciteit</v>
      </c>
      <c r="AD102" s="341"/>
      <c r="AE102" s="341"/>
      <c r="AF102" s="341"/>
      <c r="AG102" s="341"/>
      <c r="AH102" s="341"/>
      <c r="AI102" s="341"/>
      <c r="AJ102" s="342"/>
      <c r="AK102" s="350"/>
      <c r="AL102" s="235"/>
      <c r="AM102" s="390" t="str">
        <f>HLOOKUP(IF(AM$80="",referentie_verwarming,AM$80),toestellen_RV,ROWS(bibliotheek!$E$79:$E$92),FALSE)</f>
        <v>elektriciteit</v>
      </c>
      <c r="AN102" s="390" t="str">
        <f>HLOOKUP(IF(AN$80="",referentie_koeling,AN$80),toestellen_KOEL,ROWS(bibliotheek!$E$170:$E$177),FALSE)</f>
        <v>nvt</v>
      </c>
      <c r="AO102" s="390" t="str">
        <f>HLOOKUP(IF(AO$80="",referentie_warmtapwater,AO$80),toestellen_TAP,ROWS(bibliotheek!$E$136:$E$149),FALSE)</f>
        <v>elektriciteit</v>
      </c>
      <c r="AP102" s="341"/>
      <c r="AQ102" s="341"/>
      <c r="AR102" s="341"/>
      <c r="AS102" s="341"/>
      <c r="AT102" s="341"/>
      <c r="AU102" s="341"/>
      <c r="AV102" s="342"/>
      <c r="AW102" s="350"/>
      <c r="AX102" s="235"/>
      <c r="AY102" s="390" t="str">
        <f>HLOOKUP(IF(AY$80="",referentie_verwarming,AY$80),toestellen_RV,ROWS(bibliotheek!$E$79:$E$92),FALSE)</f>
        <v>elektriciteit</v>
      </c>
      <c r="AZ102" s="390" t="str">
        <f>HLOOKUP(IF(AZ$80="",referentie_koeling,AZ$80),toestellen_KOEL,ROWS(bibliotheek!$E$170:$E$177),FALSE)</f>
        <v>nvt</v>
      </c>
      <c r="BA102" s="390" t="str">
        <f>HLOOKUP(IF(BA$80="",referentie_warmtapwater,BA$80),toestellen_TAP,ROWS(bibliotheek!$E$136:$E$149),FALSE)</f>
        <v>elektriciteit</v>
      </c>
      <c r="BB102" s="341"/>
      <c r="BC102" s="341"/>
      <c r="BD102" s="341"/>
      <c r="BE102" s="341"/>
      <c r="BF102" s="341"/>
      <c r="BG102" s="341"/>
      <c r="BH102" s="268"/>
    </row>
    <row r="103" spans="1:60" hidden="1" x14ac:dyDescent="0.2">
      <c r="A103" s="648"/>
      <c r="B103" s="492" t="s">
        <v>205</v>
      </c>
      <c r="C103" s="739" t="s">
        <v>199</v>
      </c>
      <c r="D103" s="747"/>
      <c r="E103" s="221" t="s">
        <v>209</v>
      </c>
      <c r="F103" s="220"/>
      <c r="G103" s="220"/>
      <c r="H103" s="221" t="s">
        <v>70</v>
      </c>
      <c r="I103" s="146"/>
      <c r="J103" s="230"/>
      <c r="K103" s="822"/>
      <c r="L103" s="822"/>
      <c r="M103" s="230"/>
      <c r="N103" s="129"/>
      <c r="O103" s="623" t="str">
        <f>INDEX(energiedragers_index_fPren,MATCH(O102,energiedragers_namen,0))</f>
        <v>nren</v>
      </c>
      <c r="P103" s="623" t="str">
        <f>INDEX(energiedragers_index_fPren,MATCH(P102,energiedragers_namen,0))</f>
        <v>nren</v>
      </c>
      <c r="Q103" s="623" t="str">
        <f>INDEX(energiedragers_index_fPren,MATCH(Q102,energiedragers_namen,0))</f>
        <v>nren</v>
      </c>
      <c r="R103" s="200"/>
      <c r="S103" s="200"/>
      <c r="T103" s="200"/>
      <c r="U103" s="200"/>
      <c r="V103" s="200"/>
      <c r="W103" s="200"/>
      <c r="X103" s="201"/>
      <c r="Y103" s="230"/>
      <c r="Z103" s="129"/>
      <c r="AA103" s="623" t="str">
        <f>INDEX(energiedragers_index_fPren,MATCH(AA102,energiedragers_namen,0))</f>
        <v>nren</v>
      </c>
      <c r="AB103" s="623" t="str">
        <f>INDEX(energiedragers_index_fPren,MATCH(AB102,energiedragers_namen,0))</f>
        <v>nren</v>
      </c>
      <c r="AC103" s="623" t="str">
        <f>INDEX(energiedragers_index_fPren,MATCH(AC102,energiedragers_namen,0))</f>
        <v>nren</v>
      </c>
      <c r="AD103" s="200"/>
      <c r="AE103" s="200"/>
      <c r="AF103" s="200"/>
      <c r="AG103" s="200"/>
      <c r="AH103" s="200"/>
      <c r="AI103" s="200"/>
      <c r="AJ103" s="201"/>
      <c r="AK103" s="230"/>
      <c r="AL103" s="129"/>
      <c r="AM103" s="623" t="str">
        <f>INDEX(energiedragers_index_fPren,MATCH(AM102,energiedragers_namen,0))</f>
        <v>nren</v>
      </c>
      <c r="AN103" s="623" t="str">
        <f>INDEX(energiedragers_index_fPren,MATCH(AN102,energiedragers_namen,0))</f>
        <v>nren</v>
      </c>
      <c r="AO103" s="623" t="str">
        <f>INDEX(energiedragers_index_fPren,MATCH(AO102,energiedragers_namen,0))</f>
        <v>nren</v>
      </c>
      <c r="AP103" s="200"/>
      <c r="AQ103" s="200"/>
      <c r="AR103" s="200"/>
      <c r="AS103" s="200"/>
      <c r="AT103" s="200"/>
      <c r="AU103" s="200"/>
      <c r="AV103" s="201"/>
      <c r="AW103" s="230"/>
      <c r="AX103" s="129"/>
      <c r="AY103" s="623" t="str">
        <f>INDEX(energiedragers_index_fPren,MATCH(AY102,energiedragers_namen,0))</f>
        <v>nren</v>
      </c>
      <c r="AZ103" s="623" t="str">
        <f>INDEX(energiedragers_index_fPren,MATCH(AZ102,energiedragers_namen,0))</f>
        <v>nren</v>
      </c>
      <c r="BA103" s="623" t="str">
        <f>INDEX(energiedragers_index_fPren,MATCH(BA102,energiedragers_namen,0))</f>
        <v>nren</v>
      </c>
      <c r="BB103" s="200"/>
      <c r="BC103" s="200"/>
      <c r="BD103" s="200"/>
      <c r="BE103" s="200"/>
      <c r="BF103" s="200"/>
      <c r="BG103" s="200"/>
      <c r="BH103" s="264"/>
    </row>
    <row r="104" spans="1:60" ht="18.75" x14ac:dyDescent="0.2">
      <c r="A104" s="648"/>
      <c r="B104" s="492" t="s">
        <v>205</v>
      </c>
      <c r="C104" s="739" t="s">
        <v>104</v>
      </c>
      <c r="D104" s="747"/>
      <c r="E104" s="144" t="s">
        <v>210</v>
      </c>
      <c r="F104" s="119"/>
      <c r="G104" s="119"/>
      <c r="H104" s="89"/>
      <c r="I104" s="120"/>
      <c r="J104" s="141"/>
      <c r="K104" s="124"/>
      <c r="L104" s="124"/>
      <c r="M104" s="141"/>
      <c r="N104" s="141"/>
      <c r="O104" s="141"/>
      <c r="P104" s="141"/>
      <c r="Q104" s="141"/>
      <c r="R104" s="141"/>
      <c r="S104" s="141"/>
      <c r="T104" s="141"/>
      <c r="U104" s="141"/>
      <c r="V104" s="141"/>
      <c r="W104" s="141"/>
      <c r="X104" s="143"/>
      <c r="Y104" s="141"/>
      <c r="Z104" s="141"/>
      <c r="AA104" s="141"/>
      <c r="AB104" s="141"/>
      <c r="AC104" s="141"/>
      <c r="AD104" s="141"/>
      <c r="AE104" s="141"/>
      <c r="AF104" s="141"/>
      <c r="AG104" s="141"/>
      <c r="AH104" s="141"/>
      <c r="AI104" s="141"/>
      <c r="AJ104" s="143"/>
      <c r="AK104" s="141"/>
      <c r="AL104" s="141"/>
      <c r="AM104" s="141"/>
      <c r="AN104" s="141"/>
      <c r="AO104" s="141"/>
      <c r="AP104" s="141"/>
      <c r="AQ104" s="141"/>
      <c r="AR104" s="141"/>
      <c r="AS104" s="141"/>
      <c r="AT104" s="141"/>
      <c r="AU104" s="141"/>
      <c r="AV104" s="143"/>
      <c r="AW104" s="141"/>
      <c r="AX104" s="141"/>
      <c r="AY104" s="141"/>
      <c r="AZ104" s="141"/>
      <c r="BA104" s="141"/>
      <c r="BB104" s="141"/>
      <c r="BC104" s="141"/>
      <c r="BD104" s="141"/>
      <c r="BE104" s="141"/>
      <c r="BF104" s="141"/>
      <c r="BG104" s="141"/>
      <c r="BH104" s="263"/>
    </row>
    <row r="105" spans="1:60" x14ac:dyDescent="0.2">
      <c r="A105" s="648"/>
      <c r="B105" s="492" t="s">
        <v>205</v>
      </c>
      <c r="C105" s="656" t="s">
        <v>127</v>
      </c>
      <c r="D105" s="747"/>
      <c r="E105" s="354" t="s">
        <v>211</v>
      </c>
      <c r="F105" s="316"/>
      <c r="G105" s="316"/>
      <c r="H105" s="354" t="s">
        <v>150</v>
      </c>
      <c r="I105" s="88"/>
      <c r="J105" s="229"/>
      <c r="K105" s="121"/>
      <c r="L105" s="121"/>
      <c r="M105" s="229"/>
      <c r="N105" s="90"/>
      <c r="O105" s="624">
        <f>IF(HLOOKUP(IF(O$80="",referentie_verwarming,O$80),toestellen_RV,ROWS(bibliotheek!$E$79:$E$94),FALSE)=1,1,IF(O106&lt;&gt;"",O106,HLOOKUP(IF(O$80="",referentie_verwarming,O$80),toestellen_RV,ROWS(bibliotheek!$E$79:$E$94),FALSE)))</f>
        <v>0.9</v>
      </c>
      <c r="P105" s="624">
        <f>IF(HLOOKUP(IF(P$80="",referentie_koeling,P$80),toestellen_KOEL,ROWS(bibliotheek!$E$170:$E$179),FALSE)=1,1,IF(P106&lt;&gt;"",P106,HLOOKUP(IF(P$80="",referentie_koeling,P$80),toestellen_KOEL,ROWS(bibliotheek!$E$170:$E$179),FALSE)))</f>
        <v>1</v>
      </c>
      <c r="Q105" s="624">
        <f>IF(HLOOKUP(IF(Q$80="",referentie_warmtapwater,Q$80),toestellen_TAP,ROWS(bibliotheek!$E$136:$E$151),FALSE)=1,1,IF(Q106&lt;&gt;"",Q106,HLOOKUP(IF(Q$80="",referentie_warmtapwater,Q$80),toestellen_TAP,ROWS(bibliotheek!$E$136:$E$151),FALSE)))</f>
        <v>0.9</v>
      </c>
      <c r="R105" s="152"/>
      <c r="S105" s="152"/>
      <c r="T105" s="152"/>
      <c r="U105" s="152"/>
      <c r="V105" s="152"/>
      <c r="W105" s="152"/>
      <c r="X105" s="87"/>
      <c r="Y105" s="229"/>
      <c r="Z105" s="90"/>
      <c r="AA105" s="624">
        <f>IF(HLOOKUP(IF(AA$80="",referentie_verwarming,AA$80),toestellen_RV,ROWS(bibliotheek!$E$79:$E$94),FALSE)=1,1,IF(AA106&lt;&gt;"",AA106,HLOOKUP(IF(AA$80="",referentie_verwarming,AA$80),toestellen_RV,ROWS(bibliotheek!$E$79:$E$94),FALSE)))</f>
        <v>0.9</v>
      </c>
      <c r="AB105" s="624">
        <f>IF(HLOOKUP(IF(AB$80="",referentie_koeling,AB$80),toestellen_KOEL,ROWS(bibliotheek!$E$170:$E$179),FALSE)=1,1,IF(AB106&lt;&gt;"",AB106,HLOOKUP(IF(AB$80="",referentie_koeling,AB$80),toestellen_KOEL,ROWS(bibliotheek!$E$170:$E$179),FALSE)))</f>
        <v>1</v>
      </c>
      <c r="AC105" s="624">
        <f>IF(HLOOKUP(IF(AC$80="",referentie_warmtapwater,AC$80),toestellen_TAP,ROWS(bibliotheek!$E$136:$E$151),FALSE)=1,1,IF(AC106&lt;&gt;"",AC106,HLOOKUP(IF(AC$80="",referentie_warmtapwater,AC$80),toestellen_TAP,ROWS(bibliotheek!$E$136:$E$151),FALSE)))</f>
        <v>0.9</v>
      </c>
      <c r="AD105" s="152"/>
      <c r="AE105" s="152"/>
      <c r="AF105" s="152"/>
      <c r="AG105" s="152"/>
      <c r="AH105" s="152"/>
      <c r="AI105" s="152"/>
      <c r="AJ105" s="87"/>
      <c r="AK105" s="229"/>
      <c r="AL105" s="90"/>
      <c r="AM105" s="624">
        <f>IF(HLOOKUP(IF(AM$80="",referentie_verwarming,AM$80),toestellen_RV,ROWS(bibliotheek!$E$79:$E$94),FALSE)=1,1,IF(AM106&lt;&gt;"",AM106,HLOOKUP(IF(AM$80="",referentie_verwarming,AM$80),toestellen_RV,ROWS(bibliotheek!$E$79:$E$94),FALSE)))</f>
        <v>0.9</v>
      </c>
      <c r="AN105" s="624">
        <f>IF(HLOOKUP(IF(AN$80="",referentie_koeling,AN$80),toestellen_KOEL,ROWS(bibliotheek!$E$170:$E$179),FALSE)=1,1,IF(AN106&lt;&gt;"",AN106,HLOOKUP(IF(AN$80="",referentie_koeling,AN$80),toestellen_KOEL,ROWS(bibliotheek!$E$170:$E$179),FALSE)))</f>
        <v>1</v>
      </c>
      <c r="AO105" s="624">
        <f>IF(HLOOKUP(IF(AO$80="",referentie_warmtapwater,AO$80),toestellen_TAP,ROWS(bibliotheek!$E$136:$E$151),FALSE)=1,1,IF(AO106&lt;&gt;"",AO106,HLOOKUP(IF(AO$80="",referentie_warmtapwater,AO$80),toestellen_TAP,ROWS(bibliotheek!$E$136:$E$151),FALSE)))</f>
        <v>0.9</v>
      </c>
      <c r="AP105" s="152"/>
      <c r="AQ105" s="152"/>
      <c r="AR105" s="152"/>
      <c r="AS105" s="152"/>
      <c r="AT105" s="152"/>
      <c r="AU105" s="152"/>
      <c r="AV105" s="87"/>
      <c r="AW105" s="229"/>
      <c r="AX105" s="90"/>
      <c r="AY105" s="624">
        <f>IF(HLOOKUP(IF(AY$80="",referentie_verwarming,AY$80),toestellen_RV,ROWS(bibliotheek!$E$79:$E$94),FALSE)=1,1,IF(AY106&lt;&gt;"",AY106,HLOOKUP(IF(AY$80="",referentie_verwarming,AY$80),toestellen_RV,ROWS(bibliotheek!$E$79:$E$94),FALSE)))</f>
        <v>0.9</v>
      </c>
      <c r="AZ105" s="624">
        <f>IF(HLOOKUP(IF(AZ$80="",referentie_koeling,AZ$80),toestellen_KOEL,ROWS(bibliotheek!$E$170:$E$179),FALSE)=1,1,IF(AZ106&lt;&gt;"",AZ106,HLOOKUP(IF(AZ$80="",referentie_koeling,AZ$80),toestellen_KOEL,ROWS(bibliotheek!$E$170:$E$179),FALSE)))</f>
        <v>1</v>
      </c>
      <c r="BA105" s="624">
        <f>IF(HLOOKUP(IF(BA$80="",referentie_warmtapwater,BA$80),toestellen_TAP,ROWS(bibliotheek!$E$136:$E$151),FALSE)=1,1,IF(BA106&lt;&gt;"",BA106,HLOOKUP(IF(BA$80="",referentie_warmtapwater,BA$80),toestellen_TAP,ROWS(bibliotheek!$E$136:$E$151),FALSE)))</f>
        <v>0.9</v>
      </c>
      <c r="BB105" s="152"/>
      <c r="BC105" s="152"/>
      <c r="BD105" s="152"/>
      <c r="BE105" s="152"/>
      <c r="BF105" s="152"/>
      <c r="BG105" s="152"/>
      <c r="BH105" s="214"/>
    </row>
    <row r="106" spans="1:60" x14ac:dyDescent="0.2">
      <c r="A106" s="648"/>
      <c r="B106" s="492" t="s">
        <v>205</v>
      </c>
      <c r="C106" s="656" t="s">
        <v>127</v>
      </c>
      <c r="D106" s="747"/>
      <c r="E106" s="412" t="s">
        <v>212</v>
      </c>
      <c r="F106" s="317"/>
      <c r="G106" s="317"/>
      <c r="H106" s="355"/>
      <c r="I106" s="88"/>
      <c r="J106" s="362"/>
      <c r="K106" s="121"/>
      <c r="L106" s="121"/>
      <c r="M106" s="239"/>
      <c r="N106" s="90"/>
      <c r="O106" s="345"/>
      <c r="P106" s="345"/>
      <c r="Q106" s="345"/>
      <c r="R106" s="154"/>
      <c r="S106" s="154"/>
      <c r="T106" s="154"/>
      <c r="U106" s="154"/>
      <c r="V106" s="154"/>
      <c r="W106" s="154"/>
      <c r="X106" s="87"/>
      <c r="Y106" s="239"/>
      <c r="Z106" s="90"/>
      <c r="AA106" s="345"/>
      <c r="AB106" s="345"/>
      <c r="AC106" s="345"/>
      <c r="AD106" s="154"/>
      <c r="AE106" s="154"/>
      <c r="AF106" s="154"/>
      <c r="AG106" s="154"/>
      <c r="AH106" s="154"/>
      <c r="AI106" s="154"/>
      <c r="AJ106" s="87"/>
      <c r="AK106" s="239"/>
      <c r="AL106" s="90"/>
      <c r="AM106" s="345"/>
      <c r="AN106" s="345"/>
      <c r="AO106" s="345"/>
      <c r="AP106" s="154"/>
      <c r="AQ106" s="154"/>
      <c r="AR106" s="154"/>
      <c r="AS106" s="154"/>
      <c r="AT106" s="154"/>
      <c r="AU106" s="154"/>
      <c r="AV106" s="87"/>
      <c r="AW106" s="239"/>
      <c r="AX106" s="90"/>
      <c r="AY106" s="345"/>
      <c r="AZ106" s="345"/>
      <c r="BA106" s="345"/>
      <c r="BB106" s="154"/>
      <c r="BC106" s="154"/>
      <c r="BD106" s="154"/>
      <c r="BE106" s="154"/>
      <c r="BF106" s="154"/>
      <c r="BG106" s="154"/>
      <c r="BH106" s="265"/>
    </row>
    <row r="107" spans="1:60" hidden="1" x14ac:dyDescent="0.2">
      <c r="A107" s="650"/>
      <c r="B107" s="492" t="s">
        <v>205</v>
      </c>
      <c r="C107" s="740" t="s">
        <v>199</v>
      </c>
      <c r="D107" s="752"/>
      <c r="E107" s="242" t="s">
        <v>213</v>
      </c>
      <c r="F107" s="298"/>
      <c r="G107" s="298"/>
      <c r="H107" s="242" t="s">
        <v>177</v>
      </c>
      <c r="I107" s="121"/>
      <c r="J107" s="243">
        <f>M107+Y107+AK107+AW107</f>
        <v>0</v>
      </c>
      <c r="K107" s="293"/>
      <c r="L107" s="293"/>
      <c r="M107" s="243">
        <f>SUM(O107:X107)</f>
        <v>0</v>
      </c>
      <c r="N107" s="294"/>
      <c r="O107" s="207">
        <f>O$94*O105</f>
        <v>0</v>
      </c>
      <c r="P107" s="207">
        <f>P$94*P105</f>
        <v>0</v>
      </c>
      <c r="Q107" s="207">
        <f>Q$94*Q105</f>
        <v>0</v>
      </c>
      <c r="R107" s="147"/>
      <c r="S107" s="147"/>
      <c r="T107" s="147"/>
      <c r="U107" s="147"/>
      <c r="V107" s="147"/>
      <c r="W107" s="147"/>
      <c r="X107" s="125"/>
      <c r="Y107" s="243">
        <f>SUM(AA107:AJ107)</f>
        <v>0</v>
      </c>
      <c r="Z107" s="294"/>
      <c r="AA107" s="207">
        <f>AA$94*AA105</f>
        <v>0</v>
      </c>
      <c r="AB107" s="207">
        <f>AB$94*AB105</f>
        <v>0</v>
      </c>
      <c r="AC107" s="207">
        <f>AC$94*AC105</f>
        <v>0</v>
      </c>
      <c r="AD107" s="147"/>
      <c r="AE107" s="147"/>
      <c r="AF107" s="147"/>
      <c r="AG107" s="147"/>
      <c r="AH107" s="147"/>
      <c r="AI107" s="147"/>
      <c r="AJ107" s="125"/>
      <c r="AK107" s="243">
        <f>SUM(AM107:AV107)</f>
        <v>0</v>
      </c>
      <c r="AL107" s="294"/>
      <c r="AM107" s="207">
        <f>AM$94*AM105</f>
        <v>0</v>
      </c>
      <c r="AN107" s="207">
        <f>AN$94*AN105</f>
        <v>0</v>
      </c>
      <c r="AO107" s="207">
        <f>AO$94*AO105</f>
        <v>0</v>
      </c>
      <c r="AP107" s="147"/>
      <c r="AQ107" s="147"/>
      <c r="AR107" s="147"/>
      <c r="AS107" s="147"/>
      <c r="AT107" s="147"/>
      <c r="AU107" s="147"/>
      <c r="AV107" s="125"/>
      <c r="AW107" s="243">
        <f>SUM(AY107:BH107)</f>
        <v>0</v>
      </c>
      <c r="AX107" s="294"/>
      <c r="AY107" s="207">
        <f>AY$94*AY105</f>
        <v>0</v>
      </c>
      <c r="AZ107" s="207">
        <f>AZ$94*AZ105</f>
        <v>0</v>
      </c>
      <c r="BA107" s="207">
        <f>BA$94*BA105</f>
        <v>0</v>
      </c>
      <c r="BB107" s="147"/>
      <c r="BC107" s="147"/>
      <c r="BD107" s="147"/>
      <c r="BE107" s="147"/>
      <c r="BF107" s="147"/>
      <c r="BG107" s="147"/>
      <c r="BH107" s="214"/>
    </row>
    <row r="108" spans="1:60" x14ac:dyDescent="0.2">
      <c r="A108" s="648"/>
      <c r="B108" s="492" t="s">
        <v>205</v>
      </c>
      <c r="C108" s="656" t="s">
        <v>127</v>
      </c>
      <c r="D108" s="750" t="s">
        <v>50</v>
      </c>
      <c r="E108" s="354" t="s">
        <v>214</v>
      </c>
      <c r="F108" s="316"/>
      <c r="G108" s="316"/>
      <c r="H108" s="354" t="s">
        <v>70</v>
      </c>
      <c r="I108" s="88"/>
      <c r="J108" s="351"/>
      <c r="K108" s="296"/>
      <c r="L108" s="296"/>
      <c r="M108" s="351"/>
      <c r="N108" s="297"/>
      <c r="O108" s="445">
        <f>IF(O109&lt;&gt;"",O109,HLOOKUP(IF(O$80="",referentie_verwarming,O$80),toestellen_RV,ROWS(bibliotheek!$E$79:$E$95),FALSE))</f>
        <v>4.55</v>
      </c>
      <c r="P108" s="445">
        <f>IF(P109&lt;&gt;"",P109,HLOOKUP(IF(P$80="",referentie_koeling,P$80),toestellen_KOEL,ROWS(bibliotheek!$E$170:$E$180),FALSE))</f>
        <v>0</v>
      </c>
      <c r="Q108" s="445">
        <f>IF(Q109&lt;&gt;"",Q109,HLOOKUP(IF(Q$80="",referentie_warmtapwater,Q$80),toestellen_TAP,ROWS(bibliotheek!$E$136:$E$152),FALSE))</f>
        <v>2.4</v>
      </c>
      <c r="R108" s="158"/>
      <c r="S108" s="158"/>
      <c r="T108" s="158"/>
      <c r="U108" s="158"/>
      <c r="V108" s="158"/>
      <c r="W108" s="158"/>
      <c r="X108" s="414"/>
      <c r="Y108" s="351"/>
      <c r="Z108" s="297"/>
      <c r="AA108" s="445">
        <f>IF(AA109&lt;&gt;"",AA109,HLOOKUP(IF(AA$80="",referentie_verwarming,AA$80),toestellen_RV,ROWS(bibliotheek!$E$79:$E$95),FALSE))</f>
        <v>4.55</v>
      </c>
      <c r="AB108" s="445">
        <f>IF(AB109&lt;&gt;"",AB109,HLOOKUP(IF(AB$80="",referentie_koeling,AB$80),toestellen_KOEL,ROWS(bibliotheek!$E$170:$E$180),FALSE))</f>
        <v>0</v>
      </c>
      <c r="AC108" s="445">
        <f>IF(AC109&lt;&gt;"",AC109,HLOOKUP(IF(AC$80="",referentie_warmtapwater,AC$80),toestellen_TAP,ROWS(bibliotheek!$E$136:$E$152),FALSE))</f>
        <v>2.4</v>
      </c>
      <c r="AD108" s="158"/>
      <c r="AE108" s="158"/>
      <c r="AF108" s="158"/>
      <c r="AG108" s="158"/>
      <c r="AH108" s="158"/>
      <c r="AI108" s="158"/>
      <c r="AJ108" s="414"/>
      <c r="AK108" s="351"/>
      <c r="AL108" s="297"/>
      <c r="AM108" s="445">
        <f>IF(AM109&lt;&gt;"",AM109,HLOOKUP(IF(AM$80="",referentie_verwarming,AM$80),toestellen_RV,ROWS(bibliotheek!$E$79:$E$95),FALSE))</f>
        <v>4.55</v>
      </c>
      <c r="AN108" s="445">
        <f>IF(AN109&lt;&gt;"",AN109,HLOOKUP(IF(AN$80="",referentie_koeling,AN$80),toestellen_KOEL,ROWS(bibliotheek!$E$170:$E$180),FALSE))</f>
        <v>0</v>
      </c>
      <c r="AO108" s="445">
        <f>IF(AO109&lt;&gt;"",AO109,HLOOKUP(IF(AO$80="",referentie_warmtapwater,AO$80),toestellen_TAP,ROWS(bibliotheek!$E$136:$E$152),FALSE))</f>
        <v>2.4</v>
      </c>
      <c r="AP108" s="158"/>
      <c r="AQ108" s="158"/>
      <c r="AR108" s="158"/>
      <c r="AS108" s="158"/>
      <c r="AT108" s="158"/>
      <c r="AU108" s="158"/>
      <c r="AV108" s="414"/>
      <c r="AW108" s="351"/>
      <c r="AX108" s="297"/>
      <c r="AY108" s="445">
        <f>IF(AY109&lt;&gt;"",AY109,HLOOKUP(IF(AY$80="",referentie_verwarming,AY$80),toestellen_RV,ROWS(bibliotheek!$E$79:$E$95),FALSE))</f>
        <v>4.55</v>
      </c>
      <c r="AZ108" s="445">
        <f>IF(AZ109&lt;&gt;"",AZ109,HLOOKUP(IF(AZ$80="",referentie_koeling,AZ$80),toestellen_KOEL,ROWS(bibliotheek!$E$170:$E$180),FALSE))</f>
        <v>0</v>
      </c>
      <c r="BA108" s="445">
        <f>IF(BA109&lt;&gt;"",BA109,HLOOKUP(IF(BA$80="",referentie_warmtapwater,BA$80),toestellen_TAP,ROWS(bibliotheek!$E$136:$E$152),FALSE))</f>
        <v>2.4</v>
      </c>
      <c r="BB108" s="158"/>
      <c r="BC108" s="158"/>
      <c r="BD108" s="158"/>
      <c r="BE108" s="158"/>
      <c r="BF108" s="158"/>
      <c r="BG108" s="158"/>
      <c r="BH108" s="214"/>
    </row>
    <row r="109" spans="1:60" x14ac:dyDescent="0.2">
      <c r="A109" s="648"/>
      <c r="B109" s="492" t="s">
        <v>205</v>
      </c>
      <c r="C109" s="656" t="s">
        <v>127</v>
      </c>
      <c r="D109" s="747"/>
      <c r="E109" s="412" t="s">
        <v>215</v>
      </c>
      <c r="F109" s="355"/>
      <c r="G109" s="355"/>
      <c r="H109" s="355"/>
      <c r="I109" s="88"/>
      <c r="J109" s="362"/>
      <c r="K109" s="296"/>
      <c r="L109" s="296"/>
      <c r="M109" s="239"/>
      <c r="N109" s="297"/>
      <c r="O109" s="420"/>
      <c r="P109" s="420"/>
      <c r="Q109" s="420"/>
      <c r="R109" s="483"/>
      <c r="S109" s="483"/>
      <c r="T109" s="483"/>
      <c r="U109" s="483"/>
      <c r="V109" s="483"/>
      <c r="W109" s="483"/>
      <c r="X109" s="448"/>
      <c r="Y109" s="239"/>
      <c r="Z109" s="297"/>
      <c r="AA109" s="420"/>
      <c r="AB109" s="420"/>
      <c r="AC109" s="420"/>
      <c r="AD109" s="483"/>
      <c r="AE109" s="483"/>
      <c r="AF109" s="483"/>
      <c r="AG109" s="483"/>
      <c r="AH109" s="483"/>
      <c r="AI109" s="483"/>
      <c r="AJ109" s="448"/>
      <c r="AK109" s="239"/>
      <c r="AL109" s="297"/>
      <c r="AM109" s="420"/>
      <c r="AN109" s="420"/>
      <c r="AO109" s="420"/>
      <c r="AP109" s="483"/>
      <c r="AQ109" s="483"/>
      <c r="AR109" s="483"/>
      <c r="AS109" s="483"/>
      <c r="AT109" s="483"/>
      <c r="AU109" s="483"/>
      <c r="AV109" s="448"/>
      <c r="AW109" s="239"/>
      <c r="AX109" s="297"/>
      <c r="AY109" s="420"/>
      <c r="AZ109" s="420"/>
      <c r="BA109" s="420"/>
      <c r="BB109" s="483"/>
      <c r="BC109" s="483"/>
      <c r="BD109" s="483"/>
      <c r="BE109" s="483"/>
      <c r="BF109" s="483"/>
      <c r="BG109" s="483"/>
      <c r="BH109" s="265"/>
    </row>
    <row r="110" spans="1:60" hidden="1" x14ac:dyDescent="0.2">
      <c r="A110" s="648"/>
      <c r="B110" s="492" t="s">
        <v>205</v>
      </c>
      <c r="C110" s="656" t="s">
        <v>199</v>
      </c>
      <c r="D110" s="750" t="s">
        <v>50</v>
      </c>
      <c r="E110" s="221" t="s">
        <v>216</v>
      </c>
      <c r="F110" s="220"/>
      <c r="G110" s="220"/>
      <c r="H110" s="221" t="s">
        <v>70</v>
      </c>
      <c r="I110" s="88"/>
      <c r="J110" s="230"/>
      <c r="K110" s="121"/>
      <c r="L110" s="121"/>
      <c r="M110" s="230"/>
      <c r="N110" s="90"/>
      <c r="O110" s="273">
        <f>INDEX(installaties_RV_verlies_elek_prod_aftapwarmte,MATCH(IF(O101="",referentie_verwarming,O101),toestellen_RV_kopregel,0))</f>
        <v>0</v>
      </c>
      <c r="P110" s="720"/>
      <c r="Q110" s="273">
        <f>INDEX(installaties_TAP_verlies_elek_prod_aftapwarmte,MATCH(IF(Q101="",referentie_verwarming,Q101),toestellen_TAP_kopregel,0))</f>
        <v>0</v>
      </c>
      <c r="R110" s="720"/>
      <c r="S110" s="720"/>
      <c r="T110" s="720"/>
      <c r="U110" s="720"/>
      <c r="V110" s="720"/>
      <c r="W110" s="720"/>
      <c r="X110" s="721"/>
      <c r="Y110" s="423"/>
      <c r="Z110" s="722"/>
      <c r="AA110" s="273">
        <f>INDEX(installaties_RV_verlies_elek_prod_aftapwarmte,MATCH(IF(AA101="",referentie_verwarming,AA101),toestellen_RV_kopregel,0))</f>
        <v>0</v>
      </c>
      <c r="AB110" s="720"/>
      <c r="AC110" s="273">
        <f>INDEX(installaties_TAP_verlies_elek_prod_aftapwarmte,MATCH(IF(AC101="",referentie_verwarming,AC101),toestellen_TAP_kopregel,0))</f>
        <v>0</v>
      </c>
      <c r="AD110" s="720"/>
      <c r="AE110" s="720"/>
      <c r="AF110" s="720"/>
      <c r="AG110" s="720"/>
      <c r="AH110" s="720"/>
      <c r="AI110" s="720"/>
      <c r="AJ110" s="721"/>
      <c r="AK110" s="423"/>
      <c r="AL110" s="722"/>
      <c r="AM110" s="273">
        <f>INDEX(installaties_RV_verlies_elek_prod_aftapwarmte,MATCH(IF(AM101="",referentie_verwarming,AM101),toestellen_RV_kopregel,0))</f>
        <v>0</v>
      </c>
      <c r="AN110" s="720"/>
      <c r="AO110" s="273">
        <f>INDEX(installaties_TAP_verlies_elek_prod_aftapwarmte,MATCH(IF(AO101="",referentie_verwarming,AO101),toestellen_TAP_kopregel,0))</f>
        <v>0</v>
      </c>
      <c r="AP110" s="720"/>
      <c r="AQ110" s="720"/>
      <c r="AR110" s="720"/>
      <c r="AS110" s="720"/>
      <c r="AT110" s="720"/>
      <c r="AU110" s="720"/>
      <c r="AV110" s="721"/>
      <c r="AW110" s="423"/>
      <c r="AX110" s="722"/>
      <c r="AY110" s="273">
        <f>INDEX(installaties_RV_verlies_elek_prod_aftapwarmte,MATCH(IF(AY101="",referentie_verwarming,AY101),toestellen_RV_kopregel,0))</f>
        <v>0</v>
      </c>
      <c r="AZ110" s="720"/>
      <c r="BA110" s="273">
        <f>INDEX(installaties_TAP_verlies_elek_prod_aftapwarmte,MATCH(IF(BA101="",referentie_verwarming,BA101),toestellen_TAP_kopregel,0))</f>
        <v>0</v>
      </c>
      <c r="BB110" s="148"/>
      <c r="BC110" s="148"/>
      <c r="BD110" s="148"/>
      <c r="BE110" s="148"/>
      <c r="BF110" s="148"/>
      <c r="BG110" s="148"/>
      <c r="BH110" s="255"/>
    </row>
    <row r="111" spans="1:60" hidden="1" x14ac:dyDescent="0.2">
      <c r="A111" s="648"/>
      <c r="B111" s="492" t="s">
        <v>205</v>
      </c>
      <c r="C111" s="656" t="s">
        <v>199</v>
      </c>
      <c r="D111" s="747"/>
      <c r="E111" s="221" t="s">
        <v>217</v>
      </c>
      <c r="F111" s="220"/>
      <c r="G111" s="220"/>
      <c r="H111" s="221" t="s">
        <v>70</v>
      </c>
      <c r="I111" s="88"/>
      <c r="J111" s="230"/>
      <c r="K111" s="121"/>
      <c r="L111" s="121"/>
      <c r="M111" s="230"/>
      <c r="N111" s="90"/>
      <c r="O111" s="273">
        <f>HLOOKUP(IF(O$80="",referentie_verwarming,O$80),toestellen_RV,ROWS(bibliotheek!$E$79:$E$96),FALSE)</f>
        <v>0</v>
      </c>
      <c r="P111" s="720"/>
      <c r="Q111" s="273">
        <f>HLOOKUP(IF(Q$80="",referentie_warmtapwater,Q$80),toestellen_TAP,ROWS(bibliotheek!$E$136:$E$153),FALSE)</f>
        <v>0</v>
      </c>
      <c r="R111" s="720"/>
      <c r="S111" s="720"/>
      <c r="T111" s="720"/>
      <c r="U111" s="720"/>
      <c r="V111" s="720"/>
      <c r="W111" s="720"/>
      <c r="X111" s="721"/>
      <c r="Y111" s="423"/>
      <c r="Z111" s="722"/>
      <c r="AA111" s="273">
        <f>HLOOKUP(IF(AA$80="",referentie_verwarming,AA$80),toestellen_RV,ROWS(bibliotheek!$E$79:$E$96),FALSE)</f>
        <v>0</v>
      </c>
      <c r="AB111" s="720"/>
      <c r="AC111" s="273">
        <f>HLOOKUP(IF(AC$80="",referentie_warmtapwater,AC$80),toestellen_TAP,ROWS(bibliotheek!$E$136:$E$153),FALSE)</f>
        <v>0</v>
      </c>
      <c r="AD111" s="720"/>
      <c r="AE111" s="720"/>
      <c r="AF111" s="720"/>
      <c r="AG111" s="720"/>
      <c r="AH111" s="720"/>
      <c r="AI111" s="720"/>
      <c r="AJ111" s="721"/>
      <c r="AK111" s="423"/>
      <c r="AL111" s="722"/>
      <c r="AM111" s="273">
        <f>HLOOKUP(IF(AM$80="",referentie_verwarming,AM$80),toestellen_RV,ROWS(bibliotheek!$E$79:$E$96),FALSE)</f>
        <v>0</v>
      </c>
      <c r="AN111" s="720"/>
      <c r="AO111" s="273">
        <f>HLOOKUP(IF(AO$80="",referentie_warmtapwater,AO$80),toestellen_TAP,ROWS(bibliotheek!$E$136:$E$153),FALSE)</f>
        <v>0</v>
      </c>
      <c r="AP111" s="720"/>
      <c r="AQ111" s="720"/>
      <c r="AR111" s="720"/>
      <c r="AS111" s="720"/>
      <c r="AT111" s="720"/>
      <c r="AU111" s="720"/>
      <c r="AV111" s="721"/>
      <c r="AW111" s="423"/>
      <c r="AX111" s="722"/>
      <c r="AY111" s="273">
        <f>HLOOKUP(IF(AY$80="",referentie_verwarming,AY$80),toestellen_RV,ROWS(bibliotheek!$E$79:$E$96),FALSE)</f>
        <v>0</v>
      </c>
      <c r="AZ111" s="720"/>
      <c r="BA111" s="273">
        <f>HLOOKUP(IF(BA$80="",referentie_warmtapwater,BA$80),toestellen_TAP,ROWS(bibliotheek!$E$136:$E$153),FALSE)</f>
        <v>0</v>
      </c>
      <c r="BB111" s="148"/>
      <c r="BC111" s="148"/>
      <c r="BD111" s="148"/>
      <c r="BE111" s="148"/>
      <c r="BF111" s="148"/>
      <c r="BG111" s="148"/>
      <c r="BH111" s="255"/>
    </row>
    <row r="112" spans="1:60" hidden="1" x14ac:dyDescent="0.2">
      <c r="A112" s="648"/>
      <c r="B112" s="492" t="s">
        <v>205</v>
      </c>
      <c r="C112" s="656" t="s">
        <v>199</v>
      </c>
      <c r="D112" s="747"/>
      <c r="E112" s="221" t="s">
        <v>218</v>
      </c>
      <c r="F112" s="220"/>
      <c r="G112" s="220"/>
      <c r="H112" s="221" t="s">
        <v>177</v>
      </c>
      <c r="I112" s="88"/>
      <c r="J112" s="243">
        <f>M112+Y112+AK112+AW112</f>
        <v>0</v>
      </c>
      <c r="K112" s="293"/>
      <c r="L112" s="293"/>
      <c r="M112" s="243">
        <f>SUM(O112:X112)</f>
        <v>0</v>
      </c>
      <c r="N112" s="294"/>
      <c r="O112" s="207">
        <f>IF(HLOOKUP(IF(O$80="",referentie_verwarming,O$80),toestellen_RV,ROWS(bibliotheek!$E$79:$E$84),FALSE)=1,O$94*O$105*((O$108-1)/O$108),0)</f>
        <v>0</v>
      </c>
      <c r="P112" s="207">
        <f>IF(HLOOKUP(IF(P$80="",referentie_koeling,P$80),toestellen_KOEL,ROWS(bibliotheek!$E$170:$E$174),FALSE)=1,P$94*P$105*((P$108-1)/P$108),0)</f>
        <v>0</v>
      </c>
      <c r="Q112" s="207">
        <f>IF(HLOOKUP(IF(Q$80="",referentie_warmtapwater,Q$80),toestellen_TAP,ROWS(bibliotheek!$E$136:$E$141),FALSE)=1,Q$94*Q$105*((Q$108-1)/Q$108),0)</f>
        <v>0</v>
      </c>
      <c r="R112" s="147"/>
      <c r="S112" s="147"/>
      <c r="T112" s="147"/>
      <c r="U112" s="147"/>
      <c r="V112" s="147"/>
      <c r="W112" s="147"/>
      <c r="X112" s="125"/>
      <c r="Y112" s="243">
        <f>SUM(AA112:AJ112)</f>
        <v>0</v>
      </c>
      <c r="Z112" s="294"/>
      <c r="AA112" s="207">
        <f>IF(HLOOKUP(IF(AA$80="",referentie_verwarming,AA$80),toestellen_RV,ROWS(bibliotheek!$E$79:$E$84),FALSE)=1,AA$94*AA$105*((AA$108-1)/AA$108),0)</f>
        <v>0</v>
      </c>
      <c r="AB112" s="207">
        <f>IF(HLOOKUP(IF(AB$80="",referentie_koeling,AB$80),toestellen_KOEL,ROWS(bibliotheek!$E$170:$E$174),FALSE)=1,AB$94*AB$105*((AB$108-1)/AB$108),0)</f>
        <v>0</v>
      </c>
      <c r="AC112" s="207">
        <f>IF(HLOOKUP(IF(AC$80="",referentie_warmtapwater,AC$80),toestellen_TAP,ROWS(bibliotheek!$E$136:$E$141),FALSE)=1,AC$94*AC$105*((AC$108-1)/AC$108),0)</f>
        <v>0</v>
      </c>
      <c r="AD112" s="147"/>
      <c r="AE112" s="147"/>
      <c r="AF112" s="147"/>
      <c r="AG112" s="147"/>
      <c r="AH112" s="147"/>
      <c r="AI112" s="147"/>
      <c r="AJ112" s="125"/>
      <c r="AK112" s="243">
        <f>SUM(AM112:AV112)</f>
        <v>0</v>
      </c>
      <c r="AL112" s="294"/>
      <c r="AM112" s="207">
        <f>IF(HLOOKUP(IF(AM$80="",referentie_verwarming,AM$80),toestellen_RV,ROWS(bibliotheek!$E$79:$E$84),FALSE)=1,AM$94*AM$105*((AM$108-1)/AM$108),0)</f>
        <v>0</v>
      </c>
      <c r="AN112" s="207">
        <f>IF(HLOOKUP(IF(AN$80="",referentie_koeling,AN$80),toestellen_KOEL,ROWS(bibliotheek!$E$170:$E$174),FALSE)=1,AN$94*AN$105*((AN$108-1)/AN$108),0)</f>
        <v>0</v>
      </c>
      <c r="AO112" s="207">
        <f>IF(HLOOKUP(IF(AO$80="",referentie_warmtapwater,AO$80),toestellen_TAP,ROWS(bibliotheek!$E$136:$E$141),FALSE)=1,AO$94*AO$105*((AO$108-1)/AO$108),0)</f>
        <v>0</v>
      </c>
      <c r="AP112" s="147"/>
      <c r="AQ112" s="147"/>
      <c r="AR112" s="147"/>
      <c r="AS112" s="147"/>
      <c r="AT112" s="147"/>
      <c r="AU112" s="147"/>
      <c r="AV112" s="125"/>
      <c r="AW112" s="243">
        <f>SUM(AY112:BH112)</f>
        <v>0</v>
      </c>
      <c r="AX112" s="294"/>
      <c r="AY112" s="207">
        <f>IF(HLOOKUP(IF(AY$80="",referentie_verwarming,AY$80),toestellen_RV,ROWS(bibliotheek!$E$79:$E$84),FALSE)=1,AY$94*AY$105*((AY$108-1)/AY$108),0)</f>
        <v>0</v>
      </c>
      <c r="AZ112" s="207">
        <f>IF(HLOOKUP(IF(AZ$80="",referentie_koeling,AZ$80),toestellen_KOEL,ROWS(bibliotheek!$E$170:$E$174),FALSE)=1,AZ$94*AZ$105*((AZ$108-1)/AZ$108),0)</f>
        <v>0</v>
      </c>
      <c r="BA112" s="207">
        <f>IF(HLOOKUP(IF(BA$80="",referentie_warmtapwater,BA$80),toestellen_TAP,ROWS(bibliotheek!$E$136:$E$141),FALSE)=1,BA$94*BA$105*((BA$108-1)/BA$108),0)</f>
        <v>0</v>
      </c>
      <c r="BB112" s="147"/>
      <c r="BC112" s="147"/>
      <c r="BD112" s="147"/>
      <c r="BE112" s="147"/>
      <c r="BF112" s="147"/>
      <c r="BG112" s="147"/>
      <c r="BH112" s="255"/>
    </row>
    <row r="113" spans="1:60" hidden="1" x14ac:dyDescent="0.2">
      <c r="A113" s="648"/>
      <c r="B113" s="492" t="s">
        <v>205</v>
      </c>
      <c r="C113" s="656" t="s">
        <v>199</v>
      </c>
      <c r="D113" s="747"/>
      <c r="E113" s="221" t="s">
        <v>219</v>
      </c>
      <c r="F113" s="220"/>
      <c r="G113" s="220"/>
      <c r="H113" s="221" t="s">
        <v>220</v>
      </c>
      <c r="I113" s="88"/>
      <c r="J113" s="243">
        <f>M113+Y113+AK113+AW113</f>
        <v>0</v>
      </c>
      <c r="K113" s="293"/>
      <c r="L113" s="293"/>
      <c r="M113" s="243">
        <f>SUM(O113:X113)</f>
        <v>0</v>
      </c>
      <c r="N113" s="294"/>
      <c r="O113" s="207">
        <f>IF(O$108=0,0,O$107/O$108)</f>
        <v>0</v>
      </c>
      <c r="P113" s="207">
        <f>IF(P$108=0,0,P$107/P$108)</f>
        <v>0</v>
      </c>
      <c r="Q113" s="207">
        <f>IF(Q$108=0,0,Q$107/Q$108)</f>
        <v>0</v>
      </c>
      <c r="R113" s="147"/>
      <c r="S113" s="147"/>
      <c r="T113" s="147"/>
      <c r="U113" s="147"/>
      <c r="V113" s="147"/>
      <c r="W113" s="147"/>
      <c r="X113" s="125"/>
      <c r="Y113" s="243">
        <f>SUM(AA113:AJ113)</f>
        <v>0</v>
      </c>
      <c r="Z113" s="294"/>
      <c r="AA113" s="207">
        <f>IF(AA$108=0,0,AA$107/AA$108)</f>
        <v>0</v>
      </c>
      <c r="AB113" s="207">
        <f>IF(AB$108=0,0,AB$107/AB$108)</f>
        <v>0</v>
      </c>
      <c r="AC113" s="207">
        <f>IF(AC$108=0,0,AC$107/AC$108)</f>
        <v>0</v>
      </c>
      <c r="AD113" s="147"/>
      <c r="AE113" s="147"/>
      <c r="AF113" s="147"/>
      <c r="AG113" s="147"/>
      <c r="AH113" s="147"/>
      <c r="AI113" s="147"/>
      <c r="AJ113" s="125"/>
      <c r="AK113" s="243">
        <f>SUM(AM113:AV113)</f>
        <v>0</v>
      </c>
      <c r="AL113" s="294"/>
      <c r="AM113" s="207">
        <f>IF(AM$108=0,0,AM$107/AM$108)</f>
        <v>0</v>
      </c>
      <c r="AN113" s="207">
        <f>IF(AN$108=0,0,AN$107/AN$108)</f>
        <v>0</v>
      </c>
      <c r="AO113" s="207">
        <f>IF(AO$108=0,0,AO$107/AO$108)</f>
        <v>0</v>
      </c>
      <c r="AP113" s="147"/>
      <c r="AQ113" s="147"/>
      <c r="AR113" s="147"/>
      <c r="AS113" s="147"/>
      <c r="AT113" s="147"/>
      <c r="AU113" s="147"/>
      <c r="AV113" s="125"/>
      <c r="AW113" s="243">
        <f>SUM(AY113:BH113)</f>
        <v>0</v>
      </c>
      <c r="AX113" s="294"/>
      <c r="AY113" s="207">
        <f>IF(AY$108=0,0,AY$107/AY$108)</f>
        <v>0</v>
      </c>
      <c r="AZ113" s="207">
        <f>IF(AZ$108=0,0,AZ$107/AZ$108)</f>
        <v>0</v>
      </c>
      <c r="BA113" s="207">
        <f>IF(BA$108=0,0,BA$107/BA$108)</f>
        <v>0</v>
      </c>
      <c r="BB113" s="147"/>
      <c r="BC113" s="147"/>
      <c r="BD113" s="147"/>
      <c r="BE113" s="147"/>
      <c r="BF113" s="147"/>
      <c r="BG113" s="147"/>
      <c r="BH113" s="255"/>
    </row>
    <row r="114" spans="1:60" ht="18.75" x14ac:dyDescent="0.2">
      <c r="A114" s="648"/>
      <c r="B114" s="492" t="s">
        <v>205</v>
      </c>
      <c r="C114" s="739" t="s">
        <v>104</v>
      </c>
      <c r="D114" s="750"/>
      <c r="E114" s="144" t="s">
        <v>114</v>
      </c>
      <c r="F114" s="160"/>
      <c r="G114" s="160"/>
      <c r="H114" s="161"/>
      <c r="I114" s="162"/>
      <c r="J114" s="163"/>
      <c r="K114" s="164"/>
      <c r="L114" s="164"/>
      <c r="M114" s="163"/>
      <c r="N114" s="163"/>
      <c r="O114" s="836"/>
      <c r="P114" s="163"/>
      <c r="Q114" s="163"/>
      <c r="R114" s="163"/>
      <c r="S114" s="163"/>
      <c r="T114" s="163"/>
      <c r="U114" s="163"/>
      <c r="V114" s="163"/>
      <c r="W114" s="163"/>
      <c r="X114" s="165"/>
      <c r="Y114" s="163"/>
      <c r="Z114" s="163"/>
      <c r="AA114" s="836"/>
      <c r="AB114" s="163"/>
      <c r="AC114" s="163"/>
      <c r="AD114" s="163"/>
      <c r="AE114" s="163"/>
      <c r="AF114" s="163"/>
      <c r="AG114" s="163"/>
      <c r="AH114" s="163"/>
      <c r="AI114" s="163"/>
      <c r="AJ114" s="165"/>
      <c r="AK114" s="163"/>
      <c r="AL114" s="163"/>
      <c r="AM114" s="836"/>
      <c r="AN114" s="163"/>
      <c r="AO114" s="163"/>
      <c r="AP114" s="163"/>
      <c r="AQ114" s="163"/>
      <c r="AR114" s="163"/>
      <c r="AS114" s="163"/>
      <c r="AT114" s="163"/>
      <c r="AU114" s="163"/>
      <c r="AV114" s="165"/>
      <c r="AW114" s="163"/>
      <c r="AX114" s="163"/>
      <c r="AY114" s="163"/>
      <c r="AZ114" s="163"/>
      <c r="BA114" s="163"/>
      <c r="BB114" s="163"/>
      <c r="BC114" s="163"/>
      <c r="BD114" s="163"/>
      <c r="BE114" s="163"/>
      <c r="BF114" s="163"/>
      <c r="BG114" s="163"/>
      <c r="BH114" s="263"/>
    </row>
    <row r="115" spans="1:60" hidden="1" x14ac:dyDescent="0.2">
      <c r="A115" s="648"/>
      <c r="B115" s="492" t="s">
        <v>205</v>
      </c>
      <c r="C115" s="656" t="s">
        <v>221</v>
      </c>
      <c r="D115" s="750" t="s">
        <v>50</v>
      </c>
      <c r="E115" s="356" t="s">
        <v>222</v>
      </c>
      <c r="F115" s="316"/>
      <c r="G115" s="316"/>
      <c r="H115" s="354" t="s">
        <v>223</v>
      </c>
      <c r="I115" s="88"/>
      <c r="J115" s="229"/>
      <c r="K115" s="121"/>
      <c r="L115" s="121"/>
      <c r="M115" s="229"/>
      <c r="N115" s="90"/>
      <c r="O115" s="445">
        <f>IF(O116&lt;&gt;"",O116,
IF(O$102=elektriciteit,$G$5,
INDEX(energiedragers_primaire_energiefactor,MATCH(O102,energiedragers_kopregel,0))
*IF(O110=0,1,
$G$5*INDEX(installaties_RV_verlies_elek_prod_aftapwarmte,MATCH(O101,toestellen_RV_kopregel,0)))))</f>
        <v>1.45</v>
      </c>
      <c r="P115" s="445">
        <f>IF(P116&lt;&gt;"",P116,IF(HLOOKUP(P102,ENERGIEDRAGERS,ROWS(bibliotheek!$E$221:$E$222),FALSE)=0,$G$5,HLOOKUP(P102,ENERGIEDRAGERS,ROWS(bibliotheek!$E$221:$E$223),FALSE)))</f>
        <v>1.45</v>
      </c>
      <c r="Q115" s="445">
        <f>IF(Q116&lt;&gt;"",Q116,
IF(Q$102=elektriciteit,$G$5,
INDEX(energiedragers_primaire_energiefactor,MATCH(Q102,energiedragers_kopregel,0))
*IF(Q110=0,1,
$G$5*INDEX(installaties_TAP_verlies_elek_prod_aftapwarmte,MATCH(Q101,toestellen_TAP_kopregel,0)))))</f>
        <v>1.45</v>
      </c>
      <c r="R115" s="158"/>
      <c r="S115" s="158"/>
      <c r="T115" s="158"/>
      <c r="U115" s="158"/>
      <c r="V115" s="158"/>
      <c r="W115" s="158"/>
      <c r="X115" s="414"/>
      <c r="Y115" s="352"/>
      <c r="Z115" s="722"/>
      <c r="AA115" s="445">
        <f>IF(AA116&lt;&gt;"",AA116,
IF(AA$102=elektriciteit,$G$5,
INDEX(energiedragers_primaire_energiefactor,MATCH(AA102,energiedragers_kopregel,0))
*IF(AA110=0,1,
$G$5*INDEX(installaties_RV_verlies_elek_prod_aftapwarmte,MATCH(AA101,toestellen_RV_kopregel,0)))))</f>
        <v>1.45</v>
      </c>
      <c r="AB115" s="445">
        <f>IF(AB116&lt;&gt;"",AB116,IF(HLOOKUP(AB102,ENERGIEDRAGERS,ROWS(bibliotheek!$E$221:$E$222),FALSE)=0,$G$5,HLOOKUP(AB102,ENERGIEDRAGERS,ROWS(bibliotheek!$E$221:$E$223),FALSE)))</f>
        <v>1.45</v>
      </c>
      <c r="AC115" s="445">
        <f>IF(AC116&lt;&gt;"",AC116,
IF(AC$102=elektriciteit,$G$5,
INDEX(energiedragers_primaire_energiefactor,MATCH(AC102,energiedragers_kopregel,0))
*IF(AC110=0,1,
$G$5*INDEX(installaties_TAP_verlies_elek_prod_aftapwarmte,MATCH(AC101,toestellen_TAP_kopregel,0)))))</f>
        <v>1.45</v>
      </c>
      <c r="AD115" s="158"/>
      <c r="AE115" s="158"/>
      <c r="AF115" s="158"/>
      <c r="AG115" s="158"/>
      <c r="AH115" s="158"/>
      <c r="AI115" s="158"/>
      <c r="AJ115" s="414"/>
      <c r="AK115" s="352"/>
      <c r="AL115" s="722"/>
      <c r="AM115" s="445">
        <f>IF(AM116&lt;&gt;"",AM116,
IF(AM$102=elektriciteit,$G$5,
INDEX(energiedragers_primaire_energiefactor,MATCH(AM102,energiedragers_kopregel,0))
*IF(AM110=0,1,
$G$5*INDEX(installaties_RV_verlies_elek_prod_aftapwarmte,MATCH(AM101,toestellen_RV_kopregel,0)))))</f>
        <v>1.45</v>
      </c>
      <c r="AN115" s="445">
        <f>IF(AN116&lt;&gt;"",AN116,IF(HLOOKUP(AN102,ENERGIEDRAGERS,ROWS(bibliotheek!$E$221:$E$222),FALSE)=0,$G$5,HLOOKUP(AN102,ENERGIEDRAGERS,ROWS(bibliotheek!$E$221:$E$223),FALSE)))</f>
        <v>1.45</v>
      </c>
      <c r="AO115" s="445">
        <f>IF(AO116&lt;&gt;"",AO116,
IF(AO$102=elektriciteit,$G$5,
INDEX(energiedragers_primaire_energiefactor,MATCH(AO102,energiedragers_kopregel,0))
*IF(AO110=0,1,
$G$5*INDEX(installaties_TAP_verlies_elek_prod_aftapwarmte,MATCH(AO101,toestellen_TAP_kopregel,0)))))</f>
        <v>1.45</v>
      </c>
      <c r="AP115" s="158"/>
      <c r="AQ115" s="158"/>
      <c r="AR115" s="158"/>
      <c r="AS115" s="158"/>
      <c r="AT115" s="158"/>
      <c r="AU115" s="158"/>
      <c r="AV115" s="414"/>
      <c r="AW115" s="352"/>
      <c r="AX115" s="722"/>
      <c r="AY115" s="445">
        <f>IF(AY116&lt;&gt;"",AY116,
IF(AY$102=elektriciteit,$G$5,
INDEX(energiedragers_primaire_energiefactor,MATCH(AY102,energiedragers_kopregel,0))
*IF(AY110=0,1,
$G$5*INDEX(installaties_RV_verlies_elek_prod_aftapwarmte,MATCH(AY101,toestellen_RV_kopregel,0)))))</f>
        <v>1.45</v>
      </c>
      <c r="AZ115" s="445">
        <f>IF(AZ116&lt;&gt;"",AZ116,IF(HLOOKUP(AZ102,ENERGIEDRAGERS,ROWS(bibliotheek!$E$221:$E$222),FALSE)=0,$G$5,HLOOKUP(AZ102,ENERGIEDRAGERS,ROWS(bibliotheek!$E$221:$E$223),FALSE)))</f>
        <v>1.45</v>
      </c>
      <c r="BA115" s="445">
        <f>IF(BA116&lt;&gt;"",BA116,
IF(BA$102=elektriciteit,$G$5,
INDEX(energiedragers_primaire_energiefactor,MATCH(BA102,energiedragers_kopregel,0))
*IF(BA110=0,1,
$G$5*INDEX(installaties_TAP_verlies_elek_prod_aftapwarmte,MATCH(BA101,toestellen_TAP_kopregel,0)))))</f>
        <v>1.45</v>
      </c>
      <c r="BB115" s="156"/>
      <c r="BC115" s="156"/>
      <c r="BD115" s="156"/>
      <c r="BE115" s="156"/>
      <c r="BF115" s="156"/>
      <c r="BG115" s="156"/>
      <c r="BH115" s="214"/>
    </row>
    <row r="116" spans="1:60" hidden="1" x14ac:dyDescent="0.2">
      <c r="A116" s="648"/>
      <c r="B116" s="492" t="s">
        <v>205</v>
      </c>
      <c r="C116" s="656" t="s">
        <v>221</v>
      </c>
      <c r="D116" s="750"/>
      <c r="E116" s="412" t="s">
        <v>224</v>
      </c>
      <c r="F116" s="317"/>
      <c r="G116" s="317"/>
      <c r="H116" s="355"/>
      <c r="I116" s="88"/>
      <c r="J116" s="362"/>
      <c r="K116" s="121"/>
      <c r="L116" s="121"/>
      <c r="M116" s="239"/>
      <c r="N116" s="90"/>
      <c r="O116" s="337"/>
      <c r="P116" s="712"/>
      <c r="Q116" s="337"/>
      <c r="R116" s="157"/>
      <c r="S116" s="157"/>
      <c r="T116" s="157"/>
      <c r="U116" s="157"/>
      <c r="V116" s="157"/>
      <c r="W116" s="157"/>
      <c r="X116" s="87"/>
      <c r="Y116" s="239"/>
      <c r="Z116" s="90"/>
      <c r="AA116" s="337"/>
      <c r="AB116" s="712"/>
      <c r="AC116" s="337"/>
      <c r="AD116" s="157"/>
      <c r="AE116" s="157"/>
      <c r="AF116" s="157"/>
      <c r="AG116" s="157"/>
      <c r="AH116" s="157"/>
      <c r="AI116" s="157"/>
      <c r="AJ116" s="87"/>
      <c r="AK116" s="239"/>
      <c r="AL116" s="90"/>
      <c r="AM116" s="337"/>
      <c r="AN116" s="712"/>
      <c r="AO116" s="337"/>
      <c r="AP116" s="157"/>
      <c r="AQ116" s="157"/>
      <c r="AR116" s="157"/>
      <c r="AS116" s="157"/>
      <c r="AT116" s="157"/>
      <c r="AU116" s="157"/>
      <c r="AV116" s="87"/>
      <c r="AW116" s="239"/>
      <c r="AX116" s="90"/>
      <c r="AY116" s="337"/>
      <c r="AZ116" s="712"/>
      <c r="BA116" s="337"/>
      <c r="BB116" s="157"/>
      <c r="BC116" s="157"/>
      <c r="BD116" s="157"/>
      <c r="BE116" s="157"/>
      <c r="BF116" s="157"/>
      <c r="BG116" s="157"/>
      <c r="BH116" s="214"/>
    </row>
    <row r="117" spans="1:60" x14ac:dyDescent="0.2">
      <c r="A117" s="648"/>
      <c r="B117" s="492" t="s">
        <v>205</v>
      </c>
      <c r="C117" s="656" t="s">
        <v>113</v>
      </c>
      <c r="D117" s="750"/>
      <c r="E117" s="221" t="s">
        <v>114</v>
      </c>
      <c r="F117" s="221"/>
      <c r="G117" s="221"/>
      <c r="H117" s="221" t="s">
        <v>115</v>
      </c>
      <c r="I117" s="88"/>
      <c r="J117" s="243">
        <f>M117+Y117+AK117+AW117</f>
        <v>0</v>
      </c>
      <c r="K117" s="295"/>
      <c r="L117" s="295"/>
      <c r="M117" s="243">
        <f>SUM(O117:X117)</f>
        <v>0</v>
      </c>
      <c r="N117" s="294"/>
      <c r="O117" s="207">
        <f>O$113*O$115</f>
        <v>0</v>
      </c>
      <c r="P117" s="207">
        <f>P$113*P$115</f>
        <v>0</v>
      </c>
      <c r="Q117" s="207">
        <f>Q$113*Q$115</f>
        <v>0</v>
      </c>
      <c r="R117" s="147"/>
      <c r="S117" s="147"/>
      <c r="T117" s="147"/>
      <c r="U117" s="147"/>
      <c r="V117" s="147"/>
      <c r="W117" s="147"/>
      <c r="X117" s="125"/>
      <c r="Y117" s="243">
        <f>SUM(AA117:AJ117)</f>
        <v>0</v>
      </c>
      <c r="Z117" s="294"/>
      <c r="AA117" s="207">
        <f>AA$113*AA$115</f>
        <v>0</v>
      </c>
      <c r="AB117" s="207">
        <f>AB$113*AB$115</f>
        <v>0</v>
      </c>
      <c r="AC117" s="207">
        <f>AC$113*AC$115</f>
        <v>0</v>
      </c>
      <c r="AD117" s="147"/>
      <c r="AE117" s="147"/>
      <c r="AF117" s="147"/>
      <c r="AG117" s="147"/>
      <c r="AH117" s="147"/>
      <c r="AI117" s="147"/>
      <c r="AJ117" s="125"/>
      <c r="AK117" s="243">
        <f>SUM(AM117:AV117)</f>
        <v>0</v>
      </c>
      <c r="AL117" s="294"/>
      <c r="AM117" s="207">
        <f>AM$113*AM$115</f>
        <v>0</v>
      </c>
      <c r="AN117" s="207">
        <f>AN$113*AN$115</f>
        <v>0</v>
      </c>
      <c r="AO117" s="207">
        <f>AO$113*AO$115</f>
        <v>0</v>
      </c>
      <c r="AP117" s="147"/>
      <c r="AQ117" s="147"/>
      <c r="AR117" s="147"/>
      <c r="AS117" s="147"/>
      <c r="AT117" s="147"/>
      <c r="AU117" s="147"/>
      <c r="AV117" s="125"/>
      <c r="AW117" s="243">
        <f>SUM(AY117:BH117)</f>
        <v>0</v>
      </c>
      <c r="AX117" s="294"/>
      <c r="AY117" s="207">
        <f>AY$113*AY$115</f>
        <v>0</v>
      </c>
      <c r="AZ117" s="207">
        <f>AZ$113*AZ$115</f>
        <v>0</v>
      </c>
      <c r="BA117" s="207">
        <f>BA$113*BA$115</f>
        <v>0</v>
      </c>
      <c r="BB117" s="147"/>
      <c r="BC117" s="147"/>
      <c r="BD117" s="147"/>
      <c r="BE117" s="147"/>
      <c r="BF117" s="147"/>
      <c r="BG117" s="147"/>
      <c r="BH117" s="255"/>
    </row>
    <row r="118" spans="1:60" ht="18.75" x14ac:dyDescent="0.2">
      <c r="A118" s="648"/>
      <c r="B118" s="492" t="s">
        <v>205</v>
      </c>
      <c r="C118" s="739" t="s">
        <v>104</v>
      </c>
      <c r="D118" s="750"/>
      <c r="E118" s="144" t="s">
        <v>116</v>
      </c>
      <c r="F118" s="160"/>
      <c r="G118" s="160"/>
      <c r="H118" s="161"/>
      <c r="I118" s="161"/>
      <c r="J118" s="161"/>
      <c r="K118" s="164"/>
      <c r="L118" s="164"/>
      <c r="M118" s="163"/>
      <c r="N118" s="163"/>
      <c r="P118" s="163"/>
      <c r="Q118" s="163"/>
      <c r="R118" s="163"/>
      <c r="S118" s="163"/>
      <c r="T118" s="163"/>
      <c r="U118" s="163"/>
      <c r="V118" s="163"/>
      <c r="W118" s="163"/>
      <c r="X118" s="165"/>
      <c r="Y118" s="163"/>
      <c r="Z118" s="163"/>
      <c r="AA118" s="836"/>
      <c r="AB118" s="163"/>
      <c r="AC118" s="163"/>
      <c r="AD118" s="163"/>
      <c r="AE118" s="163"/>
      <c r="AF118" s="163"/>
      <c r="AG118" s="163"/>
      <c r="AH118" s="163"/>
      <c r="AI118" s="163"/>
      <c r="AJ118" s="165"/>
      <c r="AK118" s="163"/>
      <c r="AL118" s="163"/>
      <c r="AM118" s="163"/>
      <c r="AN118" s="163"/>
      <c r="AO118" s="163"/>
      <c r="AP118" s="163"/>
      <c r="AQ118" s="163"/>
      <c r="AR118" s="163"/>
      <c r="AS118" s="163"/>
      <c r="AT118" s="163"/>
      <c r="AU118" s="163"/>
      <c r="AV118" s="165"/>
      <c r="AW118" s="163"/>
      <c r="AX118" s="163"/>
      <c r="AY118" s="163"/>
      <c r="AZ118" s="163"/>
      <c r="BA118" s="163"/>
      <c r="BB118" s="163"/>
      <c r="BC118" s="163"/>
      <c r="BD118" s="163"/>
      <c r="BE118" s="163"/>
      <c r="BF118" s="163"/>
      <c r="BG118" s="163"/>
      <c r="BH118" s="263"/>
    </row>
    <row r="119" spans="1:60" hidden="1" x14ac:dyDescent="0.2">
      <c r="A119" s="648"/>
      <c r="B119" s="492" t="s">
        <v>205</v>
      </c>
      <c r="C119" s="656" t="s">
        <v>221</v>
      </c>
      <c r="D119" s="750" t="s">
        <v>50</v>
      </c>
      <c r="E119" s="356" t="s">
        <v>225</v>
      </c>
      <c r="F119" s="316"/>
      <c r="G119" s="316"/>
      <c r="H119" s="354" t="s">
        <v>226</v>
      </c>
      <c r="I119" s="88"/>
      <c r="J119" s="229"/>
      <c r="K119" s="121"/>
      <c r="L119" s="121"/>
      <c r="M119" s="229"/>
      <c r="N119" s="90"/>
      <c r="O119" s="445">
        <f>IF(O120&lt;&gt;"",O120,
IF(O$102=elektriciteit,$H$5,
INDEX(energiedragers_CO2_emissiefactor,MATCH(O102,energiedragers_kopregel,0))
*IF(O110=0,1,
$G$5*INDEX(installaties_RV_verlies_elek_prod_aftapwarmte,MATCH(O101,toestellen_RV_kopregel,0)))))</f>
        <v>0.34</v>
      </c>
      <c r="P119" s="445">
        <f>IF(P120&lt;&gt;"",P120,
IF(P102=elektriciteit,$H$5,
HLOOKUP(P102,ENERGIEDRAGERS,ROWS(bibliotheek!$E$221:$E$224),FALSE)))</f>
        <v>0</v>
      </c>
      <c r="Q119" s="445">
        <f>IF(Q116&lt;&gt;"",Q116,
IF(Q$102=elektriciteit,$H$5,
INDEX(energiedragers_CO2_emissiefactor,MATCH(Q102,energiedragers_kopregel,0))
*IF(Q110=0,1,
$G$5*INDEX(installaties_TAP_verlies_elek_prod_aftapwarmte,MATCH(Q101,toestellen_TAP_kopregel,0)))))</f>
        <v>0.34</v>
      </c>
      <c r="R119" s="158"/>
      <c r="S119" s="158"/>
      <c r="T119" s="158"/>
      <c r="U119" s="158"/>
      <c r="V119" s="158"/>
      <c r="W119" s="158"/>
      <c r="X119" s="414"/>
      <c r="Y119" s="229"/>
      <c r="Z119" s="90"/>
      <c r="AA119" s="445">
        <f>IF(AA120&lt;&gt;"",AA120,
IF(AA$102=elektriciteit,$H$5,
INDEX(energiedragers_CO2_emissiefactor,MATCH(AA102,energiedragers_kopregel,0))
*IF(AA110=0,1,
$G$5*INDEX(installaties_RV_verlies_elek_prod_aftapwarmte,MATCH(AA101,toestellen_RV_kopregel,0)))))</f>
        <v>0.34</v>
      </c>
      <c r="AB119" s="445">
        <f>IF(AB120&lt;&gt;"",AB120,
IF(AB102=elektriciteit,$H$5,
HLOOKUP(AB102,ENERGIEDRAGERS,ROWS(bibliotheek!$E$221:$E$224),FALSE)))</f>
        <v>0</v>
      </c>
      <c r="AC119" s="445">
        <f>IF(AC116&lt;&gt;"",AC116,
IF(AC$102=elektriciteit,$H$5,
INDEX(energiedragers_CO2_emissiefactor,MATCH(AC102,energiedragers_kopregel,0))
*IF(AC110=0,1,
$G$5*INDEX(installaties_TAP_verlies_elek_prod_aftapwarmte,MATCH(AC101,toestellen_TAP_kopregel,0)))))</f>
        <v>0.34</v>
      </c>
      <c r="AD119" s="158"/>
      <c r="AE119" s="158"/>
      <c r="AF119" s="158"/>
      <c r="AG119" s="158"/>
      <c r="AH119" s="158"/>
      <c r="AI119" s="158"/>
      <c r="AJ119" s="414"/>
      <c r="AK119" s="229"/>
      <c r="AL119" s="90"/>
      <c r="AM119" s="445">
        <f>IF(AM120&lt;&gt;"",AM120,
IF(AM$102=elektriciteit,$H$5,
INDEX(energiedragers_CO2_emissiefactor,MATCH(AM102,energiedragers_kopregel,0))
*IF(AM110=0,1,
$G$5*INDEX(installaties_RV_verlies_elek_prod_aftapwarmte,MATCH(AM101,toestellen_RV_kopregel,0)))))</f>
        <v>0.34</v>
      </c>
      <c r="AN119" s="445">
        <f>IF(AN120&lt;&gt;"",AN120,
IF(AN102=elektriciteit,$H$5,
HLOOKUP(AN102,ENERGIEDRAGERS,ROWS(bibliotheek!$E$221:$E$224),FALSE)))</f>
        <v>0</v>
      </c>
      <c r="AO119" s="445">
        <f>IF(AO116&lt;&gt;"",AO116,
IF(AO$102=elektriciteit,$H$5,
INDEX(energiedragers_CO2_emissiefactor,MATCH(AO102,energiedragers_kopregel,0))
*IF(AO110=0,1,
$G$5*INDEX(installaties_TAP_verlies_elek_prod_aftapwarmte,MATCH(AO101,toestellen_TAP_kopregel,0)))))</f>
        <v>0.34</v>
      </c>
      <c r="AP119" s="158"/>
      <c r="AQ119" s="158"/>
      <c r="AR119" s="158"/>
      <c r="AS119" s="158"/>
      <c r="AT119" s="158"/>
      <c r="AU119" s="158"/>
      <c r="AV119" s="414"/>
      <c r="AW119" s="229"/>
      <c r="AX119" s="90"/>
      <c r="AY119" s="445">
        <f>IF(AY120&lt;&gt;"",AY120,
IF(AY$102=elektriciteit,$H$5,
INDEX(energiedragers_CO2_emissiefactor,MATCH(AY102,energiedragers_kopregel,0))
*IF(AY110=0,1,
$G$5*INDEX(installaties_RV_verlies_elek_prod_aftapwarmte,MATCH(AY101,toestellen_RV_kopregel,0)))))</f>
        <v>0.34</v>
      </c>
      <c r="AZ119" s="445">
        <f>IF(AZ120&lt;&gt;"",AZ120,
IF(AZ102=elektriciteit,$H$5,
HLOOKUP(AZ102,ENERGIEDRAGERS,ROWS(bibliotheek!$E$221:$E$224),FALSE)))</f>
        <v>0</v>
      </c>
      <c r="BA119" s="445">
        <f>IF(BA116&lt;&gt;"",BA116,
IF(BA$102=elektriciteit,$H$5,
INDEX(energiedragers_CO2_emissiefactor,MATCH(BA102,energiedragers_kopregel,0))
*IF(BA110=0,1,
$G$5*INDEX(installaties_TAP_verlies_elek_prod_aftapwarmte,MATCH(BA101,toestellen_TAP_kopregel,0)))))</f>
        <v>0.34</v>
      </c>
      <c r="BB119" s="158"/>
      <c r="BC119" s="158"/>
      <c r="BD119" s="158"/>
      <c r="BE119" s="158"/>
      <c r="BF119" s="158"/>
      <c r="BG119" s="158"/>
      <c r="BH119" s="214"/>
    </row>
    <row r="120" spans="1:60" hidden="1" x14ac:dyDescent="0.2">
      <c r="A120" s="648"/>
      <c r="B120" s="492" t="s">
        <v>205</v>
      </c>
      <c r="C120" s="656" t="s">
        <v>221</v>
      </c>
      <c r="D120" s="747"/>
      <c r="E120" s="412" t="s">
        <v>227</v>
      </c>
      <c r="F120" s="355"/>
      <c r="G120" s="355"/>
      <c r="H120" s="355"/>
      <c r="I120" s="88"/>
      <c r="J120" s="362"/>
      <c r="K120" s="121"/>
      <c r="L120" s="121"/>
      <c r="M120" s="239"/>
      <c r="N120" s="90"/>
      <c r="O120" s="337"/>
      <c r="P120" s="420"/>
      <c r="Q120" s="420"/>
      <c r="R120" s="483"/>
      <c r="S120" s="483"/>
      <c r="T120" s="483"/>
      <c r="U120" s="483"/>
      <c r="V120" s="483"/>
      <c r="W120" s="483"/>
      <c r="X120" s="448"/>
      <c r="Y120" s="239"/>
      <c r="Z120" s="90"/>
      <c r="AA120" s="420"/>
      <c r="AB120" s="420"/>
      <c r="AC120" s="420"/>
      <c r="AD120" s="483"/>
      <c r="AE120" s="483"/>
      <c r="AF120" s="483"/>
      <c r="AG120" s="483"/>
      <c r="AH120" s="483"/>
      <c r="AI120" s="483"/>
      <c r="AJ120" s="448"/>
      <c r="AK120" s="239"/>
      <c r="AL120" s="90"/>
      <c r="AM120" s="420"/>
      <c r="AN120" s="420"/>
      <c r="AO120" s="420"/>
      <c r="AP120" s="483"/>
      <c r="AQ120" s="483"/>
      <c r="AR120" s="483"/>
      <c r="AS120" s="483"/>
      <c r="AT120" s="483"/>
      <c r="AU120" s="483"/>
      <c r="AV120" s="448"/>
      <c r="AW120" s="239"/>
      <c r="AX120" s="90"/>
      <c r="AY120" s="420"/>
      <c r="AZ120" s="420"/>
      <c r="BA120" s="420"/>
      <c r="BB120" s="483"/>
      <c r="BC120" s="483"/>
      <c r="BD120" s="483"/>
      <c r="BE120" s="483"/>
      <c r="BF120" s="483"/>
      <c r="BG120" s="483"/>
      <c r="BH120" s="214"/>
    </row>
    <row r="121" spans="1:60" x14ac:dyDescent="0.2">
      <c r="A121" s="648"/>
      <c r="B121" s="492" t="s">
        <v>205</v>
      </c>
      <c r="C121" s="656" t="s">
        <v>113</v>
      </c>
      <c r="D121" s="747"/>
      <c r="E121" s="221" t="s">
        <v>116</v>
      </c>
      <c r="F121" s="221"/>
      <c r="G121" s="221"/>
      <c r="H121" s="221" t="s">
        <v>228</v>
      </c>
      <c r="I121" s="88"/>
      <c r="J121" s="243">
        <f>M121+Y121+AK121+AW121</f>
        <v>0</v>
      </c>
      <c r="K121" s="295"/>
      <c r="L121" s="295"/>
      <c r="M121" s="243">
        <f>SUM(O121:X121)</f>
        <v>0</v>
      </c>
      <c r="N121" s="294"/>
      <c r="O121" s="207">
        <f>O$113*O$119</f>
        <v>0</v>
      </c>
      <c r="P121" s="207">
        <f>P$113*P$119</f>
        <v>0</v>
      </c>
      <c r="Q121" s="207">
        <f>Q$113*Q$119</f>
        <v>0</v>
      </c>
      <c r="R121" s="147"/>
      <c r="S121" s="147"/>
      <c r="T121" s="147"/>
      <c r="U121" s="147"/>
      <c r="V121" s="147"/>
      <c r="W121" s="147"/>
      <c r="X121" s="125"/>
      <c r="Y121" s="243">
        <f>SUM(AA121:AJ121)</f>
        <v>0</v>
      </c>
      <c r="Z121" s="294"/>
      <c r="AA121" s="207">
        <f>AA$113*AA$119</f>
        <v>0</v>
      </c>
      <c r="AB121" s="207">
        <f>AB$113*AB$119</f>
        <v>0</v>
      </c>
      <c r="AC121" s="207">
        <f>AC$113*AC$119</f>
        <v>0</v>
      </c>
      <c r="AD121" s="147"/>
      <c r="AE121" s="147"/>
      <c r="AF121" s="147"/>
      <c r="AG121" s="147"/>
      <c r="AH121" s="147"/>
      <c r="AI121" s="147"/>
      <c r="AJ121" s="125"/>
      <c r="AK121" s="243">
        <f>SUM(AM121:AV121)</f>
        <v>0</v>
      </c>
      <c r="AL121" s="294"/>
      <c r="AM121" s="207">
        <f>AM$113*AM$119</f>
        <v>0</v>
      </c>
      <c r="AN121" s="207">
        <f>AN$113*AN$119</f>
        <v>0</v>
      </c>
      <c r="AO121" s="207">
        <f>AO$113*AO$119</f>
        <v>0</v>
      </c>
      <c r="AP121" s="147"/>
      <c r="AQ121" s="147"/>
      <c r="AR121" s="147"/>
      <c r="AS121" s="147"/>
      <c r="AT121" s="147"/>
      <c r="AU121" s="147"/>
      <c r="AV121" s="125"/>
      <c r="AW121" s="243">
        <f>SUM(AY121:BH121)</f>
        <v>0</v>
      </c>
      <c r="AX121" s="294"/>
      <c r="AY121" s="207">
        <f>AY$113*AY$119</f>
        <v>0</v>
      </c>
      <c r="AZ121" s="207">
        <f>AZ$113*AZ$119</f>
        <v>0</v>
      </c>
      <c r="BA121" s="207">
        <f>BA$113*BA$119</f>
        <v>0</v>
      </c>
      <c r="BB121" s="147"/>
      <c r="BC121" s="147"/>
      <c r="BD121" s="147"/>
      <c r="BE121" s="147"/>
      <c r="BF121" s="147"/>
      <c r="BG121" s="147"/>
      <c r="BH121" s="255"/>
    </row>
    <row r="122" spans="1:60" ht="18.75" x14ac:dyDescent="0.2">
      <c r="A122" s="648"/>
      <c r="B122" s="492" t="s">
        <v>205</v>
      </c>
      <c r="C122" s="739" t="s">
        <v>104</v>
      </c>
      <c r="D122" s="747"/>
      <c r="E122" s="144" t="s">
        <v>229</v>
      </c>
      <c r="F122" s="160"/>
      <c r="G122" s="160"/>
      <c r="H122" s="161"/>
      <c r="I122" s="162"/>
      <c r="J122" s="163"/>
      <c r="K122" s="164"/>
      <c r="L122" s="164"/>
      <c r="M122" s="163"/>
      <c r="N122" s="163"/>
      <c r="O122" s="163"/>
      <c r="P122" s="163"/>
      <c r="Q122" s="163"/>
      <c r="R122" s="163"/>
      <c r="S122" s="163"/>
      <c r="T122" s="163"/>
      <c r="U122" s="163"/>
      <c r="V122" s="163"/>
      <c r="W122" s="163"/>
      <c r="X122" s="165"/>
      <c r="Y122" s="163"/>
      <c r="Z122" s="163"/>
      <c r="AA122" s="163"/>
      <c r="AB122" s="163"/>
      <c r="AC122" s="163"/>
      <c r="AD122" s="163"/>
      <c r="AE122" s="163"/>
      <c r="AF122" s="163"/>
      <c r="AG122" s="163"/>
      <c r="AH122" s="163"/>
      <c r="AI122" s="163"/>
      <c r="AJ122" s="165"/>
      <c r="AK122" s="163"/>
      <c r="AL122" s="163"/>
      <c r="AM122" s="163"/>
      <c r="AN122" s="163"/>
      <c r="AO122" s="163"/>
      <c r="AP122" s="163"/>
      <c r="AQ122" s="163"/>
      <c r="AR122" s="163"/>
      <c r="AS122" s="163"/>
      <c r="AT122" s="163"/>
      <c r="AU122" s="163"/>
      <c r="AV122" s="165"/>
      <c r="AW122" s="163"/>
      <c r="AX122" s="163"/>
      <c r="AY122" s="163"/>
      <c r="AZ122" s="163"/>
      <c r="BA122" s="163"/>
      <c r="BB122" s="163"/>
      <c r="BC122" s="163"/>
      <c r="BD122" s="163"/>
      <c r="BE122" s="163"/>
      <c r="BF122" s="163"/>
      <c r="BG122" s="163"/>
      <c r="BH122" s="263"/>
    </row>
    <row r="123" spans="1:60" x14ac:dyDescent="0.2">
      <c r="A123" s="648"/>
      <c r="B123" s="492" t="s">
        <v>205</v>
      </c>
      <c r="C123" s="656" t="s">
        <v>127</v>
      </c>
      <c r="D123" s="747" t="s">
        <v>50</v>
      </c>
      <c r="E123" s="221" t="s">
        <v>230</v>
      </c>
      <c r="F123" s="221"/>
      <c r="G123" s="221"/>
      <c r="H123" s="221" t="s">
        <v>177</v>
      </c>
      <c r="I123" s="146"/>
      <c r="J123" s="243">
        <f>M123+Y123+AK123+AW123</f>
        <v>0</v>
      </c>
      <c r="K123" s="293"/>
      <c r="L123" s="293"/>
      <c r="M123" s="243">
        <f>SUM(O123:X123)</f>
        <v>0</v>
      </c>
      <c r="N123" s="294"/>
      <c r="O123" s="207">
        <f>IF(   AND(   HLOOKUP(IF(O$80="",referentie_verwarming,O$80),toestellen_RV,ROWS(bibliotheek!$E$79:$E$84),FALSE)=1,   O112+Q112&gt;P112   ),
ABS(O112+Q112-P112)*O$112/(O112+Q112),
0)</f>
        <v>0</v>
      </c>
      <c r="P123" s="207">
        <f>IF(AND(HLOOKUP(IF(P$80="",referentie_koeling,P$80),toestellen_KOEL,ROWS(bibliotheek!$E$170:$E$174),FALSE)=1,O112+Q112&lt;P112),ABS(O112+Q112-P112),0)</f>
        <v>0</v>
      </c>
      <c r="Q123" s="207">
        <f>IF(AND(HLOOKUP(IF(Q$80="",referentie_warmtapwater,Q$80),toestellen_TAP,ROWS(bibliotheek!$E$136:$E$141),FALSE)=1,O112+Q112&gt;P112),ABS(O112+Q112-P112)*Q$112/(O112+Q112),0)</f>
        <v>0</v>
      </c>
      <c r="R123" s="147"/>
      <c r="S123" s="147"/>
      <c r="T123" s="147"/>
      <c r="U123" s="147"/>
      <c r="V123" s="147"/>
      <c r="W123" s="147"/>
      <c r="X123" s="125"/>
      <c r="Y123" s="243">
        <f>SUM(AA123:AJ123)</f>
        <v>0</v>
      </c>
      <c r="Z123" s="294"/>
      <c r="AA123" s="207">
        <f>IF(   AND(   HLOOKUP(IF(AA$80="",referentie_verwarming,AA$80),toestellen_RV,ROWS(bibliotheek!$E$79:$E$84),FALSE)=1,   AA112+AC112&gt;AB112   ),
ABS(AA112+AC112-AB112)*AA$112/(AA112+AC112),
0)</f>
        <v>0</v>
      </c>
      <c r="AB123" s="207">
        <f>IF(AND(HLOOKUP(IF(AB$80="",referentie_koeling,AB$80),toestellen_KOEL,ROWS(bibliotheek!$E$170:$E$174),FALSE)=1,AA112+AC112&lt;AB112),ABS(AA112+AC112-AB112),0)</f>
        <v>0</v>
      </c>
      <c r="AC123" s="207">
        <f>IF(AND(HLOOKUP(IF(AC$80="",referentie_warmtapwater,AC$80),toestellen_TAP,ROWS(bibliotheek!$E$136:$E$141),FALSE)=1,AA112+AC112&gt;AB112),ABS(AA112+AC112-AB112)*AC$112/(AA112+AC112),0)</f>
        <v>0</v>
      </c>
      <c r="AD123" s="147"/>
      <c r="AE123" s="147"/>
      <c r="AF123" s="147"/>
      <c r="AG123" s="147"/>
      <c r="AH123" s="147"/>
      <c r="AI123" s="147"/>
      <c r="AJ123" s="125"/>
      <c r="AK123" s="243">
        <f>SUM(AM123:AV123)</f>
        <v>0</v>
      </c>
      <c r="AL123" s="294"/>
      <c r="AM123" s="207">
        <f>IF(   AND(   HLOOKUP(IF(AM$80="",referentie_verwarming,AM$80),toestellen_RV,ROWS(bibliotheek!$E$79:$E$84),FALSE)=1,   AM112+AO112&gt;AN112   ),
ABS(AM112+AO112-AN112)*AM$112/(AM112+AO112),
0)</f>
        <v>0</v>
      </c>
      <c r="AN123" s="207">
        <f>IF(AND(HLOOKUP(IF(AN$80="",referentie_koeling,AN$80),toestellen_KOEL,ROWS(bibliotheek!$E$170:$E$174),FALSE)=1,AM112+AO112&lt;AN112),ABS(AM112+AO112-AN112),0)</f>
        <v>0</v>
      </c>
      <c r="AO123" s="207">
        <f>IF(AND(HLOOKUP(IF(AO$80="",referentie_warmtapwater,AO$80),toestellen_TAP,ROWS(bibliotheek!$E$136:$E$141),FALSE)=1,AM112+AO112&gt;AN112),ABS(AM112+AO112-AN112)*AO$112/(AM112+AO112),0)</f>
        <v>0</v>
      </c>
      <c r="AP123" s="147"/>
      <c r="AQ123" s="147"/>
      <c r="AR123" s="147"/>
      <c r="AS123" s="147"/>
      <c r="AT123" s="147"/>
      <c r="AU123" s="147"/>
      <c r="AV123" s="125"/>
      <c r="AW123" s="243">
        <f>SUM(AY123:BH123)</f>
        <v>0</v>
      </c>
      <c r="AX123" s="294"/>
      <c r="AY123" s="207">
        <f>IF(   AND(   HLOOKUP(IF(AY$80="",referentie_verwarming,AY$80),toestellen_RV,ROWS(bibliotheek!$E$79:$E$84),FALSE)=1,   AY112+BA112&gt;AZ112   ),
ABS(AY112+BA112-AZ112)*AY$112/(AY112+BA112),
0)</f>
        <v>0</v>
      </c>
      <c r="AZ123" s="207">
        <f>IF(AND(HLOOKUP(IF(AZ$80="",referentie_koeling,AZ$80),toestellen_KOEL,ROWS(bibliotheek!$E$170:$E$174),FALSE)=1,AY112+BA112&lt;AZ112),ABS(AY112+BA112-AZ112),0)</f>
        <v>0</v>
      </c>
      <c r="BA123" s="207">
        <f>IF(AND(HLOOKUP(IF(BA$80="",referentie_warmtapwater,BA$80),toestellen_TAP,ROWS(bibliotheek!$E$136:$E$141),FALSE)=1,AY112+BA112&gt;AZ112),ABS(AY112+BA112-AZ112)*BA$112/(AY112+BA112),0)</f>
        <v>0</v>
      </c>
      <c r="BB123" s="147"/>
      <c r="BC123" s="147"/>
      <c r="BD123" s="147"/>
      <c r="BE123" s="147"/>
      <c r="BF123" s="147"/>
      <c r="BG123" s="147"/>
      <c r="BH123" s="255"/>
    </row>
    <row r="124" spans="1:60" hidden="1" x14ac:dyDescent="0.2">
      <c r="A124" s="648"/>
      <c r="B124" s="492" t="s">
        <v>205</v>
      </c>
      <c r="C124" s="656" t="s">
        <v>199</v>
      </c>
      <c r="D124" s="747"/>
      <c r="E124" s="221" t="s">
        <v>231</v>
      </c>
      <c r="F124" s="220"/>
      <c r="G124" s="220"/>
      <c r="H124" s="221" t="s">
        <v>232</v>
      </c>
      <c r="I124" s="146"/>
      <c r="J124" s="230"/>
      <c r="K124" s="121"/>
      <c r="L124" s="121"/>
      <c r="M124" s="230"/>
      <c r="N124" s="90"/>
      <c r="O124" s="625">
        <f>HLOOKUP(IF(O$80="",referentie_verwarming,O$80),toestellen_RV,ROWS(bibliotheek!$E$79:$E$113),FALSE)</f>
        <v>0</v>
      </c>
      <c r="P124" s="625">
        <f>HLOOKUP(IF(P$80="",referentie_koeling,P$80),toestellen_KOEL,ROWS(bibliotheek!$E$170:$E$188),FALSE)</f>
        <v>0</v>
      </c>
      <c r="Q124" s="625">
        <f>HLOOKUP(IF(Q$80="",referentie_warmtapwater,Q$80),toestellen_TAP,ROWS(bibliotheek!$E$136:$E$162),FALSE)</f>
        <v>0</v>
      </c>
      <c r="R124" s="447"/>
      <c r="S124" s="447"/>
      <c r="T124" s="447"/>
      <c r="U124" s="447"/>
      <c r="V124" s="447"/>
      <c r="W124" s="447"/>
      <c r="X124" s="487"/>
      <c r="Y124" s="230"/>
      <c r="Z124" s="90"/>
      <c r="AA124" s="625">
        <f>HLOOKUP(IF(AA$80="",referentie_verwarming,AA$80),toestellen_RV,ROWS(bibliotheek!$E$79:$E$113),FALSE)</f>
        <v>0</v>
      </c>
      <c r="AB124" s="625">
        <f>HLOOKUP(IF(AB$80="",referentie_koeling,AB$80),toestellen_KOEL,ROWS(bibliotheek!$E$170:$E$188),FALSE)</f>
        <v>0</v>
      </c>
      <c r="AC124" s="625">
        <f>HLOOKUP(IF(AC$80="",referentie_warmtapwater,AC$80),toestellen_TAP,ROWS(bibliotheek!$E$136:$E$162),FALSE)</f>
        <v>0</v>
      </c>
      <c r="AD124" s="447"/>
      <c r="AE124" s="447"/>
      <c r="AF124" s="447"/>
      <c r="AG124" s="447"/>
      <c r="AH124" s="447"/>
      <c r="AI124" s="447"/>
      <c r="AJ124" s="487"/>
      <c r="AK124" s="230"/>
      <c r="AL124" s="90"/>
      <c r="AM124" s="625">
        <f>HLOOKUP(IF(AM$80="",referentie_verwarming,AM$80),toestellen_RV,ROWS(bibliotheek!$E$79:$E$113),FALSE)</f>
        <v>0</v>
      </c>
      <c r="AN124" s="625">
        <f>HLOOKUP(IF(AN$80="",referentie_koeling,AN$80),toestellen_KOEL,ROWS(bibliotheek!$E$170:$E$188),FALSE)</f>
        <v>0</v>
      </c>
      <c r="AO124" s="625">
        <f>HLOOKUP(IF(AO$80="",referentie_warmtapwater,AO$80),toestellen_TAP,ROWS(bibliotheek!$E$136:$E$162),FALSE)</f>
        <v>0</v>
      </c>
      <c r="AP124" s="447"/>
      <c r="AQ124" s="447"/>
      <c r="AR124" s="447"/>
      <c r="AS124" s="447"/>
      <c r="AT124" s="447"/>
      <c r="AU124" s="447"/>
      <c r="AV124" s="487"/>
      <c r="AW124" s="230"/>
      <c r="AX124" s="90"/>
      <c r="AY124" s="625">
        <f>HLOOKUP(IF(AY$80="",referentie_verwarming,AY$80),toestellen_RV,ROWS(bibliotheek!$E$79:$E$113),FALSE)</f>
        <v>0</v>
      </c>
      <c r="AZ124" s="625">
        <f>HLOOKUP(IF(AZ$80="",referentie_koeling,AZ$80),toestellen_KOEL,ROWS(bibliotheek!$E$170:$E$188),FALSE)</f>
        <v>0</v>
      </c>
      <c r="BA124" s="625">
        <f>HLOOKUP(IF(BA$80="",referentie_warmtapwater,BA$80),toestellen_TAP,ROWS(bibliotheek!$E$136:$E$162),FALSE)</f>
        <v>0</v>
      </c>
      <c r="BB124" s="447"/>
      <c r="BC124" s="447"/>
      <c r="BD124" s="447"/>
      <c r="BE124" s="447"/>
      <c r="BF124" s="447"/>
      <c r="BG124" s="447"/>
      <c r="BH124" s="255"/>
    </row>
    <row r="125" spans="1:60" x14ac:dyDescent="0.2">
      <c r="A125" s="648"/>
      <c r="B125" s="492" t="s">
        <v>205</v>
      </c>
      <c r="C125" s="656" t="s">
        <v>127</v>
      </c>
      <c r="D125" s="747"/>
      <c r="E125" s="354" t="s">
        <v>233</v>
      </c>
      <c r="F125" s="316"/>
      <c r="G125" s="316"/>
      <c r="H125" s="354" t="s">
        <v>70</v>
      </c>
      <c r="I125" s="88"/>
      <c r="J125" s="352"/>
      <c r="K125" s="88"/>
      <c r="L125" s="88"/>
      <c r="M125" s="352"/>
      <c r="N125" s="90"/>
      <c r="O125" s="452">
        <f>IF(HLOOKUP(IF(O$80="",referentie_verwarming,O$80),toestellen_RV,ROWS(bibliotheek!$E$79:$E$97),FALSE)=0,0,IF(O126&lt;&gt;"",O126,HLOOKUP(IF(O$80="",referentie_verwarming,O$80),toestellen_RV,ROWS(bibliotheek!$E$79:$E$97),FALSE)))</f>
        <v>0</v>
      </c>
      <c r="P125" s="452">
        <f>IF(HLOOKUP(IF(P$80="",referentie_koeling,P$80),toestellen_KOEL,ROWS(bibliotheek!$E$170:$E$181),FALSE)=0,0,IF(P126&lt;&gt;"",P126,HLOOKUP(IF(P$80="",referentie_koeling,P$80),toestellen_KOEL,ROWS(bibliotheek!$E$170:$E$181),FALSE)))</f>
        <v>0</v>
      </c>
      <c r="Q125" s="452">
        <f>IF(HLOOKUP(IF(Q$80="",referentie_warmtapwater,Q$80),toestellen_TAP,ROWS(bibliotheek!$E$136:$E$154),FALSE)=0,0,IF(Q126&lt;&gt;"",Q126,HLOOKUP(IF(Q$80="",referentie_warmtapwater,Q$80),toestellen_TAP,ROWS(bibliotheek!$E$136:$E$154),FALSE)))</f>
        <v>0</v>
      </c>
      <c r="R125" s="156"/>
      <c r="S125" s="156"/>
      <c r="T125" s="156"/>
      <c r="U125" s="156"/>
      <c r="V125" s="156"/>
      <c r="W125" s="156"/>
      <c r="X125" s="126"/>
      <c r="Y125" s="352"/>
      <c r="Z125" s="90"/>
      <c r="AA125" s="452">
        <f>IF(HLOOKUP(IF(AA$80="",referentie_verwarming,AA$80),toestellen_RV,ROWS(bibliotheek!$E$79:$E$97),FALSE)=0,0,IF(AA126&lt;&gt;"",AA126,HLOOKUP(IF(AA$80="",referentie_verwarming,AA$80),toestellen_RV,ROWS(bibliotheek!$E$79:$E$97),FALSE)))</f>
        <v>0</v>
      </c>
      <c r="AB125" s="452">
        <f>IF(HLOOKUP(IF(AB$80="",referentie_koeling,AB$80),toestellen_KOEL,ROWS(bibliotheek!$E$170:$E$181),FALSE)=0,0,IF(AB126&lt;&gt;"",AB126,HLOOKUP(IF(AB$80="",referentie_koeling,AB$80),toestellen_KOEL,ROWS(bibliotheek!$E$170:$E$181),FALSE)))</f>
        <v>0</v>
      </c>
      <c r="AC125" s="452">
        <f>IF(HLOOKUP(IF(AC$80="",referentie_warmtapwater,AC$80),toestellen_TAP,ROWS(bibliotheek!$E$136:$E$154),FALSE)=0,0,IF(AC126&lt;&gt;"",AC126,HLOOKUP(IF(AC$80="",referentie_warmtapwater,AC$80),toestellen_TAP,ROWS(bibliotheek!$E$136:$E$154),FALSE)))</f>
        <v>0</v>
      </c>
      <c r="AD125" s="156"/>
      <c r="AE125" s="156"/>
      <c r="AF125" s="156"/>
      <c r="AG125" s="156"/>
      <c r="AH125" s="156"/>
      <c r="AI125" s="156"/>
      <c r="AJ125" s="126"/>
      <c r="AK125" s="352"/>
      <c r="AL125" s="90"/>
      <c r="AM125" s="452">
        <f>IF(HLOOKUP(IF(AM$80="",referentie_verwarming,AM$80),toestellen_RV,ROWS(bibliotheek!$E$79:$E$97),FALSE)=0,0,IF(AM126&lt;&gt;"",AM126,HLOOKUP(IF(AM$80="",referentie_verwarming,AM$80),toestellen_RV,ROWS(bibliotheek!$E$79:$E$97),FALSE)))</f>
        <v>0</v>
      </c>
      <c r="AN125" s="452">
        <f>IF(HLOOKUP(IF(AN$80="",referentie_koeling,AN$80),toestellen_KOEL,ROWS(bibliotheek!$E$170:$E$181),FALSE)=0,0,IF(AN126&lt;&gt;"",AN126,HLOOKUP(IF(AN$80="",referentie_koeling,AN$80),toestellen_KOEL,ROWS(bibliotheek!$E$170:$E$181),FALSE)))</f>
        <v>0</v>
      </c>
      <c r="AO125" s="452">
        <f>IF(HLOOKUP(IF(AO$80="",referentie_warmtapwater,AO$80),toestellen_TAP,ROWS(bibliotheek!$E$136:$E$154),FALSE)=0,0,IF(AO126&lt;&gt;"",AO126,HLOOKUP(IF(AO$80="",referentie_warmtapwater,AO$80),toestellen_TAP,ROWS(bibliotheek!$E$136:$E$154),FALSE)))</f>
        <v>0</v>
      </c>
      <c r="AP125" s="156"/>
      <c r="AQ125" s="156"/>
      <c r="AR125" s="156"/>
      <c r="AS125" s="156"/>
      <c r="AT125" s="156"/>
      <c r="AU125" s="156"/>
      <c r="AV125" s="126"/>
      <c r="AW125" s="352"/>
      <c r="AX125" s="90"/>
      <c r="AY125" s="452">
        <f>IF(HLOOKUP(IF(AY$80="",referentie_verwarming,AY$80),toestellen_RV,ROWS(bibliotheek!$E$79:$E$97),FALSE)=0,0,IF(AY126&lt;&gt;"",AY126,HLOOKUP(IF(AY$80="",referentie_verwarming,AY$80),toestellen_RV,ROWS(bibliotheek!$E$79:$E$97),FALSE)))</f>
        <v>0</v>
      </c>
      <c r="AZ125" s="452">
        <f>IF(HLOOKUP(IF(AZ$80="",referentie_koeling,AZ$80),toestellen_KOEL,ROWS(bibliotheek!$E$170:$E$181),FALSE)=0,0,IF(AZ126&lt;&gt;"",AZ126,HLOOKUP(IF(AZ$80="",referentie_koeling,AZ$80),toestellen_KOEL,ROWS(bibliotheek!$E$170:$E$181),FALSE)))</f>
        <v>0</v>
      </c>
      <c r="BA125" s="452">
        <f>IF(HLOOKUP(IF(BA$80="",referentie_warmtapwater,BA$80),toestellen_TAP,ROWS(bibliotheek!$E$136:$E$154),FALSE)=0,0,IF(BA126&lt;&gt;"",BA126,HLOOKUP(IF(BA$80="",referentie_warmtapwater,BA$80),toestellen_TAP,ROWS(bibliotheek!$E$136:$E$154),FALSE)))</f>
        <v>0</v>
      </c>
      <c r="BB125" s="156"/>
      <c r="BC125" s="156"/>
      <c r="BD125" s="156"/>
      <c r="BE125" s="156"/>
      <c r="BF125" s="156"/>
      <c r="BG125" s="156"/>
      <c r="BH125" s="214"/>
    </row>
    <row r="126" spans="1:60" x14ac:dyDescent="0.2">
      <c r="A126" s="648"/>
      <c r="B126" s="492" t="s">
        <v>205</v>
      </c>
      <c r="C126" s="656" t="s">
        <v>127</v>
      </c>
      <c r="D126" s="747"/>
      <c r="E126" s="412" t="s">
        <v>234</v>
      </c>
      <c r="F126" s="317"/>
      <c r="G126" s="317"/>
      <c r="H126" s="355"/>
      <c r="I126" s="88"/>
      <c r="J126" s="362"/>
      <c r="K126" s="88"/>
      <c r="L126" s="88"/>
      <c r="M126" s="239"/>
      <c r="N126" s="90"/>
      <c r="O126" s="337"/>
      <c r="P126" s="712"/>
      <c r="Q126" s="337"/>
      <c r="R126" s="157"/>
      <c r="S126" s="157"/>
      <c r="T126" s="157"/>
      <c r="U126" s="157"/>
      <c r="V126" s="157"/>
      <c r="W126" s="157"/>
      <c r="X126" s="87"/>
      <c r="Y126" s="239"/>
      <c r="Z126" s="90"/>
      <c r="AA126" s="337"/>
      <c r="AB126" s="712"/>
      <c r="AC126" s="337"/>
      <c r="AD126" s="157"/>
      <c r="AE126" s="157"/>
      <c r="AF126" s="157"/>
      <c r="AG126" s="157"/>
      <c r="AH126" s="157"/>
      <c r="AI126" s="157"/>
      <c r="AJ126" s="87"/>
      <c r="AK126" s="239"/>
      <c r="AL126" s="90"/>
      <c r="AM126" s="337"/>
      <c r="AN126" s="712"/>
      <c r="AO126" s="337"/>
      <c r="AP126" s="157"/>
      <c r="AQ126" s="157"/>
      <c r="AR126" s="157"/>
      <c r="AS126" s="157"/>
      <c r="AT126" s="157"/>
      <c r="AU126" s="157"/>
      <c r="AV126" s="87"/>
      <c r="AW126" s="239"/>
      <c r="AX126" s="90"/>
      <c r="AY126" s="337"/>
      <c r="AZ126" s="712"/>
      <c r="BA126" s="337"/>
      <c r="BB126" s="157"/>
      <c r="BC126" s="157"/>
      <c r="BD126" s="157"/>
      <c r="BE126" s="157"/>
      <c r="BF126" s="157"/>
      <c r="BG126" s="157"/>
      <c r="BH126" s="214"/>
    </row>
    <row r="127" spans="1:60" x14ac:dyDescent="0.2">
      <c r="A127" s="648"/>
      <c r="B127" s="492" t="s">
        <v>205</v>
      </c>
      <c r="C127" s="656" t="s">
        <v>104</v>
      </c>
      <c r="D127" s="747"/>
      <c r="E127" s="90"/>
      <c r="F127" s="90"/>
      <c r="G127" s="90"/>
      <c r="H127" s="96"/>
      <c r="I127" s="90"/>
      <c r="J127" s="93"/>
      <c r="K127" s="90"/>
      <c r="L127" s="90"/>
      <c r="M127" s="93"/>
      <c r="N127" s="93"/>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3"/>
      <c r="AN127" s="93"/>
      <c r="AO127" s="93"/>
      <c r="AP127" s="93"/>
      <c r="AQ127" s="93"/>
      <c r="AR127" s="93"/>
      <c r="AS127" s="93"/>
      <c r="AT127" s="93"/>
      <c r="AU127" s="93"/>
      <c r="AV127" s="93"/>
      <c r="AW127" s="93"/>
      <c r="AX127" s="93"/>
      <c r="AY127" s="93"/>
      <c r="AZ127" s="93"/>
      <c r="BA127" s="93"/>
      <c r="BB127" s="93"/>
      <c r="BC127" s="93"/>
      <c r="BD127" s="93"/>
      <c r="BE127" s="93"/>
      <c r="BF127" s="93"/>
      <c r="BG127" s="93"/>
      <c r="BH127" s="1"/>
    </row>
    <row r="128" spans="1:60" x14ac:dyDescent="0.2">
      <c r="A128" s="648"/>
      <c r="B128" s="492" t="s">
        <v>235</v>
      </c>
      <c r="C128" s="656" t="s">
        <v>104</v>
      </c>
      <c r="D128" s="747"/>
      <c r="E128" s="90"/>
      <c r="F128" s="90"/>
      <c r="G128" s="90"/>
      <c r="H128" s="96"/>
      <c r="I128" s="90"/>
      <c r="J128" s="93"/>
      <c r="K128" s="90"/>
      <c r="L128" s="90"/>
      <c r="M128" s="93"/>
      <c r="N128" s="93"/>
      <c r="O128" s="93"/>
      <c r="P128" s="93"/>
      <c r="Q128" s="93"/>
      <c r="R128" s="93"/>
      <c r="S128" s="93"/>
      <c r="T128" s="93"/>
      <c r="U128" s="93"/>
      <c r="V128" s="93"/>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1"/>
    </row>
    <row r="129" spans="1:60" ht="21" x14ac:dyDescent="0.2">
      <c r="A129" s="648"/>
      <c r="B129" s="492" t="s">
        <v>235</v>
      </c>
      <c r="C129" s="739" t="s">
        <v>104</v>
      </c>
      <c r="D129" s="750" t="s">
        <v>50</v>
      </c>
      <c r="E129" s="240" t="s">
        <v>236</v>
      </c>
      <c r="F129" s="240"/>
      <c r="G129" s="240"/>
      <c r="H129" s="240"/>
      <c r="I129" s="88"/>
      <c r="J129" s="241" t="s">
        <v>58</v>
      </c>
      <c r="K129" s="142"/>
      <c r="L129" s="142"/>
      <c r="M129" s="216" t="s">
        <v>237</v>
      </c>
      <c r="N129" s="222"/>
      <c r="O129" s="217" t="str">
        <f>$O$10</f>
        <v>verwarming</v>
      </c>
      <c r="P129" s="217" t="str">
        <f>$P$10</f>
        <v>koeling</v>
      </c>
      <c r="Q129" s="217" t="str">
        <f>$Q$10</f>
        <v>tapwater</v>
      </c>
      <c r="R129" s="217"/>
      <c r="S129" s="217"/>
      <c r="T129" s="217"/>
      <c r="U129" s="217"/>
      <c r="V129" s="217"/>
      <c r="W129" s="217"/>
      <c r="X129" s="214"/>
      <c r="Y129" s="216" t="s">
        <v>237</v>
      </c>
      <c r="Z129" s="222"/>
      <c r="AA129" s="217" t="str">
        <f>$O$10</f>
        <v>verwarming</v>
      </c>
      <c r="AB129" s="217" t="str">
        <f>$P$10</f>
        <v>koeling</v>
      </c>
      <c r="AC129" s="217" t="str">
        <f>$Q$10</f>
        <v>tapwater</v>
      </c>
      <c r="AD129" s="217"/>
      <c r="AE129" s="217"/>
      <c r="AF129" s="217"/>
      <c r="AG129" s="217"/>
      <c r="AH129" s="217"/>
      <c r="AI129" s="217"/>
      <c r="AJ129" s="214"/>
      <c r="AK129" s="216" t="s">
        <v>237</v>
      </c>
      <c r="AL129" s="222"/>
      <c r="AM129" s="217" t="str">
        <f>$O$10</f>
        <v>verwarming</v>
      </c>
      <c r="AN129" s="217" t="str">
        <f>$P$10</f>
        <v>koeling</v>
      </c>
      <c r="AO129" s="217" t="str">
        <f>$Q$10</f>
        <v>tapwater</v>
      </c>
      <c r="AP129" s="217"/>
      <c r="AQ129" s="217"/>
      <c r="AR129" s="217"/>
      <c r="AS129" s="217"/>
      <c r="AT129" s="217"/>
      <c r="AU129" s="217"/>
      <c r="AV129" s="214"/>
      <c r="AW129" s="216" t="s">
        <v>237</v>
      </c>
      <c r="AX129" s="222"/>
      <c r="AY129" s="217" t="str">
        <f>$O$10</f>
        <v>verwarming</v>
      </c>
      <c r="AZ129" s="217" t="str">
        <f>$P$10</f>
        <v>koeling</v>
      </c>
      <c r="BA129" s="217" t="str">
        <f>$Q$10</f>
        <v>tapwater</v>
      </c>
      <c r="BB129" s="217"/>
      <c r="BC129" s="217"/>
      <c r="BD129" s="217"/>
      <c r="BE129" s="217"/>
      <c r="BF129" s="217"/>
      <c r="BG129" s="217"/>
      <c r="BH129" s="1"/>
    </row>
    <row r="130" spans="1:60" ht="18.75" x14ac:dyDescent="0.2">
      <c r="A130" s="648"/>
      <c r="B130" s="492" t="s">
        <v>235</v>
      </c>
      <c r="C130" s="739" t="s">
        <v>104</v>
      </c>
      <c r="D130" s="747"/>
      <c r="E130" s="144" t="s">
        <v>210</v>
      </c>
      <c r="F130" s="231"/>
      <c r="G130" s="231"/>
      <c r="H130" s="89"/>
      <c r="I130" s="232"/>
      <c r="J130" s="231"/>
      <c r="K130" s="232"/>
      <c r="L130" s="232"/>
      <c r="M130" s="231"/>
      <c r="N130" s="232"/>
      <c r="O130" s="232"/>
      <c r="P130" s="232"/>
      <c r="Q130" s="232"/>
      <c r="R130" s="232"/>
      <c r="S130" s="232"/>
      <c r="T130" s="232"/>
      <c r="U130" s="232"/>
      <c r="V130" s="232"/>
      <c r="W130" s="232"/>
      <c r="X130" s="232"/>
      <c r="Y130" s="232"/>
      <c r="Z130" s="232"/>
      <c r="AA130" s="232"/>
      <c r="AB130" s="232"/>
      <c r="AC130" s="232"/>
      <c r="AD130" s="232"/>
      <c r="AE130" s="232"/>
      <c r="AF130" s="232"/>
      <c r="AG130" s="232"/>
      <c r="AH130" s="232"/>
      <c r="AI130" s="232"/>
      <c r="AJ130" s="232"/>
      <c r="AK130" s="232"/>
      <c r="AL130" s="232"/>
      <c r="AM130" s="232"/>
      <c r="AN130" s="232"/>
      <c r="AO130" s="232"/>
      <c r="AP130" s="232"/>
      <c r="AQ130" s="232"/>
      <c r="AR130" s="232"/>
      <c r="AS130" s="232"/>
      <c r="AT130" s="232"/>
      <c r="AU130" s="232"/>
      <c r="AV130" s="232"/>
      <c r="AW130" s="232"/>
      <c r="AX130" s="232"/>
      <c r="AY130" s="232"/>
      <c r="AZ130" s="232"/>
      <c r="BA130" s="232"/>
      <c r="BB130" s="232"/>
      <c r="BC130" s="232"/>
      <c r="BD130" s="232"/>
      <c r="BE130" s="232"/>
      <c r="BF130" s="232"/>
      <c r="BG130" s="232"/>
      <c r="BH130" s="38"/>
    </row>
    <row r="131" spans="1:60" ht="25.5" x14ac:dyDescent="0.2">
      <c r="A131" s="648"/>
      <c r="B131" s="492" t="s">
        <v>235</v>
      </c>
      <c r="C131" s="656" t="s">
        <v>127</v>
      </c>
      <c r="D131" s="747"/>
      <c r="E131" s="326" t="s">
        <v>238</v>
      </c>
      <c r="F131" s="326"/>
      <c r="G131" s="326"/>
      <c r="H131" s="327" t="s">
        <v>70</v>
      </c>
      <c r="I131" s="115"/>
      <c r="J131" s="330"/>
      <c r="K131" s="115"/>
      <c r="L131" s="115"/>
      <c r="M131" s="330" t="str">
        <f>IF(OR(M$12=0,O134=0),"-","RV: "&amp;O131)</f>
        <v>-</v>
      </c>
      <c r="N131" s="136"/>
      <c r="O131" s="346" t="str">
        <f>IF(O$105=1,geen,HLOOKUP(IF(O$80="",referentie_verwarming,O$80),toestellen_RV,ROWS(bibliotheek!$E$79:$E$100),FALSE))</f>
        <v>elektrisch element</v>
      </c>
      <c r="P131" s="346" t="str">
        <f>IF(OR(P$101=geen,P$105=1),geen,HLOOKUP(IF(P$80="",referentie_koeling,P$80),toestellen_KOEL,ROWS(bibliotheek!$E$170:$E$183),FALSE))</f>
        <v>geen</v>
      </c>
      <c r="Q131" s="346" t="str">
        <f>IF(Q105=1,geen,HLOOKUP(IF(Q$80="",referentie_warmtapwater,Q$80),toestellen_TAP,ROWS(bibliotheek!$E$136:$E$157),FALSE))</f>
        <v>elektrisch element</v>
      </c>
      <c r="R131" s="331"/>
      <c r="S131" s="331"/>
      <c r="T131" s="331"/>
      <c r="U131" s="331"/>
      <c r="V131" s="331"/>
      <c r="W131" s="331"/>
      <c r="X131" s="130"/>
      <c r="Y131" s="330" t="str">
        <f>IF(OR(Y$12=0,AA134=0),"-","RV: "&amp;AA131)</f>
        <v>-</v>
      </c>
      <c r="Z131" s="136"/>
      <c r="AA131" s="346" t="str">
        <f>IF(AA$105=1,geen,HLOOKUP(IF(AA$80="",referentie_verwarming,AA$80),toestellen_RV,ROWS(bibliotheek!$E$79:$E$100),FALSE))</f>
        <v>elektrisch element</v>
      </c>
      <c r="AB131" s="346" t="str">
        <f>IF(OR(AB$101=geen,AB$105=1),geen,HLOOKUP(IF(AB$80="",referentie_koeling,AB$80),toestellen_KOEL,ROWS(bibliotheek!$E$170:$E$183),FALSE))</f>
        <v>geen</v>
      </c>
      <c r="AC131" s="346" t="str">
        <f>IF(AC105=1,geen,HLOOKUP(IF(AC$80="",referentie_warmtapwater,AC$80),toestellen_TAP,ROWS(bibliotheek!$E$136:$E$157),FALSE))</f>
        <v>elektrisch element</v>
      </c>
      <c r="AD131" s="331"/>
      <c r="AE131" s="331"/>
      <c r="AF131" s="331"/>
      <c r="AG131" s="331"/>
      <c r="AH131" s="331"/>
      <c r="AI131" s="331"/>
      <c r="AJ131" s="130"/>
      <c r="AK131" s="330" t="str">
        <f>IF(OR(AK$12=0,AM134=0),"-","RV: "&amp;AM131)</f>
        <v>-</v>
      </c>
      <c r="AL131" s="136"/>
      <c r="AM131" s="346" t="str">
        <f>IF(AM$105=1,geen,HLOOKUP(IF(AM$80="",referentie_verwarming,AM$80),toestellen_RV,ROWS(bibliotheek!$E$79:$E$100),FALSE))</f>
        <v>elektrisch element</v>
      </c>
      <c r="AN131" s="346" t="str">
        <f>IF(OR(AN$101=geen,AN$105=1),geen,HLOOKUP(IF(AN$80="",referentie_koeling,AN$80),toestellen_KOEL,ROWS(bibliotheek!$E$170:$E$183),FALSE))</f>
        <v>geen</v>
      </c>
      <c r="AO131" s="346" t="str">
        <f>IF(AO105=1,geen,HLOOKUP(IF(AO$80="",referentie_warmtapwater,AO$80),toestellen_TAP,ROWS(bibliotheek!$E$136:$E$157),FALSE))</f>
        <v>elektrisch element</v>
      </c>
      <c r="AP131" s="331"/>
      <c r="AQ131" s="331"/>
      <c r="AR131" s="331"/>
      <c r="AS131" s="331"/>
      <c r="AT131" s="331"/>
      <c r="AU131" s="331"/>
      <c r="AV131" s="130"/>
      <c r="AW131" s="330" t="str">
        <f>IF(OR(AW$12=0,AY134=0),"-","RV: "&amp;AY131)</f>
        <v>-</v>
      </c>
      <c r="AX131" s="136"/>
      <c r="AY131" s="346" t="str">
        <f>IF(AY$105=1,geen,HLOOKUP(IF(AY$80="",referentie_verwarming,AY$80),toestellen_RV,ROWS(bibliotheek!$E$79:$E$100),FALSE))</f>
        <v>elektrisch element</v>
      </c>
      <c r="AZ131" s="346" t="str">
        <f>IF(OR(AZ$101=geen,AZ$105=1),geen,HLOOKUP(IF(AZ$80="",referentie_koeling,AZ$80),toestellen_KOEL,ROWS(bibliotheek!$E$170:$E$183),FALSE))</f>
        <v>geen</v>
      </c>
      <c r="BA131" s="346" t="str">
        <f>IF(BA105=1,geen,HLOOKUP(IF(BA$80="",referentie_warmtapwater,BA$80),toestellen_TAP,ROWS(bibliotheek!$E$136:$E$157),FALSE))</f>
        <v>elektrisch element</v>
      </c>
      <c r="BB131" s="331"/>
      <c r="BC131" s="331"/>
      <c r="BD131" s="331"/>
      <c r="BE131" s="331"/>
      <c r="BF131" s="331"/>
      <c r="BG131" s="331"/>
      <c r="BH131" s="266"/>
    </row>
    <row r="132" spans="1:60" hidden="1" x14ac:dyDescent="0.2">
      <c r="A132" s="648"/>
      <c r="B132" s="492" t="s">
        <v>235</v>
      </c>
      <c r="C132" s="656" t="s">
        <v>199</v>
      </c>
      <c r="D132" s="747"/>
      <c r="E132" s="220" t="s">
        <v>208</v>
      </c>
      <c r="F132" s="220"/>
      <c r="G132" s="220"/>
      <c r="H132" s="221" t="s">
        <v>70</v>
      </c>
      <c r="I132" s="90"/>
      <c r="J132" s="230"/>
      <c r="K132" s="90"/>
      <c r="L132" s="90"/>
      <c r="M132" s="230"/>
      <c r="N132" s="129"/>
      <c r="O132" s="347" t="str">
        <f>IF(O131=geen,nvt,HLOOKUP(IF(O$80="",referentie_verwarming,O$80),toestellen_RV,ROWS(bibliotheek!$E$79:$E$101),FALSE))</f>
        <v>elektriciteit</v>
      </c>
      <c r="P132" s="208" t="str">
        <f>IF(P131=geen,nvt,HLOOKUP(IF(P$80="",referentie_koeling,P$80),toestellen_KOEL,ROWS(bibliotheek!$E$170:$E$184),FALSE))</f>
        <v>nvt</v>
      </c>
      <c r="Q132" s="272" t="str">
        <f>IF(Q131=geen,nvt,HLOOKUP(IF(Q$80="",referentie_warmtapwater,Q$80),toestellen_TAP,ROWS(bibliotheek!$E$136:$E$158),FALSE))</f>
        <v>elektriciteit</v>
      </c>
      <c r="R132" s="332"/>
      <c r="S132" s="332"/>
      <c r="T132" s="332"/>
      <c r="U132" s="332"/>
      <c r="V132" s="332"/>
      <c r="W132" s="332"/>
      <c r="X132" s="122"/>
      <c r="Y132" s="230"/>
      <c r="Z132" s="129"/>
      <c r="AA132" s="347" t="str">
        <f>IF(AA131=geen,nvt,HLOOKUP(IF(AA$80="",referentie_verwarming,AA$80),toestellen_RV,ROWS(bibliotheek!$E$79:$E$101),FALSE))</f>
        <v>elektriciteit</v>
      </c>
      <c r="AB132" s="208" t="str">
        <f>IF(AB131=geen,nvt,HLOOKUP(IF(AB$80="",referentie_koeling,AB$80),toestellen_KOEL,ROWS(bibliotheek!$E$170:$E$184),FALSE))</f>
        <v>nvt</v>
      </c>
      <c r="AC132" s="272" t="str">
        <f>IF(AC131=geen,nvt,HLOOKUP(IF(AC$80="",referentie_warmtapwater,AC$80),toestellen_TAP,ROWS(bibliotheek!$E$136:$E$158),FALSE))</f>
        <v>elektriciteit</v>
      </c>
      <c r="AD132" s="332"/>
      <c r="AE132" s="332"/>
      <c r="AF132" s="332"/>
      <c r="AG132" s="332"/>
      <c r="AH132" s="332"/>
      <c r="AI132" s="332"/>
      <c r="AJ132" s="122"/>
      <c r="AK132" s="230"/>
      <c r="AL132" s="129"/>
      <c r="AM132" s="347" t="str">
        <f>IF(AM131=geen,nvt,HLOOKUP(IF(AM$80="",referentie_verwarming,AM$80),toestellen_RV,ROWS(bibliotheek!$E$79:$E$101),FALSE))</f>
        <v>elektriciteit</v>
      </c>
      <c r="AN132" s="208" t="str">
        <f>IF(AN131=geen,nvt,HLOOKUP(IF(AN$80="",referentie_koeling,AN$80),toestellen_KOEL,ROWS(bibliotheek!$E$170:$E$184),FALSE))</f>
        <v>nvt</v>
      </c>
      <c r="AO132" s="272" t="str">
        <f>IF(AO131=geen,nvt,HLOOKUP(IF(AO$80="",referentie_warmtapwater,AO$80),toestellen_TAP,ROWS(bibliotheek!$E$136:$E$158),FALSE))</f>
        <v>elektriciteit</v>
      </c>
      <c r="AP132" s="332"/>
      <c r="AQ132" s="332"/>
      <c r="AR132" s="332"/>
      <c r="AS132" s="332"/>
      <c r="AT132" s="332"/>
      <c r="AU132" s="332"/>
      <c r="AV132" s="122"/>
      <c r="AW132" s="230"/>
      <c r="AX132" s="129"/>
      <c r="AY132" s="347" t="str">
        <f>IF(AY131=geen,nvt,HLOOKUP(IF(AY$80="",referentie_verwarming,AY$80),toestellen_RV,ROWS(bibliotheek!$E$79:$E$101),FALSE))</f>
        <v>elektriciteit</v>
      </c>
      <c r="AZ132" s="208" t="str">
        <f>IF(AZ131=geen,nvt,HLOOKUP(IF(AZ$80="",referentie_koeling,AZ$80),toestellen_KOEL,ROWS(bibliotheek!$E$170:$E$184),FALSE))</f>
        <v>nvt</v>
      </c>
      <c r="BA132" s="272" t="str">
        <f>IF(BA131=geen,nvt,HLOOKUP(IF(BA$80="",referentie_warmtapwater,BA$80),toestellen_TAP,ROWS(bibliotheek!$E$136:$E$158),FALSE))</f>
        <v>elektriciteit</v>
      </c>
      <c r="BB132" s="332"/>
      <c r="BC132" s="332"/>
      <c r="BD132" s="332"/>
      <c r="BE132" s="332"/>
      <c r="BF132" s="332"/>
      <c r="BG132" s="332"/>
      <c r="BH132" s="214"/>
    </row>
    <row r="133" spans="1:60" hidden="1" x14ac:dyDescent="0.2">
      <c r="A133" s="648"/>
      <c r="B133" s="492" t="s">
        <v>235</v>
      </c>
      <c r="C133" s="739" t="s">
        <v>199</v>
      </c>
      <c r="D133" s="747"/>
      <c r="E133" s="221" t="s">
        <v>209</v>
      </c>
      <c r="F133" s="220"/>
      <c r="G133" s="220"/>
      <c r="H133" s="221" t="s">
        <v>70</v>
      </c>
      <c r="I133" s="146"/>
      <c r="J133" s="230"/>
      <c r="K133" s="822"/>
      <c r="L133" s="822"/>
      <c r="M133" s="230"/>
      <c r="N133" s="129"/>
      <c r="O133" s="347" t="str">
        <f>INDEX(energiedragers_index_fPren,MATCH(O132,energiedragers_namen,0))</f>
        <v>nren</v>
      </c>
      <c r="P133" s="208" t="str">
        <f>INDEX(energiedragers_index_fPren,MATCH(P132,energiedragers_namen,0))</f>
        <v>nren</v>
      </c>
      <c r="Q133" s="272" t="str">
        <f>INDEX(energiedragers_index_fPren,MATCH(Q132,energiedragers_namen,0))</f>
        <v>nren</v>
      </c>
      <c r="R133" s="333"/>
      <c r="S133" s="333"/>
      <c r="T133" s="333"/>
      <c r="U133" s="333"/>
      <c r="V133" s="333"/>
      <c r="W133" s="333"/>
      <c r="X133" s="889"/>
      <c r="Y133" s="230"/>
      <c r="Z133" s="129"/>
      <c r="AA133" s="347" t="str">
        <f>INDEX(energiedragers_index_fPren,MATCH(AA132,energiedragers_namen,0))</f>
        <v>nren</v>
      </c>
      <c r="AB133" s="208" t="str">
        <f>INDEX(energiedragers_index_fPren,MATCH(AB132,energiedragers_namen,0))</f>
        <v>nren</v>
      </c>
      <c r="AC133" s="272" t="str">
        <f>INDEX(energiedragers_index_fPren,MATCH(AC132,energiedragers_namen,0))</f>
        <v>nren</v>
      </c>
      <c r="AD133" s="333"/>
      <c r="AE133" s="333"/>
      <c r="AF133" s="333"/>
      <c r="AG133" s="333"/>
      <c r="AH133" s="333"/>
      <c r="AI133" s="333"/>
      <c r="AJ133" s="889"/>
      <c r="AK133" s="230"/>
      <c r="AL133" s="129"/>
      <c r="AM133" s="347" t="str">
        <f>INDEX(energiedragers_index_fPren,MATCH(AM132,energiedragers_namen,0))</f>
        <v>nren</v>
      </c>
      <c r="AN133" s="208" t="str">
        <f>INDEX(energiedragers_index_fPren,MATCH(AN132,energiedragers_namen,0))</f>
        <v>nren</v>
      </c>
      <c r="AO133" s="272" t="str">
        <f>INDEX(energiedragers_index_fPren,MATCH(AO132,energiedragers_namen,0))</f>
        <v>nren</v>
      </c>
      <c r="AP133" s="333"/>
      <c r="AQ133" s="333"/>
      <c r="AR133" s="333"/>
      <c r="AS133" s="333"/>
      <c r="AT133" s="333"/>
      <c r="AU133" s="333"/>
      <c r="AV133" s="889"/>
      <c r="AW133" s="230"/>
      <c r="AX133" s="129"/>
      <c r="AY133" s="347" t="str">
        <f>INDEX(energiedragers_index_fPren,MATCH(AY132,energiedragers_namen,0))</f>
        <v>nren</v>
      </c>
      <c r="AZ133" s="208" t="str">
        <f>INDEX(energiedragers_index_fPren,MATCH(AZ132,energiedragers_namen,0))</f>
        <v>nren</v>
      </c>
      <c r="BA133" s="272" t="str">
        <f>INDEX(energiedragers_index_fPren,MATCH(BA132,energiedragers_namen,0))</f>
        <v>nren</v>
      </c>
      <c r="BB133" s="333"/>
      <c r="BC133" s="333"/>
      <c r="BD133" s="333"/>
      <c r="BE133" s="333"/>
      <c r="BF133" s="333"/>
      <c r="BG133" s="333"/>
      <c r="BH133" s="264"/>
    </row>
    <row r="134" spans="1:60" hidden="1" x14ac:dyDescent="0.2">
      <c r="A134" s="648"/>
      <c r="B134" s="492" t="s">
        <v>235</v>
      </c>
      <c r="C134" s="656" t="s">
        <v>199</v>
      </c>
      <c r="D134" s="747"/>
      <c r="E134" s="220" t="s">
        <v>211</v>
      </c>
      <c r="F134" s="220"/>
      <c r="G134" s="220"/>
      <c r="H134" s="221" t="s">
        <v>70</v>
      </c>
      <c r="I134" s="90"/>
      <c r="J134" s="230"/>
      <c r="K134" s="115"/>
      <c r="L134" s="115"/>
      <c r="M134" s="230"/>
      <c r="N134" s="129"/>
      <c r="O134" s="348">
        <f>1-O105</f>
        <v>9.9999999999999978E-2</v>
      </c>
      <c r="P134" s="348">
        <f>1-P105</f>
        <v>0</v>
      </c>
      <c r="Q134" s="348">
        <f>1-Q105</f>
        <v>9.9999999999999978E-2</v>
      </c>
      <c r="R134" s="334"/>
      <c r="S134" s="334"/>
      <c r="T134" s="334"/>
      <c r="U134" s="334"/>
      <c r="V134" s="334"/>
      <c r="W134" s="334"/>
      <c r="X134" s="122"/>
      <c r="Y134" s="230"/>
      <c r="Z134" s="129"/>
      <c r="AA134" s="348">
        <f>1-AA105</f>
        <v>9.9999999999999978E-2</v>
      </c>
      <c r="AB134" s="348">
        <f>1-AB105</f>
        <v>0</v>
      </c>
      <c r="AC134" s="348">
        <f>1-AC105</f>
        <v>9.9999999999999978E-2</v>
      </c>
      <c r="AD134" s="334"/>
      <c r="AE134" s="334"/>
      <c r="AF134" s="334"/>
      <c r="AG134" s="334"/>
      <c r="AH134" s="334"/>
      <c r="AI134" s="334"/>
      <c r="AJ134" s="122"/>
      <c r="AK134" s="230"/>
      <c r="AL134" s="129"/>
      <c r="AM134" s="348">
        <f>1-AM105</f>
        <v>9.9999999999999978E-2</v>
      </c>
      <c r="AN134" s="348">
        <f>1-AN105</f>
        <v>0</v>
      </c>
      <c r="AO134" s="348">
        <f>1-AO105</f>
        <v>9.9999999999999978E-2</v>
      </c>
      <c r="AP134" s="334"/>
      <c r="AQ134" s="334"/>
      <c r="AR134" s="334"/>
      <c r="AS134" s="334"/>
      <c r="AT134" s="334"/>
      <c r="AU134" s="334"/>
      <c r="AV134" s="122"/>
      <c r="AW134" s="230"/>
      <c r="AX134" s="129"/>
      <c r="AY134" s="348">
        <f>1-AY105</f>
        <v>9.9999999999999978E-2</v>
      </c>
      <c r="AZ134" s="348">
        <f>1-AZ105</f>
        <v>0</v>
      </c>
      <c r="BA134" s="348">
        <f>1-BA105</f>
        <v>9.9999999999999978E-2</v>
      </c>
      <c r="BB134" s="334"/>
      <c r="BC134" s="334"/>
      <c r="BD134" s="334"/>
      <c r="BE134" s="334"/>
      <c r="BF134" s="334"/>
      <c r="BG134" s="334"/>
      <c r="BH134" s="214"/>
    </row>
    <row r="135" spans="1:60" hidden="1" x14ac:dyDescent="0.2">
      <c r="A135" s="648"/>
      <c r="B135" s="492" t="s">
        <v>235</v>
      </c>
      <c r="C135" s="656" t="s">
        <v>199</v>
      </c>
      <c r="D135" s="747"/>
      <c r="E135" s="220" t="s">
        <v>239</v>
      </c>
      <c r="F135" s="220"/>
      <c r="G135" s="220"/>
      <c r="H135" s="221" t="s">
        <v>177</v>
      </c>
      <c r="I135" s="90"/>
      <c r="J135" s="243">
        <f>M135+Y135+AK135+AW135</f>
        <v>0</v>
      </c>
      <c r="K135" s="294"/>
      <c r="L135" s="294"/>
      <c r="M135" s="243">
        <f>SUM(O135:X135)</f>
        <v>0</v>
      </c>
      <c r="N135" s="129"/>
      <c r="O135" s="207">
        <f>O$94*O134</f>
        <v>0</v>
      </c>
      <c r="P135" s="207">
        <f>P$94*P134</f>
        <v>0</v>
      </c>
      <c r="Q135" s="207">
        <f>Q$94*Q134</f>
        <v>0</v>
      </c>
      <c r="R135" s="335"/>
      <c r="S135" s="335"/>
      <c r="T135" s="335"/>
      <c r="U135" s="335"/>
      <c r="V135" s="335"/>
      <c r="W135" s="335"/>
      <c r="X135" s="118"/>
      <c r="Y135" s="243">
        <f>SUM(AA135:AJ135)</f>
        <v>0</v>
      </c>
      <c r="Z135" s="129"/>
      <c r="AA135" s="207">
        <f>AA$94*AA134</f>
        <v>0</v>
      </c>
      <c r="AB135" s="207">
        <f>AB$94*AB134</f>
        <v>0</v>
      </c>
      <c r="AC135" s="207">
        <f>AC$94*AC134</f>
        <v>0</v>
      </c>
      <c r="AD135" s="335"/>
      <c r="AE135" s="335"/>
      <c r="AF135" s="335"/>
      <c r="AG135" s="335"/>
      <c r="AH135" s="335"/>
      <c r="AI135" s="335"/>
      <c r="AJ135" s="118"/>
      <c r="AK135" s="243">
        <f>SUM(AM135:AV135)</f>
        <v>0</v>
      </c>
      <c r="AL135" s="129"/>
      <c r="AM135" s="207">
        <f>AM$94*AM134</f>
        <v>0</v>
      </c>
      <c r="AN135" s="207">
        <f>AN$94*AN134</f>
        <v>0</v>
      </c>
      <c r="AO135" s="207">
        <f>AO$94*AO134</f>
        <v>0</v>
      </c>
      <c r="AP135" s="335"/>
      <c r="AQ135" s="335"/>
      <c r="AR135" s="335"/>
      <c r="AS135" s="335"/>
      <c r="AT135" s="335"/>
      <c r="AU135" s="335"/>
      <c r="AV135" s="118"/>
      <c r="AW135" s="243">
        <f>SUM(AY135:BH135)</f>
        <v>0</v>
      </c>
      <c r="AX135" s="129"/>
      <c r="AY135" s="207">
        <f>AY$94*AY134</f>
        <v>0</v>
      </c>
      <c r="AZ135" s="207">
        <f>AZ$94*AZ134</f>
        <v>0</v>
      </c>
      <c r="BA135" s="207">
        <f>BA$94*BA134</f>
        <v>0</v>
      </c>
      <c r="BB135" s="335"/>
      <c r="BC135" s="335"/>
      <c r="BD135" s="335"/>
      <c r="BE135" s="335"/>
      <c r="BF135" s="335"/>
      <c r="BG135" s="335"/>
      <c r="BH135" s="255"/>
    </row>
    <row r="136" spans="1:60" x14ac:dyDescent="0.2">
      <c r="A136" s="648"/>
      <c r="B136" s="492" t="s">
        <v>235</v>
      </c>
      <c r="C136" s="656" t="s">
        <v>127</v>
      </c>
      <c r="D136" s="747"/>
      <c r="E136" s="316" t="s">
        <v>240</v>
      </c>
      <c r="F136" s="316"/>
      <c r="G136" s="316"/>
      <c r="H136" s="354" t="s">
        <v>70</v>
      </c>
      <c r="I136" s="90"/>
      <c r="J136" s="229"/>
      <c r="K136" s="90"/>
      <c r="L136" s="90"/>
      <c r="M136" s="229"/>
      <c r="N136" s="131"/>
      <c r="O136" s="415">
        <f>IF(O137&lt;&gt;"",O137,HLOOKUP(IF(O$80="",referentie_verwarming,O$80),toestellen_RV,ROWS(bibliotheek!$E$79:$E$103),FALSE))</f>
        <v>1</v>
      </c>
      <c r="P136" s="415">
        <f>IF(P137&lt;&gt;"",P137,HLOOKUP(IF(P$80="",referentie_koeling,P$80),toestellen_KOEL,ROWS(bibliotheek!$E$170:$E$186),FALSE))</f>
        <v>0</v>
      </c>
      <c r="Q136" s="415">
        <f>IF(Q137&lt;&gt;"",Q137,HLOOKUP(IF(Q$80="",referentie_warmtapwater,Q$80),toestellen_TAP,ROWS(bibliotheek!$E$136:$E$160),FALSE))</f>
        <v>1</v>
      </c>
      <c r="R136" s="416"/>
      <c r="S136" s="416"/>
      <c r="T136" s="416"/>
      <c r="U136" s="416"/>
      <c r="V136" s="416"/>
      <c r="W136" s="416"/>
      <c r="X136" s="417"/>
      <c r="Y136" s="418"/>
      <c r="Z136" s="129"/>
      <c r="AA136" s="415">
        <f>IF(AA137&lt;&gt;"",AA137,HLOOKUP(IF(AA$80="",referentie_verwarming,AA$80),toestellen_RV,ROWS(bibliotheek!$E$79:$E$103),FALSE))</f>
        <v>1</v>
      </c>
      <c r="AB136" s="415">
        <f>IF(AB137&lt;&gt;"",AB137,HLOOKUP(IF(AB$80="",referentie_koeling,AB$80),toestellen_KOEL,ROWS(bibliotheek!$E$170:$E$186),FALSE))</f>
        <v>0</v>
      </c>
      <c r="AC136" s="415">
        <f>IF(AC137&lt;&gt;"",AC137,HLOOKUP(IF(AC$80="",referentie_warmtapwater,AC$80),toestellen_TAP,ROWS(bibliotheek!$E$136:$E$160),FALSE))</f>
        <v>1</v>
      </c>
      <c r="AD136" s="416"/>
      <c r="AE136" s="416"/>
      <c r="AF136" s="416"/>
      <c r="AG136" s="416"/>
      <c r="AH136" s="416"/>
      <c r="AI136" s="416"/>
      <c r="AJ136" s="417"/>
      <c r="AK136" s="418"/>
      <c r="AL136" s="129"/>
      <c r="AM136" s="415">
        <f>IF(AM137&lt;&gt;"",AM137,HLOOKUP(IF(AM$80="",referentie_verwarming,AM$80),toestellen_RV,ROWS(bibliotheek!$E$79:$E$103),FALSE))</f>
        <v>1</v>
      </c>
      <c r="AN136" s="415">
        <f>IF(AN137&lt;&gt;"",AN137,HLOOKUP(IF(AN$80="",referentie_koeling,AN$80),toestellen_KOEL,ROWS(bibliotheek!$E$170:$E$186),FALSE))</f>
        <v>0</v>
      </c>
      <c r="AO136" s="415">
        <f>IF(AO137&lt;&gt;"",AO137,HLOOKUP(IF(AO$80="",referentie_warmtapwater,AO$80),toestellen_TAP,ROWS(bibliotheek!$E$136:$E$160),FALSE))</f>
        <v>1</v>
      </c>
      <c r="AP136" s="416"/>
      <c r="AQ136" s="416"/>
      <c r="AR136" s="416"/>
      <c r="AS136" s="416"/>
      <c r="AT136" s="416"/>
      <c r="AU136" s="416"/>
      <c r="AV136" s="417"/>
      <c r="AW136" s="418"/>
      <c r="AX136" s="129"/>
      <c r="AY136" s="415">
        <f>IF(AY137&lt;&gt;"",AY137,HLOOKUP(IF(AY$80="",referentie_verwarming,AY$80),toestellen_RV,ROWS(bibliotheek!$E$79:$E$103),FALSE))</f>
        <v>1</v>
      </c>
      <c r="AZ136" s="415">
        <f>IF(AZ137&lt;&gt;"",AZ137,HLOOKUP(IF(AZ$80="",referentie_koeling,AZ$80),toestellen_KOEL,ROWS(bibliotheek!$E$170:$E$186),FALSE))</f>
        <v>0</v>
      </c>
      <c r="BA136" s="415">
        <f>IF(BA137&lt;&gt;"",BA137,HLOOKUP(IF(BA$80="",referentie_warmtapwater,BA$80),toestellen_TAP,ROWS(bibliotheek!$E$136:$E$160),FALSE))</f>
        <v>1</v>
      </c>
      <c r="BB136" s="363"/>
      <c r="BC136" s="363"/>
      <c r="BD136" s="363"/>
      <c r="BE136" s="363"/>
      <c r="BF136" s="363"/>
      <c r="BG136" s="363"/>
      <c r="BH136" s="214"/>
    </row>
    <row r="137" spans="1:60" x14ac:dyDescent="0.2">
      <c r="A137" s="648"/>
      <c r="B137" s="492" t="s">
        <v>235</v>
      </c>
      <c r="C137" s="656" t="s">
        <v>127</v>
      </c>
      <c r="D137" s="747"/>
      <c r="E137" s="412" t="s">
        <v>215</v>
      </c>
      <c r="F137" s="317"/>
      <c r="G137" s="317"/>
      <c r="H137" s="355"/>
      <c r="I137" s="90"/>
      <c r="J137" s="362"/>
      <c r="K137" s="90"/>
      <c r="L137" s="90"/>
      <c r="M137" s="239"/>
      <c r="N137" s="196"/>
      <c r="O137" s="723"/>
      <c r="P137" s="724"/>
      <c r="Q137" s="723"/>
      <c r="R137" s="725"/>
      <c r="S137" s="725"/>
      <c r="T137" s="725"/>
      <c r="U137" s="725"/>
      <c r="V137" s="725"/>
      <c r="W137" s="725"/>
      <c r="X137" s="414"/>
      <c r="Y137" s="726"/>
      <c r="Z137" s="129"/>
      <c r="AA137" s="723"/>
      <c r="AB137" s="724"/>
      <c r="AC137" s="723"/>
      <c r="AD137" s="725"/>
      <c r="AE137" s="725"/>
      <c r="AF137" s="725"/>
      <c r="AG137" s="725"/>
      <c r="AH137" s="725"/>
      <c r="AI137" s="725"/>
      <c r="AJ137" s="414"/>
      <c r="AK137" s="726"/>
      <c r="AL137" s="129"/>
      <c r="AM137" s="723"/>
      <c r="AN137" s="724"/>
      <c r="AO137" s="723"/>
      <c r="AP137" s="725"/>
      <c r="AQ137" s="725"/>
      <c r="AR137" s="725"/>
      <c r="AS137" s="725"/>
      <c r="AT137" s="725"/>
      <c r="AU137" s="725"/>
      <c r="AV137" s="414"/>
      <c r="AW137" s="726"/>
      <c r="AX137" s="129"/>
      <c r="AY137" s="723"/>
      <c r="AZ137" s="724"/>
      <c r="BA137" s="723"/>
      <c r="BB137" s="364"/>
      <c r="BC137" s="364"/>
      <c r="BD137" s="364"/>
      <c r="BE137" s="364"/>
      <c r="BF137" s="364"/>
      <c r="BG137" s="364"/>
      <c r="BH137" s="214"/>
    </row>
    <row r="138" spans="1:60" hidden="1" x14ac:dyDescent="0.2">
      <c r="A138" s="648"/>
      <c r="B138" s="492" t="s">
        <v>235</v>
      </c>
      <c r="C138" s="656" t="s">
        <v>199</v>
      </c>
      <c r="D138" s="747"/>
      <c r="E138" s="220" t="s">
        <v>241</v>
      </c>
      <c r="F138" s="220"/>
      <c r="G138" s="220"/>
      <c r="H138" s="221" t="s">
        <v>220</v>
      </c>
      <c r="I138" s="90"/>
      <c r="J138" s="243">
        <f>M138+Y138+AK138+AW138</f>
        <v>0</v>
      </c>
      <c r="K138" s="294"/>
      <c r="L138" s="294"/>
      <c r="M138" s="243">
        <f>SUM(O138:X138)</f>
        <v>0</v>
      </c>
      <c r="N138" s="129"/>
      <c r="O138" s="207">
        <f>IF(O$136=0,0,O$135/O$136)</f>
        <v>0</v>
      </c>
      <c r="P138" s="207">
        <f>IF(P$136=0,0,P$135/P$136)</f>
        <v>0</v>
      </c>
      <c r="Q138" s="207">
        <f>IF(Q$136=0,0,Q$135/Q$136)</f>
        <v>0</v>
      </c>
      <c r="R138" s="335"/>
      <c r="S138" s="335"/>
      <c r="T138" s="335"/>
      <c r="U138" s="335"/>
      <c r="V138" s="335"/>
      <c r="W138" s="335"/>
      <c r="X138" s="118"/>
      <c r="Y138" s="243">
        <f>SUM(AA138:AJ138)</f>
        <v>0</v>
      </c>
      <c r="Z138" s="129"/>
      <c r="AA138" s="207">
        <f>IF(AA$136=0,0,AA$135/AA$136)</f>
        <v>0</v>
      </c>
      <c r="AB138" s="207">
        <f>IF(AB$136=0,0,AB$135/AB$136)</f>
        <v>0</v>
      </c>
      <c r="AC138" s="207">
        <f>IF(AC$136=0,0,AC$135/AC$136)</f>
        <v>0</v>
      </c>
      <c r="AD138" s="335"/>
      <c r="AE138" s="335"/>
      <c r="AF138" s="335"/>
      <c r="AG138" s="335"/>
      <c r="AH138" s="335"/>
      <c r="AI138" s="335"/>
      <c r="AJ138" s="118"/>
      <c r="AK138" s="243">
        <f>SUM(AM138:AV138)</f>
        <v>0</v>
      </c>
      <c r="AL138" s="129"/>
      <c r="AM138" s="207">
        <f>IF(AM$136=0,0,AM$135/AM$136)</f>
        <v>0</v>
      </c>
      <c r="AN138" s="207">
        <f>IF(AN$136=0,0,AN$135/AN$136)</f>
        <v>0</v>
      </c>
      <c r="AO138" s="207">
        <f>IF(AO$136=0,0,AO$135/AO$136)</f>
        <v>0</v>
      </c>
      <c r="AP138" s="335"/>
      <c r="AQ138" s="335"/>
      <c r="AR138" s="335"/>
      <c r="AS138" s="335"/>
      <c r="AT138" s="335"/>
      <c r="AU138" s="335"/>
      <c r="AV138" s="118"/>
      <c r="AW138" s="243">
        <f>SUM(AY138:BH138)</f>
        <v>0</v>
      </c>
      <c r="AX138" s="129"/>
      <c r="AY138" s="207">
        <f>IF(AY$136=0,0,AY$135/AY$136)</f>
        <v>0</v>
      </c>
      <c r="AZ138" s="207">
        <f>IF(AZ$136=0,0,AZ$135/AZ$136)</f>
        <v>0</v>
      </c>
      <c r="BA138" s="207">
        <f>IF(BA$136=0,0,BA$135/BA$136)</f>
        <v>0</v>
      </c>
      <c r="BB138" s="335"/>
      <c r="BC138" s="335"/>
      <c r="BD138" s="335"/>
      <c r="BE138" s="335"/>
      <c r="BF138" s="335"/>
      <c r="BG138" s="335"/>
      <c r="BH138" s="255"/>
    </row>
    <row r="139" spans="1:60" ht="18.75" x14ac:dyDescent="0.2">
      <c r="A139" s="648"/>
      <c r="B139" s="492" t="s">
        <v>235</v>
      </c>
      <c r="C139" s="739" t="s">
        <v>104</v>
      </c>
      <c r="D139" s="747"/>
      <c r="E139" s="144" t="s">
        <v>114</v>
      </c>
      <c r="F139" s="231"/>
      <c r="G139" s="231"/>
      <c r="H139" s="89"/>
      <c r="I139" s="232"/>
      <c r="J139" s="231"/>
      <c r="K139" s="232"/>
      <c r="L139" s="232"/>
      <c r="M139" s="231"/>
      <c r="N139" s="232"/>
      <c r="O139" s="232"/>
      <c r="P139" s="232"/>
      <c r="Q139" s="232"/>
      <c r="R139" s="232"/>
      <c r="S139" s="232"/>
      <c r="T139" s="232"/>
      <c r="U139" s="232"/>
      <c r="V139" s="232"/>
      <c r="W139" s="232"/>
      <c r="X139" s="232"/>
      <c r="Y139" s="231"/>
      <c r="Z139" s="232"/>
      <c r="AA139" s="232"/>
      <c r="AB139" s="232"/>
      <c r="AC139" s="232"/>
      <c r="AD139" s="232"/>
      <c r="AE139" s="232"/>
      <c r="AF139" s="232"/>
      <c r="AG139" s="232"/>
      <c r="AH139" s="232"/>
      <c r="AI139" s="232"/>
      <c r="AJ139" s="232"/>
      <c r="AK139" s="231"/>
      <c r="AL139" s="232"/>
      <c r="AM139" s="232"/>
      <c r="AN139" s="232"/>
      <c r="AO139" s="232"/>
      <c r="AP139" s="232"/>
      <c r="AQ139" s="232"/>
      <c r="AR139" s="232"/>
      <c r="AS139" s="232"/>
      <c r="AT139" s="232"/>
      <c r="AU139" s="232"/>
      <c r="AV139" s="232"/>
      <c r="AW139" s="231"/>
      <c r="AX139" s="232"/>
      <c r="AY139" s="232"/>
      <c r="AZ139" s="232"/>
      <c r="BA139" s="232"/>
      <c r="BB139" s="232"/>
      <c r="BC139" s="232"/>
      <c r="BD139" s="232"/>
      <c r="BE139" s="232"/>
      <c r="BF139" s="232"/>
      <c r="BG139" s="232"/>
      <c r="BH139" s="38"/>
    </row>
    <row r="140" spans="1:60" x14ac:dyDescent="0.2">
      <c r="A140" s="648"/>
      <c r="B140" s="492" t="s">
        <v>235</v>
      </c>
      <c r="C140" s="656" t="s">
        <v>127</v>
      </c>
      <c r="D140" s="750" t="s">
        <v>50</v>
      </c>
      <c r="E140" s="316" t="s">
        <v>222</v>
      </c>
      <c r="F140" s="316"/>
      <c r="G140" s="316"/>
      <c r="H140" s="354" t="s">
        <v>223</v>
      </c>
      <c r="I140" s="90"/>
      <c r="J140" s="229"/>
      <c r="K140" s="90"/>
      <c r="L140" s="90"/>
      <c r="M140" s="229"/>
      <c r="N140" s="131"/>
      <c r="O140" s="353">
        <f>IF(O135=0,0,IF(O141&lt;&gt;"",O141,IF(O132=elektriciteit,$G$5,HLOOKUP(O132,ENERGIEDRAGERS,ROWS(bibliotheek!$E$221:$E$223),FALSE))))</f>
        <v>0</v>
      </c>
      <c r="P140" s="353">
        <f>IF(P135=0,0,IF(P141&lt;&gt;"",P141,IF(HLOOKUP(P132,ENERGIEDRAGERS,ROWS(bibliotheek!$E$221:$E$222),FALSE)=0,$G$5,HLOOKUP(P132,ENERGIEDRAGERS,ROWS(bibliotheek!$E$221:$E$223),FALSE))))</f>
        <v>0</v>
      </c>
      <c r="Q140" s="353">
        <f>IF(Q135=0,0,IF(Q141&lt;&gt;"",Q141,IF(Q132=elektriciteit,$G$5,HLOOKUP(Q132,ENERGIEDRAGERS,ROWS(bibliotheek!$E$221:$E$223),FALSE))))</f>
        <v>0</v>
      </c>
      <c r="R140" s="365"/>
      <c r="S140" s="365"/>
      <c r="T140" s="365"/>
      <c r="U140" s="365"/>
      <c r="V140" s="365"/>
      <c r="W140" s="365"/>
      <c r="X140" s="122"/>
      <c r="Y140" s="229"/>
      <c r="Z140" s="131"/>
      <c r="AA140" s="353">
        <f>IF(AA135=0,0,IF(AA141&lt;&gt;"",AA141,IF(AA132=elektriciteit,$G$5,HLOOKUP(AA132,ENERGIEDRAGERS,ROWS(bibliotheek!$E$221:$E$223),FALSE))))</f>
        <v>0</v>
      </c>
      <c r="AB140" s="353">
        <f>IF(AB135=0,0,IF(AB141&lt;&gt;"",AB141,IF(HLOOKUP(AB132,ENERGIEDRAGERS,ROWS(bibliotheek!$E$221:$E$222),FALSE)=0,$G$5,HLOOKUP(AB132,ENERGIEDRAGERS,ROWS(bibliotheek!$E$221:$E$223),FALSE))))</f>
        <v>0</v>
      </c>
      <c r="AC140" s="353">
        <f>IF(AC135=0,0,IF(AC141&lt;&gt;"",AC141,IF(AC132=elektriciteit,$G$5,HLOOKUP(AC132,ENERGIEDRAGERS,ROWS(bibliotheek!$E$221:$E$223),FALSE))))</f>
        <v>0</v>
      </c>
      <c r="AD140" s="365"/>
      <c r="AE140" s="365"/>
      <c r="AF140" s="365"/>
      <c r="AG140" s="365"/>
      <c r="AH140" s="365"/>
      <c r="AI140" s="365"/>
      <c r="AJ140" s="122"/>
      <c r="AK140" s="229"/>
      <c r="AL140" s="131"/>
      <c r="AM140" s="353">
        <f>IF(AM135=0,0,IF(AM141&lt;&gt;"",AM141,IF(AM132=elektriciteit,$G$5,HLOOKUP(AM132,ENERGIEDRAGERS,ROWS(bibliotheek!$E$221:$E$223),FALSE))))</f>
        <v>0</v>
      </c>
      <c r="AN140" s="353">
        <f>IF(AN135=0,0,IF(AN141&lt;&gt;"",AN141,IF(HLOOKUP(AN132,ENERGIEDRAGERS,ROWS(bibliotheek!$E$221:$E$222),FALSE)=0,$G$5,HLOOKUP(AN132,ENERGIEDRAGERS,ROWS(bibliotheek!$E$221:$E$223),FALSE))))</f>
        <v>0</v>
      </c>
      <c r="AO140" s="353">
        <f>IF(AO135=0,0,IF(AO141&lt;&gt;"",AO141,IF(AO132=elektriciteit,$G$5,HLOOKUP(AO132,ENERGIEDRAGERS,ROWS(bibliotheek!$E$221:$E$223),FALSE))))</f>
        <v>0</v>
      </c>
      <c r="AP140" s="365"/>
      <c r="AQ140" s="365"/>
      <c r="AR140" s="365"/>
      <c r="AS140" s="365"/>
      <c r="AT140" s="365"/>
      <c r="AU140" s="365"/>
      <c r="AV140" s="122"/>
      <c r="AW140" s="229"/>
      <c r="AX140" s="131"/>
      <c r="AY140" s="353">
        <f>IF(AY135=0,0,IF(AY141&lt;&gt;"",AY141,IF(AY132=elektriciteit,$G$5,HLOOKUP(AY132,ENERGIEDRAGERS,ROWS(bibliotheek!$E$221:$E$223),FALSE))))</f>
        <v>0</v>
      </c>
      <c r="AZ140" s="353">
        <f>IF(AZ135=0,0,IF(AZ141&lt;&gt;"",AZ141,IF(HLOOKUP(AZ132,ENERGIEDRAGERS,ROWS(bibliotheek!$E$221:$E$222),FALSE)=0,$G$5,HLOOKUP(AZ132,ENERGIEDRAGERS,ROWS(bibliotheek!$E$221:$E$223),FALSE))))</f>
        <v>0</v>
      </c>
      <c r="BA140" s="353">
        <f>IF(BA135=0,0,IF(BA141&lt;&gt;"",BA141,IF(BA132=elektriciteit,$G$5,HLOOKUP(BA132,ENERGIEDRAGERS,ROWS(bibliotheek!$E$221:$E$223),FALSE))))</f>
        <v>0</v>
      </c>
      <c r="BB140" s="365"/>
      <c r="BC140" s="365"/>
      <c r="BD140" s="365"/>
      <c r="BE140" s="365"/>
      <c r="BF140" s="365"/>
      <c r="BG140" s="365"/>
      <c r="BH140" s="214"/>
    </row>
    <row r="141" spans="1:60" x14ac:dyDescent="0.2">
      <c r="A141" s="648"/>
      <c r="B141" s="492" t="s">
        <v>235</v>
      </c>
      <c r="C141" s="656" t="s">
        <v>127</v>
      </c>
      <c r="D141" s="747"/>
      <c r="E141" s="412" t="s">
        <v>224</v>
      </c>
      <c r="F141" s="317"/>
      <c r="G141" s="317"/>
      <c r="H141" s="355"/>
      <c r="I141" s="90"/>
      <c r="J141" s="362"/>
      <c r="K141" s="90"/>
      <c r="L141" s="90"/>
      <c r="M141" s="239"/>
      <c r="N141" s="196"/>
      <c r="O141" s="723"/>
      <c r="P141" s="724"/>
      <c r="Q141" s="723"/>
      <c r="R141" s="725"/>
      <c r="S141" s="725"/>
      <c r="T141" s="725"/>
      <c r="U141" s="725"/>
      <c r="V141" s="725"/>
      <c r="W141" s="725"/>
      <c r="X141" s="414"/>
      <c r="Y141" s="726"/>
      <c r="Z141" s="129"/>
      <c r="AA141" s="723"/>
      <c r="AB141" s="724"/>
      <c r="AC141" s="723"/>
      <c r="AD141" s="725"/>
      <c r="AE141" s="725"/>
      <c r="AF141" s="725"/>
      <c r="AG141" s="725"/>
      <c r="AH141" s="725"/>
      <c r="AI141" s="725"/>
      <c r="AJ141" s="414"/>
      <c r="AK141" s="726"/>
      <c r="AL141" s="129"/>
      <c r="AM141" s="723"/>
      <c r="AN141" s="724"/>
      <c r="AO141" s="723"/>
      <c r="AP141" s="725"/>
      <c r="AQ141" s="725"/>
      <c r="AR141" s="725"/>
      <c r="AS141" s="725"/>
      <c r="AT141" s="725"/>
      <c r="AU141" s="725"/>
      <c r="AV141" s="414"/>
      <c r="AW141" s="726"/>
      <c r="AX141" s="129"/>
      <c r="AY141" s="723"/>
      <c r="AZ141" s="724"/>
      <c r="BA141" s="723"/>
      <c r="BB141" s="364"/>
      <c r="BC141" s="364"/>
      <c r="BD141" s="364"/>
      <c r="BE141" s="364"/>
      <c r="BF141" s="364"/>
      <c r="BG141" s="364"/>
      <c r="BH141" s="214"/>
    </row>
    <row r="142" spans="1:60" x14ac:dyDescent="0.2">
      <c r="A142" s="648"/>
      <c r="B142" s="492" t="s">
        <v>235</v>
      </c>
      <c r="C142" s="656" t="s">
        <v>113</v>
      </c>
      <c r="D142" s="747"/>
      <c r="E142" s="220" t="s">
        <v>114</v>
      </c>
      <c r="F142" s="221"/>
      <c r="G142" s="221"/>
      <c r="H142" s="221" t="s">
        <v>115</v>
      </c>
      <c r="I142" s="90"/>
      <c r="J142" s="243">
        <f>M142+Y142+AK142+AW142</f>
        <v>0</v>
      </c>
      <c r="K142" s="823"/>
      <c r="L142" s="823"/>
      <c r="M142" s="243">
        <f>SUM(O142:X142)</f>
        <v>0</v>
      </c>
      <c r="N142" s="129"/>
      <c r="O142" s="207">
        <f>O$138*O$140</f>
        <v>0</v>
      </c>
      <c r="P142" s="207">
        <f>P$138*P$140</f>
        <v>0</v>
      </c>
      <c r="Q142" s="207">
        <f>Q$138*Q$140</f>
        <v>0</v>
      </c>
      <c r="R142" s="335"/>
      <c r="S142" s="335"/>
      <c r="T142" s="335"/>
      <c r="U142" s="335"/>
      <c r="V142" s="335"/>
      <c r="W142" s="335"/>
      <c r="X142" s="128"/>
      <c r="Y142" s="243">
        <f>SUM(AA142:AJ142)</f>
        <v>0</v>
      </c>
      <c r="Z142" s="129"/>
      <c r="AA142" s="207">
        <f>AA$138*AA$140</f>
        <v>0</v>
      </c>
      <c r="AB142" s="207">
        <f>AB$138*AB$140</f>
        <v>0</v>
      </c>
      <c r="AC142" s="207">
        <f>AC$138*AC$140</f>
        <v>0</v>
      </c>
      <c r="AD142" s="335"/>
      <c r="AE142" s="335"/>
      <c r="AF142" s="335"/>
      <c r="AG142" s="335"/>
      <c r="AH142" s="335"/>
      <c r="AI142" s="335"/>
      <c r="AJ142" s="128"/>
      <c r="AK142" s="243">
        <f>SUM(AM142:AV142)</f>
        <v>0</v>
      </c>
      <c r="AL142" s="129"/>
      <c r="AM142" s="207">
        <f>AM$138*AM$140</f>
        <v>0</v>
      </c>
      <c r="AN142" s="207">
        <f>AN$138*AN$140</f>
        <v>0</v>
      </c>
      <c r="AO142" s="207">
        <f>AO$138*AO$140</f>
        <v>0</v>
      </c>
      <c r="AP142" s="335"/>
      <c r="AQ142" s="335"/>
      <c r="AR142" s="335"/>
      <c r="AS142" s="335"/>
      <c r="AT142" s="335"/>
      <c r="AU142" s="335"/>
      <c r="AV142" s="128"/>
      <c r="AW142" s="243">
        <f>SUM(AY142:BH142)</f>
        <v>0</v>
      </c>
      <c r="AX142" s="129"/>
      <c r="AY142" s="207">
        <f>AY$138*AY$140</f>
        <v>0</v>
      </c>
      <c r="AZ142" s="207">
        <f>AZ$138*AZ$140</f>
        <v>0</v>
      </c>
      <c r="BA142" s="207">
        <f>BA$138*BA$140</f>
        <v>0</v>
      </c>
      <c r="BB142" s="335"/>
      <c r="BC142" s="335"/>
      <c r="BD142" s="335"/>
      <c r="BE142" s="335"/>
      <c r="BF142" s="335"/>
      <c r="BG142" s="335"/>
      <c r="BH142" s="255"/>
    </row>
    <row r="143" spans="1:60" ht="18.75" x14ac:dyDescent="0.2">
      <c r="A143" s="648"/>
      <c r="B143" s="492" t="s">
        <v>235</v>
      </c>
      <c r="C143" s="739" t="s">
        <v>104</v>
      </c>
      <c r="D143" s="747"/>
      <c r="E143" s="231" t="s">
        <v>116</v>
      </c>
      <c r="F143" s="231"/>
      <c r="G143" s="231"/>
      <c r="H143" s="89"/>
      <c r="I143" s="232"/>
      <c r="J143" s="231"/>
      <c r="K143" s="232"/>
      <c r="L143" s="232"/>
      <c r="M143" s="231"/>
      <c r="N143" s="232"/>
      <c r="O143" s="232"/>
      <c r="P143" s="232"/>
      <c r="Q143" s="232"/>
      <c r="R143" s="232"/>
      <c r="S143" s="232"/>
      <c r="T143" s="232"/>
      <c r="U143" s="232"/>
      <c r="V143" s="232"/>
      <c r="W143" s="232"/>
      <c r="X143" s="232"/>
      <c r="Y143" s="231"/>
      <c r="Z143" s="232"/>
      <c r="AA143" s="232"/>
      <c r="AB143" s="232"/>
      <c r="AC143" s="232"/>
      <c r="AD143" s="232"/>
      <c r="AE143" s="232"/>
      <c r="AF143" s="232"/>
      <c r="AG143" s="232"/>
      <c r="AH143" s="232"/>
      <c r="AI143" s="232"/>
      <c r="AJ143" s="232"/>
      <c r="AK143" s="231"/>
      <c r="AL143" s="232"/>
      <c r="AM143" s="232"/>
      <c r="AN143" s="232"/>
      <c r="AO143" s="232"/>
      <c r="AP143" s="232"/>
      <c r="AQ143" s="232"/>
      <c r="AR143" s="232"/>
      <c r="AS143" s="232"/>
      <c r="AT143" s="232"/>
      <c r="AU143" s="232"/>
      <c r="AV143" s="232"/>
      <c r="AW143" s="231"/>
      <c r="AX143" s="232"/>
      <c r="AY143" s="232"/>
      <c r="AZ143" s="232"/>
      <c r="BA143" s="232"/>
      <c r="BB143" s="232"/>
      <c r="BC143" s="232"/>
      <c r="BD143" s="232"/>
      <c r="BE143" s="232"/>
      <c r="BF143" s="232"/>
      <c r="BG143" s="232"/>
      <c r="BH143" s="38"/>
    </row>
    <row r="144" spans="1:60" x14ac:dyDescent="0.2">
      <c r="A144" s="648"/>
      <c r="B144" s="492" t="s">
        <v>235</v>
      </c>
      <c r="C144" s="656" t="s">
        <v>127</v>
      </c>
      <c r="D144" s="747"/>
      <c r="E144" s="366" t="s">
        <v>225</v>
      </c>
      <c r="F144" s="316"/>
      <c r="G144" s="316"/>
      <c r="H144" s="354" t="s">
        <v>226</v>
      </c>
      <c r="I144" s="90"/>
      <c r="J144" s="229"/>
      <c r="K144" s="90"/>
      <c r="L144" s="90"/>
      <c r="M144" s="229"/>
      <c r="N144" s="131"/>
      <c r="O144" s="415">
        <f>IF(O135=0,0,IF(O145&lt;&gt;"",O145,IF(O132=elektriciteit,$H$5,
HLOOKUP(O132,ENERGIEDRAGERS,ROWS(bibliotheek!$E$221:$E$224),FALSE))))</f>
        <v>0</v>
      </c>
      <c r="P144" s="415">
        <f>IF(P135=0,0,IF(P145&lt;&gt;"",P145,IF(P132=elektriciteit,$H$5,
HLOOKUP(P132,ENERGIEDRAGERS,ROWS(bibliotheek!$E$221:$E$224),FALSE))))</f>
        <v>0</v>
      </c>
      <c r="Q144" s="415">
        <f>IF(Q135=0,0,IF(Q145&lt;&gt;"",Q145,IF(Q132=elektriciteit,$H$5,
HLOOKUP(Q132,ENERGIEDRAGERS,ROWS(bibliotheek!$E$221:$E$224),FALSE))))</f>
        <v>0</v>
      </c>
      <c r="R144" s="416"/>
      <c r="S144" s="416"/>
      <c r="T144" s="416"/>
      <c r="U144" s="416"/>
      <c r="V144" s="416"/>
      <c r="W144" s="416"/>
      <c r="X144" s="417"/>
      <c r="Y144" s="229"/>
      <c r="Z144" s="419"/>
      <c r="AA144" s="415">
        <f>IF(AA135=0,0,IF(AA145&lt;&gt;"",AA145,IF(AA132=elektriciteit,$H$5,
HLOOKUP(AA132,ENERGIEDRAGERS,ROWS(bibliotheek!$E$221:$E$224),FALSE))))</f>
        <v>0</v>
      </c>
      <c r="AB144" s="415">
        <f>IF(AB135=0,0,IF(AB145&lt;&gt;"",AB145,IF(AB132=elektriciteit,$H$5,
HLOOKUP(AB132,ENERGIEDRAGERS,ROWS(bibliotheek!$E$221:$E$224),FALSE))))</f>
        <v>0</v>
      </c>
      <c r="AC144" s="415">
        <f>IF(AC135=0,0,IF(AC145&lt;&gt;"",AC145,IF(AC132=elektriciteit,$H$5,
HLOOKUP(AC132,ENERGIEDRAGERS,ROWS(bibliotheek!$E$221:$E$224),FALSE))))</f>
        <v>0</v>
      </c>
      <c r="AD144" s="416"/>
      <c r="AE144" s="416"/>
      <c r="AF144" s="416"/>
      <c r="AG144" s="416"/>
      <c r="AH144" s="416"/>
      <c r="AI144" s="416"/>
      <c r="AJ144" s="417"/>
      <c r="AK144" s="229"/>
      <c r="AL144" s="419"/>
      <c r="AM144" s="415">
        <f>IF(AM135=0,0,IF(AM145&lt;&gt;"",AM145,IF(AM132=elektriciteit,$H$5,
HLOOKUP(AM132,ENERGIEDRAGERS,ROWS(bibliotheek!$E$221:$E$224),FALSE))))</f>
        <v>0</v>
      </c>
      <c r="AN144" s="415">
        <f>IF(AN135=0,0,IF(AN145&lt;&gt;"",AN145,IF(AN132=elektriciteit,$H$5,
HLOOKUP(AN132,ENERGIEDRAGERS,ROWS(bibliotheek!$E$221:$E$224),FALSE))))</f>
        <v>0</v>
      </c>
      <c r="AO144" s="415">
        <f>IF(AO135=0,0,IF(AO145&lt;&gt;"",AO145,IF(AO132=elektriciteit,$H$5,
HLOOKUP(AO132,ENERGIEDRAGERS,ROWS(bibliotheek!$E$221:$E$224),FALSE))))</f>
        <v>0</v>
      </c>
      <c r="AP144" s="416"/>
      <c r="AQ144" s="416"/>
      <c r="AR144" s="416"/>
      <c r="AS144" s="416"/>
      <c r="AT144" s="416"/>
      <c r="AU144" s="416"/>
      <c r="AV144" s="417"/>
      <c r="AW144" s="229"/>
      <c r="AX144" s="419"/>
      <c r="AY144" s="415">
        <f>IF(AY135=0,0,IF(AY145&lt;&gt;"",AY145,IF(AY132=elektriciteit,$H$5,
HLOOKUP(AY132,ENERGIEDRAGERS,ROWS(bibliotheek!$E$221:$E$224),FALSE))))</f>
        <v>0</v>
      </c>
      <c r="AZ144" s="415">
        <f>IF(AZ135=0,0,IF(AZ145&lt;&gt;"",AZ145,IF(AZ132=elektriciteit,$H$5,
HLOOKUP(AZ132,ENERGIEDRAGERS,ROWS(bibliotheek!$E$221:$E$224),FALSE))))</f>
        <v>0</v>
      </c>
      <c r="BA144" s="415">
        <f>IF(BA135=0,0,IF(BA145&lt;&gt;"",BA145,IF(BA132=elektriciteit,$H$5,
HLOOKUP(BA132,ENERGIEDRAGERS,ROWS(bibliotheek!$E$221:$E$224),FALSE))))</f>
        <v>0</v>
      </c>
      <c r="BB144" s="365"/>
      <c r="BC144" s="365"/>
      <c r="BD144" s="365"/>
      <c r="BE144" s="365"/>
      <c r="BF144" s="365"/>
      <c r="BG144" s="365"/>
      <c r="BH144" s="214"/>
    </row>
    <row r="145" spans="1:60" x14ac:dyDescent="0.2">
      <c r="A145" s="648"/>
      <c r="B145" s="492" t="s">
        <v>235</v>
      </c>
      <c r="C145" s="656" t="s">
        <v>127</v>
      </c>
      <c r="D145" s="747"/>
      <c r="E145" s="412" t="s">
        <v>227</v>
      </c>
      <c r="F145" s="317"/>
      <c r="G145" s="317"/>
      <c r="H145" s="355"/>
      <c r="I145" s="90"/>
      <c r="J145" s="362"/>
      <c r="K145" s="90"/>
      <c r="L145" s="90"/>
      <c r="M145" s="239"/>
      <c r="N145" s="196"/>
      <c r="O145" s="723"/>
      <c r="P145" s="724"/>
      <c r="Q145" s="723"/>
      <c r="R145" s="725"/>
      <c r="S145" s="725"/>
      <c r="T145" s="725"/>
      <c r="U145" s="725"/>
      <c r="V145" s="725"/>
      <c r="W145" s="725"/>
      <c r="X145" s="414"/>
      <c r="Y145" s="726"/>
      <c r="Z145" s="129"/>
      <c r="AA145" s="723"/>
      <c r="AB145" s="724"/>
      <c r="AC145" s="723"/>
      <c r="AD145" s="725"/>
      <c r="AE145" s="725"/>
      <c r="AF145" s="725"/>
      <c r="AG145" s="725"/>
      <c r="AH145" s="725"/>
      <c r="AI145" s="725"/>
      <c r="AJ145" s="414"/>
      <c r="AK145" s="726"/>
      <c r="AL145" s="129"/>
      <c r="AM145" s="723"/>
      <c r="AN145" s="724"/>
      <c r="AO145" s="723"/>
      <c r="AP145" s="725"/>
      <c r="AQ145" s="725"/>
      <c r="AR145" s="725"/>
      <c r="AS145" s="725"/>
      <c r="AT145" s="725"/>
      <c r="AU145" s="725"/>
      <c r="AV145" s="414"/>
      <c r="AW145" s="726"/>
      <c r="AX145" s="129"/>
      <c r="AY145" s="723"/>
      <c r="AZ145" s="724"/>
      <c r="BA145" s="723"/>
      <c r="BB145" s="364"/>
      <c r="BC145" s="364"/>
      <c r="BD145" s="364"/>
      <c r="BE145" s="364"/>
      <c r="BF145" s="364"/>
      <c r="BG145" s="364"/>
      <c r="BH145" s="214"/>
    </row>
    <row r="146" spans="1:60" x14ac:dyDescent="0.2">
      <c r="A146" s="648"/>
      <c r="B146" s="492" t="s">
        <v>235</v>
      </c>
      <c r="C146" s="656" t="s">
        <v>113</v>
      </c>
      <c r="D146" s="747"/>
      <c r="E146" s="220" t="s">
        <v>116</v>
      </c>
      <c r="F146" s="221"/>
      <c r="G146" s="221"/>
      <c r="H146" s="221" t="s">
        <v>117</v>
      </c>
      <c r="I146" s="90"/>
      <c r="J146" s="243">
        <f>M146+Y146+AK146+AW146</f>
        <v>0</v>
      </c>
      <c r="K146" s="823"/>
      <c r="L146" s="823"/>
      <c r="M146" s="243">
        <f>SUM(O146:X146)</f>
        <v>0</v>
      </c>
      <c r="N146" s="129"/>
      <c r="O146" s="207">
        <f>O$138*O$144</f>
        <v>0</v>
      </c>
      <c r="P146" s="207">
        <f>P$138*P$144</f>
        <v>0</v>
      </c>
      <c r="Q146" s="207">
        <f>Q$138*Q$144</f>
        <v>0</v>
      </c>
      <c r="R146" s="335"/>
      <c r="S146" s="335"/>
      <c r="T146" s="335"/>
      <c r="U146" s="335"/>
      <c r="V146" s="335"/>
      <c r="W146" s="335"/>
      <c r="X146" s="128"/>
      <c r="Y146" s="243">
        <f>SUM(AA146:AJ146)</f>
        <v>0</v>
      </c>
      <c r="Z146" s="129"/>
      <c r="AA146" s="207">
        <f>AA$138*AA$144</f>
        <v>0</v>
      </c>
      <c r="AB146" s="207">
        <f>AB$138*AB$144</f>
        <v>0</v>
      </c>
      <c r="AC146" s="207">
        <f>AC$138*AC$144</f>
        <v>0</v>
      </c>
      <c r="AD146" s="335"/>
      <c r="AE146" s="335"/>
      <c r="AF146" s="335"/>
      <c r="AG146" s="335"/>
      <c r="AH146" s="335"/>
      <c r="AI146" s="335"/>
      <c r="AJ146" s="128"/>
      <c r="AK146" s="243">
        <f>SUM(AM146:AV146)</f>
        <v>0</v>
      </c>
      <c r="AL146" s="129"/>
      <c r="AM146" s="207">
        <f>AM$138*AM$144</f>
        <v>0</v>
      </c>
      <c r="AN146" s="207">
        <f>AN$138*AN$144</f>
        <v>0</v>
      </c>
      <c r="AO146" s="207">
        <f>AO$138*AO$144</f>
        <v>0</v>
      </c>
      <c r="AP146" s="335"/>
      <c r="AQ146" s="335"/>
      <c r="AR146" s="335"/>
      <c r="AS146" s="335"/>
      <c r="AT146" s="335"/>
      <c r="AU146" s="335"/>
      <c r="AV146" s="128"/>
      <c r="AW146" s="243">
        <f>SUM(AY146:BH146)</f>
        <v>0</v>
      </c>
      <c r="AX146" s="129"/>
      <c r="AY146" s="207">
        <f>AY$138*AY$144</f>
        <v>0</v>
      </c>
      <c r="AZ146" s="207">
        <f>AZ$138*AZ$144</f>
        <v>0</v>
      </c>
      <c r="BA146" s="207">
        <f>BA$138*BA$144</f>
        <v>0</v>
      </c>
      <c r="BB146" s="335"/>
      <c r="BC146" s="335"/>
      <c r="BD146" s="335"/>
      <c r="BE146" s="335"/>
      <c r="BF146" s="335"/>
      <c r="BG146" s="335"/>
      <c r="BH146" s="255"/>
    </row>
    <row r="147" spans="1:60" x14ac:dyDescent="0.2">
      <c r="A147" s="648"/>
      <c r="B147" s="741" t="s">
        <v>242</v>
      </c>
      <c r="C147" s="656" t="s">
        <v>113</v>
      </c>
      <c r="D147" s="747"/>
      <c r="E147" s="90"/>
      <c r="F147" s="90"/>
      <c r="G147" s="90"/>
      <c r="H147" s="96"/>
      <c r="I147" s="90"/>
      <c r="J147" s="93"/>
      <c r="K147" s="90"/>
      <c r="L147" s="90"/>
      <c r="M147" s="93"/>
      <c r="N147" s="90"/>
      <c r="O147" s="90"/>
      <c r="P147" s="90"/>
      <c r="Q147" s="90"/>
      <c r="R147" s="93"/>
      <c r="S147" s="93"/>
      <c r="T147" s="93"/>
      <c r="U147" s="93"/>
      <c r="V147" s="93"/>
      <c r="W147" s="93"/>
      <c r="X147" s="93"/>
      <c r="Y147" s="93"/>
      <c r="Z147" s="90"/>
      <c r="AA147" s="187"/>
      <c r="AB147" s="187"/>
      <c r="AC147" s="187"/>
      <c r="AD147" s="93"/>
      <c r="AE147" s="93"/>
      <c r="AF147" s="93"/>
      <c r="AG147" s="93"/>
      <c r="AH147" s="93"/>
      <c r="AI147" s="93"/>
      <c r="AJ147" s="93"/>
      <c r="AK147" s="93"/>
      <c r="AL147" s="90"/>
      <c r="AM147" s="187"/>
      <c r="AN147" s="187"/>
      <c r="AO147" s="187"/>
      <c r="AP147" s="93"/>
      <c r="AQ147" s="93"/>
      <c r="AR147" s="93"/>
      <c r="AS147" s="93"/>
      <c r="AT147" s="93"/>
      <c r="AU147" s="93"/>
      <c r="AV147" s="93"/>
      <c r="AW147" s="93"/>
      <c r="AX147" s="90"/>
      <c r="AY147" s="187"/>
      <c r="AZ147" s="187"/>
      <c r="BA147" s="187"/>
      <c r="BB147" s="93"/>
      <c r="BC147" s="93"/>
      <c r="BD147" s="93"/>
      <c r="BE147" s="93"/>
      <c r="BF147" s="93"/>
      <c r="BG147" s="93"/>
      <c r="BH147" s="1"/>
    </row>
    <row r="148" spans="1:60" x14ac:dyDescent="0.2">
      <c r="A148" s="648"/>
      <c r="B148" s="492" t="s">
        <v>243</v>
      </c>
      <c r="C148" s="656" t="s">
        <v>104</v>
      </c>
      <c r="D148" s="747"/>
      <c r="E148" s="90"/>
      <c r="F148" s="90"/>
      <c r="G148" s="90"/>
      <c r="H148" s="96"/>
      <c r="I148" s="90"/>
      <c r="J148" s="93"/>
      <c r="K148" s="90"/>
      <c r="L148" s="90"/>
      <c r="M148" s="93"/>
      <c r="N148" s="90"/>
      <c r="O148" s="128"/>
      <c r="P148" s="93"/>
      <c r="Q148" s="93"/>
      <c r="R148" s="93"/>
      <c r="S148" s="93"/>
      <c r="T148" s="93"/>
      <c r="U148" s="93"/>
      <c r="V148" s="93"/>
      <c r="W148" s="93"/>
      <c r="X148" s="93"/>
      <c r="Y148" s="93"/>
      <c r="Z148" s="90"/>
      <c r="AA148" s="128"/>
      <c r="AB148" s="93"/>
      <c r="AC148" s="93"/>
      <c r="AD148" s="93"/>
      <c r="AE148" s="93"/>
      <c r="AF148" s="93"/>
      <c r="AG148" s="93"/>
      <c r="AH148" s="93"/>
      <c r="AI148" s="93"/>
      <c r="AJ148" s="93"/>
      <c r="AK148" s="93"/>
      <c r="AL148" s="90"/>
      <c r="AM148" s="128"/>
      <c r="AN148" s="93"/>
      <c r="AO148" s="93"/>
      <c r="AP148" s="93"/>
      <c r="AQ148" s="93"/>
      <c r="AR148" s="93"/>
      <c r="AS148" s="93"/>
      <c r="AT148" s="93"/>
      <c r="AU148" s="93"/>
      <c r="AV148" s="93"/>
      <c r="AW148" s="93"/>
      <c r="AX148" s="90"/>
      <c r="AY148" s="128"/>
      <c r="AZ148" s="93"/>
      <c r="BA148" s="93"/>
      <c r="BB148" s="93"/>
      <c r="BC148" s="93"/>
      <c r="BD148" s="93"/>
      <c r="BE148" s="93"/>
      <c r="BF148" s="93"/>
      <c r="BG148" s="93"/>
      <c r="BH148" s="1"/>
    </row>
    <row r="149" spans="1:60" ht="21" x14ac:dyDescent="0.2">
      <c r="A149" s="648"/>
      <c r="B149" s="492" t="s">
        <v>243</v>
      </c>
      <c r="C149" s="739" t="s">
        <v>104</v>
      </c>
      <c r="D149" s="750" t="s">
        <v>50</v>
      </c>
      <c r="E149" s="240" t="s">
        <v>244</v>
      </c>
      <c r="F149" s="240"/>
      <c r="G149" s="825"/>
      <c r="H149" s="216"/>
      <c r="I149" s="88"/>
      <c r="J149" s="241" t="s">
        <v>58</v>
      </c>
      <c r="K149" s="142"/>
      <c r="L149" s="142"/>
      <c r="M149" s="216" t="s">
        <v>237</v>
      </c>
      <c r="N149" s="222"/>
      <c r="O149" s="217" t="str">
        <f t="shared" ref="O149:V149" si="93">O$10</f>
        <v>verwarming</v>
      </c>
      <c r="P149" s="217" t="str">
        <f t="shared" si="93"/>
        <v>koeling</v>
      </c>
      <c r="Q149" s="217" t="str">
        <f t="shared" si="93"/>
        <v>tapwater</v>
      </c>
      <c r="R149" s="217" t="str">
        <f t="shared" si="93"/>
        <v>verlichting</v>
      </c>
      <c r="S149" s="217" t="str">
        <f t="shared" si="93"/>
        <v>ventilatoren</v>
      </c>
      <c r="T149" s="217" t="str">
        <f t="shared" si="93"/>
        <v>kookgas</v>
      </c>
      <c r="U149" s="217" t="str">
        <f t="shared" si="93"/>
        <v>overig elektra</v>
      </c>
      <c r="V149" s="217" t="str">
        <f t="shared" si="93"/>
        <v>mobiliteit</v>
      </c>
      <c r="W149" s="217"/>
      <c r="X149" s="214"/>
      <c r="Y149" s="216" t="s">
        <v>237</v>
      </c>
      <c r="Z149" s="222"/>
      <c r="AA149" s="217" t="str">
        <f t="shared" ref="AA149:AH149" si="94">AA$10</f>
        <v>verwarming</v>
      </c>
      <c r="AB149" s="217" t="str">
        <f t="shared" si="94"/>
        <v>koeling</v>
      </c>
      <c r="AC149" s="217" t="str">
        <f t="shared" si="94"/>
        <v>tapwater</v>
      </c>
      <c r="AD149" s="217" t="str">
        <f t="shared" si="94"/>
        <v>verlichting</v>
      </c>
      <c r="AE149" s="217" t="str">
        <f t="shared" si="94"/>
        <v>ventilatoren</v>
      </c>
      <c r="AF149" s="217" t="str">
        <f t="shared" si="94"/>
        <v>kookgas</v>
      </c>
      <c r="AG149" s="217" t="str">
        <f t="shared" si="94"/>
        <v>overig elektra</v>
      </c>
      <c r="AH149" s="217" t="str">
        <f t="shared" si="94"/>
        <v>mobiliteit</v>
      </c>
      <c r="AI149" s="217"/>
      <c r="AJ149" s="214"/>
      <c r="AK149" s="216" t="s">
        <v>237</v>
      </c>
      <c r="AL149" s="222"/>
      <c r="AM149" s="217" t="str">
        <f>AM$10</f>
        <v>verwarming</v>
      </c>
      <c r="AN149" s="217" t="str">
        <f t="shared" ref="AN149:AT149" si="95">AN$10</f>
        <v>koeling</v>
      </c>
      <c r="AO149" s="217" t="str">
        <f t="shared" si="95"/>
        <v>tapwater</v>
      </c>
      <c r="AP149" s="217" t="str">
        <f t="shared" si="95"/>
        <v>verlichting</v>
      </c>
      <c r="AQ149" s="217" t="str">
        <f t="shared" si="95"/>
        <v>ventilatoren</v>
      </c>
      <c r="AR149" s="217" t="str">
        <f t="shared" si="95"/>
        <v>kookgas</v>
      </c>
      <c r="AS149" s="217" t="str">
        <f t="shared" si="95"/>
        <v>overig elektra</v>
      </c>
      <c r="AT149" s="217" t="str">
        <f t="shared" si="95"/>
        <v>mobiliteit</v>
      </c>
      <c r="AU149" s="217"/>
      <c r="AV149" s="214"/>
      <c r="AW149" s="216" t="s">
        <v>237</v>
      </c>
      <c r="AX149" s="222"/>
      <c r="AY149" s="217" t="str">
        <f>AY$10</f>
        <v>verwarming</v>
      </c>
      <c r="AZ149" s="217" t="str">
        <f t="shared" ref="AZ149:BF149" si="96">AZ$10</f>
        <v>koeling</v>
      </c>
      <c r="BA149" s="217" t="str">
        <f t="shared" si="96"/>
        <v>tapwater</v>
      </c>
      <c r="BB149" s="217" t="str">
        <f t="shared" si="96"/>
        <v>verlichting</v>
      </c>
      <c r="BC149" s="217" t="str">
        <f t="shared" si="96"/>
        <v>ventilatoren</v>
      </c>
      <c r="BD149" s="217" t="str">
        <f t="shared" si="96"/>
        <v>kookgas</v>
      </c>
      <c r="BE149" s="217" t="str">
        <f t="shared" si="96"/>
        <v>overig elektra</v>
      </c>
      <c r="BF149" s="217" t="str">
        <f t="shared" si="96"/>
        <v>mobiliteit</v>
      </c>
      <c r="BG149" s="217"/>
      <c r="BH149" s="1"/>
    </row>
    <row r="150" spans="1:60" ht="18.75" x14ac:dyDescent="0.2">
      <c r="A150" s="648"/>
      <c r="B150" s="492" t="s">
        <v>243</v>
      </c>
      <c r="C150" s="739" t="s">
        <v>104</v>
      </c>
      <c r="D150" s="747"/>
      <c r="E150" s="231" t="s">
        <v>245</v>
      </c>
      <c r="F150" s="231"/>
      <c r="G150" s="231"/>
      <c r="H150" s="89"/>
      <c r="I150" s="232"/>
      <c r="J150" s="231"/>
      <c r="K150" s="232"/>
      <c r="L150" s="232"/>
      <c r="M150" s="231"/>
      <c r="N150" s="232"/>
      <c r="O150" s="232"/>
      <c r="P150" s="232"/>
      <c r="Q150" s="232"/>
      <c r="R150" s="232"/>
      <c r="S150" s="232"/>
      <c r="T150" s="232"/>
      <c r="U150" s="232"/>
      <c r="V150" s="232"/>
      <c r="W150" s="232"/>
      <c r="X150" s="232"/>
      <c r="Y150" s="231"/>
      <c r="Z150" s="232"/>
      <c r="AA150" s="232"/>
      <c r="AB150" s="232"/>
      <c r="AC150" s="232"/>
      <c r="AD150" s="232"/>
      <c r="AE150" s="232"/>
      <c r="AF150" s="232"/>
      <c r="AG150" s="232"/>
      <c r="AH150" s="232"/>
      <c r="AI150" s="232"/>
      <c r="AJ150" s="232"/>
      <c r="AK150" s="231"/>
      <c r="AL150" s="232"/>
      <c r="AM150" s="232"/>
      <c r="AN150" s="232"/>
      <c r="AO150" s="232"/>
      <c r="AP150" s="232"/>
      <c r="AQ150" s="232"/>
      <c r="AR150" s="232"/>
      <c r="AS150" s="232"/>
      <c r="AT150" s="232"/>
      <c r="AU150" s="232"/>
      <c r="AV150" s="232"/>
      <c r="AW150" s="231"/>
      <c r="AX150" s="232"/>
      <c r="AY150" s="232"/>
      <c r="AZ150" s="232"/>
      <c r="BA150" s="232"/>
      <c r="BB150" s="232"/>
      <c r="BC150" s="232"/>
      <c r="BD150" s="232"/>
      <c r="BE150" s="232"/>
      <c r="BF150" s="232"/>
      <c r="BG150" s="232"/>
      <c r="BH150" s="38"/>
    </row>
    <row r="151" spans="1:60" x14ac:dyDescent="0.2">
      <c r="A151" s="648"/>
      <c r="B151" s="492" t="s">
        <v>243</v>
      </c>
      <c r="C151" s="656" t="s">
        <v>127</v>
      </c>
      <c r="D151" s="747"/>
      <c r="E151" s="316" t="s">
        <v>246</v>
      </c>
      <c r="F151" s="316"/>
      <c r="G151" s="316"/>
      <c r="H151" s="354" t="s">
        <v>232</v>
      </c>
      <c r="I151" s="232"/>
      <c r="J151" s="368"/>
      <c r="K151" s="294"/>
      <c r="L151" s="294"/>
      <c r="M151" s="368"/>
      <c r="N151" s="444"/>
      <c r="O151" s="445">
        <f>IF(O152&lt;&gt;"",O152,HLOOKUP(IF(O$80="",referentie_verwarming,O$80),toestellen_RV,ROWS(bibliotheek!$E$79:$E$114),FALSE))</f>
        <v>0</v>
      </c>
      <c r="P151" s="445">
        <f>IF(P152&lt;&gt;"",P152,HLOOKUP(IF(P$80="",referentie_koeling,P$80),toestellen_KOEL,ROWS(bibliotheek!$E$170:$E$189),FALSE))</f>
        <v>0</v>
      </c>
      <c r="Q151" s="445">
        <f>IF(Q152&lt;&gt;"",Q152,HLOOKUP(IF(Q$80="",referentie_warmtapwater,Q$80),toestellen_TAP,ROWS(bibliotheek!$E$136:$E$163),FALSE))</f>
        <v>4.4999999999999998E-2</v>
      </c>
      <c r="R151" s="446"/>
      <c r="S151" s="446"/>
      <c r="T151" s="446"/>
      <c r="U151" s="446"/>
      <c r="V151" s="446"/>
      <c r="W151" s="446"/>
      <c r="X151" s="422"/>
      <c r="Y151" s="352"/>
      <c r="Z151" s="444"/>
      <c r="AA151" s="445">
        <f>IF(AA152&lt;&gt;"",AA152,HLOOKUP(IF(AA$80="",referentie_verwarming,AA$80),toestellen_RV,ROWS(bibliotheek!$E$79:$E$114),FALSE))</f>
        <v>0</v>
      </c>
      <c r="AB151" s="445">
        <f>IF(AB152&lt;&gt;"",AB152,HLOOKUP(IF(AB$80="",referentie_koeling,AB$80),toestellen_KOEL,ROWS(bibliotheek!$E$170:$E$189),FALSE))</f>
        <v>0</v>
      </c>
      <c r="AC151" s="445">
        <f>IF(AC152&lt;&gt;"",AC152,HLOOKUP(IF(AC$80="",referentie_warmtapwater,AC$80),toestellen_TAP,ROWS(bibliotheek!$E$136:$E$163),FALSE))</f>
        <v>4.4999999999999998E-2</v>
      </c>
      <c r="AD151" s="446"/>
      <c r="AE151" s="446"/>
      <c r="AF151" s="446"/>
      <c r="AG151" s="446"/>
      <c r="AH151" s="446"/>
      <c r="AI151" s="446"/>
      <c r="AJ151" s="422"/>
      <c r="AK151" s="352"/>
      <c r="AL151" s="444"/>
      <c r="AM151" s="445">
        <f>IF(AM152&lt;&gt;"",AM152,HLOOKUP(IF(AM$80="",referentie_verwarming,AM$80),toestellen_RV,ROWS(bibliotheek!$E$79:$E$114),FALSE))</f>
        <v>0</v>
      </c>
      <c r="AN151" s="445">
        <f>IF(AN152&lt;&gt;"",AN152,HLOOKUP(IF(AN$80="",referentie_koeling,AN$80),toestellen_KOEL,ROWS(bibliotheek!$E$170:$E$189),FALSE))</f>
        <v>0</v>
      </c>
      <c r="AO151" s="445">
        <f>IF(AO152&lt;&gt;"",AO152,HLOOKUP(IF(AO$80="",referentie_warmtapwater,AO$80),toestellen_TAP,ROWS(bibliotheek!$E$136:$E$163),FALSE))</f>
        <v>4.4999999999999998E-2</v>
      </c>
      <c r="AP151" s="446"/>
      <c r="AQ151" s="446"/>
      <c r="AR151" s="446"/>
      <c r="AS151" s="446"/>
      <c r="AT151" s="446"/>
      <c r="AU151" s="446"/>
      <c r="AV151" s="422"/>
      <c r="AW151" s="352"/>
      <c r="AX151" s="444"/>
      <c r="AY151" s="445">
        <f>IF(AY152&lt;&gt;"",AY152,HLOOKUP(IF(AY$80="",referentie_verwarming,AY$80),toestellen_RV,ROWS(bibliotheek!$E$79:$E$114),FALSE))</f>
        <v>0</v>
      </c>
      <c r="AZ151" s="445">
        <f>IF(AZ152&lt;&gt;"",AZ152,HLOOKUP(IF(AZ$80="",referentie_koeling,AZ$80),toestellen_KOEL,ROWS(bibliotheek!$E$170:$E$189),FALSE))</f>
        <v>0</v>
      </c>
      <c r="BA151" s="445">
        <f>IF(BA152&lt;&gt;"",BA152,HLOOKUP(IF(BA$80="",referentie_warmtapwater,BA$80),toestellen_TAP,ROWS(bibliotheek!$E$136:$E$163),FALSE))</f>
        <v>4.4999999999999998E-2</v>
      </c>
      <c r="BB151" s="369"/>
      <c r="BC151" s="369"/>
      <c r="BD151" s="369"/>
      <c r="BE151" s="369"/>
      <c r="BF151" s="369"/>
      <c r="BG151" s="369"/>
      <c r="BH151" s="214"/>
    </row>
    <row r="152" spans="1:60" x14ac:dyDescent="0.2">
      <c r="A152" s="648"/>
      <c r="B152" s="492" t="s">
        <v>243</v>
      </c>
      <c r="C152" s="656" t="s">
        <v>127</v>
      </c>
      <c r="D152" s="747"/>
      <c r="E152" s="412" t="s">
        <v>227</v>
      </c>
      <c r="F152" s="317"/>
      <c r="G152" s="317"/>
      <c r="H152" s="355"/>
      <c r="I152" s="232"/>
      <c r="J152" s="362"/>
      <c r="K152" s="294"/>
      <c r="L152" s="294"/>
      <c r="M152" s="370"/>
      <c r="N152" s="371"/>
      <c r="O152" s="338"/>
      <c r="P152" s="344"/>
      <c r="Q152" s="338"/>
      <c r="R152" s="372"/>
      <c r="S152" s="372"/>
      <c r="T152" s="372"/>
      <c r="U152" s="372"/>
      <c r="V152" s="372"/>
      <c r="W152" s="372"/>
      <c r="X152" s="128"/>
      <c r="Y152" s="370"/>
      <c r="Z152" s="371"/>
      <c r="AA152" s="338"/>
      <c r="AB152" s="344"/>
      <c r="AC152" s="338"/>
      <c r="AD152" s="372"/>
      <c r="AE152" s="372"/>
      <c r="AF152" s="372"/>
      <c r="AG152" s="372"/>
      <c r="AH152" s="372"/>
      <c r="AI152" s="372"/>
      <c r="AJ152" s="128"/>
      <c r="AK152" s="370"/>
      <c r="AL152" s="371"/>
      <c r="AM152" s="338"/>
      <c r="AN152" s="344"/>
      <c r="AO152" s="338"/>
      <c r="AP152" s="372"/>
      <c r="AQ152" s="372"/>
      <c r="AR152" s="372"/>
      <c r="AS152" s="372"/>
      <c r="AT152" s="372"/>
      <c r="AU152" s="372"/>
      <c r="AV152" s="128"/>
      <c r="AW152" s="370"/>
      <c r="AX152" s="371"/>
      <c r="AY152" s="338"/>
      <c r="AZ152" s="344"/>
      <c r="BA152" s="338"/>
      <c r="BB152" s="372"/>
      <c r="BC152" s="372"/>
      <c r="BD152" s="372"/>
      <c r="BE152" s="372"/>
      <c r="BF152" s="372"/>
      <c r="BG152" s="372"/>
      <c r="BH152" s="214"/>
    </row>
    <row r="153" spans="1:60" x14ac:dyDescent="0.2">
      <c r="A153" s="650"/>
      <c r="B153" s="492" t="s">
        <v>243</v>
      </c>
      <c r="C153" s="656" t="s">
        <v>127</v>
      </c>
      <c r="D153" s="752"/>
      <c r="E153" s="298" t="s">
        <v>247</v>
      </c>
      <c r="F153" s="298"/>
      <c r="G153" s="298"/>
      <c r="H153" s="242" t="s">
        <v>220</v>
      </c>
      <c r="I153" s="232"/>
      <c r="J153" s="243">
        <f>M153+Y153+AK153+AW153</f>
        <v>0</v>
      </c>
      <c r="K153" s="294"/>
      <c r="L153" s="294"/>
      <c r="M153" s="243">
        <f>SUM(O153:X153)</f>
        <v>0</v>
      </c>
      <c r="N153" s="100"/>
      <c r="O153" s="207">
        <f>O$123*O$151</f>
        <v>0</v>
      </c>
      <c r="P153" s="207">
        <f>P$123*P$151</f>
        <v>0</v>
      </c>
      <c r="Q153" s="207">
        <f>Q$123*Q$151</f>
        <v>0</v>
      </c>
      <c r="R153" s="335"/>
      <c r="S153" s="335"/>
      <c r="T153" s="335"/>
      <c r="U153" s="335"/>
      <c r="V153" s="335"/>
      <c r="W153" s="335"/>
      <c r="X153" s="118"/>
      <c r="Y153" s="243">
        <f>SUM(AA153:AJ153)</f>
        <v>0</v>
      </c>
      <c r="Z153" s="100"/>
      <c r="AA153" s="207">
        <f>AA$123*AA$151</f>
        <v>0</v>
      </c>
      <c r="AB153" s="207">
        <f>AB$123*AB$151</f>
        <v>0</v>
      </c>
      <c r="AC153" s="207">
        <f>AC$123*AC$151</f>
        <v>0</v>
      </c>
      <c r="AD153" s="335"/>
      <c r="AE153" s="335"/>
      <c r="AF153" s="335"/>
      <c r="AG153" s="335"/>
      <c r="AH153" s="335"/>
      <c r="AI153" s="335"/>
      <c r="AJ153" s="118"/>
      <c r="AK153" s="243">
        <f>SUM(AM153:AV153)</f>
        <v>0</v>
      </c>
      <c r="AL153" s="100"/>
      <c r="AM153" s="207">
        <f>AM$123*AM$151</f>
        <v>0</v>
      </c>
      <c r="AN153" s="207">
        <f>AN$123*AN$151</f>
        <v>0</v>
      </c>
      <c r="AO153" s="207">
        <f>AO$123*AO$151</f>
        <v>0</v>
      </c>
      <c r="AP153" s="335"/>
      <c r="AQ153" s="335"/>
      <c r="AR153" s="335"/>
      <c r="AS153" s="335"/>
      <c r="AT153" s="335"/>
      <c r="AU153" s="335"/>
      <c r="AV153" s="118"/>
      <c r="AW153" s="243">
        <f>SUM(AY153:BH153)</f>
        <v>0</v>
      </c>
      <c r="AX153" s="100"/>
      <c r="AY153" s="207">
        <f>AY$123*AY$151</f>
        <v>0</v>
      </c>
      <c r="AZ153" s="207">
        <f>AZ$123*AZ$151</f>
        <v>0</v>
      </c>
      <c r="BA153" s="207">
        <f>BA$123*BA$151</f>
        <v>0</v>
      </c>
      <c r="BB153" s="335"/>
      <c r="BC153" s="335"/>
      <c r="BD153" s="335"/>
      <c r="BE153" s="335"/>
      <c r="BF153" s="335"/>
      <c r="BG153" s="335"/>
      <c r="BH153" s="214"/>
    </row>
    <row r="154" spans="1:60" hidden="1" x14ac:dyDescent="0.2">
      <c r="A154" s="650"/>
      <c r="B154" s="492" t="s">
        <v>243</v>
      </c>
      <c r="C154" s="740" t="s">
        <v>199</v>
      </c>
      <c r="D154" s="752" t="s">
        <v>50</v>
      </c>
      <c r="E154" s="298" t="s">
        <v>248</v>
      </c>
      <c r="F154" s="298"/>
      <c r="G154" s="298"/>
      <c r="H154" s="242" t="s">
        <v>220</v>
      </c>
      <c r="I154" s="232"/>
      <c r="J154" s="243">
        <f>M154+Y154+AK154+AW154</f>
        <v>0</v>
      </c>
      <c r="K154" s="294"/>
      <c r="L154" s="294"/>
      <c r="M154" s="243">
        <f>SUM(O154:X154)</f>
        <v>0</v>
      </c>
      <c r="N154" s="100"/>
      <c r="O154" s="207">
        <f>IF(O33=0,0,
(O$95*IFERROR((  INDEX(bibliotheek!$E$105:$AT$105,MATCH(O$80,toestellen_RV_kopregel,0)) +
INDEX(bibliotheek!$E$106:$AT$106,MATCH(O$80,toestellen_RV_kopregel,0))  *(O$94*1000/O$95)/
(  INDEX(bibliotheek!$E$107:$AT$107,MATCH(O$80,toestellen_RV_kopregel,0)) *
INDEX(bibliotheek!$E$108:$AT$108,MATCH(O$80,toestellen_RV_kopregel,0)) ) ),0)+
O$95*INDEX(bibliotheek!$E$109:$AT$109,MATCH(O$80,toestellen_RV_kopregel,0))+
O$96*INDEX(bibliotheek!$E$110:$AT$110,MATCH(O$80,toestellen_RV_kopregel,0)))/1000)</f>
        <v>0</v>
      </c>
      <c r="P154" s="335"/>
      <c r="Q154" s="335"/>
      <c r="R154" s="207">
        <f>R$75</f>
        <v>0</v>
      </c>
      <c r="S154" s="207">
        <f>S$75</f>
        <v>0</v>
      </c>
      <c r="T154" s="335"/>
      <c r="U154" s="207">
        <f>U$75</f>
        <v>0</v>
      </c>
      <c r="V154" s="207">
        <f>V$75</f>
        <v>0</v>
      </c>
      <c r="W154" s="335"/>
      <c r="X154" s="118"/>
      <c r="Y154" s="243">
        <f>SUM(AA154:AJ154)</f>
        <v>0</v>
      </c>
      <c r="Z154" s="100"/>
      <c r="AA154" s="207">
        <f>IF(AA33=0,0,
(AA$95*IFERROR((  INDEX(bibliotheek!$E$105:$AT$105,MATCH(AA$80,toestellen_RV_kopregel,0)) +
INDEX(bibliotheek!$E$106:$AT$106,MATCH(AA$80,toestellen_RV_kopregel,0))  *(AA$94*1000/AA$95)/
(  INDEX(bibliotheek!$E$107:$AT$107,MATCH(AA$80,toestellen_RV_kopregel,0)) *
INDEX(bibliotheek!$E$108:$AT$108,MATCH(AA$80,toestellen_RV_kopregel,0)) ) ),0)+
AA$95*INDEX(bibliotheek!$E$109:$AT$109,MATCH(AA$80,toestellen_RV_kopregel,0))+
AA$96*INDEX(bibliotheek!$E$110:$AT$110,MATCH(AA$80,toestellen_RV_kopregel,0)))/1000)</f>
        <v>0</v>
      </c>
      <c r="AB154" s="335"/>
      <c r="AC154" s="335"/>
      <c r="AD154" s="207">
        <f>AD$75</f>
        <v>0</v>
      </c>
      <c r="AE154" s="207">
        <f>AE$75</f>
        <v>0</v>
      </c>
      <c r="AF154" s="335"/>
      <c r="AG154" s="207">
        <f>AG$75</f>
        <v>0</v>
      </c>
      <c r="AH154" s="207">
        <f>AH$75</f>
        <v>0</v>
      </c>
      <c r="AI154" s="335"/>
      <c r="AJ154" s="118"/>
      <c r="AK154" s="243">
        <f>SUM(AM154:AV154)</f>
        <v>0</v>
      </c>
      <c r="AL154" s="100"/>
      <c r="AM154" s="207">
        <f>IF(AM33=0,0,
(AM$95*IFERROR((  INDEX(bibliotheek!$E$105:$AT$105,MATCH(AM$80,toestellen_RV_kopregel,0)) +
INDEX(bibliotheek!$E$106:$AT$106,MATCH(AM$80,toestellen_RV_kopregel,0))  *(AM$94*1000/AM$95)/
(  INDEX(bibliotheek!$E$107:$AT$107,MATCH(AM$80,toestellen_RV_kopregel,0)) *
INDEX(bibliotheek!$E$108:$AT$108,MATCH(AM$80,toestellen_RV_kopregel,0)) ) ),0)+
AM$95*INDEX(bibliotheek!$E$109:$AT$109,MATCH(AM$80,toestellen_RV_kopregel,0))+
AM$96*INDEX(bibliotheek!$E$110:$AT$110,MATCH(AM$80,toestellen_RV_kopregel,0)))/1000)</f>
        <v>0</v>
      </c>
      <c r="AN154" s="335"/>
      <c r="AO154" s="335"/>
      <c r="AP154" s="207">
        <f>AP$75</f>
        <v>0</v>
      </c>
      <c r="AQ154" s="207">
        <f>AQ$75</f>
        <v>0</v>
      </c>
      <c r="AR154" s="335"/>
      <c r="AS154" s="207">
        <f>AS$75</f>
        <v>0</v>
      </c>
      <c r="AT154" s="207">
        <f>AT$75</f>
        <v>0</v>
      </c>
      <c r="AU154" s="335"/>
      <c r="AV154" s="118"/>
      <c r="AW154" s="243">
        <f>SUM(AY154:BH154)</f>
        <v>0</v>
      </c>
      <c r="AX154" s="100"/>
      <c r="AY154" s="207">
        <f>IF(AY33=0,0,
(AY$95*IFERROR((  INDEX(bibliotheek!$E$105:$AT$105,MATCH(AY$80,toestellen_RV_kopregel,0)) +
INDEX(bibliotheek!$E$106:$AT$106,MATCH(AY$80,toestellen_RV_kopregel,0))  *(AY$94*1000/AY$95)/
(  INDEX(bibliotheek!$E$107:$AT$107,MATCH(AY$80,toestellen_RV_kopregel,0)) *
INDEX(bibliotheek!$E$108:$AT$108,MATCH(AY$80,toestellen_RV_kopregel,0)) ) ),0)+
AY$95*INDEX(bibliotheek!$E$109:$AT$109,MATCH(AY$80,toestellen_RV_kopregel,0))+
AY$96*INDEX(bibliotheek!$E$110:$AT$110,MATCH(AY$80,toestellen_RV_kopregel,0)))/1000)</f>
        <v>0</v>
      </c>
      <c r="AZ154" s="335"/>
      <c r="BA154" s="335"/>
      <c r="BB154" s="207">
        <f>BB$75</f>
        <v>0</v>
      </c>
      <c r="BC154" s="207">
        <f>BC$75</f>
        <v>0</v>
      </c>
      <c r="BD154" s="335"/>
      <c r="BE154" s="207">
        <f>BE$75</f>
        <v>0</v>
      </c>
      <c r="BF154" s="207">
        <f>BF$75</f>
        <v>0</v>
      </c>
      <c r="BG154" s="335"/>
      <c r="BH154" s="214"/>
    </row>
    <row r="155" spans="1:60" hidden="1" x14ac:dyDescent="0.2">
      <c r="A155" s="650"/>
      <c r="B155" s="492" t="s">
        <v>243</v>
      </c>
      <c r="C155" s="740" t="s">
        <v>199</v>
      </c>
      <c r="D155" s="752"/>
      <c r="E155" s="298" t="s">
        <v>249</v>
      </c>
      <c r="F155" s="298"/>
      <c r="G155" s="298"/>
      <c r="H155" s="242" t="s">
        <v>220</v>
      </c>
      <c r="I155" s="232"/>
      <c r="J155" s="243">
        <f>M155+Y155+AK155+AW155</f>
        <v>0</v>
      </c>
      <c r="K155" s="294"/>
      <c r="L155" s="294"/>
      <c r="M155" s="243">
        <f>SUM(O155:X155)</f>
        <v>0</v>
      </c>
      <c r="N155" s="100"/>
      <c r="O155" s="207">
        <f>O$94*O$124+IF(O$111=0,0,O112/O$111)</f>
        <v>0</v>
      </c>
      <c r="P155" s="207">
        <f>P$94*P$124+IF(P$111=0,0,P112/P$111)</f>
        <v>0</v>
      </c>
      <c r="Q155" s="207">
        <f>Q$94*Q$124+IF(Q$111=0,0,Q112/Q$111)</f>
        <v>0</v>
      </c>
      <c r="R155" s="335"/>
      <c r="S155" s="335"/>
      <c r="T155" s="335"/>
      <c r="U155" s="335"/>
      <c r="V155" s="335"/>
      <c r="W155" s="335"/>
      <c r="X155" s="118"/>
      <c r="Y155" s="243">
        <f>SUM(AA155:AJ155)</f>
        <v>0</v>
      </c>
      <c r="Z155" s="100"/>
      <c r="AA155" s="207">
        <f>AA$94*AA$124+IF(AA$111=0,0,AA112/AA$111)</f>
        <v>0</v>
      </c>
      <c r="AB155" s="207">
        <f>AB$94*AB$124+IF(AB$111=0,0,AB112/AB$111)</f>
        <v>0</v>
      </c>
      <c r="AC155" s="207">
        <f>AC$94*AC$124+IF(AC$111=0,0,AC112/AC$111)</f>
        <v>0</v>
      </c>
      <c r="AD155" s="335"/>
      <c r="AE155" s="335"/>
      <c r="AF155" s="335"/>
      <c r="AG155" s="335"/>
      <c r="AH155" s="335"/>
      <c r="AI155" s="335"/>
      <c r="AJ155" s="118"/>
      <c r="AK155" s="243">
        <f>SUM(AM155:AV155)</f>
        <v>0</v>
      </c>
      <c r="AL155" s="100"/>
      <c r="AM155" s="207">
        <f>AM$94*AM$124+IF(AM$111=0,0,AM112/AM$111)</f>
        <v>0</v>
      </c>
      <c r="AN155" s="207">
        <f>AN$94*AN$124+IF(AN$111=0,0,AN112/AN$111)</f>
        <v>0</v>
      </c>
      <c r="AO155" s="207">
        <f>AO$94*AO$124+IF(AO$111=0,0,AO112/AO$111)</f>
        <v>0</v>
      </c>
      <c r="AP155" s="335"/>
      <c r="AQ155" s="335"/>
      <c r="AR155" s="335"/>
      <c r="AS155" s="335"/>
      <c r="AT155" s="335"/>
      <c r="AU155" s="335"/>
      <c r="AV155" s="118"/>
      <c r="AW155" s="243">
        <f>SUM(AY155:BH155)</f>
        <v>0</v>
      </c>
      <c r="AX155" s="100"/>
      <c r="AY155" s="207">
        <f>AY$94*AY$124+IF(AY$111=0,0,AY112/AY$111)</f>
        <v>0</v>
      </c>
      <c r="AZ155" s="207">
        <f>AZ$94*AZ$124+IF(AZ$111=0,0,AZ112/AZ$111)</f>
        <v>0</v>
      </c>
      <c r="BA155" s="207">
        <f>BA$94*BA$124+IF(BA$111=0,0,BA112/BA$111)</f>
        <v>0</v>
      </c>
      <c r="BB155" s="335"/>
      <c r="BC155" s="335"/>
      <c r="BD155" s="335"/>
      <c r="BE155" s="335"/>
      <c r="BF155" s="335"/>
      <c r="BG155" s="335"/>
      <c r="BH155" s="214"/>
    </row>
    <row r="156" spans="1:60" hidden="1" x14ac:dyDescent="0.2">
      <c r="A156" s="650"/>
      <c r="B156" s="492" t="s">
        <v>243</v>
      </c>
      <c r="C156" s="740" t="s">
        <v>199</v>
      </c>
      <c r="D156" s="752"/>
      <c r="E156" s="298" t="s">
        <v>109</v>
      </c>
      <c r="F156" s="298"/>
      <c r="G156" s="298"/>
      <c r="H156" s="242" t="s">
        <v>220</v>
      </c>
      <c r="I156" s="232"/>
      <c r="J156" s="243">
        <f>M156+Y156+AK156+AW156</f>
        <v>0</v>
      </c>
      <c r="K156" s="294"/>
      <c r="L156" s="294"/>
      <c r="M156" s="243">
        <f>SUM(O156:X156)</f>
        <v>0</v>
      </c>
      <c r="N156" s="100"/>
      <c r="O156" s="335"/>
      <c r="P156" s="335"/>
      <c r="Q156" s="335"/>
      <c r="R156" s="335"/>
      <c r="S156" s="335"/>
      <c r="T156" s="207">
        <f>T75</f>
        <v>0</v>
      </c>
      <c r="U156" s="335"/>
      <c r="V156" s="335"/>
      <c r="W156" s="335"/>
      <c r="X156" s="118"/>
      <c r="Y156" s="243">
        <f>SUM(AA156:AJ156)</f>
        <v>0</v>
      </c>
      <c r="Z156" s="100"/>
      <c r="AA156" s="207"/>
      <c r="AB156" s="207"/>
      <c r="AC156" s="207"/>
      <c r="AD156" s="335"/>
      <c r="AE156" s="335"/>
      <c r="AF156" s="207">
        <f>AF75</f>
        <v>0</v>
      </c>
      <c r="AG156" s="335"/>
      <c r="AH156" s="335"/>
      <c r="AI156" s="335"/>
      <c r="AJ156" s="118"/>
      <c r="AK156" s="243">
        <f>SUM(AM156:AV156)</f>
        <v>0</v>
      </c>
      <c r="AL156" s="100"/>
      <c r="AM156" s="207"/>
      <c r="AN156" s="207"/>
      <c r="AO156" s="207"/>
      <c r="AP156" s="335"/>
      <c r="AQ156" s="335"/>
      <c r="AR156" s="207">
        <f>AR75</f>
        <v>0</v>
      </c>
      <c r="AS156" s="335"/>
      <c r="AT156" s="335"/>
      <c r="AU156" s="335"/>
      <c r="AV156" s="118"/>
      <c r="AW156" s="243">
        <f>SUM(AY156:BH156)</f>
        <v>0</v>
      </c>
      <c r="AX156" s="100"/>
      <c r="AY156" s="207"/>
      <c r="AZ156" s="207"/>
      <c r="BA156" s="207"/>
      <c r="BB156" s="335"/>
      <c r="BC156" s="335"/>
      <c r="BD156" s="207">
        <f>BD75</f>
        <v>0</v>
      </c>
      <c r="BE156" s="335"/>
      <c r="BF156" s="335"/>
      <c r="BG156" s="335"/>
      <c r="BH156" s="214"/>
    </row>
    <row r="157" spans="1:60" ht="18.75" x14ac:dyDescent="0.2">
      <c r="A157" s="648"/>
      <c r="B157" s="492" t="s">
        <v>243</v>
      </c>
      <c r="C157" s="739" t="s">
        <v>104</v>
      </c>
      <c r="D157" s="747"/>
      <c r="E157" s="303" t="s">
        <v>250</v>
      </c>
      <c r="F157" s="303"/>
      <c r="G157" s="303"/>
      <c r="H157" s="305"/>
      <c r="I157" s="232"/>
      <c r="J157" s="303"/>
      <c r="K157" s="232"/>
      <c r="L157" s="232"/>
      <c r="M157" s="303"/>
      <c r="N157" s="304"/>
      <c r="O157" s="304"/>
      <c r="P157" s="304"/>
      <c r="Q157" s="304"/>
      <c r="R157" s="304"/>
      <c r="S157" s="304"/>
      <c r="T157" s="304"/>
      <c r="U157" s="304"/>
      <c r="V157" s="304"/>
      <c r="W157" s="304"/>
      <c r="X157" s="232"/>
      <c r="Y157" s="303"/>
      <c r="Z157" s="304"/>
      <c r="AA157" s="304"/>
      <c r="AB157" s="304"/>
      <c r="AC157" s="304"/>
      <c r="AD157" s="304"/>
      <c r="AE157" s="304"/>
      <c r="AF157" s="304"/>
      <c r="AG157" s="304"/>
      <c r="AH157" s="304"/>
      <c r="AI157" s="304"/>
      <c r="AJ157" s="232"/>
      <c r="AK157" s="303"/>
      <c r="AL157" s="304"/>
      <c r="AM157" s="304"/>
      <c r="AN157" s="304"/>
      <c r="AO157" s="304"/>
      <c r="AP157" s="304"/>
      <c r="AQ157" s="304"/>
      <c r="AR157" s="304"/>
      <c r="AS157" s="304"/>
      <c r="AT157" s="304"/>
      <c r="AU157" s="304"/>
      <c r="AV157" s="232"/>
      <c r="AW157" s="303"/>
      <c r="AX157" s="304"/>
      <c r="AY157" s="304"/>
      <c r="AZ157" s="304"/>
      <c r="BA157" s="304"/>
      <c r="BB157" s="304"/>
      <c r="BC157" s="304"/>
      <c r="BD157" s="304"/>
      <c r="BE157" s="304"/>
      <c r="BF157" s="304"/>
      <c r="BG157" s="304"/>
      <c r="BH157" s="38"/>
    </row>
    <row r="158" spans="1:60" hidden="1" x14ac:dyDescent="0.2">
      <c r="A158" s="648"/>
      <c r="B158" s="492" t="s">
        <v>243</v>
      </c>
      <c r="C158" s="656" t="s">
        <v>199</v>
      </c>
      <c r="D158" s="747"/>
      <c r="E158" s="316" t="s">
        <v>222</v>
      </c>
      <c r="F158" s="316"/>
      <c r="G158" s="316"/>
      <c r="H158" s="354" t="s">
        <v>223</v>
      </c>
      <c r="I158" s="232"/>
      <c r="J158" s="229"/>
      <c r="K158" s="90"/>
      <c r="L158" s="90"/>
      <c r="M158" s="229"/>
      <c r="N158" s="131"/>
      <c r="O158" s="184">
        <f>$G$5</f>
        <v>1.45</v>
      </c>
      <c r="P158" s="184">
        <f>$G$5</f>
        <v>1.45</v>
      </c>
      <c r="Q158" s="184">
        <f>$G$5</f>
        <v>1.45</v>
      </c>
      <c r="R158" s="184">
        <f>$G$5</f>
        <v>1.45</v>
      </c>
      <c r="S158" s="184">
        <f>$G$5</f>
        <v>1.45</v>
      </c>
      <c r="T158" s="184">
        <f>bibliotheek!$K$223</f>
        <v>1</v>
      </c>
      <c r="U158" s="184">
        <f>$G$5</f>
        <v>1.45</v>
      </c>
      <c r="V158" s="184">
        <f>$G$5</f>
        <v>1.45</v>
      </c>
      <c r="W158" s="452"/>
      <c r="X158" s="139"/>
      <c r="Y158" s="706"/>
      <c r="Z158" s="707"/>
      <c r="AA158" s="184">
        <f>$G$5</f>
        <v>1.45</v>
      </c>
      <c r="AB158" s="184">
        <f>$G$5</f>
        <v>1.45</v>
      </c>
      <c r="AC158" s="184">
        <f>$G$5</f>
        <v>1.45</v>
      </c>
      <c r="AD158" s="184">
        <f>$G$5</f>
        <v>1.45</v>
      </c>
      <c r="AE158" s="184">
        <f>$G$5</f>
        <v>1.45</v>
      </c>
      <c r="AF158" s="272">
        <f>bibliotheek!$K$223</f>
        <v>1</v>
      </c>
      <c r="AG158" s="184">
        <f>$G$5</f>
        <v>1.45</v>
      </c>
      <c r="AH158" s="184">
        <f>$G$5</f>
        <v>1.45</v>
      </c>
      <c r="AI158" s="452"/>
      <c r="AJ158" s="139"/>
      <c r="AK158" s="706"/>
      <c r="AL158" s="707"/>
      <c r="AM158" s="184">
        <f>$G$5</f>
        <v>1.45</v>
      </c>
      <c r="AN158" s="184">
        <f>$G$5</f>
        <v>1.45</v>
      </c>
      <c r="AO158" s="184">
        <f>$G$5</f>
        <v>1.45</v>
      </c>
      <c r="AP158" s="184">
        <f>$G$5</f>
        <v>1.45</v>
      </c>
      <c r="AQ158" s="184">
        <f>$G$5</f>
        <v>1.45</v>
      </c>
      <c r="AR158" s="272">
        <f>bibliotheek!$K$223</f>
        <v>1</v>
      </c>
      <c r="AS158" s="184">
        <f>$G$5</f>
        <v>1.45</v>
      </c>
      <c r="AT158" s="184">
        <f>$G$5</f>
        <v>1.45</v>
      </c>
      <c r="AU158" s="452"/>
      <c r="AV158" s="139"/>
      <c r="AW158" s="706"/>
      <c r="AX158" s="707"/>
      <c r="AY158" s="184">
        <f>$G$5</f>
        <v>1.45</v>
      </c>
      <c r="AZ158" s="184">
        <f>$G$5</f>
        <v>1.45</v>
      </c>
      <c r="BA158" s="184">
        <f>$G$5</f>
        <v>1.45</v>
      </c>
      <c r="BB158" s="184">
        <f>$G$5</f>
        <v>1.45</v>
      </c>
      <c r="BC158" s="184">
        <f>$G$5</f>
        <v>1.45</v>
      </c>
      <c r="BD158" s="272">
        <f>bibliotheek!$K$223</f>
        <v>1</v>
      </c>
      <c r="BE158" s="184">
        <f>$G$5</f>
        <v>1.45</v>
      </c>
      <c r="BF158" s="184">
        <f>$G$5</f>
        <v>1.45</v>
      </c>
      <c r="BG158" s="452"/>
      <c r="BH158" s="214"/>
    </row>
    <row r="159" spans="1:60" x14ac:dyDescent="0.2">
      <c r="A159" s="650"/>
      <c r="B159" s="492" t="s">
        <v>243</v>
      </c>
      <c r="C159" s="740" t="s">
        <v>113</v>
      </c>
      <c r="D159" s="752" t="s">
        <v>50</v>
      </c>
      <c r="E159" s="298" t="s">
        <v>114</v>
      </c>
      <c r="F159" s="242"/>
      <c r="G159" s="242"/>
      <c r="H159" s="242" t="s">
        <v>115</v>
      </c>
      <c r="I159" s="232"/>
      <c r="J159" s="243">
        <f>M159+Y159+AK159+AW159</f>
        <v>0</v>
      </c>
      <c r="K159" s="823"/>
      <c r="L159" s="823"/>
      <c r="M159" s="243">
        <f>SUM(O159:X159)</f>
        <v>0</v>
      </c>
      <c r="N159" s="100"/>
      <c r="O159" s="207">
        <f t="shared" ref="O159:V159" si="97">SUM(O$153:O$156)*O$158</f>
        <v>0</v>
      </c>
      <c r="P159" s="207">
        <f t="shared" si="97"/>
        <v>0</v>
      </c>
      <c r="Q159" s="207">
        <f t="shared" si="97"/>
        <v>0</v>
      </c>
      <c r="R159" s="207">
        <f t="shared" si="97"/>
        <v>0</v>
      </c>
      <c r="S159" s="207">
        <f t="shared" si="97"/>
        <v>0</v>
      </c>
      <c r="T159" s="207">
        <f t="shared" si="97"/>
        <v>0</v>
      </c>
      <c r="U159" s="207">
        <f>SUM(U$153:U$156)*U$158</f>
        <v>0</v>
      </c>
      <c r="V159" s="207">
        <f t="shared" si="97"/>
        <v>0</v>
      </c>
      <c r="W159" s="335"/>
      <c r="X159" s="128"/>
      <c r="Y159" s="243">
        <f>SUM(AA159:AJ159)</f>
        <v>0</v>
      </c>
      <c r="Z159" s="100"/>
      <c r="AA159" s="207">
        <f t="shared" ref="AA159:AH159" si="98">SUM(AA$153:AA$156)*AA$158</f>
        <v>0</v>
      </c>
      <c r="AB159" s="207">
        <f t="shared" si="98"/>
        <v>0</v>
      </c>
      <c r="AC159" s="207">
        <f t="shared" si="98"/>
        <v>0</v>
      </c>
      <c r="AD159" s="207">
        <f t="shared" si="98"/>
        <v>0</v>
      </c>
      <c r="AE159" s="207">
        <f t="shared" si="98"/>
        <v>0</v>
      </c>
      <c r="AF159" s="207">
        <f t="shared" si="98"/>
        <v>0</v>
      </c>
      <c r="AG159" s="207">
        <f t="shared" si="98"/>
        <v>0</v>
      </c>
      <c r="AH159" s="207">
        <f t="shared" si="98"/>
        <v>0</v>
      </c>
      <c r="AI159" s="335"/>
      <c r="AJ159" s="128"/>
      <c r="AK159" s="243">
        <f>SUM(AM159:AV159)</f>
        <v>0</v>
      </c>
      <c r="AL159" s="100"/>
      <c r="AM159" s="207">
        <f>SUM(AM$153:AM$156)*AM$158</f>
        <v>0</v>
      </c>
      <c r="AN159" s="207">
        <f t="shared" ref="AN159:AT159" si="99">SUM(AN$153:AN$156)*AN$158</f>
        <v>0</v>
      </c>
      <c r="AO159" s="207">
        <f t="shared" si="99"/>
        <v>0</v>
      </c>
      <c r="AP159" s="207">
        <f t="shared" si="99"/>
        <v>0</v>
      </c>
      <c r="AQ159" s="207">
        <f t="shared" si="99"/>
        <v>0</v>
      </c>
      <c r="AR159" s="207">
        <f t="shared" si="99"/>
        <v>0</v>
      </c>
      <c r="AS159" s="207">
        <f t="shared" si="99"/>
        <v>0</v>
      </c>
      <c r="AT159" s="207">
        <f t="shared" si="99"/>
        <v>0</v>
      </c>
      <c r="AU159" s="335"/>
      <c r="AV159" s="128"/>
      <c r="AW159" s="243">
        <f>SUM(AY159:BH159)</f>
        <v>0</v>
      </c>
      <c r="AX159" s="100"/>
      <c r="AY159" s="207">
        <f>SUM(AY$153:AY$156)*AY$158</f>
        <v>0</v>
      </c>
      <c r="AZ159" s="207">
        <f t="shared" ref="AZ159:BF159" si="100">SUM(AZ$153:AZ$156)*AZ$158</f>
        <v>0</v>
      </c>
      <c r="BA159" s="207">
        <f t="shared" si="100"/>
        <v>0</v>
      </c>
      <c r="BB159" s="207">
        <f t="shared" si="100"/>
        <v>0</v>
      </c>
      <c r="BC159" s="207">
        <f t="shared" si="100"/>
        <v>0</v>
      </c>
      <c r="BD159" s="207">
        <f t="shared" si="100"/>
        <v>0</v>
      </c>
      <c r="BE159" s="207">
        <f t="shared" si="100"/>
        <v>0</v>
      </c>
      <c r="BF159" s="207">
        <f t="shared" si="100"/>
        <v>0</v>
      </c>
      <c r="BG159" s="335"/>
      <c r="BH159" s="214"/>
    </row>
    <row r="160" spans="1:60" ht="18.75" x14ac:dyDescent="0.2">
      <c r="A160" s="648"/>
      <c r="B160" s="492" t="s">
        <v>243</v>
      </c>
      <c r="C160" s="739" t="s">
        <v>104</v>
      </c>
      <c r="D160" s="747"/>
      <c r="E160" s="303" t="s">
        <v>251</v>
      </c>
      <c r="F160" s="303"/>
      <c r="G160" s="303"/>
      <c r="H160" s="305"/>
      <c r="I160" s="232"/>
      <c r="J160" s="303"/>
      <c r="K160" s="232"/>
      <c r="L160" s="232"/>
      <c r="M160" s="303"/>
      <c r="N160" s="304"/>
      <c r="O160" s="304"/>
      <c r="P160" s="304"/>
      <c r="Q160" s="304"/>
      <c r="R160" s="304"/>
      <c r="S160" s="304"/>
      <c r="T160" s="304"/>
      <c r="U160" s="304"/>
      <c r="V160" s="304"/>
      <c r="W160" s="304"/>
      <c r="X160" s="232"/>
      <c r="Y160" s="303"/>
      <c r="Z160" s="304"/>
      <c r="AA160" s="304"/>
      <c r="AB160" s="304"/>
      <c r="AC160" s="304"/>
      <c r="AD160" s="304"/>
      <c r="AE160" s="304"/>
      <c r="AF160" s="304"/>
      <c r="AG160" s="304"/>
      <c r="AH160" s="304"/>
      <c r="AI160" s="304"/>
      <c r="AJ160" s="232"/>
      <c r="AK160" s="303"/>
      <c r="AL160" s="304"/>
      <c r="AM160" s="304"/>
      <c r="AN160" s="304"/>
      <c r="AO160" s="304"/>
      <c r="AP160" s="304"/>
      <c r="AQ160" s="304"/>
      <c r="AR160" s="304"/>
      <c r="AS160" s="304"/>
      <c r="AT160" s="304"/>
      <c r="AU160" s="304"/>
      <c r="AV160" s="232"/>
      <c r="AW160" s="303"/>
      <c r="AX160" s="304"/>
      <c r="AY160" s="304"/>
      <c r="AZ160" s="304"/>
      <c r="BA160" s="304"/>
      <c r="BB160" s="304"/>
      <c r="BC160" s="304"/>
      <c r="BD160" s="304"/>
      <c r="BE160" s="304"/>
      <c r="BF160" s="304"/>
      <c r="BG160" s="304"/>
      <c r="BH160" s="38"/>
    </row>
    <row r="161" spans="1:60" hidden="1" x14ac:dyDescent="0.2">
      <c r="A161" s="648"/>
      <c r="B161" s="492" t="s">
        <v>243</v>
      </c>
      <c r="C161" s="656" t="s">
        <v>199</v>
      </c>
      <c r="D161" s="747"/>
      <c r="E161" s="220" t="s">
        <v>225</v>
      </c>
      <c r="F161" s="220"/>
      <c r="G161" s="220"/>
      <c r="H161" s="221" t="s">
        <v>226</v>
      </c>
      <c r="I161" s="232"/>
      <c r="J161" s="230"/>
      <c r="K161" s="90"/>
      <c r="L161" s="90"/>
      <c r="M161" s="230"/>
      <c r="N161" s="129"/>
      <c r="O161" s="273">
        <f>$H$5</f>
        <v>0.34</v>
      </c>
      <c r="P161" s="273">
        <f t="shared" ref="P161:V161" si="101">$H$5</f>
        <v>0.34</v>
      </c>
      <c r="Q161" s="273">
        <f t="shared" si="101"/>
        <v>0.34</v>
      </c>
      <c r="R161" s="273">
        <f t="shared" si="101"/>
        <v>0.34</v>
      </c>
      <c r="S161" s="273">
        <f t="shared" si="101"/>
        <v>0.34</v>
      </c>
      <c r="T161" s="273">
        <f t="shared" si="101"/>
        <v>0.34</v>
      </c>
      <c r="U161" s="273">
        <f t="shared" si="101"/>
        <v>0.34</v>
      </c>
      <c r="V161" s="273">
        <f t="shared" si="101"/>
        <v>0.34</v>
      </c>
      <c r="W161" s="421"/>
      <c r="X161" s="422"/>
      <c r="Y161" s="230"/>
      <c r="Z161" s="424"/>
      <c r="AA161" s="273">
        <f>$H$5</f>
        <v>0.34</v>
      </c>
      <c r="AB161" s="273">
        <f t="shared" ref="AB161:AH161" si="102">$H$5</f>
        <v>0.34</v>
      </c>
      <c r="AC161" s="273">
        <f t="shared" si="102"/>
        <v>0.34</v>
      </c>
      <c r="AD161" s="273">
        <f t="shared" si="102"/>
        <v>0.34</v>
      </c>
      <c r="AE161" s="273">
        <f t="shared" si="102"/>
        <v>0.34</v>
      </c>
      <c r="AF161" s="207">
        <f t="shared" si="102"/>
        <v>0.34</v>
      </c>
      <c r="AG161" s="273">
        <f t="shared" si="102"/>
        <v>0.34</v>
      </c>
      <c r="AH161" s="273">
        <f t="shared" si="102"/>
        <v>0.34</v>
      </c>
      <c r="AI161" s="421"/>
      <c r="AJ161" s="422"/>
      <c r="AK161" s="230"/>
      <c r="AL161" s="424"/>
      <c r="AM161" s="273">
        <f>$H$5</f>
        <v>0.34</v>
      </c>
      <c r="AN161" s="273">
        <f t="shared" ref="AN161:AT161" si="103">$H$5</f>
        <v>0.34</v>
      </c>
      <c r="AO161" s="273">
        <f t="shared" si="103"/>
        <v>0.34</v>
      </c>
      <c r="AP161" s="273">
        <f t="shared" si="103"/>
        <v>0.34</v>
      </c>
      <c r="AQ161" s="273">
        <f t="shared" si="103"/>
        <v>0.34</v>
      </c>
      <c r="AR161" s="207">
        <f t="shared" si="103"/>
        <v>0.34</v>
      </c>
      <c r="AS161" s="273">
        <f t="shared" si="103"/>
        <v>0.34</v>
      </c>
      <c r="AT161" s="273">
        <f t="shared" si="103"/>
        <v>0.34</v>
      </c>
      <c r="AU161" s="421"/>
      <c r="AV161" s="422"/>
      <c r="AW161" s="230"/>
      <c r="AX161" s="424"/>
      <c r="AY161" s="273">
        <f>$H$5</f>
        <v>0.34</v>
      </c>
      <c r="AZ161" s="273">
        <f t="shared" ref="AZ161:BF161" si="104">$H$5</f>
        <v>0.34</v>
      </c>
      <c r="BA161" s="273">
        <f t="shared" si="104"/>
        <v>0.34</v>
      </c>
      <c r="BB161" s="273">
        <f t="shared" si="104"/>
        <v>0.34</v>
      </c>
      <c r="BC161" s="273">
        <f t="shared" si="104"/>
        <v>0.34</v>
      </c>
      <c r="BD161" s="207">
        <f t="shared" si="104"/>
        <v>0.34</v>
      </c>
      <c r="BE161" s="273">
        <f t="shared" si="104"/>
        <v>0.34</v>
      </c>
      <c r="BF161" s="273">
        <f t="shared" si="104"/>
        <v>0.34</v>
      </c>
      <c r="BG161" s="336"/>
      <c r="BH161" s="214"/>
    </row>
    <row r="162" spans="1:60" x14ac:dyDescent="0.2">
      <c r="A162" s="650"/>
      <c r="B162" s="492" t="s">
        <v>243</v>
      </c>
      <c r="C162" s="740" t="s">
        <v>113</v>
      </c>
      <c r="D162" s="752"/>
      <c r="E162" s="298" t="s">
        <v>116</v>
      </c>
      <c r="F162" s="242"/>
      <c r="G162" s="242"/>
      <c r="H162" s="242" t="s">
        <v>228</v>
      </c>
      <c r="I162" s="232"/>
      <c r="J162" s="243">
        <f>M162+Y162+AK162+AW162</f>
        <v>0</v>
      </c>
      <c r="K162" s="823"/>
      <c r="L162" s="823"/>
      <c r="M162" s="243">
        <f>SUM(O162:X162)</f>
        <v>0</v>
      </c>
      <c r="N162" s="100"/>
      <c r="O162" s="207">
        <f t="shared" ref="O162:V162" si="105">SUM(O$153:O$156)*O$161</f>
        <v>0</v>
      </c>
      <c r="P162" s="207">
        <f t="shared" si="105"/>
        <v>0</v>
      </c>
      <c r="Q162" s="207">
        <f t="shared" si="105"/>
        <v>0</v>
      </c>
      <c r="R162" s="207">
        <f t="shared" si="105"/>
        <v>0</v>
      </c>
      <c r="S162" s="207">
        <f t="shared" si="105"/>
        <v>0</v>
      </c>
      <c r="T162" s="207">
        <f t="shared" si="105"/>
        <v>0</v>
      </c>
      <c r="U162" s="207">
        <f t="shared" si="105"/>
        <v>0</v>
      </c>
      <c r="V162" s="207">
        <f t="shared" si="105"/>
        <v>0</v>
      </c>
      <c r="W162" s="335"/>
      <c r="X162" s="128"/>
      <c r="Y162" s="243">
        <f>SUM(AA162:AJ162)</f>
        <v>0</v>
      </c>
      <c r="Z162" s="100"/>
      <c r="AA162" s="207">
        <f t="shared" ref="AA162:AH162" si="106">SUM(AA$153:AA$156)*AA$161</f>
        <v>0</v>
      </c>
      <c r="AB162" s="207">
        <f t="shared" si="106"/>
        <v>0</v>
      </c>
      <c r="AC162" s="207">
        <f t="shared" si="106"/>
        <v>0</v>
      </c>
      <c r="AD162" s="207">
        <f t="shared" si="106"/>
        <v>0</v>
      </c>
      <c r="AE162" s="207">
        <f t="shared" si="106"/>
        <v>0</v>
      </c>
      <c r="AF162" s="207">
        <f t="shared" si="106"/>
        <v>0</v>
      </c>
      <c r="AG162" s="207">
        <f t="shared" si="106"/>
        <v>0</v>
      </c>
      <c r="AH162" s="207">
        <f t="shared" si="106"/>
        <v>0</v>
      </c>
      <c r="AI162" s="335"/>
      <c r="AJ162" s="128"/>
      <c r="AK162" s="243">
        <f>SUM(AM162:AV162)</f>
        <v>0</v>
      </c>
      <c r="AL162" s="100"/>
      <c r="AM162" s="207">
        <f>SUM(AM$153:AM$156)*AM$161</f>
        <v>0</v>
      </c>
      <c r="AN162" s="207">
        <f t="shared" ref="AN162:AT162" si="107">SUM(AN$153:AN$156)*AN$161</f>
        <v>0</v>
      </c>
      <c r="AO162" s="207">
        <f t="shared" si="107"/>
        <v>0</v>
      </c>
      <c r="AP162" s="207">
        <f t="shared" si="107"/>
        <v>0</v>
      </c>
      <c r="AQ162" s="207">
        <f t="shared" si="107"/>
        <v>0</v>
      </c>
      <c r="AR162" s="207">
        <f t="shared" si="107"/>
        <v>0</v>
      </c>
      <c r="AS162" s="207">
        <f t="shared" si="107"/>
        <v>0</v>
      </c>
      <c r="AT162" s="207">
        <f t="shared" si="107"/>
        <v>0</v>
      </c>
      <c r="AU162" s="335"/>
      <c r="AV162" s="128"/>
      <c r="AW162" s="243">
        <f>SUM(AY162:BH162)</f>
        <v>0</v>
      </c>
      <c r="AX162" s="100"/>
      <c r="AY162" s="207">
        <f>SUM(AY$153:AY$156)*AY$161</f>
        <v>0</v>
      </c>
      <c r="AZ162" s="207">
        <f t="shared" ref="AZ162:BF162" si="108">SUM(AZ$153:AZ$156)*AZ$161</f>
        <v>0</v>
      </c>
      <c r="BA162" s="207">
        <f t="shared" si="108"/>
        <v>0</v>
      </c>
      <c r="BB162" s="207">
        <f t="shared" si="108"/>
        <v>0</v>
      </c>
      <c r="BC162" s="207">
        <f t="shared" si="108"/>
        <v>0</v>
      </c>
      <c r="BD162" s="207">
        <f t="shared" si="108"/>
        <v>0</v>
      </c>
      <c r="BE162" s="207">
        <f t="shared" si="108"/>
        <v>0</v>
      </c>
      <c r="BF162" s="207">
        <f t="shared" si="108"/>
        <v>0</v>
      </c>
      <c r="BG162" s="335"/>
      <c r="BH162" s="214"/>
    </row>
    <row r="163" spans="1:60" x14ac:dyDescent="0.2">
      <c r="A163" s="648"/>
      <c r="B163" s="492" t="s">
        <v>243</v>
      </c>
      <c r="C163" s="739" t="s">
        <v>104</v>
      </c>
      <c r="D163" s="747"/>
      <c r="E163" s="90"/>
      <c r="F163" s="90"/>
      <c r="G163" s="90"/>
      <c r="H163" s="96"/>
      <c r="I163" s="232"/>
      <c r="J163" s="93"/>
      <c r="K163" s="90"/>
      <c r="L163" s="90"/>
      <c r="M163" s="93"/>
      <c r="N163" s="90"/>
      <c r="O163" s="132"/>
      <c r="P163" s="93"/>
      <c r="Q163" s="132"/>
      <c r="R163" s="93"/>
      <c r="S163" s="93"/>
      <c r="T163" s="93"/>
      <c r="U163" s="93"/>
      <c r="V163" s="93"/>
      <c r="W163" s="93"/>
      <c r="X163" s="93"/>
      <c r="Y163" s="93"/>
      <c r="Z163" s="90"/>
      <c r="AA163" s="132"/>
      <c r="AB163" s="93"/>
      <c r="AC163" s="132"/>
      <c r="AD163" s="93"/>
      <c r="AE163" s="93"/>
      <c r="AF163" s="93"/>
      <c r="AG163" s="93"/>
      <c r="AH163" s="93"/>
      <c r="AI163" s="93"/>
      <c r="AJ163" s="93"/>
      <c r="AK163" s="93"/>
      <c r="AL163" s="90"/>
      <c r="AM163" s="132"/>
      <c r="AN163" s="93"/>
      <c r="AO163" s="132"/>
      <c r="AP163" s="93"/>
      <c r="AQ163" s="93"/>
      <c r="AR163" s="93"/>
      <c r="AS163" s="93"/>
      <c r="AT163" s="93"/>
      <c r="AU163" s="93"/>
      <c r="AV163" s="93"/>
      <c r="AW163" s="93"/>
      <c r="AX163" s="90"/>
      <c r="AY163" s="132"/>
      <c r="AZ163" s="93"/>
      <c r="BA163" s="132"/>
      <c r="BB163" s="93"/>
      <c r="BC163" s="93"/>
      <c r="BD163" s="93"/>
      <c r="BE163" s="93"/>
      <c r="BF163" s="93"/>
      <c r="BG163" s="93"/>
      <c r="BH163" s="1"/>
    </row>
    <row r="164" spans="1:60" x14ac:dyDescent="0.2">
      <c r="A164" s="648"/>
      <c r="B164" s="492" t="s">
        <v>252</v>
      </c>
      <c r="C164" s="656" t="s">
        <v>104</v>
      </c>
      <c r="D164" s="747"/>
      <c r="E164" s="90"/>
      <c r="F164" s="90"/>
      <c r="G164" s="90"/>
      <c r="H164" s="96"/>
      <c r="I164" s="90"/>
      <c r="J164" s="93"/>
      <c r="K164" s="90"/>
      <c r="L164" s="90"/>
      <c r="M164" s="93"/>
      <c r="N164" s="90"/>
      <c r="O164" s="132"/>
      <c r="P164" s="93"/>
      <c r="Q164" s="132"/>
      <c r="R164" s="93"/>
      <c r="S164" s="93"/>
      <c r="T164" s="93"/>
      <c r="U164" s="93"/>
      <c r="V164" s="93"/>
      <c r="W164" s="93"/>
      <c r="X164" s="93"/>
      <c r="Y164" s="93"/>
      <c r="Z164" s="90"/>
      <c r="AA164" s="132"/>
      <c r="AB164" s="93"/>
      <c r="AC164" s="132"/>
      <c r="AD164" s="93"/>
      <c r="AE164" s="93"/>
      <c r="AF164" s="93"/>
      <c r="AG164" s="93"/>
      <c r="AH164" s="93"/>
      <c r="AI164" s="93"/>
      <c r="AJ164" s="93"/>
      <c r="AK164" s="93"/>
      <c r="AL164" s="90"/>
      <c r="AM164" s="132"/>
      <c r="AN164" s="93"/>
      <c r="AO164" s="132"/>
      <c r="AP164" s="93"/>
      <c r="AQ164" s="93"/>
      <c r="AR164" s="93"/>
      <c r="AS164" s="93"/>
      <c r="AT164" s="93"/>
      <c r="AU164" s="93"/>
      <c r="AV164" s="93"/>
      <c r="AW164" s="93"/>
      <c r="AX164" s="90"/>
      <c r="AY164" s="132"/>
      <c r="AZ164" s="93"/>
      <c r="BA164" s="132"/>
      <c r="BB164" s="93"/>
      <c r="BC164" s="93"/>
      <c r="BD164" s="93"/>
      <c r="BE164" s="93"/>
      <c r="BF164" s="93"/>
      <c r="BG164" s="93"/>
      <c r="BH164" s="1"/>
    </row>
    <row r="165" spans="1:60" ht="21" x14ac:dyDescent="0.2">
      <c r="A165" s="648"/>
      <c r="B165" s="492" t="s">
        <v>252</v>
      </c>
      <c r="C165" s="739" t="s">
        <v>104</v>
      </c>
      <c r="D165" s="752"/>
      <c r="E165" s="240" t="s">
        <v>253</v>
      </c>
      <c r="F165" s="240"/>
      <c r="G165" s="240"/>
      <c r="H165" s="240"/>
      <c r="I165" s="88"/>
      <c r="J165" s="241" t="str">
        <f>J$10</f>
        <v>totaal</v>
      </c>
      <c r="K165" s="142"/>
      <c r="L165" s="142"/>
      <c r="M165" s="216" t="s">
        <v>254</v>
      </c>
      <c r="N165" s="222"/>
      <c r="O165" s="217" t="str">
        <f t="shared" ref="O165:W165" si="109">O$10</f>
        <v>verwarming</v>
      </c>
      <c r="P165" s="217" t="str">
        <f t="shared" si="109"/>
        <v>koeling</v>
      </c>
      <c r="Q165" s="217" t="str">
        <f t="shared" si="109"/>
        <v>tapwater</v>
      </c>
      <c r="R165" s="217" t="str">
        <f t="shared" si="109"/>
        <v>verlichting</v>
      </c>
      <c r="S165" s="217" t="str">
        <f t="shared" si="109"/>
        <v>ventilatoren</v>
      </c>
      <c r="T165" s="217" t="str">
        <f t="shared" si="109"/>
        <v>kookgas</v>
      </c>
      <c r="U165" s="217" t="str">
        <f t="shared" si="109"/>
        <v>overig elektra</v>
      </c>
      <c r="V165" s="217" t="str">
        <f t="shared" si="109"/>
        <v>mobiliteit</v>
      </c>
      <c r="W165" s="217" t="str">
        <f t="shared" si="109"/>
        <v>zonnepanelen</v>
      </c>
      <c r="X165" s="214"/>
      <c r="Y165" s="216" t="s">
        <v>254</v>
      </c>
      <c r="Z165" s="222"/>
      <c r="AA165" s="217" t="str">
        <f t="shared" ref="AA165:AI165" si="110">AA$10</f>
        <v>verwarming</v>
      </c>
      <c r="AB165" s="217" t="str">
        <f t="shared" si="110"/>
        <v>koeling</v>
      </c>
      <c r="AC165" s="217" t="str">
        <f t="shared" si="110"/>
        <v>tapwater</v>
      </c>
      <c r="AD165" s="217" t="str">
        <f t="shared" si="110"/>
        <v>verlichting</v>
      </c>
      <c r="AE165" s="217" t="str">
        <f t="shared" si="110"/>
        <v>ventilatoren</v>
      </c>
      <c r="AF165" s="217" t="str">
        <f t="shared" si="110"/>
        <v>kookgas</v>
      </c>
      <c r="AG165" s="217" t="str">
        <f t="shared" si="110"/>
        <v>overig elektra</v>
      </c>
      <c r="AH165" s="217" t="str">
        <f t="shared" si="110"/>
        <v>mobiliteit</v>
      </c>
      <c r="AI165" s="217" t="str">
        <f t="shared" si="110"/>
        <v>zonnepanelen</v>
      </c>
      <c r="AJ165" s="214"/>
      <c r="AK165" s="216" t="s">
        <v>254</v>
      </c>
      <c r="AL165" s="222"/>
      <c r="AM165" s="217" t="str">
        <f>AM$10</f>
        <v>verwarming</v>
      </c>
      <c r="AN165" s="217" t="str">
        <f>AN$10</f>
        <v>koeling</v>
      </c>
      <c r="AO165" s="217" t="str">
        <f>AO$10</f>
        <v>tapwater</v>
      </c>
      <c r="AP165" s="217" t="str">
        <f t="shared" ref="AP165:AU165" si="111">AP$10</f>
        <v>verlichting</v>
      </c>
      <c r="AQ165" s="217" t="str">
        <f t="shared" si="111"/>
        <v>ventilatoren</v>
      </c>
      <c r="AR165" s="217" t="str">
        <f t="shared" si="111"/>
        <v>kookgas</v>
      </c>
      <c r="AS165" s="217" t="str">
        <f t="shared" si="111"/>
        <v>overig elektra</v>
      </c>
      <c r="AT165" s="217" t="str">
        <f t="shared" si="111"/>
        <v>mobiliteit</v>
      </c>
      <c r="AU165" s="217" t="str">
        <f t="shared" si="111"/>
        <v>zonnepanelen</v>
      </c>
      <c r="AV165" s="214"/>
      <c r="AW165" s="216" t="s">
        <v>255</v>
      </c>
      <c r="AX165" s="222"/>
      <c r="AY165" s="217" t="str">
        <f>AY$10</f>
        <v>verwarming</v>
      </c>
      <c r="AZ165" s="217" t="str">
        <f>AZ$10</f>
        <v>koeling</v>
      </c>
      <c r="BA165" s="217" t="str">
        <f>BA$10</f>
        <v>tapwater</v>
      </c>
      <c r="BB165" s="217" t="str">
        <f t="shared" ref="BB165:BG165" si="112">BB$10</f>
        <v>verlichting</v>
      </c>
      <c r="BC165" s="217" t="str">
        <f t="shared" si="112"/>
        <v>ventilatoren</v>
      </c>
      <c r="BD165" s="217" t="str">
        <f t="shared" si="112"/>
        <v>kookgas</v>
      </c>
      <c r="BE165" s="217" t="str">
        <f t="shared" si="112"/>
        <v>overig elektra</v>
      </c>
      <c r="BF165" s="217" t="str">
        <f t="shared" si="112"/>
        <v>mobiliteit</v>
      </c>
      <c r="BG165" s="217" t="str">
        <f t="shared" si="112"/>
        <v>zonnepanelen</v>
      </c>
      <c r="BH165" s="1"/>
    </row>
    <row r="166" spans="1:60" ht="18.75" x14ac:dyDescent="0.2">
      <c r="A166" s="648"/>
      <c r="B166" s="492" t="s">
        <v>252</v>
      </c>
      <c r="C166" s="739" t="s">
        <v>104</v>
      </c>
      <c r="D166" s="747"/>
      <c r="E166" s="231" t="s">
        <v>256</v>
      </c>
      <c r="F166" s="231"/>
      <c r="G166" s="231"/>
      <c r="H166" s="89"/>
      <c r="I166" s="232"/>
      <c r="J166" s="231"/>
      <c r="K166" s="232"/>
      <c r="L166" s="232"/>
      <c r="M166" s="231"/>
      <c r="N166" s="232"/>
      <c r="O166" s="232"/>
      <c r="P166" s="232"/>
      <c r="Q166" s="232"/>
      <c r="R166" s="232"/>
      <c r="S166" s="232"/>
      <c r="T166" s="232"/>
      <c r="U166" s="232"/>
      <c r="V166" s="232"/>
      <c r="W166" s="232"/>
      <c r="X166" s="232"/>
      <c r="Y166" s="231"/>
      <c r="Z166" s="232"/>
      <c r="AA166" s="232"/>
      <c r="AB166" s="232"/>
      <c r="AC166" s="232"/>
      <c r="AD166" s="232"/>
      <c r="AE166" s="232"/>
      <c r="AF166" s="232"/>
      <c r="AG166" s="232"/>
      <c r="AH166" s="232"/>
      <c r="AI166" s="232"/>
      <c r="AJ166" s="232"/>
      <c r="AK166" s="231"/>
      <c r="AL166" s="232"/>
      <c r="AM166" s="232"/>
      <c r="AN166" s="232"/>
      <c r="AO166" s="232"/>
      <c r="AP166" s="232"/>
      <c r="AQ166" s="232"/>
      <c r="AR166" s="232"/>
      <c r="AS166" s="232"/>
      <c r="AT166" s="232"/>
      <c r="AU166" s="232"/>
      <c r="AV166" s="232"/>
      <c r="AW166" s="231"/>
      <c r="AX166" s="232"/>
      <c r="AY166" s="232"/>
      <c r="AZ166" s="232"/>
      <c r="BA166" s="232"/>
      <c r="BB166" s="232"/>
      <c r="BC166" s="232"/>
      <c r="BD166" s="232"/>
      <c r="BE166" s="232"/>
      <c r="BF166" s="232"/>
      <c r="BG166" s="232"/>
      <c r="BH166" s="38"/>
    </row>
    <row r="167" spans="1:60" s="2" customFormat="1" hidden="1" x14ac:dyDescent="0.2">
      <c r="A167" s="649"/>
      <c r="B167" s="492" t="s">
        <v>252</v>
      </c>
      <c r="C167" s="739" t="s">
        <v>199</v>
      </c>
      <c r="D167" s="753"/>
      <c r="E167" s="220" t="s">
        <v>257</v>
      </c>
      <c r="F167" s="220"/>
      <c r="G167" s="220"/>
      <c r="H167" s="221" t="s">
        <v>177</v>
      </c>
      <c r="I167" s="129"/>
      <c r="J167" s="243">
        <f>M167+Y167+AK167+AW167</f>
        <v>0</v>
      </c>
      <c r="K167" s="294"/>
      <c r="L167" s="294"/>
      <c r="M167" s="243">
        <f>SUM(N167:X167)</f>
        <v>0</v>
      </c>
      <c r="N167" s="100"/>
      <c r="O167" s="207">
        <f>O$113*O$125</f>
        <v>0</v>
      </c>
      <c r="P167" s="207">
        <f>P$113*P$125</f>
        <v>0</v>
      </c>
      <c r="Q167" s="207">
        <f>Q$113*Q$125</f>
        <v>0</v>
      </c>
      <c r="R167" s="335"/>
      <c r="S167" s="335"/>
      <c r="T167" s="335"/>
      <c r="U167" s="335"/>
      <c r="V167" s="335"/>
      <c r="W167" s="335"/>
      <c r="X167" s="128"/>
      <c r="Y167" s="243">
        <f>SUM(Z167:AJ167)</f>
        <v>0</v>
      </c>
      <c r="Z167" s="100"/>
      <c r="AA167" s="207">
        <f>AA$113*AA$125</f>
        <v>0</v>
      </c>
      <c r="AB167" s="207">
        <f>AB$113*AB$125</f>
        <v>0</v>
      </c>
      <c r="AC167" s="207">
        <f>AC$113*AC$125</f>
        <v>0</v>
      </c>
      <c r="AD167" s="335"/>
      <c r="AE167" s="335"/>
      <c r="AF167" s="335"/>
      <c r="AG167" s="335"/>
      <c r="AH167" s="335"/>
      <c r="AI167" s="335"/>
      <c r="AJ167" s="128"/>
      <c r="AK167" s="243">
        <f>SUM(AL167:AV167)</f>
        <v>0</v>
      </c>
      <c r="AL167" s="100"/>
      <c r="AM167" s="207">
        <f>AM$113*AM$125</f>
        <v>0</v>
      </c>
      <c r="AN167" s="207">
        <f>AN$113*AN$125</f>
        <v>0</v>
      </c>
      <c r="AO167" s="207">
        <f>AO$113*AO$125</f>
        <v>0</v>
      </c>
      <c r="AP167" s="335"/>
      <c r="AQ167" s="335"/>
      <c r="AR167" s="335"/>
      <c r="AS167" s="335"/>
      <c r="AT167" s="335"/>
      <c r="AU167" s="335"/>
      <c r="AV167" s="128"/>
      <c r="AW167" s="243">
        <f>SUM(AX167:BH167)</f>
        <v>0</v>
      </c>
      <c r="AX167" s="100"/>
      <c r="AY167" s="207">
        <f>AY$113*AY$125</f>
        <v>0</v>
      </c>
      <c r="AZ167" s="207">
        <f>AZ$113*AZ$125</f>
        <v>0</v>
      </c>
      <c r="BA167" s="207">
        <f>BA$113*BA$125</f>
        <v>0</v>
      </c>
      <c r="BB167" s="335"/>
      <c r="BC167" s="335"/>
      <c r="BD167" s="335"/>
      <c r="BE167" s="335"/>
      <c r="BF167" s="335"/>
      <c r="BG167" s="335"/>
      <c r="BH167" s="255"/>
    </row>
    <row r="168" spans="1:60" s="2" customFormat="1" hidden="1" x14ac:dyDescent="0.2">
      <c r="A168" s="649"/>
      <c r="B168" s="492" t="s">
        <v>252</v>
      </c>
      <c r="C168" s="739" t="s">
        <v>199</v>
      </c>
      <c r="D168" s="754" t="s">
        <v>50</v>
      </c>
      <c r="E168" s="220" t="s">
        <v>112</v>
      </c>
      <c r="F168" s="220"/>
      <c r="G168" s="220"/>
      <c r="H168" s="221" t="s">
        <v>177</v>
      </c>
      <c r="I168" s="129"/>
      <c r="J168" s="243">
        <f>M168+Y168+AK168+AW168</f>
        <v>0</v>
      </c>
      <c r="K168" s="294"/>
      <c r="L168" s="294"/>
      <c r="M168" s="243">
        <f>SUM(N168:X168)</f>
        <v>0</v>
      </c>
      <c r="N168" s="100"/>
      <c r="O168" s="335"/>
      <c r="P168" s="335"/>
      <c r="Q168" s="335"/>
      <c r="R168" s="335"/>
      <c r="S168" s="335"/>
      <c r="T168" s="335"/>
      <c r="U168" s="335"/>
      <c r="V168" s="335"/>
      <c r="W168" s="207">
        <f>-W75</f>
        <v>0</v>
      </c>
      <c r="X168" s="128"/>
      <c r="Y168" s="243">
        <f>SUM(Z168:AJ168)</f>
        <v>0</v>
      </c>
      <c r="Z168" s="100"/>
      <c r="AA168" s="335"/>
      <c r="AB168" s="335"/>
      <c r="AC168" s="335"/>
      <c r="AD168" s="335"/>
      <c r="AE168" s="335"/>
      <c r="AF168" s="335"/>
      <c r="AG168" s="335"/>
      <c r="AH168" s="335"/>
      <c r="AI168" s="207">
        <f>-AI75</f>
        <v>0</v>
      </c>
      <c r="AJ168" s="128"/>
      <c r="AK168" s="243">
        <f>SUM(AL168:AV168)</f>
        <v>0</v>
      </c>
      <c r="AL168" s="100"/>
      <c r="AM168" s="335"/>
      <c r="AN168" s="335"/>
      <c r="AO168" s="335"/>
      <c r="AP168" s="335"/>
      <c r="AQ168" s="335"/>
      <c r="AR168" s="335"/>
      <c r="AS168" s="335"/>
      <c r="AT168" s="335"/>
      <c r="AU168" s="207">
        <f>-AU75</f>
        <v>0</v>
      </c>
      <c r="AV168" s="128"/>
      <c r="AW168" s="243">
        <f>SUM(AX168:BH168)</f>
        <v>0</v>
      </c>
      <c r="AX168" s="100"/>
      <c r="AY168" s="335"/>
      <c r="AZ168" s="335"/>
      <c r="BA168" s="335"/>
      <c r="BB168" s="335"/>
      <c r="BC168" s="335"/>
      <c r="BD168" s="335"/>
      <c r="BE168" s="335"/>
      <c r="BF168" s="335"/>
      <c r="BG168" s="207">
        <f>-BG75</f>
        <v>0</v>
      </c>
      <c r="BH168" s="255"/>
    </row>
    <row r="169" spans="1:60" s="2" customFormat="1" hidden="1" x14ac:dyDescent="0.2">
      <c r="A169" s="649"/>
      <c r="B169" s="492" t="s">
        <v>252</v>
      </c>
      <c r="C169" s="739" t="s">
        <v>199</v>
      </c>
      <c r="D169" s="753"/>
      <c r="E169" s="220" t="s">
        <v>258</v>
      </c>
      <c r="F169" s="220"/>
      <c r="G169" s="220"/>
      <c r="H169" s="221" t="s">
        <v>177</v>
      </c>
      <c r="I169" s="129"/>
      <c r="J169" s="243">
        <f>J167+J168</f>
        <v>0</v>
      </c>
      <c r="K169" s="294"/>
      <c r="L169" s="294"/>
      <c r="M169" s="243">
        <f>M167+M168</f>
        <v>0</v>
      </c>
      <c r="N169" s="100"/>
      <c r="O169" s="207">
        <f t="shared" ref="O169:W169" si="113">O167+O168</f>
        <v>0</v>
      </c>
      <c r="P169" s="207">
        <f t="shared" si="113"/>
        <v>0</v>
      </c>
      <c r="Q169" s="207">
        <f t="shared" si="113"/>
        <v>0</v>
      </c>
      <c r="R169" s="207"/>
      <c r="S169" s="207"/>
      <c r="T169" s="207"/>
      <c r="U169" s="207"/>
      <c r="V169" s="207"/>
      <c r="W169" s="207">
        <f t="shared" si="113"/>
        <v>0</v>
      </c>
      <c r="X169" s="128"/>
      <c r="Y169" s="243">
        <f>Y167+Y168</f>
        <v>0</v>
      </c>
      <c r="Z169" s="100"/>
      <c r="AA169" s="207">
        <f>AA167+AA168</f>
        <v>0</v>
      </c>
      <c r="AB169" s="207">
        <f>AB167+AB168</f>
        <v>0</v>
      </c>
      <c r="AC169" s="207">
        <f>AC167+AC168</f>
        <v>0</v>
      </c>
      <c r="AD169" s="335"/>
      <c r="AE169" s="335"/>
      <c r="AF169" s="335"/>
      <c r="AG169" s="335"/>
      <c r="AH169" s="335"/>
      <c r="AI169" s="207">
        <f>AI167+AI168</f>
        <v>0</v>
      </c>
      <c r="AJ169" s="128"/>
      <c r="AK169" s="243">
        <f>AK167+AK168</f>
        <v>0</v>
      </c>
      <c r="AL169" s="100"/>
      <c r="AM169" s="207">
        <f>AM167+AM168</f>
        <v>0</v>
      </c>
      <c r="AN169" s="207">
        <f>AN167+AN168</f>
        <v>0</v>
      </c>
      <c r="AO169" s="207">
        <f>AO167+AO168</f>
        <v>0</v>
      </c>
      <c r="AP169" s="335"/>
      <c r="AQ169" s="335"/>
      <c r="AR169" s="335"/>
      <c r="AS169" s="335"/>
      <c r="AT169" s="335"/>
      <c r="AU169" s="207">
        <f>AU167+AU168</f>
        <v>0</v>
      </c>
      <c r="AV169" s="128"/>
      <c r="AW169" s="243">
        <f>AW167+AW168</f>
        <v>0</v>
      </c>
      <c r="AX169" s="100"/>
      <c r="AY169" s="207">
        <f>AY167+AY168</f>
        <v>0</v>
      </c>
      <c r="AZ169" s="207">
        <f>AZ167+AZ168</f>
        <v>0</v>
      </c>
      <c r="BA169" s="207">
        <f>BA167+BA168</f>
        <v>0</v>
      </c>
      <c r="BB169" s="335"/>
      <c r="BC169" s="335"/>
      <c r="BD169" s="335"/>
      <c r="BE169" s="335"/>
      <c r="BF169" s="335"/>
      <c r="BG169" s="207">
        <f>BG167+BG168</f>
        <v>0</v>
      </c>
      <c r="BH169" s="255"/>
    </row>
    <row r="170" spans="1:60" s="2" customFormat="1" ht="18.75" x14ac:dyDescent="0.2">
      <c r="A170" s="649"/>
      <c r="B170" s="492" t="s">
        <v>252</v>
      </c>
      <c r="C170" s="739" t="s">
        <v>104</v>
      </c>
      <c r="D170" s="753"/>
      <c r="E170" s="310" t="s">
        <v>259</v>
      </c>
      <c r="F170" s="310"/>
      <c r="G170" s="310"/>
      <c r="H170" s="311"/>
      <c r="I170" s="312"/>
      <c r="J170" s="310"/>
      <c r="K170" s="313"/>
      <c r="L170" s="313"/>
      <c r="M170" s="310"/>
      <c r="N170" s="312"/>
      <c r="O170" s="312"/>
      <c r="P170" s="312"/>
      <c r="Q170" s="312"/>
      <c r="R170" s="312"/>
      <c r="S170" s="312"/>
      <c r="T170" s="312"/>
      <c r="U170" s="312"/>
      <c r="V170" s="312"/>
      <c r="W170" s="312"/>
      <c r="X170" s="313"/>
      <c r="Y170" s="310"/>
      <c r="Z170" s="312"/>
      <c r="AA170" s="312"/>
      <c r="AB170" s="312"/>
      <c r="AC170" s="312"/>
      <c r="AD170" s="312"/>
      <c r="AE170" s="312"/>
      <c r="AF170" s="312"/>
      <c r="AG170" s="312"/>
      <c r="AH170" s="312"/>
      <c r="AI170" s="312"/>
      <c r="AJ170" s="313"/>
      <c r="AK170" s="310"/>
      <c r="AL170" s="312"/>
      <c r="AM170" s="312"/>
      <c r="AN170" s="312"/>
      <c r="AO170" s="312"/>
      <c r="AP170" s="312"/>
      <c r="AQ170" s="312"/>
      <c r="AR170" s="312"/>
      <c r="AS170" s="312"/>
      <c r="AT170" s="312"/>
      <c r="AU170" s="312"/>
      <c r="AV170" s="313"/>
      <c r="AW170" s="310"/>
      <c r="AX170" s="312"/>
      <c r="AY170" s="312"/>
      <c r="AZ170" s="312"/>
      <c r="BA170" s="312"/>
      <c r="BB170" s="312"/>
      <c r="BC170" s="312"/>
      <c r="BD170" s="312"/>
      <c r="BE170" s="312"/>
      <c r="BF170" s="312"/>
      <c r="BG170" s="312"/>
    </row>
    <row r="171" spans="1:60" s="2" customFormat="1" hidden="1" x14ac:dyDescent="0.2">
      <c r="A171" s="649"/>
      <c r="B171" s="492" t="s">
        <v>252</v>
      </c>
      <c r="C171" s="739" t="s">
        <v>199</v>
      </c>
      <c r="D171" s="753"/>
      <c r="E171" s="220" t="s">
        <v>260</v>
      </c>
      <c r="F171" s="220"/>
      <c r="G171" s="220"/>
      <c r="H171" s="221" t="s">
        <v>220</v>
      </c>
      <c r="I171" s="129"/>
      <c r="J171" s="243">
        <f>M171+Y171+AK171+AW171</f>
        <v>0</v>
      </c>
      <c r="K171" s="294"/>
      <c r="L171" s="294"/>
      <c r="M171" s="306">
        <f>SUM(N171:X171)</f>
        <v>0</v>
      </c>
      <c r="N171" s="100"/>
      <c r="O171" s="308">
        <f>AND(O$81=gebouw,O$102=elektriciteit)*O$113+AND(O$81=gebouw,O$132=elektriciteit)*O$138+SUM(O$153:O$155)</f>
        <v>0</v>
      </c>
      <c r="P171" s="308">
        <f>AND(P$81=gebouw,P$102=elektriciteit)*P$113+AND(P$81=gebouw,P$132=elektriciteit)*P$138+SUM(P$153:P$155)</f>
        <v>0</v>
      </c>
      <c r="Q171" s="308">
        <f>AND(Q$81=gebouw,Q$102=elektriciteit)*Q$113+AND(Q$81=gebouw,Q$132=elektriciteit)*Q$138+SUM(Q$153:Q$155)</f>
        <v>0</v>
      </c>
      <c r="R171" s="308">
        <f>SUM(R$153:R$155)</f>
        <v>0</v>
      </c>
      <c r="S171" s="308">
        <f>SUM(S$153:S$155)</f>
        <v>0</v>
      </c>
      <c r="T171" s="335"/>
      <c r="U171" s="308">
        <f>SUM(U$153:U$155)</f>
        <v>0</v>
      </c>
      <c r="V171" s="308">
        <f>SUM(V$153:V$155)</f>
        <v>0</v>
      </c>
      <c r="W171" s="703"/>
      <c r="X171" s="133"/>
      <c r="Y171" s="306">
        <f>SUM(Z171:AJ171)</f>
        <v>0</v>
      </c>
      <c r="Z171" s="100"/>
      <c r="AA171" s="308">
        <f>AND(AA$81=gebouw,AA$102=elektriciteit)*AA$113+AND(AA$81=gebouw,AA$132=elektriciteit)*AA$138+SUM(AA$153:AA$155)</f>
        <v>0</v>
      </c>
      <c r="AB171" s="308">
        <f>AND(AB$81=gebouw,AB$102=elektriciteit)*AB$113+AND(AB$81=gebouw,AB$132=elektriciteit)*AB$138+SUM(AB$153:AB$155)</f>
        <v>0</v>
      </c>
      <c r="AC171" s="308">
        <f>AND(AC$81=gebouw,AC$102=elektriciteit)*AC$113+AND(AC$81=gebouw,AC$132=elektriciteit)*AC$138+SUM(AC$153:AC$155)</f>
        <v>0</v>
      </c>
      <c r="AD171" s="308">
        <f>SUM(AD$153:AD$155)</f>
        <v>0</v>
      </c>
      <c r="AE171" s="308">
        <f>SUM(AE$153:AE$155)</f>
        <v>0</v>
      </c>
      <c r="AF171" s="335"/>
      <c r="AG171" s="308">
        <f>SUM(AG$153:AG$155)</f>
        <v>0</v>
      </c>
      <c r="AH171" s="308">
        <f>SUM(AH$153:AH$155)</f>
        <v>0</v>
      </c>
      <c r="AI171" s="703"/>
      <c r="AJ171" s="133"/>
      <c r="AK171" s="306">
        <f>SUM(AL171:AV171)</f>
        <v>0</v>
      </c>
      <c r="AL171" s="100"/>
      <c r="AM171" s="308">
        <f>AND(AM$81=gebouw,AM$102=elektriciteit)*AM$113+AND(AM$81=gebouw,AM$132=elektriciteit)*AM$138+SUM(AM$153:AM$155)</f>
        <v>0</v>
      </c>
      <c r="AN171" s="308">
        <f>AND(AN$81=gebouw,AN$102=elektriciteit)*AN$113+AND(AN$81=gebouw,AN$132=elektriciteit)*AN$138+SUM(AN$153:AN$155)</f>
        <v>0</v>
      </c>
      <c r="AO171" s="308">
        <f>AND(AO$81=gebouw,AO$102=elektriciteit)*AO$113+AND(AO$81=gebouw,AO$132=elektriciteit)*AO$138+SUM(AO$153:AO$155)</f>
        <v>0</v>
      </c>
      <c r="AP171" s="308">
        <f>SUM(AP$153:AP$155)</f>
        <v>0</v>
      </c>
      <c r="AQ171" s="308">
        <f>SUM(AQ$153:AQ$155)</f>
        <v>0</v>
      </c>
      <c r="AR171" s="335"/>
      <c r="AS171" s="308">
        <f>SUM(AS$153:AS$155)</f>
        <v>0</v>
      </c>
      <c r="AT171" s="308">
        <f>SUM(AT$153:AT$155)</f>
        <v>0</v>
      </c>
      <c r="AU171" s="703"/>
      <c r="AV171" s="133"/>
      <c r="AW171" s="306">
        <f>SUM(AX171:BH171)</f>
        <v>0</v>
      </c>
      <c r="AX171" s="100"/>
      <c r="AY171" s="308">
        <f>AND(AY$81=gebouw,AY$102=elektriciteit)*AY$113+AND(AY$81=gebouw,AY$132=elektriciteit)*AY$138+SUM(AY$153:AY$155)</f>
        <v>0</v>
      </c>
      <c r="AZ171" s="308">
        <f>AND(AZ$81=gebouw,AZ$102=elektriciteit)*AZ$113+AND(AZ$81=gebouw,AZ$132=elektriciteit)*AZ$138+SUM(AZ$153:AZ$155)</f>
        <v>0</v>
      </c>
      <c r="BA171" s="308">
        <f>AND(BA$81=gebouw,BA$102=elektriciteit)*BA$113+AND(BA$81=gebouw,BA$132=elektriciteit)*BA$138+SUM(BA$153:BA$155)</f>
        <v>0</v>
      </c>
      <c r="BB171" s="308">
        <f>SUM(BB$153:BB$155)</f>
        <v>0</v>
      </c>
      <c r="BC171" s="308">
        <f>SUM(BC$153:BC$155)</f>
        <v>0</v>
      </c>
      <c r="BD171" s="308"/>
      <c r="BE171" s="308">
        <f>SUM(BE$153:BE$155)</f>
        <v>0</v>
      </c>
      <c r="BF171" s="308">
        <f>SUM(BF$153:BF$155)</f>
        <v>0</v>
      </c>
      <c r="BG171" s="703"/>
      <c r="BH171" s="267"/>
    </row>
    <row r="172" spans="1:60" s="2" customFormat="1" hidden="1" x14ac:dyDescent="0.2">
      <c r="A172" s="649"/>
      <c r="B172" s="492" t="s">
        <v>252</v>
      </c>
      <c r="C172" s="739" t="s">
        <v>199</v>
      </c>
      <c r="D172" s="753"/>
      <c r="E172" s="220" t="s">
        <v>261</v>
      </c>
      <c r="F172" s="220"/>
      <c r="G172" s="220"/>
      <c r="H172" s="221" t="s">
        <v>220</v>
      </c>
      <c r="I172" s="129"/>
      <c r="J172" s="243">
        <f>M172+Y172+AK172+AW172</f>
        <v>0</v>
      </c>
      <c r="K172" s="294"/>
      <c r="L172" s="294"/>
      <c r="M172" s="306">
        <f>MIN(M171,M169)</f>
        <v>0</v>
      </c>
      <c r="N172" s="100"/>
      <c r="O172" s="703"/>
      <c r="P172" s="703"/>
      <c r="Q172" s="703"/>
      <c r="R172" s="703"/>
      <c r="S172" s="703"/>
      <c r="T172" s="703"/>
      <c r="U172" s="703"/>
      <c r="V172" s="703"/>
      <c r="W172" s="703"/>
      <c r="X172" s="133"/>
      <c r="Y172" s="306">
        <f>MIN(Y171,Y169)</f>
        <v>0</v>
      </c>
      <c r="Z172" s="100"/>
      <c r="AA172" s="703"/>
      <c r="AB172" s="703"/>
      <c r="AC172" s="703"/>
      <c r="AD172" s="703"/>
      <c r="AE172" s="703"/>
      <c r="AF172" s="703"/>
      <c r="AG172" s="703"/>
      <c r="AH172" s="703"/>
      <c r="AI172" s="703"/>
      <c r="AJ172" s="133"/>
      <c r="AK172" s="306">
        <f>MIN(AK171,AK169)</f>
        <v>0</v>
      </c>
      <c r="AL172" s="100"/>
      <c r="AM172" s="703"/>
      <c r="AN172" s="703"/>
      <c r="AO172" s="703"/>
      <c r="AP172" s="703"/>
      <c r="AQ172" s="703"/>
      <c r="AR172" s="703"/>
      <c r="AS172" s="703"/>
      <c r="AT172" s="703"/>
      <c r="AU172" s="703"/>
      <c r="AV172" s="133"/>
      <c r="AW172" s="306">
        <f>MIN(AW171,AW169)</f>
        <v>0</v>
      </c>
      <c r="AX172" s="100"/>
      <c r="AY172" s="703"/>
      <c r="AZ172" s="703"/>
      <c r="BA172" s="703"/>
      <c r="BB172" s="703"/>
      <c r="BC172" s="703"/>
      <c r="BD172" s="703"/>
      <c r="BE172" s="703"/>
      <c r="BF172" s="703"/>
      <c r="BG172" s="703"/>
      <c r="BH172" s="267"/>
    </row>
    <row r="173" spans="1:60" s="2" customFormat="1" hidden="1" x14ac:dyDescent="0.2">
      <c r="A173" s="649"/>
      <c r="B173" s="492" t="s">
        <v>252</v>
      </c>
      <c r="C173" s="739" t="s">
        <v>199</v>
      </c>
      <c r="D173" s="753"/>
      <c r="E173" s="220" t="s">
        <v>262</v>
      </c>
      <c r="F173" s="220"/>
      <c r="G173" s="220"/>
      <c r="H173" s="221" t="s">
        <v>220</v>
      </c>
      <c r="I173" s="129"/>
      <c r="J173" s="243">
        <f>M173+Y173+AK173+AW173</f>
        <v>0</v>
      </c>
      <c r="K173" s="294"/>
      <c r="L173" s="294"/>
      <c r="M173" s="306">
        <f>MAX(0,M169-M172)</f>
        <v>0</v>
      </c>
      <c r="N173" s="100"/>
      <c r="O173" s="703"/>
      <c r="P173" s="703"/>
      <c r="Q173" s="703"/>
      <c r="R173" s="703"/>
      <c r="S173" s="703"/>
      <c r="T173" s="703"/>
      <c r="U173" s="703"/>
      <c r="V173" s="703"/>
      <c r="W173" s="703"/>
      <c r="X173" s="133"/>
      <c r="Y173" s="306">
        <f>MAX(0,Y167+Y168-Y172)</f>
        <v>0</v>
      </c>
      <c r="Z173" s="100"/>
      <c r="AA173" s="703"/>
      <c r="AB173" s="703"/>
      <c r="AC173" s="703"/>
      <c r="AD173" s="703"/>
      <c r="AE173" s="703"/>
      <c r="AF173" s="703"/>
      <c r="AG173" s="703"/>
      <c r="AH173" s="703"/>
      <c r="AI173" s="703"/>
      <c r="AJ173" s="133"/>
      <c r="AK173" s="306">
        <f>MAX(0,AK167+AK168-AK172)</f>
        <v>0</v>
      </c>
      <c r="AL173" s="100"/>
      <c r="AM173" s="703"/>
      <c r="AN173" s="703"/>
      <c r="AO173" s="703"/>
      <c r="AP173" s="703"/>
      <c r="AQ173" s="703"/>
      <c r="AR173" s="703"/>
      <c r="AS173" s="703"/>
      <c r="AT173" s="703"/>
      <c r="AU173" s="703"/>
      <c r="AV173" s="133"/>
      <c r="AW173" s="306">
        <f>MAX(0,AW167+AW168-AW172)</f>
        <v>0</v>
      </c>
      <c r="AX173" s="100"/>
      <c r="AY173" s="703"/>
      <c r="AZ173" s="703"/>
      <c r="BA173" s="703"/>
      <c r="BB173" s="703"/>
      <c r="BC173" s="703"/>
      <c r="BD173" s="703"/>
      <c r="BE173" s="703"/>
      <c r="BF173" s="703"/>
      <c r="BG173" s="703"/>
      <c r="BH173" s="267"/>
    </row>
    <row r="174" spans="1:60" s="2" customFormat="1" ht="18.75" x14ac:dyDescent="0.2">
      <c r="A174" s="649"/>
      <c r="B174" s="492" t="s">
        <v>252</v>
      </c>
      <c r="C174" s="739" t="s">
        <v>104</v>
      </c>
      <c r="D174" s="753"/>
      <c r="E174" s="310" t="s">
        <v>263</v>
      </c>
      <c r="F174" s="310"/>
      <c r="G174" s="310"/>
      <c r="H174" s="311"/>
      <c r="I174" s="312"/>
      <c r="J174" s="310"/>
      <c r="K174" s="313"/>
      <c r="L174" s="313"/>
      <c r="M174" s="310"/>
      <c r="N174" s="312"/>
      <c r="O174" s="312"/>
      <c r="P174" s="312"/>
      <c r="Q174" s="312"/>
      <c r="R174" s="312"/>
      <c r="S174" s="312"/>
      <c r="T174" s="312"/>
      <c r="U174" s="312"/>
      <c r="V174" s="312"/>
      <c r="W174" s="312"/>
      <c r="X174" s="313"/>
      <c r="Y174" s="310"/>
      <c r="Z174" s="312"/>
      <c r="AA174" s="312"/>
      <c r="AB174" s="312"/>
      <c r="AC174" s="312"/>
      <c r="AD174" s="312"/>
      <c r="AE174" s="312"/>
      <c r="AF174" s="312"/>
      <c r="AG174" s="312"/>
      <c r="AH174" s="312"/>
      <c r="AI174" s="312"/>
      <c r="AJ174" s="313"/>
      <c r="AK174" s="310"/>
      <c r="AL174" s="312"/>
      <c r="AM174" s="312"/>
      <c r="AN174" s="312"/>
      <c r="AO174" s="312"/>
      <c r="AP174" s="312"/>
      <c r="AQ174" s="312"/>
      <c r="AR174" s="312"/>
      <c r="AS174" s="312"/>
      <c r="AT174" s="312"/>
      <c r="AU174" s="312"/>
      <c r="AV174" s="313"/>
      <c r="AW174" s="310"/>
      <c r="AX174" s="312"/>
      <c r="AY174" s="312"/>
      <c r="AZ174" s="312"/>
      <c r="BA174" s="312"/>
      <c r="BB174" s="312"/>
      <c r="BC174" s="312"/>
      <c r="BD174" s="312"/>
      <c r="BE174" s="312"/>
      <c r="BF174" s="312"/>
      <c r="BG174" s="312"/>
    </row>
    <row r="175" spans="1:60" s="2" customFormat="1" hidden="1" x14ac:dyDescent="0.2">
      <c r="A175" s="649"/>
      <c r="B175" s="492" t="s">
        <v>252</v>
      </c>
      <c r="C175" s="739" t="s">
        <v>199</v>
      </c>
      <c r="D175" s="753"/>
      <c r="E175" s="220" t="s">
        <v>264</v>
      </c>
      <c r="F175" s="220"/>
      <c r="G175" s="220"/>
      <c r="H175" s="221" t="s">
        <v>223</v>
      </c>
      <c r="I175" s="129"/>
      <c r="J175" s="230"/>
      <c r="K175" s="90"/>
      <c r="L175" s="90"/>
      <c r="M175" s="307">
        <f>$G$5</f>
        <v>1.45</v>
      </c>
      <c r="N175" s="129"/>
      <c r="O175" s="401"/>
      <c r="P175" s="401"/>
      <c r="Q175" s="401"/>
      <c r="R175" s="401"/>
      <c r="S175" s="401"/>
      <c r="T175" s="401"/>
      <c r="U175" s="401"/>
      <c r="V175" s="401"/>
      <c r="W175" s="401"/>
      <c r="X175" s="123"/>
      <c r="Y175" s="307">
        <f>$G$5</f>
        <v>1.45</v>
      </c>
      <c r="Z175" s="129"/>
      <c r="AA175" s="401"/>
      <c r="AB175" s="401"/>
      <c r="AC175" s="401"/>
      <c r="AD175" s="401"/>
      <c r="AE175" s="401"/>
      <c r="AF175" s="401"/>
      <c r="AG175" s="401"/>
      <c r="AH175" s="401"/>
      <c r="AI175" s="401"/>
      <c r="AJ175" s="123"/>
      <c r="AK175" s="307">
        <f>$G$5</f>
        <v>1.45</v>
      </c>
      <c r="AL175" s="129"/>
      <c r="AM175" s="401"/>
      <c r="AN175" s="401"/>
      <c r="AO175" s="401"/>
      <c r="AP175" s="401"/>
      <c r="AQ175" s="401"/>
      <c r="AR175" s="401"/>
      <c r="AS175" s="401"/>
      <c r="AT175" s="401"/>
      <c r="AU175" s="401"/>
      <c r="AV175" s="123"/>
      <c r="AW175" s="307">
        <f>$G$5</f>
        <v>1.45</v>
      </c>
      <c r="AX175" s="129"/>
      <c r="AY175" s="401"/>
      <c r="AZ175" s="401"/>
      <c r="BA175" s="401"/>
      <c r="BB175" s="401"/>
      <c r="BC175" s="401"/>
      <c r="BD175" s="401"/>
      <c r="BE175" s="401"/>
      <c r="BF175" s="401"/>
      <c r="BG175" s="401"/>
      <c r="BH175" s="264"/>
    </row>
    <row r="176" spans="1:60" s="2" customFormat="1" hidden="1" x14ac:dyDescent="0.2">
      <c r="A176" s="649"/>
      <c r="B176" s="492" t="s">
        <v>252</v>
      </c>
      <c r="C176" s="739" t="s">
        <v>199</v>
      </c>
      <c r="D176" s="753"/>
      <c r="E176" s="220" t="s">
        <v>265</v>
      </c>
      <c r="F176" s="220"/>
      <c r="G176" s="220"/>
      <c r="H176" s="221" t="s">
        <v>223</v>
      </c>
      <c r="I176" s="129"/>
      <c r="J176" s="230"/>
      <c r="K176" s="90"/>
      <c r="L176" s="90"/>
      <c r="M176" s="307">
        <f>HLOOKUP($F$5,elektriciteit_primaire_energiefactor,ROWS(bibliotheek!$E$261:$E$263),FALSE)</f>
        <v>1.45</v>
      </c>
      <c r="N176" s="129"/>
      <c r="O176" s="401"/>
      <c r="P176" s="401"/>
      <c r="Q176" s="401"/>
      <c r="R176" s="401"/>
      <c r="S176" s="401"/>
      <c r="T176" s="401"/>
      <c r="U176" s="401"/>
      <c r="V176" s="401"/>
      <c r="W176" s="401"/>
      <c r="X176" s="123"/>
      <c r="Y176" s="307">
        <f>HLOOKUP($F$5,elektriciteit_primaire_energiefactor,ROWS(bibliotheek!$E$261:$E$263),FALSE)</f>
        <v>1.45</v>
      </c>
      <c r="Z176" s="129"/>
      <c r="AA176" s="401"/>
      <c r="AB176" s="401"/>
      <c r="AC176" s="401"/>
      <c r="AD176" s="401"/>
      <c r="AE176" s="401"/>
      <c r="AF176" s="401"/>
      <c r="AG176" s="401"/>
      <c r="AH176" s="401"/>
      <c r="AI176" s="401"/>
      <c r="AJ176" s="123"/>
      <c r="AK176" s="307">
        <f>HLOOKUP($F$5,elektriciteit_primaire_energiefactor,ROWS(bibliotheek!$E$261:$E$263),FALSE)</f>
        <v>1.45</v>
      </c>
      <c r="AL176" s="129"/>
      <c r="AM176" s="401"/>
      <c r="AN176" s="401"/>
      <c r="AO176" s="401"/>
      <c r="AP176" s="401"/>
      <c r="AQ176" s="401"/>
      <c r="AR176" s="401"/>
      <c r="AS176" s="401"/>
      <c r="AT176" s="401"/>
      <c r="AU176" s="401"/>
      <c r="AV176" s="123"/>
      <c r="AW176" s="307">
        <f>HLOOKUP($F$5,elektriciteit_primaire_energiefactor,ROWS(bibliotheek!$E$261:$E$263),FALSE)</f>
        <v>1.45</v>
      </c>
      <c r="AX176" s="129"/>
      <c r="AY176" s="401"/>
      <c r="AZ176" s="401"/>
      <c r="BA176" s="401"/>
      <c r="BB176" s="401"/>
      <c r="BC176" s="401"/>
      <c r="BD176" s="401"/>
      <c r="BE176" s="401"/>
      <c r="BF176" s="401"/>
      <c r="BG176" s="401"/>
      <c r="BH176" s="264"/>
    </row>
    <row r="177" spans="1:60" s="2" customFormat="1" x14ac:dyDescent="0.2">
      <c r="A177" s="649"/>
      <c r="B177" s="492" t="s">
        <v>252</v>
      </c>
      <c r="C177" s="739" t="s">
        <v>113</v>
      </c>
      <c r="D177" s="754"/>
      <c r="E177" s="220" t="s">
        <v>266</v>
      </c>
      <c r="F177" s="221"/>
      <c r="G177" s="221"/>
      <c r="H177" s="221" t="s">
        <v>115</v>
      </c>
      <c r="I177" s="129"/>
      <c r="J177" s="243">
        <f>M177+Y177+AK177+AW177</f>
        <v>0</v>
      </c>
      <c r="K177" s="823"/>
      <c r="L177" s="823"/>
      <c r="M177" s="306">
        <f>(M172*M175+M173*M176)</f>
        <v>0</v>
      </c>
      <c r="N177" s="100"/>
      <c r="O177" s="207">
        <f>IF($M$169=0,0,O$169/$M$169*$M177)</f>
        <v>0</v>
      </c>
      <c r="P177" s="207">
        <f>IF($M$169=0,0,P$169/$M$169*$M177)</f>
        <v>0</v>
      </c>
      <c r="Q177" s="207">
        <f>IF($M$169=0,0,Q$169/$M$169*$M177)</f>
        <v>0</v>
      </c>
      <c r="R177" s="335"/>
      <c r="S177" s="335"/>
      <c r="T177" s="335"/>
      <c r="U177" s="335"/>
      <c r="V177" s="335"/>
      <c r="W177" s="207">
        <f>IF($M$169=0,0,W$169/$M$169*$M177)</f>
        <v>0</v>
      </c>
      <c r="X177" s="128"/>
      <c r="Y177" s="306">
        <f>(Y172*Y175+Y173*Y176)</f>
        <v>0</v>
      </c>
      <c r="Z177" s="100"/>
      <c r="AA177" s="207">
        <f>IF($Y$169=0,0,AA$169/$Y$169*$Y177)</f>
        <v>0</v>
      </c>
      <c r="AB177" s="207">
        <f>IF($Y$169=0,0,AB$169/$Y$169*$Y177)</f>
        <v>0</v>
      </c>
      <c r="AC177" s="207">
        <f>IF($Y$169=0,0,AC$169/$Y$169*$Y177)</f>
        <v>0</v>
      </c>
      <c r="AD177" s="335"/>
      <c r="AE177" s="335"/>
      <c r="AF177" s="335"/>
      <c r="AG177" s="335"/>
      <c r="AH177" s="335"/>
      <c r="AI177" s="207">
        <f>IF($Y$169=0,0,AI$169/$Y$169*$Y177)</f>
        <v>0</v>
      </c>
      <c r="AJ177" s="128"/>
      <c r="AK177" s="306">
        <f>(AK172*AK175+AK173*AK176)</f>
        <v>0</v>
      </c>
      <c r="AL177" s="100"/>
      <c r="AM177" s="207">
        <f>IF($AK$169=0,0,AM$169/$AK$169*$AK177)</f>
        <v>0</v>
      </c>
      <c r="AN177" s="207">
        <f>IF($AK$169=0,0,AN$169/$AK$169*$AK177)</f>
        <v>0</v>
      </c>
      <c r="AO177" s="207">
        <f>IF($AK$169=0,0,AO$169/$AK$169*$AK177)</f>
        <v>0</v>
      </c>
      <c r="AP177" s="335"/>
      <c r="AQ177" s="335"/>
      <c r="AR177" s="335"/>
      <c r="AS177" s="335"/>
      <c r="AT177" s="335"/>
      <c r="AU177" s="207">
        <f>IF($AK$169=0,0,AU$169/$AK$169*$AK177)</f>
        <v>0</v>
      </c>
      <c r="AV177" s="128"/>
      <c r="AW177" s="306">
        <f>(AW172*AW175+AW173*AW176)</f>
        <v>0</v>
      </c>
      <c r="AX177" s="100"/>
      <c r="AY177" s="207">
        <f>IF($AW$169=0,0,AY$169/$AW$169*$AW177)</f>
        <v>0</v>
      </c>
      <c r="AZ177" s="207">
        <f>IF($AW$169=0,0,AZ$169/$AW$169*$AW177)</f>
        <v>0</v>
      </c>
      <c r="BA177" s="207">
        <f>IF($AW$169=0,0,BA$169/$AW$169*$AW177)</f>
        <v>0</v>
      </c>
      <c r="BB177" s="335"/>
      <c r="BC177" s="335"/>
      <c r="BD177" s="335"/>
      <c r="BE177" s="335"/>
      <c r="BF177" s="335"/>
      <c r="BG177" s="207">
        <f>IF($AW$169=0,0,BG$169/$AW$169*$AW177)</f>
        <v>0</v>
      </c>
      <c r="BH177" s="255"/>
    </row>
    <row r="178" spans="1:60" s="2" customFormat="1" ht="18.75" x14ac:dyDescent="0.2">
      <c r="A178" s="649"/>
      <c r="B178" s="492" t="s">
        <v>252</v>
      </c>
      <c r="C178" s="739" t="s">
        <v>104</v>
      </c>
      <c r="D178" s="753"/>
      <c r="E178" s="310" t="s">
        <v>267</v>
      </c>
      <c r="F178" s="310"/>
      <c r="G178" s="310"/>
      <c r="H178" s="311"/>
      <c r="I178" s="312"/>
      <c r="J178" s="310"/>
      <c r="K178" s="313"/>
      <c r="L178" s="313"/>
      <c r="M178" s="310"/>
      <c r="N178" s="312"/>
      <c r="O178" s="312"/>
      <c r="P178" s="312"/>
      <c r="Q178" s="312"/>
      <c r="R178" s="312"/>
      <c r="S178" s="312"/>
      <c r="T178" s="312"/>
      <c r="U178" s="312"/>
      <c r="V178" s="312"/>
      <c r="W178" s="312"/>
      <c r="X178" s="313"/>
      <c r="Y178" s="310"/>
      <c r="Z178" s="312"/>
      <c r="AA178" s="312"/>
      <c r="AB178" s="312"/>
      <c r="AC178" s="312"/>
      <c r="AD178" s="312"/>
      <c r="AE178" s="312"/>
      <c r="AF178" s="312"/>
      <c r="AG178" s="312"/>
      <c r="AH178" s="312"/>
      <c r="AI178" s="312"/>
      <c r="AJ178" s="313"/>
      <c r="AK178" s="310"/>
      <c r="AL178" s="312"/>
      <c r="AM178" s="312"/>
      <c r="AN178" s="312"/>
      <c r="AO178" s="312"/>
      <c r="AP178" s="312"/>
      <c r="AQ178" s="312"/>
      <c r="AR178" s="312"/>
      <c r="AS178" s="312"/>
      <c r="AT178" s="312"/>
      <c r="AU178" s="312"/>
      <c r="AV178" s="313"/>
      <c r="AW178" s="310"/>
      <c r="AX178" s="312"/>
      <c r="AY178" s="312"/>
      <c r="AZ178" s="312"/>
      <c r="BA178" s="312"/>
      <c r="BB178" s="312"/>
      <c r="BC178" s="312"/>
      <c r="BD178" s="312"/>
      <c r="BE178" s="312"/>
      <c r="BF178" s="312"/>
      <c r="BG178" s="312"/>
    </row>
    <row r="179" spans="1:60" s="2" customFormat="1" hidden="1" x14ac:dyDescent="0.2">
      <c r="A179" s="649"/>
      <c r="B179" s="492" t="s">
        <v>252</v>
      </c>
      <c r="C179" s="739" t="s">
        <v>199</v>
      </c>
      <c r="D179" s="753"/>
      <c r="E179" s="220" t="s">
        <v>268</v>
      </c>
      <c r="F179" s="220"/>
      <c r="G179" s="220"/>
      <c r="H179" s="221" t="s">
        <v>226</v>
      </c>
      <c r="I179" s="129"/>
      <c r="J179" s="230"/>
      <c r="K179" s="90"/>
      <c r="L179" s="90"/>
      <c r="M179" s="425">
        <f>$H$5</f>
        <v>0.34</v>
      </c>
      <c r="N179" s="424"/>
      <c r="O179" s="402"/>
      <c r="P179" s="402"/>
      <c r="Q179" s="402"/>
      <c r="R179" s="402"/>
      <c r="S179" s="402"/>
      <c r="T179" s="402"/>
      <c r="U179" s="402"/>
      <c r="V179" s="402"/>
      <c r="W179" s="402"/>
      <c r="X179" s="426"/>
      <c r="Y179" s="425">
        <f>$H$5</f>
        <v>0.34</v>
      </c>
      <c r="Z179" s="424"/>
      <c r="AA179" s="402"/>
      <c r="AB179" s="402"/>
      <c r="AC179" s="402"/>
      <c r="AD179" s="402"/>
      <c r="AE179" s="402"/>
      <c r="AF179" s="402"/>
      <c r="AG179" s="402"/>
      <c r="AH179" s="402"/>
      <c r="AI179" s="402"/>
      <c r="AJ179" s="426"/>
      <c r="AK179" s="425">
        <f>$H$5</f>
        <v>0.34</v>
      </c>
      <c r="AL179" s="424"/>
      <c r="AM179" s="402"/>
      <c r="AN179" s="402"/>
      <c r="AO179" s="402"/>
      <c r="AP179" s="402"/>
      <c r="AQ179" s="402"/>
      <c r="AR179" s="402"/>
      <c r="AS179" s="402"/>
      <c r="AT179" s="402"/>
      <c r="AU179" s="402"/>
      <c r="AV179" s="426"/>
      <c r="AW179" s="425">
        <f>$H$5</f>
        <v>0.34</v>
      </c>
      <c r="AX179" s="129"/>
      <c r="AY179" s="401"/>
      <c r="AZ179" s="401"/>
      <c r="BA179" s="401"/>
      <c r="BB179" s="401"/>
      <c r="BC179" s="401"/>
      <c r="BD179" s="401"/>
      <c r="BE179" s="401"/>
      <c r="BF179" s="401"/>
      <c r="BG179" s="401"/>
      <c r="BH179" s="264"/>
    </row>
    <row r="180" spans="1:60" s="2" customFormat="1" hidden="1" x14ac:dyDescent="0.2">
      <c r="A180" s="649"/>
      <c r="B180" s="492" t="s">
        <v>252</v>
      </c>
      <c r="C180" s="739" t="s">
        <v>199</v>
      </c>
      <c r="D180" s="753"/>
      <c r="E180" s="220" t="s">
        <v>269</v>
      </c>
      <c r="F180" s="220"/>
      <c r="G180" s="220"/>
      <c r="H180" s="221" t="s">
        <v>226</v>
      </c>
      <c r="I180" s="129"/>
      <c r="J180" s="230"/>
      <c r="K180" s="90"/>
      <c r="L180" s="90"/>
      <c r="M180" s="425">
        <f>HLOOKUP($F$5,elektriciteit_primaire_energiefactor,ROWS(bibliotheek!$E$261:$E$265),FALSE)</f>
        <v>0.34</v>
      </c>
      <c r="N180" s="424"/>
      <c r="O180" s="402"/>
      <c r="P180" s="402"/>
      <c r="Q180" s="402"/>
      <c r="R180" s="402"/>
      <c r="S180" s="402"/>
      <c r="T180" s="402"/>
      <c r="U180" s="402"/>
      <c r="V180" s="402"/>
      <c r="W180" s="402"/>
      <c r="X180" s="426"/>
      <c r="Y180" s="425">
        <f>HLOOKUP($F$5,elektriciteit_primaire_energiefactor,ROWS(bibliotheek!$E$261:$E$265),FALSE)</f>
        <v>0.34</v>
      </c>
      <c r="Z180" s="424"/>
      <c r="AA180" s="402"/>
      <c r="AB180" s="402"/>
      <c r="AC180" s="402"/>
      <c r="AD180" s="402"/>
      <c r="AE180" s="402"/>
      <c r="AF180" s="402"/>
      <c r="AG180" s="402"/>
      <c r="AH180" s="402"/>
      <c r="AI180" s="402"/>
      <c r="AJ180" s="426"/>
      <c r="AK180" s="425">
        <f>HLOOKUP($F$5,elektriciteit_primaire_energiefactor,ROWS(bibliotheek!$E$261:$E$265),FALSE)</f>
        <v>0.34</v>
      </c>
      <c r="AL180" s="424"/>
      <c r="AM180" s="402"/>
      <c r="AN180" s="402"/>
      <c r="AO180" s="402"/>
      <c r="AP180" s="402"/>
      <c r="AQ180" s="402"/>
      <c r="AR180" s="402"/>
      <c r="AS180" s="402"/>
      <c r="AT180" s="402"/>
      <c r="AU180" s="402"/>
      <c r="AV180" s="426"/>
      <c r="AW180" s="425">
        <f>HLOOKUP($F$5,elektriciteit_primaire_energiefactor,ROWS(bibliotheek!$E$261:$E$265),FALSE)</f>
        <v>0.34</v>
      </c>
      <c r="AX180" s="129"/>
      <c r="AY180" s="401"/>
      <c r="AZ180" s="401"/>
      <c r="BA180" s="401"/>
      <c r="BB180" s="401"/>
      <c r="BC180" s="401"/>
      <c r="BD180" s="401"/>
      <c r="BE180" s="401"/>
      <c r="BF180" s="401"/>
      <c r="BG180" s="401"/>
      <c r="BH180" s="264"/>
    </row>
    <row r="181" spans="1:60" s="2" customFormat="1" x14ac:dyDescent="0.2">
      <c r="A181" s="649"/>
      <c r="B181" s="492" t="s">
        <v>252</v>
      </c>
      <c r="C181" s="739" t="s">
        <v>113</v>
      </c>
      <c r="D181" s="753"/>
      <c r="E181" s="220" t="s">
        <v>270</v>
      </c>
      <c r="F181" s="221"/>
      <c r="G181" s="221"/>
      <c r="H181" s="221" t="s">
        <v>228</v>
      </c>
      <c r="I181" s="129"/>
      <c r="J181" s="243">
        <f>M181+Y181+AK181+AW181</f>
        <v>0</v>
      </c>
      <c r="K181" s="823"/>
      <c r="L181" s="823"/>
      <c r="M181" s="243">
        <f>M172*M179+M173*M180</f>
        <v>0</v>
      </c>
      <c r="N181" s="100"/>
      <c r="O181" s="207">
        <f>IF($M$169=0,0,O$169/$M$169*$M181)</f>
        <v>0</v>
      </c>
      <c r="P181" s="207">
        <f>IF($M$169=0,0,P$169/$M$169*$M181)</f>
        <v>0</v>
      </c>
      <c r="Q181" s="207">
        <f>IF($M$169=0,0,Q$169/$M$169*$M181)</f>
        <v>0</v>
      </c>
      <c r="R181" s="335"/>
      <c r="S181" s="335"/>
      <c r="T181" s="335"/>
      <c r="U181" s="335"/>
      <c r="V181" s="335"/>
      <c r="W181" s="207">
        <f>IF($M$169=0,0,W$169/$M$169*$M181)</f>
        <v>0</v>
      </c>
      <c r="X181" s="128"/>
      <c r="Y181" s="243">
        <f>Y172*Y179+Y173*Y180</f>
        <v>0</v>
      </c>
      <c r="Z181" s="100"/>
      <c r="AA181" s="207">
        <f>IF($Y$169=0,0,AA$169/$Y$169*$Y181)</f>
        <v>0</v>
      </c>
      <c r="AB181" s="207">
        <f>IF($Y$169=0,0,AB$169/$Y$169*$Y181)</f>
        <v>0</v>
      </c>
      <c r="AC181" s="207">
        <f>IF($Y$169=0,0,AC$169/$Y$169*$Y181)</f>
        <v>0</v>
      </c>
      <c r="AD181" s="335"/>
      <c r="AE181" s="335"/>
      <c r="AF181" s="335"/>
      <c r="AG181" s="335"/>
      <c r="AH181" s="335"/>
      <c r="AI181" s="207">
        <f>IF($Y$169=0,0,AI$169/$Y$169*$Y181)</f>
        <v>0</v>
      </c>
      <c r="AJ181" s="128"/>
      <c r="AK181" s="243">
        <f>AK172*AK179+AK173*AK180</f>
        <v>0</v>
      </c>
      <c r="AL181" s="100"/>
      <c r="AM181" s="207">
        <f>IF($AK$169=0,0,AM$169/$AK$169*$AK181)</f>
        <v>0</v>
      </c>
      <c r="AN181" s="207">
        <f>IF($AK$169=0,0,AN$169/$AK$169*$AK181)</f>
        <v>0</v>
      </c>
      <c r="AO181" s="207">
        <f>IF($AK$169=0,0,AO$169/$AK$169*$AK181)</f>
        <v>0</v>
      </c>
      <c r="AP181" s="335"/>
      <c r="AQ181" s="335"/>
      <c r="AR181" s="335"/>
      <c r="AS181" s="335"/>
      <c r="AT181" s="335"/>
      <c r="AU181" s="207">
        <f>IF($AK$169=0,0,AU$169/$AK$169*$AK181)</f>
        <v>0</v>
      </c>
      <c r="AV181" s="128"/>
      <c r="AW181" s="243">
        <f>AW172*AW179+AW173*AW180</f>
        <v>0</v>
      </c>
      <c r="AX181" s="100"/>
      <c r="AY181" s="207">
        <f>IF($AW$169=0,0,AY$169/$AW$169*$AW181)</f>
        <v>0</v>
      </c>
      <c r="AZ181" s="207">
        <f>IF($AW$169=0,0,AZ$169/$AW$169*$AW181)</f>
        <v>0</v>
      </c>
      <c r="BA181" s="207">
        <f>IF($AW$169=0,0,BA$169/$AW$169*$AW181)</f>
        <v>0</v>
      </c>
      <c r="BB181" s="335"/>
      <c r="BC181" s="335"/>
      <c r="BD181" s="335"/>
      <c r="BE181" s="335"/>
      <c r="BF181" s="335"/>
      <c r="BG181" s="207">
        <f>IF($AW$169=0,0,BG$169/$AW$169*$AW181)</f>
        <v>0</v>
      </c>
      <c r="BH181" s="255"/>
    </row>
    <row r="182" spans="1:60" x14ac:dyDescent="0.2">
      <c r="A182" s="648"/>
      <c r="B182" s="492" t="s">
        <v>252</v>
      </c>
      <c r="C182" s="739" t="s">
        <v>104</v>
      </c>
      <c r="D182" s="747"/>
      <c r="E182" s="90"/>
      <c r="F182" s="90"/>
      <c r="G182" s="90"/>
      <c r="H182" s="96"/>
      <c r="I182" s="90"/>
      <c r="J182" s="93"/>
      <c r="K182" s="90"/>
      <c r="L182" s="90"/>
      <c r="M182" s="93"/>
      <c r="N182" s="90"/>
      <c r="O182" s="122"/>
      <c r="P182" s="122"/>
      <c r="Q182" s="122"/>
      <c r="R182" s="93"/>
      <c r="S182" s="93"/>
      <c r="T182" s="93"/>
      <c r="U182" s="93"/>
      <c r="V182" s="93"/>
      <c r="W182" s="93"/>
      <c r="X182" s="93"/>
      <c r="Y182" s="93"/>
      <c r="Z182" s="90"/>
      <c r="AA182" s="122"/>
      <c r="AB182" s="122"/>
      <c r="AC182" s="122"/>
      <c r="AD182" s="93"/>
      <c r="AE182" s="93"/>
      <c r="AF182" s="93"/>
      <c r="AG182" s="93"/>
      <c r="AH182" s="93"/>
      <c r="AI182" s="93"/>
      <c r="AJ182" s="93"/>
      <c r="AK182" s="93"/>
      <c r="AL182" s="90"/>
      <c r="AM182" s="122"/>
      <c r="AN182" s="122"/>
      <c r="AO182" s="122"/>
      <c r="AP182" s="93"/>
      <c r="AQ182" s="93"/>
      <c r="AR182" s="93"/>
      <c r="AS182" s="93"/>
      <c r="AT182" s="93"/>
      <c r="AU182" s="93"/>
      <c r="AV182" s="93"/>
      <c r="AW182" s="93"/>
      <c r="AX182" s="90"/>
      <c r="AY182" s="122"/>
      <c r="AZ182" s="122"/>
      <c r="BA182" s="122"/>
      <c r="BB182" s="122"/>
      <c r="BC182" s="122"/>
      <c r="BD182" s="122"/>
      <c r="BE182" s="122"/>
      <c r="BF182" s="122"/>
      <c r="BG182" s="122"/>
      <c r="BH182" s="1"/>
    </row>
    <row r="183" spans="1:60" x14ac:dyDescent="0.2">
      <c r="A183" s="648"/>
      <c r="B183" s="492" t="s">
        <v>271</v>
      </c>
      <c r="C183" s="656" t="s">
        <v>104</v>
      </c>
      <c r="D183" s="747"/>
      <c r="E183" s="134"/>
      <c r="F183" s="90"/>
      <c r="G183" s="90"/>
      <c r="H183" s="96"/>
      <c r="I183" s="90"/>
      <c r="J183" s="93"/>
      <c r="K183" s="90"/>
      <c r="L183" s="90"/>
      <c r="M183" s="93"/>
      <c r="N183" s="90"/>
      <c r="O183" s="93"/>
      <c r="P183" s="93"/>
      <c r="Q183" s="93"/>
      <c r="R183" s="93"/>
      <c r="S183" s="93"/>
      <c r="T183" s="93"/>
      <c r="U183" s="93"/>
      <c r="V183" s="93"/>
      <c r="W183" s="93"/>
      <c r="X183" s="93"/>
      <c r="Y183" s="93"/>
      <c r="Z183" s="90"/>
      <c r="AA183" s="93"/>
      <c r="AB183" s="93"/>
      <c r="AC183" s="93"/>
      <c r="AD183" s="93"/>
      <c r="AE183" s="93"/>
      <c r="AF183" s="93"/>
      <c r="AG183" s="93"/>
      <c r="AH183" s="93"/>
      <c r="AI183" s="93"/>
      <c r="AJ183" s="93"/>
      <c r="AK183" s="93"/>
      <c r="AL183" s="90"/>
      <c r="AM183" s="93"/>
      <c r="AN183" s="93"/>
      <c r="AO183" s="93"/>
      <c r="AP183" s="93"/>
      <c r="AQ183" s="93"/>
      <c r="AR183" s="93"/>
      <c r="AS183" s="93"/>
      <c r="AT183" s="93"/>
      <c r="AU183" s="93"/>
      <c r="AV183" s="93"/>
      <c r="AW183" s="93"/>
      <c r="AX183" s="90"/>
      <c r="AY183" s="93"/>
      <c r="AZ183" s="93"/>
      <c r="BA183" s="93"/>
      <c r="BB183" s="93"/>
      <c r="BC183" s="93"/>
      <c r="BD183" s="93"/>
      <c r="BE183" s="93"/>
      <c r="BF183" s="93"/>
      <c r="BG183" s="93"/>
      <c r="BH183" s="1"/>
    </row>
    <row r="184" spans="1:60" ht="21" x14ac:dyDescent="0.2">
      <c r="A184" s="648"/>
      <c r="B184" s="492" t="s">
        <v>271</v>
      </c>
      <c r="C184" s="739" t="s">
        <v>104</v>
      </c>
      <c r="D184" s="752"/>
      <c r="E184" s="240" t="s">
        <v>272</v>
      </c>
      <c r="F184" s="240"/>
      <c r="G184" s="825"/>
      <c r="H184" s="216"/>
      <c r="I184" s="88"/>
      <c r="J184" s="241"/>
      <c r="K184" s="142"/>
      <c r="L184" s="142"/>
      <c r="M184" s="216" t="str">
        <f>M$10</f>
        <v>totaal</v>
      </c>
      <c r="N184" s="222"/>
      <c r="O184" s="217" t="str">
        <f t="shared" ref="O184:W184" si="114">O$10</f>
        <v>verwarming</v>
      </c>
      <c r="P184" s="217" t="str">
        <f t="shared" si="114"/>
        <v>koeling</v>
      </c>
      <c r="Q184" s="217" t="str">
        <f t="shared" si="114"/>
        <v>tapwater</v>
      </c>
      <c r="R184" s="217" t="str">
        <f t="shared" si="114"/>
        <v>verlichting</v>
      </c>
      <c r="S184" s="217" t="str">
        <f t="shared" si="114"/>
        <v>ventilatoren</v>
      </c>
      <c r="T184" s="217" t="str">
        <f t="shared" si="114"/>
        <v>kookgas</v>
      </c>
      <c r="U184" s="217" t="str">
        <f t="shared" si="114"/>
        <v>overig elektra</v>
      </c>
      <c r="V184" s="217" t="str">
        <f t="shared" si="114"/>
        <v>mobiliteit</v>
      </c>
      <c r="W184" s="217" t="str">
        <f t="shared" si="114"/>
        <v>zonnepanelen</v>
      </c>
      <c r="X184" s="214"/>
      <c r="Y184" s="216" t="str">
        <f>Y$10</f>
        <v>totaal</v>
      </c>
      <c r="Z184" s="222"/>
      <c r="AA184" s="217" t="str">
        <f t="shared" ref="AA184:AI184" si="115">AA$10</f>
        <v>verwarming</v>
      </c>
      <c r="AB184" s="217" t="str">
        <f t="shared" si="115"/>
        <v>koeling</v>
      </c>
      <c r="AC184" s="217" t="str">
        <f t="shared" si="115"/>
        <v>tapwater</v>
      </c>
      <c r="AD184" s="217" t="str">
        <f t="shared" si="115"/>
        <v>verlichting</v>
      </c>
      <c r="AE184" s="217" t="str">
        <f t="shared" si="115"/>
        <v>ventilatoren</v>
      </c>
      <c r="AF184" s="217" t="str">
        <f t="shared" si="115"/>
        <v>kookgas</v>
      </c>
      <c r="AG184" s="217" t="str">
        <f t="shared" si="115"/>
        <v>overig elektra</v>
      </c>
      <c r="AH184" s="217" t="str">
        <f t="shared" si="115"/>
        <v>mobiliteit</v>
      </c>
      <c r="AI184" s="217" t="str">
        <f t="shared" si="115"/>
        <v>zonnepanelen</v>
      </c>
      <c r="AJ184" s="214"/>
      <c r="AK184" s="216" t="str">
        <f>AK$10</f>
        <v>totaal</v>
      </c>
      <c r="AL184" s="222"/>
      <c r="AM184" s="217" t="str">
        <f>AM$10</f>
        <v>verwarming</v>
      </c>
      <c r="AN184" s="217" t="str">
        <f t="shared" ref="AN184:AU184" si="116">AN$10</f>
        <v>koeling</v>
      </c>
      <c r="AO184" s="217" t="str">
        <f t="shared" si="116"/>
        <v>tapwater</v>
      </c>
      <c r="AP184" s="217" t="str">
        <f t="shared" si="116"/>
        <v>verlichting</v>
      </c>
      <c r="AQ184" s="217" t="str">
        <f t="shared" si="116"/>
        <v>ventilatoren</v>
      </c>
      <c r="AR184" s="217" t="str">
        <f t="shared" si="116"/>
        <v>kookgas</v>
      </c>
      <c r="AS184" s="217" t="str">
        <f t="shared" si="116"/>
        <v>overig elektra</v>
      </c>
      <c r="AT184" s="217" t="str">
        <f t="shared" si="116"/>
        <v>mobiliteit</v>
      </c>
      <c r="AU184" s="217" t="str">
        <f t="shared" si="116"/>
        <v>zonnepanelen</v>
      </c>
      <c r="AV184" s="214"/>
      <c r="AW184" s="216" t="str">
        <f>AW$10</f>
        <v>totaal</v>
      </c>
      <c r="AX184" s="222"/>
      <c r="AY184" s="217" t="str">
        <f t="shared" ref="AY184:BG184" si="117">AY$10</f>
        <v>verwarming</v>
      </c>
      <c r="AZ184" s="217" t="str">
        <f t="shared" si="117"/>
        <v>koeling</v>
      </c>
      <c r="BA184" s="217" t="str">
        <f t="shared" si="117"/>
        <v>tapwater</v>
      </c>
      <c r="BB184" s="217" t="str">
        <f t="shared" si="117"/>
        <v>verlichting</v>
      </c>
      <c r="BC184" s="217" t="str">
        <f t="shared" si="117"/>
        <v>ventilatoren</v>
      </c>
      <c r="BD184" s="217" t="str">
        <f t="shared" si="117"/>
        <v>kookgas</v>
      </c>
      <c r="BE184" s="217" t="str">
        <f t="shared" si="117"/>
        <v>overig elektra</v>
      </c>
      <c r="BF184" s="217" t="str">
        <f t="shared" si="117"/>
        <v>mobiliteit</v>
      </c>
      <c r="BG184" s="217" t="str">
        <f t="shared" si="117"/>
        <v>zonnepanelen</v>
      </c>
      <c r="BH184" s="1"/>
    </row>
    <row r="185" spans="1:60" ht="18.75" x14ac:dyDescent="0.2">
      <c r="A185" s="648"/>
      <c r="B185" s="492" t="s">
        <v>271</v>
      </c>
      <c r="C185" s="739" t="s">
        <v>104</v>
      </c>
      <c r="D185" s="747"/>
      <c r="E185" s="231" t="s">
        <v>273</v>
      </c>
      <c r="F185" s="231"/>
      <c r="G185" s="231"/>
      <c r="H185" s="89"/>
      <c r="I185" s="232"/>
      <c r="J185" s="231"/>
      <c r="K185" s="232"/>
      <c r="L185" s="232"/>
      <c r="M185" s="231"/>
      <c r="N185" s="232"/>
      <c r="O185" s="232"/>
      <c r="P185" s="232"/>
      <c r="Q185" s="232"/>
      <c r="R185" s="232"/>
      <c r="S185" s="232"/>
      <c r="T185" s="232"/>
      <c r="U185" s="232"/>
      <c r="V185" s="232"/>
      <c r="W185" s="232"/>
      <c r="X185" s="232"/>
      <c r="Y185" s="232"/>
      <c r="Z185" s="232"/>
      <c r="AA185" s="232"/>
      <c r="AB185" s="232"/>
      <c r="AC185" s="232"/>
      <c r="AD185" s="232"/>
      <c r="AE185" s="232"/>
      <c r="AF185" s="232"/>
      <c r="AG185" s="232"/>
      <c r="AH185" s="232"/>
      <c r="AI185" s="232"/>
      <c r="AJ185" s="232"/>
      <c r="AK185" s="232"/>
      <c r="AL185" s="232"/>
      <c r="AM185" s="232"/>
      <c r="AN185" s="232"/>
      <c r="AO185" s="232"/>
      <c r="AP185" s="232"/>
      <c r="AQ185" s="232"/>
      <c r="AR185" s="232"/>
      <c r="AS185" s="232"/>
      <c r="AT185" s="232"/>
      <c r="AU185" s="232"/>
      <c r="AV185" s="232"/>
      <c r="AW185" s="232"/>
      <c r="AX185" s="232"/>
      <c r="AY185" s="232"/>
      <c r="AZ185" s="232"/>
      <c r="BA185" s="232"/>
      <c r="BB185" s="232"/>
      <c r="BC185" s="232"/>
      <c r="BD185" s="232"/>
      <c r="BE185" s="232"/>
      <c r="BF185" s="232"/>
      <c r="BG185" s="232"/>
      <c r="BH185" s="38"/>
    </row>
    <row r="186" spans="1:60" x14ac:dyDescent="0.2">
      <c r="A186" s="648"/>
      <c r="B186" s="492" t="s">
        <v>271</v>
      </c>
      <c r="C186" s="656" t="s">
        <v>113</v>
      </c>
      <c r="D186" s="750"/>
      <c r="E186" s="220" t="s">
        <v>274</v>
      </c>
      <c r="F186" s="220"/>
      <c r="G186" s="220"/>
      <c r="H186" s="242" t="str">
        <f>m3gas&amp;"/won.geb"</f>
        <v>m3/won.geb</v>
      </c>
      <c r="I186" s="129"/>
      <c r="J186" s="243"/>
      <c r="K186" s="279"/>
      <c r="L186" s="279"/>
      <c r="M186" s="230">
        <f>SUM(N186:X186)</f>
        <v>0</v>
      </c>
      <c r="N186" s="135"/>
      <c r="O186" s="223">
        <f>IF(O$29=0,0,((AND(O$81=gebouw,O$102=aardgas))*O$113+(AND(O$81=gebouw,O$132=aardgas))*O$138)*1000/bibliotheek!$I$530/O$29)</f>
        <v>0</v>
      </c>
      <c r="P186" s="223">
        <f>IF(P$29=0,0,((AND(P$81=gebouw,P$102=aardgas))*P$113+(AND(P$81=gebouw,P$132=aardgas))*P$138)*1000/bibliotheek!$I$530/P$29)</f>
        <v>0</v>
      </c>
      <c r="Q186" s="223">
        <f>IF(Q$29=0,0,((AND(Q$81=gebouw,Q$102=aardgas))*Q$113+(AND(Q$81=gebouw,Q$132=aardgas))*Q$138)*1000/bibliotheek!$I$530/Q$29)</f>
        <v>0</v>
      </c>
      <c r="R186" s="373"/>
      <c r="S186" s="373"/>
      <c r="T186" s="223">
        <f>IF(T$29=0,0,T$75*1000/bibliotheek!$I$530/T$29)</f>
        <v>0</v>
      </c>
      <c r="U186" s="373"/>
      <c r="V186" s="373"/>
      <c r="W186" s="373"/>
      <c r="X186" s="122"/>
      <c r="Y186" s="230">
        <f>SUM(Z186:AJ186)</f>
        <v>0</v>
      </c>
      <c r="Z186" s="135"/>
      <c r="AA186" s="223">
        <f>IF(AA$29=0,0,((AND(AA$81=gebouw,AA$102=aardgas))*AA$113+(AND(AA$81=gebouw,AA$132=aardgas))*AA$138)*1000/bibliotheek!$I$530/AA$29)</f>
        <v>0</v>
      </c>
      <c r="AB186" s="223">
        <f>IF(AB$29=0,0,((AND(AB$81=gebouw,AB$102=aardgas))*AB$113+(AND(AB$81=gebouw,AB$132=aardgas))*AB$138)*1000/bibliotheek!$I$530/AB$29)</f>
        <v>0</v>
      </c>
      <c r="AC186" s="223">
        <f>IF(AC$29=0,0,((AND(AC$81=gebouw,AC$102=aardgas))*AC$113+(AND(AC$81=gebouw,AC$132=aardgas))*AC$138)*1000/bibliotheek!$I$530/AC$29)</f>
        <v>0</v>
      </c>
      <c r="AD186" s="373"/>
      <c r="AE186" s="373"/>
      <c r="AF186" s="223">
        <f>IF(AF$29=0,0,AF$75*1000/bibliotheek!$I$530/AF$29)</f>
        <v>0</v>
      </c>
      <c r="AG186" s="373"/>
      <c r="AH186" s="373"/>
      <c r="AI186" s="373"/>
      <c r="AJ186" s="122"/>
      <c r="AK186" s="230">
        <f>SUM(AL186:AV186)</f>
        <v>0</v>
      </c>
      <c r="AL186" s="135"/>
      <c r="AM186" s="223">
        <f>IF(AM$29=0,0,((AND(AM$81=gebouw,AM$102=aardgas))*AM$113+(AND(AM$81=gebouw,AM$132=aardgas))*AM$138)*1000/bibliotheek!$I$530/AM$29)</f>
        <v>0</v>
      </c>
      <c r="AN186" s="223">
        <f>IF(AN$29=0,0,((AND(AN$81=gebouw,AN$102=aardgas))*AN$113+(AND(AN$81=gebouw,AN$132=aardgas))*AN$138)*1000/bibliotheek!$I$530/AN$29)</f>
        <v>0</v>
      </c>
      <c r="AO186" s="223">
        <f>IF(AO$29=0,0,((AND(AO$81=gebouw,AO$102=aardgas))*AO$113+(AND(AO$81=gebouw,AO$132=aardgas))*AO$138)*1000/bibliotheek!$I$530/AO$29)</f>
        <v>0</v>
      </c>
      <c r="AP186" s="373"/>
      <c r="AQ186" s="373"/>
      <c r="AR186" s="223">
        <f>IF(AR$29=0,0,AR$75*1000/bibliotheek!$I$530/AR$29)</f>
        <v>0</v>
      </c>
      <c r="AS186" s="373"/>
      <c r="AT186" s="373"/>
      <c r="AU186" s="373"/>
      <c r="AV186" s="122"/>
      <c r="AW186" s="230">
        <f>SUM(AX186:BH186)</f>
        <v>0</v>
      </c>
      <c r="AX186" s="135"/>
      <c r="AY186" s="223">
        <f>IF(AY$29=0,0,((AND(AY$81=gebouw,AY$102=aardgas))*AY$113+(AND(AY$81=gebouw,AY$132=aardgas))*AY$138)*1000/bibliotheek!$I$530/AY$29)</f>
        <v>0</v>
      </c>
      <c r="AZ186" s="223">
        <f>IF(AZ$29=0,0,((AND(AZ$81=gebouw,AZ$102=aardgas))*AZ$113+(AND(AZ$81=gebouw,AZ$132=aardgas))*AZ$138)*1000/bibliotheek!$I$530/AZ$29)</f>
        <v>0</v>
      </c>
      <c r="BA186" s="223">
        <f>IF(BA$29=0,0,((AND(BA$81=gebouw,BA$102=aardgas))*BA$113+(AND(BA$81=gebouw,BA$132=aardgas))*BA$138)*1000/bibliotheek!$I$530/BA$29)</f>
        <v>0</v>
      </c>
      <c r="BB186" s="373"/>
      <c r="BC186" s="373"/>
      <c r="BD186" s="223">
        <f>IF(BD$29=0,0,BD$75*1000/bibliotheek!$I$530/BD$29)</f>
        <v>0</v>
      </c>
      <c r="BE186" s="373"/>
      <c r="BF186" s="373"/>
      <c r="BG186" s="373"/>
      <c r="BH186" s="255"/>
    </row>
    <row r="187" spans="1:60" x14ac:dyDescent="0.2">
      <c r="A187" s="648"/>
      <c r="B187" s="492" t="s">
        <v>271</v>
      </c>
      <c r="C187" s="656" t="s">
        <v>113</v>
      </c>
      <c r="D187" s="750"/>
      <c r="E187" s="220" t="s">
        <v>156</v>
      </c>
      <c r="F187" s="220"/>
      <c r="G187" s="220"/>
      <c r="H187" s="242" t="str">
        <f>kWh&amp;"/won.geb"</f>
        <v>kWh/won.geb</v>
      </c>
      <c r="I187" s="129"/>
      <c r="J187" s="243"/>
      <c r="K187" s="279"/>
      <c r="L187" s="279"/>
      <c r="M187" s="230">
        <f>SUM(N187:X187)</f>
        <v>0</v>
      </c>
      <c r="N187" s="135"/>
      <c r="O187" s="223">
        <f>IF(O$29=0,0,(O$171-O$167)*1000/O$29)</f>
        <v>0</v>
      </c>
      <c r="P187" s="223">
        <f>IF(OR(P$29=0,P$33=0),0,(P$171-P$167)*1000/P$29)</f>
        <v>0</v>
      </c>
      <c r="Q187" s="223">
        <f>IF(OR(Q$29=0,Q$33=0),0,(Q$171-Q$167)*1000/Q$29)</f>
        <v>0</v>
      </c>
      <c r="R187" s="223">
        <f>IF(R$29=0,0,R$171*1000/R$29)</f>
        <v>0</v>
      </c>
      <c r="S187" s="223">
        <f>IF(S$29=0,0,S$171*1000/S$29)</f>
        <v>0</v>
      </c>
      <c r="T187" s="335"/>
      <c r="U187" s="223">
        <f>IF(U$29=0,0,U$171*1000/U$29)</f>
        <v>0</v>
      </c>
      <c r="V187" s="223">
        <f>IF(V$29=0,0,V$171*1000/V$29)</f>
        <v>0</v>
      </c>
      <c r="W187" s="223">
        <f>IF(W$29=0,0,-W$168*1000/W$29)</f>
        <v>0</v>
      </c>
      <c r="X187" s="122"/>
      <c r="Y187" s="230">
        <f>SUM(Z187:AJ187)</f>
        <v>0</v>
      </c>
      <c r="Z187" s="135"/>
      <c r="AA187" s="223">
        <f>IF(AA$29=0,0,(AA$171-AA$167)*1000/AA$29)</f>
        <v>0</v>
      </c>
      <c r="AB187" s="223">
        <f>IF(OR(AB$29=0,AB$33=0),0,(AB$171-AB$167)*1000/AB$29)</f>
        <v>0</v>
      </c>
      <c r="AC187" s="223">
        <f>IF(OR(AC$29=0,AC$33=0),0,(AC$171-AC$167)*1000/AC$29)</f>
        <v>0</v>
      </c>
      <c r="AD187" s="223">
        <f>IF(AD$29=0,0,AD$171*1000/AD$29)</f>
        <v>0</v>
      </c>
      <c r="AE187" s="223">
        <f>IF(AE$29=0,0,AE$171*1000/AE$29)</f>
        <v>0</v>
      </c>
      <c r="AF187" s="335"/>
      <c r="AG187" s="223">
        <f>IF(AG$29=0,0,AG$171*1000/AG$29)</f>
        <v>0</v>
      </c>
      <c r="AH187" s="223">
        <f>IF(AH$29=0,0,AH$171*1000/AH$29)</f>
        <v>0</v>
      </c>
      <c r="AI187" s="223">
        <f>IF(AI$29=0,0,-AI$168*1000/AI$29)</f>
        <v>0</v>
      </c>
      <c r="AJ187" s="122"/>
      <c r="AK187" s="230">
        <f>SUM(AL187:AV187)</f>
        <v>0</v>
      </c>
      <c r="AL187" s="135"/>
      <c r="AM187" s="223">
        <f>IF(AM$29=0,0,(AM$171-AM$167)*1000/AM$29)</f>
        <v>0</v>
      </c>
      <c r="AN187" s="223">
        <f>IF(OR(AN$29=0,AN$33=0),0,(AN$171-AN$167)*1000/AN$29)</f>
        <v>0</v>
      </c>
      <c r="AO187" s="223">
        <f>IF(OR(AO$29=0,AO$33=0),0,(AO$171-AO$167)*1000/AO$29)</f>
        <v>0</v>
      </c>
      <c r="AP187" s="223">
        <f>IF(AP$29=0,0,AP$171*1000/AP$29)</f>
        <v>0</v>
      </c>
      <c r="AQ187" s="223">
        <f>IF(AQ$29=0,0,AQ$171*1000/AQ$29)</f>
        <v>0</v>
      </c>
      <c r="AR187" s="207"/>
      <c r="AS187" s="223">
        <f>IF(AS$29=0,0,AS$171*1000/AS$29)</f>
        <v>0</v>
      </c>
      <c r="AT187" s="223">
        <f>IF(AT$29=0,0,AT$171*1000/AT$29)</f>
        <v>0</v>
      </c>
      <c r="AU187" s="223">
        <f>IF(AU$29=0,0,-AU$168*1000/AU$29)</f>
        <v>0</v>
      </c>
      <c r="AV187" s="122"/>
      <c r="AW187" s="230">
        <f>SUM(AX187:BH187)</f>
        <v>0</v>
      </c>
      <c r="AX187" s="135"/>
      <c r="AY187" s="223">
        <f>IF(AY$29=0,0,(AY$171-AY$167)*1000/AY$29)</f>
        <v>0</v>
      </c>
      <c r="AZ187" s="223">
        <f>IF(OR(AZ$29=0,AZ$33=0),0,(AZ$171-AZ$167)*1000/AZ$29)</f>
        <v>0</v>
      </c>
      <c r="BA187" s="223">
        <f>IF(OR(BA$29=0,BA$33=0),0,(BA$171-BA$167)*1000/BA$29)</f>
        <v>0</v>
      </c>
      <c r="BB187" s="223">
        <f>IF(BB$29=0,0,BB$171*1000/BB$29)</f>
        <v>0</v>
      </c>
      <c r="BC187" s="223">
        <f>IF(BC$29=0,0,BC$171*1000/BC$29)</f>
        <v>0</v>
      </c>
      <c r="BD187" s="335"/>
      <c r="BE187" s="223">
        <f>IF(BE$29=0,0,BE$171*1000/BE$29)</f>
        <v>0</v>
      </c>
      <c r="BF187" s="223">
        <f>IF(BF$29=0,0,BF$171*1000/BF$29)</f>
        <v>0</v>
      </c>
      <c r="BG187" s="223">
        <f>IF(BG$29=0,0,-BG$168*1000/BG$29)</f>
        <v>0</v>
      </c>
      <c r="BH187" s="255"/>
    </row>
    <row r="188" spans="1:60" x14ac:dyDescent="0.2">
      <c r="A188" s="648"/>
      <c r="B188" s="492" t="s">
        <v>271</v>
      </c>
      <c r="C188" s="656" t="s">
        <v>113</v>
      </c>
      <c r="D188" s="750"/>
      <c r="E188" s="220" t="s">
        <v>275</v>
      </c>
      <c r="F188" s="220"/>
      <c r="G188" s="220"/>
      <c r="H188" s="242" t="str">
        <f>GJ&amp;"/won.geb"</f>
        <v>GJ/won.geb</v>
      </c>
      <c r="I188" s="129"/>
      <c r="J188" s="243"/>
      <c r="K188" s="279"/>
      <c r="L188" s="279"/>
      <c r="M188" s="243">
        <f>SUM(N188:X188)</f>
        <v>0</v>
      </c>
      <c r="N188" s="100"/>
      <c r="O188" s="207">
        <f>IF(O$29=0,0,(O$81&lt;&gt;gebouw)*(O$75+O$85-O$88)*3.6/O$29)</f>
        <v>0</v>
      </c>
      <c r="P188" s="207">
        <f>IF(P$29=0,0,(P$81&lt;&gt;gebouw)*(P$75+P$85-P$88)*3.6/P$29)</f>
        <v>0</v>
      </c>
      <c r="Q188" s="207">
        <f>IF(Q$29=0,0,(Q$81&lt;&gt;gebouw)*(Q$75+Q$85-Q$88)*3.6/Q$29)</f>
        <v>0</v>
      </c>
      <c r="R188" s="335"/>
      <c r="S188" s="335"/>
      <c r="T188" s="335"/>
      <c r="U188" s="335"/>
      <c r="V188" s="335"/>
      <c r="W188" s="335"/>
      <c r="X188" s="128"/>
      <c r="Y188" s="243">
        <f>SUM(Z188:AJ188)</f>
        <v>0</v>
      </c>
      <c r="Z188" s="100"/>
      <c r="AA188" s="207">
        <f>IF(AA$29=0,0,(AA$81&lt;&gt;gebouw)*(AA$75+AA$85-AA$88)*3.6/AA$29)</f>
        <v>0</v>
      </c>
      <c r="AB188" s="207">
        <f>IF(AB$29=0,0,(AB$81&lt;&gt;gebouw)*(AB$75+AB$85-AB$88)*3.6/AB$29)</f>
        <v>0</v>
      </c>
      <c r="AC188" s="207">
        <f>IF(AC$29=0,0,(AC$81&lt;&gt;gebouw)*(AC$75+AC$85-AC$88)*3.6/AC$29)</f>
        <v>0</v>
      </c>
      <c r="AD188" s="335"/>
      <c r="AE188" s="335"/>
      <c r="AF188" s="335"/>
      <c r="AG188" s="335"/>
      <c r="AH188" s="335"/>
      <c r="AI188" s="335"/>
      <c r="AJ188" s="128"/>
      <c r="AK188" s="243">
        <f>SUM(AL188:AV188)</f>
        <v>0</v>
      </c>
      <c r="AL188" s="100"/>
      <c r="AM188" s="207">
        <f>IF(AM$29=0,0,(AM$81&lt;&gt;gebouw)*(AM$75+AM$85-AM$88)*3.6/AM$29)</f>
        <v>0</v>
      </c>
      <c r="AN188" s="207">
        <f>IF(AN$29=0,0,(AN$81&lt;&gt;gebouw)*(AN$75+AN$85-AN$88)*3.6/AN$29)</f>
        <v>0</v>
      </c>
      <c r="AO188" s="207">
        <f>IF(AO$29=0,0,(AO$81&lt;&gt;gebouw)*(AO$75+AO$85-AO$88)*3.6/AO$29)</f>
        <v>0</v>
      </c>
      <c r="AP188" s="207"/>
      <c r="AQ188" s="207"/>
      <c r="AR188" s="207"/>
      <c r="AS188" s="207"/>
      <c r="AT188" s="207"/>
      <c r="AU188" s="207"/>
      <c r="AV188" s="128"/>
      <c r="AW188" s="243">
        <f>SUM(AX188:BH188)</f>
        <v>0</v>
      </c>
      <c r="AX188" s="100"/>
      <c r="AY188" s="207">
        <f>IF(AY$29=0,0,(AY$81&lt;&gt;gebouw)*(AY$75+AY$85-AY$88)*3.6/AY$29)</f>
        <v>0</v>
      </c>
      <c r="AZ188" s="207">
        <f>IF(AZ$29=0,0,(AZ$81&lt;&gt;gebouw)*(AZ$75+AZ$85-AZ$88)*3.6/AZ$29)</f>
        <v>0</v>
      </c>
      <c r="BA188" s="207">
        <f>IF(BA$29=0,0,(BA$81&lt;&gt;gebouw)*(BA$75+BA$85-BA$88)*3.6/BA$29)</f>
        <v>0</v>
      </c>
      <c r="BB188" s="335"/>
      <c r="BC188" s="335"/>
      <c r="BD188" s="335"/>
      <c r="BE188" s="335"/>
      <c r="BF188" s="335"/>
      <c r="BG188" s="335"/>
      <c r="BH188" s="255"/>
    </row>
    <row r="189" spans="1:60" ht="18.75" x14ac:dyDescent="0.2">
      <c r="A189" s="648"/>
      <c r="B189" s="492" t="s">
        <v>271</v>
      </c>
      <c r="C189" s="739" t="s">
        <v>104</v>
      </c>
      <c r="D189" s="750"/>
      <c r="E189" s="231" t="s">
        <v>276</v>
      </c>
      <c r="F189" s="231"/>
      <c r="G189" s="231"/>
      <c r="H189" s="89"/>
      <c r="I189" s="232"/>
      <c r="J189" s="231"/>
      <c r="K189" s="232"/>
      <c r="L189" s="232"/>
      <c r="M189" s="231"/>
      <c r="N189" s="232"/>
      <c r="O189" s="232"/>
      <c r="P189" s="232"/>
      <c r="Q189" s="232"/>
      <c r="R189" s="232"/>
      <c r="S189" s="232"/>
      <c r="T189" s="232"/>
      <c r="U189" s="232"/>
      <c r="V189" s="232"/>
      <c r="W189" s="232"/>
      <c r="X189" s="232"/>
      <c r="Y189" s="232"/>
      <c r="Z189" s="232"/>
      <c r="AA189" s="232"/>
      <c r="AB189" s="232"/>
      <c r="AC189" s="232"/>
      <c r="AD189" s="232"/>
      <c r="AE189" s="232"/>
      <c r="AF189" s="232"/>
      <c r="AG189" s="232"/>
      <c r="AH189" s="232"/>
      <c r="AI189" s="232"/>
      <c r="AJ189" s="232"/>
      <c r="AK189" s="232"/>
      <c r="AL189" s="232"/>
      <c r="AM189" s="232"/>
      <c r="AN189" s="232"/>
      <c r="AO189" s="232"/>
      <c r="AP189" s="232"/>
      <c r="AQ189" s="232"/>
      <c r="AR189" s="232"/>
      <c r="AS189" s="232"/>
      <c r="AT189" s="232"/>
      <c r="AU189" s="232"/>
      <c r="AV189" s="232"/>
      <c r="AW189" s="232"/>
      <c r="AX189" s="232"/>
      <c r="AY189" s="232"/>
      <c r="AZ189" s="232"/>
      <c r="BA189" s="232"/>
      <c r="BB189" s="232"/>
      <c r="BC189" s="232"/>
      <c r="BD189" s="232"/>
      <c r="BE189" s="232"/>
      <c r="BF189" s="232"/>
      <c r="BG189" s="232"/>
      <c r="BH189" s="38"/>
    </row>
    <row r="190" spans="1:60" x14ac:dyDescent="0.2">
      <c r="A190" s="648"/>
      <c r="B190" s="492" t="s">
        <v>271</v>
      </c>
      <c r="C190" s="656" t="s">
        <v>113</v>
      </c>
      <c r="D190" s="750"/>
      <c r="E190" s="220" t="s">
        <v>274</v>
      </c>
      <c r="F190" s="220"/>
      <c r="G190" s="220"/>
      <c r="H190" s="242" t="s">
        <v>277</v>
      </c>
      <c r="I190" s="129"/>
      <c r="J190" s="243"/>
      <c r="K190" s="279"/>
      <c r="L190" s="279"/>
      <c r="M190" s="243">
        <f>IF(M$31=0,0,M186*M$24/M$31)</f>
        <v>0</v>
      </c>
      <c r="N190" s="100"/>
      <c r="O190" s="207">
        <f t="shared" ref="O190:Q192" si="118">IF(OR(O$33="",O$33=0),0,O$29*O186/O$33)</f>
        <v>0</v>
      </c>
      <c r="P190" s="207">
        <f t="shared" si="118"/>
        <v>0</v>
      </c>
      <c r="Q190" s="207">
        <f t="shared" si="118"/>
        <v>0</v>
      </c>
      <c r="R190" s="335"/>
      <c r="S190" s="335"/>
      <c r="T190" s="207">
        <f>IF(OR(T$33="",T$33=0),0,T$29*T186/T$33)</f>
        <v>0</v>
      </c>
      <c r="U190" s="335"/>
      <c r="V190" s="335"/>
      <c r="W190" s="335"/>
      <c r="X190" s="128"/>
      <c r="Y190" s="243">
        <f>IF(Y$31=0,0,Y186*Y$24/Y$31)</f>
        <v>0</v>
      </c>
      <c r="Z190" s="100"/>
      <c r="AA190" s="207">
        <f t="shared" ref="AA190:AC192" si="119">IF(OR(AA$33="",AA$33=0),0,AA$29*AA186/AA$33)</f>
        <v>0</v>
      </c>
      <c r="AB190" s="207">
        <f t="shared" si="119"/>
        <v>0</v>
      </c>
      <c r="AC190" s="207">
        <f t="shared" si="119"/>
        <v>0</v>
      </c>
      <c r="AD190" s="335"/>
      <c r="AE190" s="335"/>
      <c r="AF190" s="207">
        <f>IF(OR(AF$33="",AF$33=0),0,AF$29*AF186/AF$33)</f>
        <v>0</v>
      </c>
      <c r="AG190" s="335"/>
      <c r="AH190" s="335"/>
      <c r="AI190" s="335"/>
      <c r="AJ190" s="128"/>
      <c r="AK190" s="243">
        <f>IF(AK$31=0,0,AK186*AK$24/AK$31)</f>
        <v>0</v>
      </c>
      <c r="AL190" s="100"/>
      <c r="AM190" s="207">
        <f>IF(OR(AM$33="",AM$33=0),0,AM$29*AM186/AM$33)</f>
        <v>0</v>
      </c>
      <c r="AN190" s="207">
        <f t="shared" ref="AN190:AO192" si="120">IF(OR(AN$33="",AN$33=0),0,AN$29*AN186/AN$33)</f>
        <v>0</v>
      </c>
      <c r="AO190" s="207">
        <f t="shared" si="120"/>
        <v>0</v>
      </c>
      <c r="AP190" s="335"/>
      <c r="AQ190" s="335"/>
      <c r="AR190" s="207">
        <f>IF(OR(AR$33="",AR$33=0),0,AR$29*AR186/AR$33)</f>
        <v>0</v>
      </c>
      <c r="AS190" s="335"/>
      <c r="AT190" s="335"/>
      <c r="AU190" s="335"/>
      <c r="AV190" s="128"/>
      <c r="AW190" s="243">
        <f>IF(AW$31=0,0,AW186*AW$24/AW$31)</f>
        <v>0</v>
      </c>
      <c r="AX190" s="100"/>
      <c r="AY190" s="207">
        <f t="shared" ref="AY190:BA192" si="121">IF(OR(AY$33="",AY$33=0),0,AY$29*AY186/AY$33)</f>
        <v>0</v>
      </c>
      <c r="AZ190" s="207">
        <f t="shared" si="121"/>
        <v>0</v>
      </c>
      <c r="BA190" s="207">
        <f t="shared" si="121"/>
        <v>0</v>
      </c>
      <c r="BB190" s="335"/>
      <c r="BC190" s="335"/>
      <c r="BD190" s="207">
        <f>IF(OR(BD$33="",BD$33=0),0,BD$29*BD186/BD$33)</f>
        <v>0</v>
      </c>
      <c r="BE190" s="335"/>
      <c r="BF190" s="335"/>
      <c r="BG190" s="335"/>
      <c r="BH190" s="255"/>
    </row>
    <row r="191" spans="1:60" x14ac:dyDescent="0.2">
      <c r="A191" s="648"/>
      <c r="B191" s="492" t="s">
        <v>271</v>
      </c>
      <c r="C191" s="656" t="s">
        <v>113</v>
      </c>
      <c r="D191" s="750"/>
      <c r="E191" s="220" t="s">
        <v>156</v>
      </c>
      <c r="F191" s="220"/>
      <c r="G191" s="220"/>
      <c r="H191" s="242" t="s">
        <v>169</v>
      </c>
      <c r="I191" s="129"/>
      <c r="J191" s="243"/>
      <c r="K191" s="279"/>
      <c r="L191" s="279"/>
      <c r="M191" s="243">
        <f>IF(M$31=0,0,M187*M$24/M$31)</f>
        <v>0</v>
      </c>
      <c r="N191" s="100"/>
      <c r="O191" s="207">
        <f t="shared" si="118"/>
        <v>0</v>
      </c>
      <c r="P191" s="207">
        <f t="shared" si="118"/>
        <v>0</v>
      </c>
      <c r="Q191" s="207">
        <f t="shared" si="118"/>
        <v>0</v>
      </c>
      <c r="R191" s="207">
        <f>IF(OR(R$33="",R$33=0),0,R$29*R187/R$33)</f>
        <v>0</v>
      </c>
      <c r="S191" s="207">
        <f>IF(OR(S$33="",S$33=0),0,S$29*S187/S$33)</f>
        <v>0</v>
      </c>
      <c r="T191" s="335"/>
      <c r="U191" s="207">
        <f>IF(OR(U$33="",U$33=0),0,U$29*U187/U$33)</f>
        <v>0</v>
      </c>
      <c r="V191" s="207">
        <f>IF(OR(V$33="",V$33=0),0,V$29*V187/V$33)</f>
        <v>0</v>
      </c>
      <c r="W191" s="207">
        <f>IF(OR(W$33="",W$33=0),0,W$29*W187/W$33)</f>
        <v>0</v>
      </c>
      <c r="X191" s="128"/>
      <c r="Y191" s="243">
        <f>IF(Y$31=0,0,Y187*Y$24/Y$31)</f>
        <v>0</v>
      </c>
      <c r="Z191" s="100"/>
      <c r="AA191" s="207">
        <f t="shared" si="119"/>
        <v>0</v>
      </c>
      <c r="AB191" s="207">
        <f t="shared" si="119"/>
        <v>0</v>
      </c>
      <c r="AC191" s="207">
        <f t="shared" si="119"/>
        <v>0</v>
      </c>
      <c r="AD191" s="207">
        <f>IF(OR(AD$33="",AD$33=0),0,AD$29*AD187/AD$33)</f>
        <v>0</v>
      </c>
      <c r="AE191" s="207">
        <f>IF(OR(AE$33="",AE$33=0),0,AE$29*AE187/AE$33)</f>
        <v>0</v>
      </c>
      <c r="AF191" s="335"/>
      <c r="AG191" s="207">
        <f>IF(OR(AG$33="",AG$33=0),0,AG$29*AG187/AG$33)</f>
        <v>0</v>
      </c>
      <c r="AH191" s="207">
        <f>IF(OR(AH$33="",AH$33=0),0,AH$29*AH187/AH$33)</f>
        <v>0</v>
      </c>
      <c r="AI191" s="207">
        <f>IF(OR(AI$33="",AI$33=0),0,AI$29*AI187/AI$33)</f>
        <v>0</v>
      </c>
      <c r="AJ191" s="128"/>
      <c r="AK191" s="243">
        <f>IF(AK$31=0,0,AK187*AK$24/AK$31)</f>
        <v>0</v>
      </c>
      <c r="AL191" s="100"/>
      <c r="AM191" s="207">
        <f>IF(OR(AM$33="",AM$33=0),0,AM$29*AM187/AM$33)</f>
        <v>0</v>
      </c>
      <c r="AN191" s="207">
        <f t="shared" si="120"/>
        <v>0</v>
      </c>
      <c r="AO191" s="207">
        <f t="shared" si="120"/>
        <v>0</v>
      </c>
      <c r="AP191" s="207">
        <f>IF(OR(AP$33="",AP$33=0),0,AP$29*AP187/AP$33)</f>
        <v>0</v>
      </c>
      <c r="AQ191" s="207">
        <f>IF(OR(AQ$33="",AQ$33=0),0,AQ$29*AQ187/AQ$33)</f>
        <v>0</v>
      </c>
      <c r="AR191" s="335"/>
      <c r="AS191" s="207">
        <f>IF(OR(AS$33="",AS$33=0),0,AS$29*AS187/AS$33)</f>
        <v>0</v>
      </c>
      <c r="AT191" s="207">
        <f>IF(OR(AT$33="",AT$33=0),0,AT$29*AT187/AT$33)</f>
        <v>0</v>
      </c>
      <c r="AU191" s="207">
        <f>IF(OR(AU$33="",AU$33=0),0,AU$29*AU187/AU$33)</f>
        <v>0</v>
      </c>
      <c r="AV191" s="128"/>
      <c r="AW191" s="243">
        <f>IF(AW$31=0,0,AW187*AW$24/AW$31)</f>
        <v>0</v>
      </c>
      <c r="AX191" s="100"/>
      <c r="AY191" s="207">
        <f t="shared" si="121"/>
        <v>0</v>
      </c>
      <c r="AZ191" s="207">
        <f t="shared" si="121"/>
        <v>0</v>
      </c>
      <c r="BA191" s="207">
        <f t="shared" si="121"/>
        <v>0</v>
      </c>
      <c r="BB191" s="207">
        <f>IF(OR(BB$33="",BB$33=0),0,BB$29*BB187/BB$33)</f>
        <v>0</v>
      </c>
      <c r="BC191" s="207">
        <f>IF(OR(BC$33="",BC$33=0),0,BC$29*BC187/BC$33)</f>
        <v>0</v>
      </c>
      <c r="BD191" s="335"/>
      <c r="BE191" s="207">
        <f>IF(OR(BE$33="",BE$33=0),0,BE$29*BE187/BE$33)</f>
        <v>0</v>
      </c>
      <c r="BF191" s="207">
        <f>IF(OR(BF$33="",BF$33=0),0,BF$29*BF187/BF$33)</f>
        <v>0</v>
      </c>
      <c r="BG191" s="207">
        <f>IF(OR(BG$33="",BG$33=0),0,BG$29*BG187/BG$33)</f>
        <v>0</v>
      </c>
      <c r="BH191" s="255"/>
    </row>
    <row r="192" spans="1:60" x14ac:dyDescent="0.2">
      <c r="A192" s="648"/>
      <c r="B192" s="492" t="s">
        <v>271</v>
      </c>
      <c r="C192" s="656" t="s">
        <v>113</v>
      </c>
      <c r="D192" s="750"/>
      <c r="E192" s="220" t="s">
        <v>275</v>
      </c>
      <c r="F192" s="220"/>
      <c r="G192" s="220"/>
      <c r="H192" s="242" t="s">
        <v>278</v>
      </c>
      <c r="I192" s="129"/>
      <c r="J192" s="243"/>
      <c r="K192" s="279"/>
      <c r="L192" s="279"/>
      <c r="M192" s="243">
        <f>IF(M$31=0,0,M188*M$24/M$31)</f>
        <v>0</v>
      </c>
      <c r="N192" s="100"/>
      <c r="O192" s="207">
        <f t="shared" si="118"/>
        <v>0</v>
      </c>
      <c r="P192" s="207">
        <f t="shared" si="118"/>
        <v>0</v>
      </c>
      <c r="Q192" s="207">
        <f t="shared" si="118"/>
        <v>0</v>
      </c>
      <c r="R192" s="335"/>
      <c r="S192" s="335"/>
      <c r="T192" s="335"/>
      <c r="U192" s="335"/>
      <c r="V192" s="335"/>
      <c r="W192" s="335"/>
      <c r="X192" s="128"/>
      <c r="Y192" s="243">
        <f>IF(Y$31=0,0,Y188*Y$24/Y$31)</f>
        <v>0</v>
      </c>
      <c r="Z192" s="100"/>
      <c r="AA192" s="207">
        <f t="shared" si="119"/>
        <v>0</v>
      </c>
      <c r="AB192" s="207">
        <f t="shared" si="119"/>
        <v>0</v>
      </c>
      <c r="AC192" s="207">
        <f t="shared" si="119"/>
        <v>0</v>
      </c>
      <c r="AD192" s="335"/>
      <c r="AE192" s="335"/>
      <c r="AF192" s="335"/>
      <c r="AG192" s="335"/>
      <c r="AH192" s="335"/>
      <c r="AI192" s="335"/>
      <c r="AJ192" s="128"/>
      <c r="AK192" s="243">
        <f>IF(AK$31=0,0,AK188*AK$24/AK$31)</f>
        <v>0</v>
      </c>
      <c r="AL192" s="100"/>
      <c r="AM192" s="207">
        <f>IF(OR(AM$33="",AM$33=0),0,AM$29*AM188/AM$33)</f>
        <v>0</v>
      </c>
      <c r="AN192" s="207">
        <f t="shared" si="120"/>
        <v>0</v>
      </c>
      <c r="AO192" s="207">
        <f t="shared" si="120"/>
        <v>0</v>
      </c>
      <c r="AP192" s="335"/>
      <c r="AQ192" s="335"/>
      <c r="AR192" s="335"/>
      <c r="AS192" s="335"/>
      <c r="AT192" s="335"/>
      <c r="AU192" s="335"/>
      <c r="AV192" s="128"/>
      <c r="AW192" s="243">
        <f>IF(AW$31=0,0,AW188*AW$24/AW$31)</f>
        <v>0</v>
      </c>
      <c r="AX192" s="100"/>
      <c r="AY192" s="207">
        <f t="shared" si="121"/>
        <v>0</v>
      </c>
      <c r="AZ192" s="207">
        <f t="shared" si="121"/>
        <v>0</v>
      </c>
      <c r="BA192" s="207">
        <f t="shared" si="121"/>
        <v>0</v>
      </c>
      <c r="BB192" s="335"/>
      <c r="BC192" s="335"/>
      <c r="BD192" s="335"/>
      <c r="BE192" s="335"/>
      <c r="BF192" s="335"/>
      <c r="BG192" s="335"/>
      <c r="BH192" s="255"/>
    </row>
    <row r="193" spans="1:60" x14ac:dyDescent="0.2">
      <c r="A193" s="648"/>
      <c r="B193" s="492" t="s">
        <v>271</v>
      </c>
      <c r="C193" s="739" t="s">
        <v>104</v>
      </c>
      <c r="D193" s="747"/>
      <c r="E193" s="90"/>
      <c r="F193" s="90"/>
      <c r="G193" s="90"/>
      <c r="H193" s="96"/>
      <c r="I193" s="90"/>
      <c r="J193" s="93"/>
      <c r="K193" s="90"/>
      <c r="L193" s="90"/>
      <c r="M193" s="93"/>
      <c r="N193" s="90"/>
      <c r="O193" s="93"/>
      <c r="P193" s="93"/>
      <c r="Q193" s="93"/>
      <c r="R193" s="93"/>
      <c r="S193" s="93"/>
      <c r="T193" s="93"/>
      <c r="U193" s="93"/>
      <c r="V193" s="93"/>
      <c r="W193" s="93"/>
      <c r="X193" s="93"/>
      <c r="Y193" s="93"/>
      <c r="Z193" s="90"/>
      <c r="AA193" s="93"/>
      <c r="AB193" s="93"/>
      <c r="AC193" s="93"/>
      <c r="AD193" s="93"/>
      <c r="AE193" s="93"/>
      <c r="AF193" s="93"/>
      <c r="AG193" s="93"/>
      <c r="AH193" s="93"/>
      <c r="AI193" s="93"/>
      <c r="AJ193" s="93"/>
      <c r="AK193" s="93"/>
      <c r="AL193" s="90"/>
      <c r="AM193" s="90"/>
      <c r="AN193" s="90"/>
      <c r="AO193" s="90"/>
      <c r="AP193" s="90"/>
      <c r="AQ193" s="90"/>
      <c r="AR193" s="90"/>
      <c r="AS193" s="90"/>
      <c r="AT193" s="90"/>
      <c r="AU193" s="93"/>
      <c r="AV193" s="93"/>
      <c r="AW193" s="93"/>
      <c r="AX193" s="90"/>
      <c r="AY193" s="93"/>
      <c r="AZ193" s="93"/>
      <c r="BA193" s="93"/>
      <c r="BB193" s="93"/>
      <c r="BC193" s="93"/>
      <c r="BD193" s="93"/>
      <c r="BE193" s="93"/>
      <c r="BF193" s="93"/>
      <c r="BG193" s="93"/>
      <c r="BH193" s="1"/>
    </row>
    <row r="194" spans="1:60" x14ac:dyDescent="0.2">
      <c r="A194" s="648"/>
      <c r="B194" s="492" t="s">
        <v>279</v>
      </c>
      <c r="C194" s="656" t="s">
        <v>104</v>
      </c>
      <c r="D194" s="747"/>
      <c r="E194" s="90"/>
      <c r="F194" s="90"/>
      <c r="G194" s="90"/>
      <c r="H194" s="96"/>
      <c r="I194" s="90"/>
      <c r="J194" s="93"/>
      <c r="K194" s="90"/>
      <c r="L194" s="90"/>
      <c r="M194" s="93"/>
      <c r="N194" s="90"/>
      <c r="O194" s="93"/>
      <c r="P194" s="93"/>
      <c r="Q194" s="93"/>
      <c r="R194" s="93"/>
      <c r="S194" s="93"/>
      <c r="T194" s="93"/>
      <c r="U194" s="93"/>
      <c r="V194" s="93"/>
      <c r="W194" s="93"/>
      <c r="X194" s="93"/>
      <c r="Y194" s="93"/>
      <c r="Z194" s="90"/>
      <c r="AA194" s="93"/>
      <c r="AB194" s="93"/>
      <c r="AC194" s="93"/>
      <c r="AD194" s="93"/>
      <c r="AE194" s="93"/>
      <c r="AF194" s="93"/>
      <c r="AG194" s="93"/>
      <c r="AH194" s="93"/>
      <c r="AI194" s="93"/>
      <c r="AJ194" s="93"/>
      <c r="AK194" s="93"/>
      <c r="AL194" s="90"/>
      <c r="AM194" s="93"/>
      <c r="AN194" s="93"/>
      <c r="AO194" s="93"/>
      <c r="AP194" s="93"/>
      <c r="AQ194" s="93"/>
      <c r="AR194" s="93"/>
      <c r="AS194" s="93"/>
      <c r="AT194" s="93"/>
      <c r="AU194" s="93"/>
      <c r="AV194" s="93"/>
      <c r="AW194" s="93"/>
      <c r="AX194" s="90"/>
      <c r="AY194" s="93"/>
      <c r="AZ194" s="93"/>
      <c r="BA194" s="93"/>
      <c r="BB194" s="93"/>
      <c r="BC194" s="93"/>
      <c r="BD194" s="93"/>
      <c r="BE194" s="93"/>
      <c r="BF194" s="93"/>
      <c r="BG194" s="93"/>
      <c r="BH194" s="1"/>
    </row>
    <row r="195" spans="1:60" ht="21" x14ac:dyDescent="0.2">
      <c r="A195" s="648"/>
      <c r="B195" s="492" t="s">
        <v>279</v>
      </c>
      <c r="C195" s="739" t="s">
        <v>104</v>
      </c>
      <c r="D195" s="752"/>
      <c r="E195" s="240" t="s">
        <v>280</v>
      </c>
      <c r="F195" s="240"/>
      <c r="G195" s="240"/>
      <c r="H195" s="240"/>
      <c r="I195" s="88"/>
      <c r="J195" s="241" t="str">
        <f>J$10</f>
        <v>totaal</v>
      </c>
      <c r="K195" s="142"/>
      <c r="L195" s="142"/>
      <c r="M195" s="216" t="str">
        <f>M$10</f>
        <v>totaal</v>
      </c>
      <c r="N195" s="222"/>
      <c r="O195" s="217" t="str">
        <f t="shared" ref="O195:W195" si="122">O$10</f>
        <v>verwarming</v>
      </c>
      <c r="P195" s="217" t="str">
        <f t="shared" si="122"/>
        <v>koeling</v>
      </c>
      <c r="Q195" s="217" t="str">
        <f t="shared" si="122"/>
        <v>tapwater</v>
      </c>
      <c r="R195" s="217" t="str">
        <f t="shared" si="122"/>
        <v>verlichting</v>
      </c>
      <c r="S195" s="217" t="str">
        <f t="shared" si="122"/>
        <v>ventilatoren</v>
      </c>
      <c r="T195" s="217" t="str">
        <f t="shared" si="122"/>
        <v>kookgas</v>
      </c>
      <c r="U195" s="217" t="str">
        <f t="shared" si="122"/>
        <v>overig elektra</v>
      </c>
      <c r="V195" s="217" t="str">
        <f t="shared" si="122"/>
        <v>mobiliteit</v>
      </c>
      <c r="W195" s="217" t="str">
        <f t="shared" si="122"/>
        <v>zonnepanelen</v>
      </c>
      <c r="X195" s="214"/>
      <c r="Y195" s="216" t="str">
        <f>Y$10</f>
        <v>totaal</v>
      </c>
      <c r="Z195" s="222"/>
      <c r="AA195" s="217" t="str">
        <f t="shared" ref="AA195:AI195" si="123">AA$10</f>
        <v>verwarming</v>
      </c>
      <c r="AB195" s="217" t="str">
        <f t="shared" si="123"/>
        <v>koeling</v>
      </c>
      <c r="AC195" s="217" t="str">
        <f t="shared" si="123"/>
        <v>tapwater</v>
      </c>
      <c r="AD195" s="217" t="str">
        <f t="shared" si="123"/>
        <v>verlichting</v>
      </c>
      <c r="AE195" s="217" t="str">
        <f t="shared" si="123"/>
        <v>ventilatoren</v>
      </c>
      <c r="AF195" s="217" t="str">
        <f t="shared" si="123"/>
        <v>kookgas</v>
      </c>
      <c r="AG195" s="217" t="str">
        <f t="shared" si="123"/>
        <v>overig elektra</v>
      </c>
      <c r="AH195" s="217" t="str">
        <f t="shared" si="123"/>
        <v>mobiliteit</v>
      </c>
      <c r="AI195" s="217" t="str">
        <f t="shared" si="123"/>
        <v>zonnepanelen</v>
      </c>
      <c r="AJ195" s="214"/>
      <c r="AK195" s="216" t="str">
        <f>AK$10</f>
        <v>totaal</v>
      </c>
      <c r="AL195" s="222"/>
      <c r="AM195" s="217" t="str">
        <f>AM$10</f>
        <v>verwarming</v>
      </c>
      <c r="AN195" s="217" t="str">
        <f t="shared" ref="AN195:AU195" si="124">AN$10</f>
        <v>koeling</v>
      </c>
      <c r="AO195" s="217" t="str">
        <f t="shared" si="124"/>
        <v>tapwater</v>
      </c>
      <c r="AP195" s="217" t="str">
        <f t="shared" si="124"/>
        <v>verlichting</v>
      </c>
      <c r="AQ195" s="217" t="str">
        <f t="shared" si="124"/>
        <v>ventilatoren</v>
      </c>
      <c r="AR195" s="217" t="str">
        <f t="shared" si="124"/>
        <v>kookgas</v>
      </c>
      <c r="AS195" s="217" t="str">
        <f t="shared" si="124"/>
        <v>overig elektra</v>
      </c>
      <c r="AT195" s="217" t="str">
        <f t="shared" si="124"/>
        <v>mobiliteit</v>
      </c>
      <c r="AU195" s="217" t="str">
        <f t="shared" si="124"/>
        <v>zonnepanelen</v>
      </c>
      <c r="AV195" s="214"/>
      <c r="AW195" s="216" t="str">
        <f>AW$10</f>
        <v>totaal</v>
      </c>
      <c r="AX195" s="222"/>
      <c r="AY195" s="217" t="str">
        <f t="shared" ref="AY195:BG195" si="125">AY$10</f>
        <v>verwarming</v>
      </c>
      <c r="AZ195" s="217" t="str">
        <f t="shared" si="125"/>
        <v>koeling</v>
      </c>
      <c r="BA195" s="217" t="str">
        <f t="shared" si="125"/>
        <v>tapwater</v>
      </c>
      <c r="BB195" s="217" t="str">
        <f t="shared" si="125"/>
        <v>verlichting</v>
      </c>
      <c r="BC195" s="217" t="str">
        <f t="shared" si="125"/>
        <v>ventilatoren</v>
      </c>
      <c r="BD195" s="217" t="str">
        <f t="shared" si="125"/>
        <v>kookgas</v>
      </c>
      <c r="BE195" s="217" t="str">
        <f t="shared" si="125"/>
        <v>overig elektra</v>
      </c>
      <c r="BF195" s="217" t="str">
        <f t="shared" si="125"/>
        <v>mobiliteit</v>
      </c>
      <c r="BG195" s="217" t="str">
        <f t="shared" si="125"/>
        <v>zonnepanelen</v>
      </c>
      <c r="BH195" s="1"/>
    </row>
    <row r="196" spans="1:60" ht="18.75" x14ac:dyDescent="0.2">
      <c r="A196" s="648"/>
      <c r="B196" s="492" t="s">
        <v>279</v>
      </c>
      <c r="C196" s="739" t="s">
        <v>104</v>
      </c>
      <c r="D196" s="747"/>
      <c r="E196" s="231" t="s">
        <v>281</v>
      </c>
      <c r="F196" s="231"/>
      <c r="G196" s="231"/>
      <c r="H196" s="89"/>
      <c r="I196" s="232"/>
      <c r="J196" s="231"/>
      <c r="K196" s="232"/>
      <c r="L196" s="232"/>
      <c r="M196" s="231"/>
      <c r="N196" s="232"/>
      <c r="O196" s="232"/>
      <c r="P196" s="232"/>
      <c r="Q196" s="232"/>
      <c r="R196" s="232"/>
      <c r="S196" s="232"/>
      <c r="T196" s="232"/>
      <c r="U196" s="232"/>
      <c r="V196" s="232"/>
      <c r="W196" s="232"/>
      <c r="X196" s="232"/>
      <c r="Y196" s="232"/>
      <c r="Z196" s="232"/>
      <c r="AA196" s="232"/>
      <c r="AB196" s="232"/>
      <c r="AC196" s="232"/>
      <c r="AD196" s="232"/>
      <c r="AE196" s="232"/>
      <c r="AF196" s="232"/>
      <c r="AG196" s="232"/>
      <c r="AH196" s="232"/>
      <c r="AI196" s="232"/>
      <c r="AJ196" s="232"/>
      <c r="AK196" s="232"/>
      <c r="AL196" s="232"/>
      <c r="AM196" s="232"/>
      <c r="AN196" s="232"/>
      <c r="AO196" s="232"/>
      <c r="AP196" s="232"/>
      <c r="AQ196" s="232"/>
      <c r="AR196" s="232"/>
      <c r="AS196" s="232"/>
      <c r="AT196" s="232"/>
      <c r="AU196" s="232"/>
      <c r="AV196" s="232"/>
      <c r="AW196" s="232"/>
      <c r="AX196" s="232"/>
      <c r="AY196" s="232"/>
      <c r="AZ196" s="232"/>
      <c r="BA196" s="232"/>
      <c r="BB196" s="232"/>
      <c r="BC196" s="232"/>
      <c r="BD196" s="232"/>
      <c r="BE196" s="232"/>
      <c r="BF196" s="232"/>
      <c r="BG196" s="232"/>
      <c r="BH196" s="38"/>
    </row>
    <row r="197" spans="1:60" s="38" customFormat="1" x14ac:dyDescent="0.2">
      <c r="A197" s="648"/>
      <c r="B197" s="492" t="s">
        <v>279</v>
      </c>
      <c r="C197" s="656" t="s">
        <v>113</v>
      </c>
      <c r="D197" s="747"/>
      <c r="E197" s="287" t="s">
        <v>282</v>
      </c>
      <c r="F197" s="287" t="s">
        <v>208</v>
      </c>
      <c r="G197" s="287"/>
      <c r="H197" s="288" t="s">
        <v>70</v>
      </c>
      <c r="I197" s="289"/>
      <c r="J197" s="290"/>
      <c r="K197" s="280"/>
      <c r="L197" s="280"/>
      <c r="M197" s="290"/>
      <c r="N197" s="291"/>
      <c r="O197" s="292" t="str">
        <f>IF(AND(O$80&lt;&gt;"geen",O$102&lt;&gt;""),O$102,"")</f>
        <v>elektriciteit</v>
      </c>
      <c r="P197" s="292" t="str">
        <f>IF(AND(P$80&lt;&gt;"geen",P$102&lt;&gt;""),P$102,"")</f>
        <v/>
      </c>
      <c r="Q197" s="292" t="str">
        <f>IF(AND(Q$80&lt;&gt;"geen",Q$102&lt;&gt;""),Q$102,"")</f>
        <v>elektriciteit</v>
      </c>
      <c r="R197" s="704"/>
      <c r="S197" s="704"/>
      <c r="T197" s="704"/>
      <c r="U197" s="704"/>
      <c r="V197" s="704"/>
      <c r="W197" s="704"/>
      <c r="X197" s="137"/>
      <c r="Y197" s="290"/>
      <c r="Z197" s="291"/>
      <c r="AA197" s="292" t="str">
        <f>IF(AND(AA$80&lt;&gt;"geen",AA$102&lt;&gt;""),AA$102,"")</f>
        <v>elektriciteit</v>
      </c>
      <c r="AB197" s="292" t="str">
        <f>IF(AND(AB$80&lt;&gt;"geen",AB$102&lt;&gt;""),AB$102,"")</f>
        <v/>
      </c>
      <c r="AC197" s="292" t="str">
        <f>IF(AND(AC$80&lt;&gt;"geen",AC$102&lt;&gt;""),AC$102,"")</f>
        <v>elektriciteit</v>
      </c>
      <c r="AD197" s="704"/>
      <c r="AE197" s="704"/>
      <c r="AF197" s="704"/>
      <c r="AG197" s="704"/>
      <c r="AH197" s="704"/>
      <c r="AI197" s="704"/>
      <c r="AJ197" s="137"/>
      <c r="AK197" s="290"/>
      <c r="AL197" s="291"/>
      <c r="AM197" s="292" t="str">
        <f>IF(AND(AM$80&lt;&gt;"geen",AM$102&lt;&gt;""),AM$102,"")</f>
        <v>elektriciteit</v>
      </c>
      <c r="AN197" s="292" t="str">
        <f>IF(AND(AN$80&lt;&gt;"geen",AN$102&lt;&gt;""),AN$102,"")</f>
        <v/>
      </c>
      <c r="AO197" s="292" t="str">
        <f>IF(AND(AO$80&lt;&gt;"geen",AO$102&lt;&gt;""),AO$102,"")</f>
        <v>elektriciteit</v>
      </c>
      <c r="AP197" s="704"/>
      <c r="AQ197" s="704"/>
      <c r="AR197" s="704"/>
      <c r="AS197" s="704"/>
      <c r="AT197" s="704"/>
      <c r="AU197" s="704"/>
      <c r="AV197" s="137"/>
      <c r="AW197" s="290"/>
      <c r="AX197" s="291"/>
      <c r="AY197" s="292" t="str">
        <f>IF(AND(AY$80&lt;&gt;"geen",AY$102&lt;&gt;""),AY$102,"")</f>
        <v>elektriciteit</v>
      </c>
      <c r="AZ197" s="292" t="str">
        <f>IF(AND(AZ$80&lt;&gt;"geen",AZ$102&lt;&gt;""),AZ$102,"")</f>
        <v/>
      </c>
      <c r="BA197" s="292" t="str">
        <f>IF(AND(BA$80&lt;&gt;"geen",BA$102&lt;&gt;""),BA$102,"")</f>
        <v>elektriciteit</v>
      </c>
      <c r="BB197" s="704"/>
      <c r="BC197" s="704"/>
      <c r="BD197" s="704"/>
      <c r="BE197" s="704"/>
      <c r="BF197" s="704"/>
      <c r="BG197" s="704"/>
      <c r="BH197" s="269"/>
    </row>
    <row r="198" spans="1:60" s="2" customFormat="1" x14ac:dyDescent="0.2">
      <c r="A198" s="649"/>
      <c r="B198" s="492" t="s">
        <v>279</v>
      </c>
      <c r="C198" s="739" t="s">
        <v>113</v>
      </c>
      <c r="D198" s="753"/>
      <c r="E198" s="413"/>
      <c r="F198" s="317" t="s">
        <v>283</v>
      </c>
      <c r="G198" s="317"/>
      <c r="H198" s="427" t="s">
        <v>115</v>
      </c>
      <c r="I198" s="196"/>
      <c r="J198" s="370">
        <f>M198+Y198+AK198+AW198</f>
        <v>0</v>
      </c>
      <c r="K198" s="428"/>
      <c r="L198" s="428"/>
      <c r="M198" s="370">
        <f>SUM(N198:X198)</f>
        <v>0</v>
      </c>
      <c r="N198" s="371"/>
      <c r="O198" s="429">
        <f>IF(O197="","",(O$102=O197)*O$117)</f>
        <v>0</v>
      </c>
      <c r="P198" s="429" t="str">
        <f>IF(P197="","",(P$102=P197)*P$117)</f>
        <v/>
      </c>
      <c r="Q198" s="429">
        <f>IF(Q197="","",(Q$102=Q197)*Q$117)</f>
        <v>0</v>
      </c>
      <c r="R198" s="372"/>
      <c r="S198" s="372"/>
      <c r="T198" s="372"/>
      <c r="U198" s="372"/>
      <c r="V198" s="372"/>
      <c r="W198" s="372"/>
      <c r="X198" s="128"/>
      <c r="Y198" s="370">
        <f>SUM(Z198:AJ198)</f>
        <v>0</v>
      </c>
      <c r="Z198" s="371"/>
      <c r="AA198" s="429">
        <f>IF(AA197="","",(AA$102=AA197)*AA$117)</f>
        <v>0</v>
      </c>
      <c r="AB198" s="429" t="str">
        <f>IF(AB197="","",(AB$102=AB197)*AB$117)</f>
        <v/>
      </c>
      <c r="AC198" s="429">
        <f>IF(AC197="","",(AC$102=AC197)*AC$117)</f>
        <v>0</v>
      </c>
      <c r="AD198" s="372"/>
      <c r="AE198" s="372"/>
      <c r="AF198" s="372"/>
      <c r="AG198" s="372"/>
      <c r="AH198" s="372"/>
      <c r="AI198" s="372"/>
      <c r="AJ198" s="128"/>
      <c r="AK198" s="370">
        <f>SUM(AL198:AV198)</f>
        <v>0</v>
      </c>
      <c r="AL198" s="371"/>
      <c r="AM198" s="429">
        <f>IF(AM197="","",(AM$102=AM197)*AM$117)</f>
        <v>0</v>
      </c>
      <c r="AN198" s="429" t="str">
        <f>IF(AN197="","",(AN$102=AN197)*AN$117)</f>
        <v/>
      </c>
      <c r="AO198" s="429">
        <f>IF(AO197="","",(AO$102=AO197)*AO$117)</f>
        <v>0</v>
      </c>
      <c r="AP198" s="372"/>
      <c r="AQ198" s="372"/>
      <c r="AR198" s="372"/>
      <c r="AS198" s="372"/>
      <c r="AT198" s="372"/>
      <c r="AU198" s="372"/>
      <c r="AV198" s="128"/>
      <c r="AW198" s="370">
        <f>SUM(AX198:BH198)</f>
        <v>0</v>
      </c>
      <c r="AX198" s="371"/>
      <c r="AY198" s="429">
        <f>IF(AY197="","",(AY$102=AY197)*AY$117)</f>
        <v>0</v>
      </c>
      <c r="AZ198" s="429" t="str">
        <f>IF(AZ197="","",(AZ$102=AZ197)*AZ$117)</f>
        <v/>
      </c>
      <c r="BA198" s="429">
        <f>IF(BA197="","",(BA$102=BA197)*BA$117)</f>
        <v>0</v>
      </c>
      <c r="BB198" s="372"/>
      <c r="BC198" s="372"/>
      <c r="BD198" s="372"/>
      <c r="BE198" s="372"/>
      <c r="BF198" s="372"/>
      <c r="BG198" s="372"/>
      <c r="BH198" s="267"/>
    </row>
    <row r="199" spans="1:60" s="2" customFormat="1" x14ac:dyDescent="0.2">
      <c r="A199" s="649"/>
      <c r="B199" s="492" t="s">
        <v>279</v>
      </c>
      <c r="C199" s="739" t="s">
        <v>113</v>
      </c>
      <c r="D199" s="753"/>
      <c r="E199" s="316" t="s">
        <v>284</v>
      </c>
      <c r="F199" s="366" t="s">
        <v>208</v>
      </c>
      <c r="G199" s="366"/>
      <c r="H199" s="430" t="s">
        <v>70</v>
      </c>
      <c r="I199" s="431"/>
      <c r="J199" s="432"/>
      <c r="K199" s="433"/>
      <c r="L199" s="433"/>
      <c r="M199" s="432"/>
      <c r="N199" s="434"/>
      <c r="O199" s="435" t="str">
        <f>IF(AND(O$131&lt;&gt;"",O$131&lt;&gt;"geen"),O$132,"")</f>
        <v>elektriciteit</v>
      </c>
      <c r="P199" s="435" t="str">
        <f>IF(AND(P$131&lt;&gt;"",P$131&lt;&gt;"geen"),P$132,"")</f>
        <v/>
      </c>
      <c r="Q199" s="435" t="str">
        <f>IF(AND(Q$131&lt;&gt;"",Q$131&lt;&gt;"geen"),Q$132,"")</f>
        <v>elektriciteit</v>
      </c>
      <c r="R199" s="705"/>
      <c r="S199" s="705"/>
      <c r="T199" s="705"/>
      <c r="U199" s="705"/>
      <c r="V199" s="705"/>
      <c r="W199" s="705"/>
      <c r="X199" s="133"/>
      <c r="Y199" s="432"/>
      <c r="Z199" s="434"/>
      <c r="AA199" s="435" t="str">
        <f>IF(AND(AA$131&lt;&gt;"",AA$131&lt;&gt;"geen"),AA$132,"")</f>
        <v>elektriciteit</v>
      </c>
      <c r="AB199" s="435" t="str">
        <f>IF(AND(AB$131&lt;&gt;"",AB$131&lt;&gt;"geen"),AB$132,"")</f>
        <v/>
      </c>
      <c r="AC199" s="435" t="str">
        <f>IF(AND(AC$131&lt;&gt;"",AC$131&lt;&gt;"geen"),AC$132,"")</f>
        <v>elektriciteit</v>
      </c>
      <c r="AD199" s="705"/>
      <c r="AE199" s="705"/>
      <c r="AF199" s="705"/>
      <c r="AG199" s="705"/>
      <c r="AH199" s="705"/>
      <c r="AI199" s="705"/>
      <c r="AJ199" s="133"/>
      <c r="AK199" s="432"/>
      <c r="AL199" s="434"/>
      <c r="AM199" s="435" t="str">
        <f>IF(AND(AM$131&lt;&gt;"",AM$131&lt;&gt;"geen"),AM$132,"")</f>
        <v>elektriciteit</v>
      </c>
      <c r="AN199" s="435" t="str">
        <f>IF(AND(AN$131&lt;&gt;"",AN$131&lt;&gt;"geen"),AN$132,"")</f>
        <v/>
      </c>
      <c r="AO199" s="435" t="str">
        <f>IF(AND(AO$131&lt;&gt;"",AO$131&lt;&gt;"geen"),AO$132,"")</f>
        <v>elektriciteit</v>
      </c>
      <c r="AP199" s="705"/>
      <c r="AQ199" s="705"/>
      <c r="AR199" s="705"/>
      <c r="AS199" s="705"/>
      <c r="AT199" s="705"/>
      <c r="AU199" s="705"/>
      <c r="AV199" s="133"/>
      <c r="AW199" s="432"/>
      <c r="AX199" s="434"/>
      <c r="AY199" s="435" t="str">
        <f>IF(AND(AY$131&lt;&gt;"",AY$131&lt;&gt;"geen"),AY$132,"")</f>
        <v>elektriciteit</v>
      </c>
      <c r="AZ199" s="435" t="str">
        <f>IF(AND(AZ$131&lt;&gt;"",AZ$131&lt;&gt;"geen"),AZ$132,"")</f>
        <v/>
      </c>
      <c r="BA199" s="435" t="str">
        <f>IF(AND(BA$131&lt;&gt;"",BA$131&lt;&gt;"geen"),BA$132,"")</f>
        <v>elektriciteit</v>
      </c>
      <c r="BB199" s="705"/>
      <c r="BC199" s="705"/>
      <c r="BD199" s="705"/>
      <c r="BE199" s="705"/>
      <c r="BF199" s="705"/>
      <c r="BG199" s="705"/>
      <c r="BH199" s="267"/>
    </row>
    <row r="200" spans="1:60" s="2" customFormat="1" x14ac:dyDescent="0.2">
      <c r="A200" s="649"/>
      <c r="B200" s="492" t="s">
        <v>279</v>
      </c>
      <c r="C200" s="739" t="s">
        <v>113</v>
      </c>
      <c r="D200" s="753"/>
      <c r="E200" s="413"/>
      <c r="F200" s="317" t="s">
        <v>283</v>
      </c>
      <c r="G200" s="317"/>
      <c r="H200" s="427" t="s">
        <v>115</v>
      </c>
      <c r="I200" s="196"/>
      <c r="J200" s="370">
        <f>M200+Y200+AK200+AW200</f>
        <v>0</v>
      </c>
      <c r="K200" s="428"/>
      <c r="L200" s="428"/>
      <c r="M200" s="370">
        <f>SUM(N200:X200)</f>
        <v>0</v>
      </c>
      <c r="N200" s="371"/>
      <c r="O200" s="429">
        <f>IF(O199="",0,(O$132=O199)*O$142)</f>
        <v>0</v>
      </c>
      <c r="P200" s="429">
        <f>IF(P199="",0,(P$132=P199)*P$142)</f>
        <v>0</v>
      </c>
      <c r="Q200" s="429">
        <f>IF(Q199="",0,(Q$132=Q199)*Q$142)</f>
        <v>0</v>
      </c>
      <c r="R200" s="372"/>
      <c r="S200" s="372"/>
      <c r="T200" s="372"/>
      <c r="U200" s="372"/>
      <c r="V200" s="372"/>
      <c r="W200" s="372"/>
      <c r="X200" s="128"/>
      <c r="Y200" s="370">
        <f>SUM(Z200:AJ200)</f>
        <v>0</v>
      </c>
      <c r="Z200" s="371"/>
      <c r="AA200" s="429">
        <f>IF(AA199="",0,(AA$132=AA199)*AA$142)</f>
        <v>0</v>
      </c>
      <c r="AB200" s="429">
        <f>IF(AB199="",0,(AB$132=AB199)*AB$142)</f>
        <v>0</v>
      </c>
      <c r="AC200" s="429">
        <f>IF(AC199="",0,(AC$132=AC199)*AC$142)</f>
        <v>0</v>
      </c>
      <c r="AD200" s="372"/>
      <c r="AE200" s="372"/>
      <c r="AF200" s="372"/>
      <c r="AG200" s="372"/>
      <c r="AH200" s="372"/>
      <c r="AI200" s="372"/>
      <c r="AJ200" s="128"/>
      <c r="AK200" s="370">
        <f>SUM(AL200:AV200)</f>
        <v>0</v>
      </c>
      <c r="AL200" s="371"/>
      <c r="AM200" s="429">
        <f>IF(AM199="",0,(AM$132=AM199)*AM$142)</f>
        <v>0</v>
      </c>
      <c r="AN200" s="429">
        <f>IF(AN199="",0,(AN$132=AN199)*AN$142)</f>
        <v>0</v>
      </c>
      <c r="AO200" s="429">
        <f>IF(AO199="",0,(AO$132=AO199)*AO$142)</f>
        <v>0</v>
      </c>
      <c r="AP200" s="372"/>
      <c r="AQ200" s="372"/>
      <c r="AR200" s="372"/>
      <c r="AS200" s="372"/>
      <c r="AT200" s="372"/>
      <c r="AU200" s="372"/>
      <c r="AV200" s="128"/>
      <c r="AW200" s="370">
        <f>SUM(AX200:BH200)</f>
        <v>0</v>
      </c>
      <c r="AX200" s="371"/>
      <c r="AY200" s="429">
        <f>IF(AY199="",0,(AY$132=AY199)*AY$142)</f>
        <v>0</v>
      </c>
      <c r="AZ200" s="429">
        <f>IF(AZ199="",0,(AZ$132=AZ199)*AZ$142)</f>
        <v>0</v>
      </c>
      <c r="BA200" s="429">
        <f>IF(BA199="",0,(BA$132=BA199)*BA$142)</f>
        <v>0</v>
      </c>
      <c r="BB200" s="372"/>
      <c r="BC200" s="372"/>
      <c r="BD200" s="372"/>
      <c r="BE200" s="372"/>
      <c r="BF200" s="372"/>
      <c r="BG200" s="372"/>
      <c r="BH200" s="267"/>
    </row>
    <row r="201" spans="1:60" s="2" customFormat="1" x14ac:dyDescent="0.2">
      <c r="A201" s="649"/>
      <c r="B201" s="492" t="s">
        <v>279</v>
      </c>
      <c r="C201" s="739" t="s">
        <v>113</v>
      </c>
      <c r="D201" s="753"/>
      <c r="E201" s="316" t="s">
        <v>285</v>
      </c>
      <c r="F201" s="366" t="s">
        <v>208</v>
      </c>
      <c r="G201" s="366"/>
      <c r="H201" s="430" t="s">
        <v>70</v>
      </c>
      <c r="I201" s="431"/>
      <c r="J201" s="436"/>
      <c r="K201" s="433"/>
      <c r="L201" s="433"/>
      <c r="M201" s="432"/>
      <c r="N201" s="434"/>
      <c r="O201" s="435" t="str">
        <f t="shared" ref="O201:W201" si="126">elektriciteit</f>
        <v>elektriciteit</v>
      </c>
      <c r="P201" s="435" t="str">
        <f t="shared" si="126"/>
        <v>elektriciteit</v>
      </c>
      <c r="Q201" s="435" t="str">
        <f t="shared" si="126"/>
        <v>elektriciteit</v>
      </c>
      <c r="R201" s="435" t="str">
        <f t="shared" si="126"/>
        <v>elektriciteit</v>
      </c>
      <c r="S201" s="435" t="str">
        <f t="shared" si="126"/>
        <v>elektriciteit</v>
      </c>
      <c r="T201" s="435" t="str">
        <f>aardgas</f>
        <v>aardgas</v>
      </c>
      <c r="U201" s="435" t="str">
        <f t="shared" si="126"/>
        <v>elektriciteit</v>
      </c>
      <c r="V201" s="435" t="str">
        <f t="shared" si="126"/>
        <v>elektriciteit</v>
      </c>
      <c r="W201" s="435" t="str">
        <f t="shared" si="126"/>
        <v>elektriciteit</v>
      </c>
      <c r="X201" s="133"/>
      <c r="Y201" s="432"/>
      <c r="Z201" s="434"/>
      <c r="AA201" s="435" t="str">
        <f t="shared" ref="AA201:AI201" si="127">elektriciteit</f>
        <v>elektriciteit</v>
      </c>
      <c r="AB201" s="435" t="str">
        <f t="shared" si="127"/>
        <v>elektriciteit</v>
      </c>
      <c r="AC201" s="435" t="str">
        <f t="shared" si="127"/>
        <v>elektriciteit</v>
      </c>
      <c r="AD201" s="435" t="str">
        <f t="shared" si="127"/>
        <v>elektriciteit</v>
      </c>
      <c r="AE201" s="435" t="str">
        <f t="shared" si="127"/>
        <v>elektriciteit</v>
      </c>
      <c r="AF201" s="435" t="str">
        <f>aardgas</f>
        <v>aardgas</v>
      </c>
      <c r="AG201" s="435" t="str">
        <f t="shared" si="127"/>
        <v>elektriciteit</v>
      </c>
      <c r="AH201" s="435" t="str">
        <f t="shared" si="127"/>
        <v>elektriciteit</v>
      </c>
      <c r="AI201" s="435" t="str">
        <f t="shared" si="127"/>
        <v>elektriciteit</v>
      </c>
      <c r="AJ201" s="133"/>
      <c r="AK201" s="432"/>
      <c r="AL201" s="434"/>
      <c r="AM201" s="435" t="str">
        <f t="shared" ref="AM201:AU201" si="128">elektriciteit</f>
        <v>elektriciteit</v>
      </c>
      <c r="AN201" s="435" t="str">
        <f t="shared" si="128"/>
        <v>elektriciteit</v>
      </c>
      <c r="AO201" s="435" t="str">
        <f t="shared" si="128"/>
        <v>elektriciteit</v>
      </c>
      <c r="AP201" s="435" t="str">
        <f t="shared" si="128"/>
        <v>elektriciteit</v>
      </c>
      <c r="AQ201" s="435" t="str">
        <f t="shared" si="128"/>
        <v>elektriciteit</v>
      </c>
      <c r="AR201" s="435" t="str">
        <f>aardgas</f>
        <v>aardgas</v>
      </c>
      <c r="AS201" s="435" t="str">
        <f t="shared" si="128"/>
        <v>elektriciteit</v>
      </c>
      <c r="AT201" s="435" t="str">
        <f t="shared" si="128"/>
        <v>elektriciteit</v>
      </c>
      <c r="AU201" s="435" t="str">
        <f t="shared" si="128"/>
        <v>elektriciteit</v>
      </c>
      <c r="AV201" s="133"/>
      <c r="AW201" s="432"/>
      <c r="AX201" s="434"/>
      <c r="AY201" s="435" t="str">
        <f t="shared" ref="AY201:BG201" si="129">elektriciteit</f>
        <v>elektriciteit</v>
      </c>
      <c r="AZ201" s="435" t="str">
        <f t="shared" si="129"/>
        <v>elektriciteit</v>
      </c>
      <c r="BA201" s="435" t="str">
        <f t="shared" si="129"/>
        <v>elektriciteit</v>
      </c>
      <c r="BB201" s="435" t="str">
        <f t="shared" si="129"/>
        <v>elektriciteit</v>
      </c>
      <c r="BC201" s="435" t="str">
        <f t="shared" si="129"/>
        <v>elektriciteit</v>
      </c>
      <c r="BD201" s="435" t="str">
        <f>aardgas</f>
        <v>aardgas</v>
      </c>
      <c r="BE201" s="435" t="str">
        <f t="shared" si="129"/>
        <v>elektriciteit</v>
      </c>
      <c r="BF201" s="435" t="str">
        <f t="shared" si="129"/>
        <v>elektriciteit</v>
      </c>
      <c r="BG201" s="435" t="str">
        <f t="shared" si="129"/>
        <v>elektriciteit</v>
      </c>
      <c r="BH201" s="264"/>
    </row>
    <row r="202" spans="1:60" s="2" customFormat="1" x14ac:dyDescent="0.2">
      <c r="A202" s="649"/>
      <c r="B202" s="492" t="s">
        <v>279</v>
      </c>
      <c r="C202" s="739" t="s">
        <v>113</v>
      </c>
      <c r="D202" s="753"/>
      <c r="E202" s="317" t="s">
        <v>286</v>
      </c>
      <c r="F202" s="317" t="s">
        <v>283</v>
      </c>
      <c r="G202" s="317"/>
      <c r="H202" s="427" t="s">
        <v>115</v>
      </c>
      <c r="I202" s="196"/>
      <c r="J202" s="370">
        <f>M202+Y202+AK202+AW202</f>
        <v>0</v>
      </c>
      <c r="K202" s="428"/>
      <c r="L202" s="428"/>
      <c r="M202" s="370">
        <f>SUM(N202:X202)</f>
        <v>0</v>
      </c>
      <c r="N202" s="371"/>
      <c r="O202" s="429">
        <f>IF(O201=elektriciteit,O$159-O$177,O$75*bibliotheek!$K$223)</f>
        <v>0</v>
      </c>
      <c r="P202" s="429">
        <f>IF(P201=elektriciteit,P$159-P$177,P$75*bibliotheek!$K$223)</f>
        <v>0</v>
      </c>
      <c r="Q202" s="429">
        <f>IF(Q201=elektriciteit,Q$159-Q$177,Q$75*bibliotheek!$K$223)</f>
        <v>0</v>
      </c>
      <c r="R202" s="429">
        <f>IF(R201=elektriciteit,R$159-R$177,R$75*bibliotheek!$K$223)</f>
        <v>0</v>
      </c>
      <c r="S202" s="429">
        <f>IF(S201=elektriciteit,S$159-S$177,S$75*bibliotheek!$K$223)</f>
        <v>0</v>
      </c>
      <c r="T202" s="429">
        <f>IF(T201=elektriciteit,T$159-T$177,T$75*bibliotheek!$K$223)</f>
        <v>0</v>
      </c>
      <c r="U202" s="429">
        <f>IF(U201=elektriciteit,U$159-U$177,U$75*bibliotheek!$K$223)</f>
        <v>0</v>
      </c>
      <c r="V202" s="429">
        <f>IF(V201=elektriciteit,V$159-V$177,V$75*bibliotheek!$K$223)</f>
        <v>0</v>
      </c>
      <c r="W202" s="429">
        <f>IF(W201=elektriciteit,W$159-W$177,W$75*bibliotheek!$K$223)</f>
        <v>0</v>
      </c>
      <c r="X202" s="128"/>
      <c r="Y202" s="370">
        <f>SUM(Z202:AJ202)</f>
        <v>0</v>
      </c>
      <c r="Z202" s="371"/>
      <c r="AA202" s="429">
        <f>IF(AA201=elektriciteit,AA$159-AA$177,AA$75*bibliotheek!$K$223)</f>
        <v>0</v>
      </c>
      <c r="AB202" s="429">
        <f>IF(AB201=elektriciteit,AB$159-AB$177,AB$75*bibliotheek!$K$223)</f>
        <v>0</v>
      </c>
      <c r="AC202" s="429">
        <f>IF(AC201=elektriciteit,AC$159-AC$177,AC$75*bibliotheek!$K$223)</f>
        <v>0</v>
      </c>
      <c r="AD202" s="429">
        <f>IF(AD201=elektriciteit,AD$159-AD$177,AD$75*bibliotheek!$K$223)</f>
        <v>0</v>
      </c>
      <c r="AE202" s="429">
        <f>IF(AE201=elektriciteit,AE$159-AE$177,AE$75*bibliotheek!$K$223)</f>
        <v>0</v>
      </c>
      <c r="AF202" s="429">
        <f>IF(AF201=elektriciteit,AF$159-AF$177,AF$75*bibliotheek!$K$223)</f>
        <v>0</v>
      </c>
      <c r="AG202" s="429">
        <f>IF(AG201=elektriciteit,AG$159-AG$177,AG$75*bibliotheek!$K$223)</f>
        <v>0</v>
      </c>
      <c r="AH202" s="429">
        <f>IF(AH201=elektriciteit,AH$159-AH$177,AH$75*bibliotheek!$K$223)</f>
        <v>0</v>
      </c>
      <c r="AI202" s="429">
        <f>IF(AI201=elektriciteit,AI$159-AI$177,AI$75*bibliotheek!$K$223)</f>
        <v>0</v>
      </c>
      <c r="AJ202" s="128"/>
      <c r="AK202" s="370">
        <f>SUM(AL202:AV202)</f>
        <v>0</v>
      </c>
      <c r="AL202" s="371"/>
      <c r="AM202" s="429">
        <f>IF(AM201=elektriciteit,AM$159-AM$177,AM$75*bibliotheek!$K$223)</f>
        <v>0</v>
      </c>
      <c r="AN202" s="429">
        <f>IF(AN201=elektriciteit,AN$159-AN$177,AN$75*bibliotheek!$K$223)</f>
        <v>0</v>
      </c>
      <c r="AO202" s="429">
        <f>IF(AO201=elektriciteit,AO$159-AO$177,AO$75*bibliotheek!$K$223)</f>
        <v>0</v>
      </c>
      <c r="AP202" s="429">
        <f>IF(AP201=elektriciteit,AP$159-AP$177,AP$75*bibliotheek!$K$223)</f>
        <v>0</v>
      </c>
      <c r="AQ202" s="429">
        <f>IF(AQ201=elektriciteit,AQ$159-AQ$177,AQ$75*bibliotheek!$K$223)</f>
        <v>0</v>
      </c>
      <c r="AR202" s="429">
        <f>IF(AR201=elektriciteit,AR$159-AR$177,AR$75*bibliotheek!$K$223)</f>
        <v>0</v>
      </c>
      <c r="AS202" s="429">
        <f>IF(AS201=elektriciteit,AS$159-AS$177,AS$75*bibliotheek!$K$223)</f>
        <v>0</v>
      </c>
      <c r="AT202" s="429">
        <f>IF(AT201=elektriciteit,AT$159-AT$177,AT$75*bibliotheek!$K$223)</f>
        <v>0</v>
      </c>
      <c r="AU202" s="429">
        <f>IF(AU201=elektriciteit,AU$159-AU$177,AU$75*bibliotheek!$K$223)</f>
        <v>0</v>
      </c>
      <c r="AV202" s="128"/>
      <c r="AW202" s="370">
        <f>SUM(AX202:BH202)</f>
        <v>0</v>
      </c>
      <c r="AX202" s="371"/>
      <c r="AY202" s="429">
        <f>IF(AY201=elektriciteit,AY$159-AY$177,AY$75*bibliotheek!$K$223)</f>
        <v>0</v>
      </c>
      <c r="AZ202" s="429">
        <f>IF(AZ201=elektriciteit,AZ$159-AZ$177,AZ$75*bibliotheek!$K$223)</f>
        <v>0</v>
      </c>
      <c r="BA202" s="429">
        <f>IF(BA201=elektriciteit,BA$159-BA$177,BA$75*bibliotheek!$K$223)</f>
        <v>0</v>
      </c>
      <c r="BB202" s="429">
        <f>IF(BB201=elektriciteit,BB$159-BB$177,BB$75*bibliotheek!$K$223)</f>
        <v>0</v>
      </c>
      <c r="BC202" s="429">
        <f>IF(BC201=elektriciteit,BC$159-BC$177,BC$75*bibliotheek!$K$223)</f>
        <v>0</v>
      </c>
      <c r="BD202" s="429">
        <f>IF(BD201=elektriciteit,BD$159-BD$177,BD$75*bibliotheek!$K$223)</f>
        <v>0</v>
      </c>
      <c r="BE202" s="429">
        <f>IF(BE201=elektriciteit,BE$159-BE$177,BE$75*bibliotheek!$K$223)</f>
        <v>0</v>
      </c>
      <c r="BF202" s="429">
        <f>IF(BF201=elektriciteit,BF$159-BF$177,BF$75*bibliotheek!$K$223)</f>
        <v>0</v>
      </c>
      <c r="BG202" s="429">
        <f>IF(BG201=elektriciteit,BG$159-BG$177,BG$75*bibliotheek!$K$223)</f>
        <v>0</v>
      </c>
      <c r="BH202" s="267"/>
    </row>
    <row r="203" spans="1:60" ht="18.75" x14ac:dyDescent="0.2">
      <c r="A203" s="648"/>
      <c r="B203" s="492" t="s">
        <v>279</v>
      </c>
      <c r="C203" s="739" t="s">
        <v>104</v>
      </c>
      <c r="D203" s="747"/>
      <c r="E203" s="231" t="s">
        <v>287</v>
      </c>
      <c r="F203" s="231"/>
      <c r="G203" s="231"/>
      <c r="H203" s="89"/>
      <c r="I203" s="232"/>
      <c r="J203" s="285"/>
      <c r="K203" s="285"/>
      <c r="L203" s="285"/>
      <c r="M203" s="285"/>
      <c r="N203" s="285"/>
      <c r="O203" s="285"/>
      <c r="P203" s="285"/>
      <c r="Q203" s="285"/>
      <c r="R203" s="285"/>
      <c r="S203" s="285"/>
      <c r="T203" s="285"/>
      <c r="U203" s="285"/>
      <c r="V203" s="285"/>
      <c r="W203" s="285"/>
      <c r="X203" s="285"/>
      <c r="Y203" s="285"/>
      <c r="Z203" s="285"/>
      <c r="AA203" s="285"/>
      <c r="AB203" s="285"/>
      <c r="AC203" s="285"/>
      <c r="AD203" s="285"/>
      <c r="AE203" s="285"/>
      <c r="AF203" s="285"/>
      <c r="AG203" s="285"/>
      <c r="AH203" s="285"/>
      <c r="AI203" s="285"/>
      <c r="AJ203" s="285"/>
      <c r="AK203" s="285"/>
      <c r="AL203" s="285"/>
      <c r="AM203" s="285"/>
      <c r="AN203" s="285"/>
      <c r="AO203" s="285"/>
      <c r="AP203" s="285"/>
      <c r="AQ203" s="285"/>
      <c r="AR203" s="285"/>
      <c r="AS203" s="285"/>
      <c r="AT203" s="285"/>
      <c r="AU203" s="285"/>
      <c r="AV203" s="285"/>
      <c r="AW203" s="285"/>
      <c r="AX203" s="285"/>
      <c r="AY203" s="285"/>
      <c r="AZ203" s="285"/>
      <c r="BA203" s="285"/>
      <c r="BB203" s="285"/>
      <c r="BC203" s="285"/>
      <c r="BD203" s="285"/>
      <c r="BE203" s="285"/>
      <c r="BF203" s="285"/>
      <c r="BG203" s="285"/>
      <c r="BH203" s="38"/>
    </row>
    <row r="204" spans="1:60" s="38" customFormat="1" x14ac:dyDescent="0.2">
      <c r="A204" s="648"/>
      <c r="B204" s="492" t="s">
        <v>279</v>
      </c>
      <c r="C204" s="656" t="s">
        <v>113</v>
      </c>
      <c r="D204" s="747"/>
      <c r="E204" s="182" t="s">
        <v>288</v>
      </c>
      <c r="F204" s="182" t="s">
        <v>283</v>
      </c>
      <c r="G204" s="182"/>
      <c r="H204" s="281" t="s">
        <v>115</v>
      </c>
      <c r="I204" s="235"/>
      <c r="J204" s="282">
        <f>M204+Y204+AK204+AW204</f>
        <v>0</v>
      </c>
      <c r="K204" s="283"/>
      <c r="L204" s="283"/>
      <c r="M204" s="282">
        <f>SUM(N204:X204)</f>
        <v>0</v>
      </c>
      <c r="N204" s="99"/>
      <c r="O204" s="180">
        <f>O198+O200+O202</f>
        <v>0</v>
      </c>
      <c r="P204" s="180">
        <f t="shared" ref="P204:W204" si="130">P202+IF(P198="",0,P198)+IF(P200="",0,P200)</f>
        <v>0</v>
      </c>
      <c r="Q204" s="180">
        <f t="shared" si="130"/>
        <v>0</v>
      </c>
      <c r="R204" s="180">
        <f t="shared" si="130"/>
        <v>0</v>
      </c>
      <c r="S204" s="180">
        <f t="shared" si="130"/>
        <v>0</v>
      </c>
      <c r="T204" s="180">
        <f t="shared" si="130"/>
        <v>0</v>
      </c>
      <c r="U204" s="180">
        <f t="shared" si="130"/>
        <v>0</v>
      </c>
      <c r="V204" s="180">
        <f t="shared" si="130"/>
        <v>0</v>
      </c>
      <c r="W204" s="180">
        <f t="shared" si="130"/>
        <v>0</v>
      </c>
      <c r="X204" s="284"/>
      <c r="Y204" s="282">
        <f>SUM(Z204:AJ204)</f>
        <v>0</v>
      </c>
      <c r="Z204" s="99"/>
      <c r="AA204" s="180">
        <f>AA198+AA200+AA202</f>
        <v>0</v>
      </c>
      <c r="AB204" s="180">
        <f t="shared" ref="AB204:AI204" si="131">AB202+IF(AB198="",0,AB198)+IF(AB200="",0,AB200)</f>
        <v>0</v>
      </c>
      <c r="AC204" s="180">
        <f t="shared" si="131"/>
        <v>0</v>
      </c>
      <c r="AD204" s="180">
        <f t="shared" si="131"/>
        <v>0</v>
      </c>
      <c r="AE204" s="180">
        <f t="shared" si="131"/>
        <v>0</v>
      </c>
      <c r="AF204" s="180">
        <f t="shared" si="131"/>
        <v>0</v>
      </c>
      <c r="AG204" s="180">
        <f t="shared" si="131"/>
        <v>0</v>
      </c>
      <c r="AH204" s="180">
        <f t="shared" si="131"/>
        <v>0</v>
      </c>
      <c r="AI204" s="180">
        <f t="shared" si="131"/>
        <v>0</v>
      </c>
      <c r="AJ204" s="284"/>
      <c r="AK204" s="282">
        <f>SUM(AL204:AV204)</f>
        <v>0</v>
      </c>
      <c r="AL204" s="99"/>
      <c r="AM204" s="180">
        <f>AM198+AM200+AM202</f>
        <v>0</v>
      </c>
      <c r="AN204" s="180">
        <f t="shared" ref="AN204:AU204" si="132">AN202+IF(AN198="",0,AN198)+IF(AN200="",0,AN200)</f>
        <v>0</v>
      </c>
      <c r="AO204" s="180">
        <f t="shared" si="132"/>
        <v>0</v>
      </c>
      <c r="AP204" s="180">
        <f t="shared" si="132"/>
        <v>0</v>
      </c>
      <c r="AQ204" s="180">
        <f t="shared" si="132"/>
        <v>0</v>
      </c>
      <c r="AR204" s="180">
        <f t="shared" si="132"/>
        <v>0</v>
      </c>
      <c r="AS204" s="180">
        <f t="shared" si="132"/>
        <v>0</v>
      </c>
      <c r="AT204" s="180">
        <f t="shared" si="132"/>
        <v>0</v>
      </c>
      <c r="AU204" s="180">
        <f t="shared" si="132"/>
        <v>0</v>
      </c>
      <c r="AV204" s="284"/>
      <c r="AW204" s="282">
        <f>SUM(AX204:BH204)</f>
        <v>0</v>
      </c>
      <c r="AX204" s="99"/>
      <c r="AY204" s="180">
        <f>AY198+AY200+AY202</f>
        <v>0</v>
      </c>
      <c r="AZ204" s="180">
        <f t="shared" ref="AZ204:BG204" si="133">AZ202+IF(AZ198="",0,AZ198)+IF(AZ200="",0,AZ200)</f>
        <v>0</v>
      </c>
      <c r="BA204" s="180">
        <f t="shared" si="133"/>
        <v>0</v>
      </c>
      <c r="BB204" s="180">
        <f t="shared" si="133"/>
        <v>0</v>
      </c>
      <c r="BC204" s="180">
        <f t="shared" si="133"/>
        <v>0</v>
      </c>
      <c r="BD204" s="180">
        <f t="shared" si="133"/>
        <v>0</v>
      </c>
      <c r="BE204" s="180">
        <f t="shared" si="133"/>
        <v>0</v>
      </c>
      <c r="BF204" s="180">
        <f t="shared" si="133"/>
        <v>0</v>
      </c>
      <c r="BG204" s="180">
        <f t="shared" si="133"/>
        <v>0</v>
      </c>
      <c r="BH204" s="269"/>
    </row>
    <row r="205" spans="1:60" x14ac:dyDescent="0.2">
      <c r="A205" s="648"/>
      <c r="B205" s="492" t="s">
        <v>279</v>
      </c>
      <c r="C205" s="739" t="s">
        <v>104</v>
      </c>
      <c r="D205" s="747"/>
      <c r="E205" s="90"/>
      <c r="F205" s="90"/>
      <c r="G205" s="90"/>
      <c r="H205" s="93"/>
      <c r="I205" s="138"/>
      <c r="J205" s="128"/>
      <c r="K205" s="90"/>
      <c r="L205" s="90"/>
      <c r="M205" s="128"/>
      <c r="N205" s="90"/>
      <c r="O205" s="96"/>
      <c r="P205" s="96"/>
      <c r="Q205" s="93"/>
      <c r="R205" s="93"/>
      <c r="S205" s="93"/>
      <c r="T205" s="93"/>
      <c r="U205" s="93"/>
      <c r="V205" s="93"/>
      <c r="W205" s="93"/>
      <c r="X205" s="93"/>
      <c r="Y205" s="128"/>
      <c r="Z205" s="90"/>
      <c r="AA205" s="96"/>
      <c r="AB205" s="96"/>
      <c r="AC205" s="93"/>
      <c r="AD205" s="93"/>
      <c r="AE205" s="93"/>
      <c r="AF205" s="93"/>
      <c r="AG205" s="93"/>
      <c r="AH205" s="93"/>
      <c r="AI205" s="93"/>
      <c r="AJ205" s="93"/>
      <c r="AK205" s="128"/>
      <c r="AL205" s="90"/>
      <c r="AM205" s="96"/>
      <c r="AN205" s="96"/>
      <c r="AO205" s="93"/>
      <c r="AP205" s="93"/>
      <c r="AQ205" s="93"/>
      <c r="AR205" s="93"/>
      <c r="AS205" s="93"/>
      <c r="AT205" s="93"/>
      <c r="AU205" s="93"/>
      <c r="AV205" s="93"/>
      <c r="AW205" s="128"/>
      <c r="AX205" s="90"/>
      <c r="AY205" s="93"/>
      <c r="AZ205" s="93"/>
      <c r="BA205" s="93"/>
      <c r="BB205" s="93"/>
      <c r="BC205" s="93"/>
      <c r="BD205" s="93"/>
      <c r="BE205" s="93"/>
      <c r="BF205" s="93"/>
      <c r="BG205" s="93"/>
      <c r="BH205" s="1"/>
    </row>
    <row r="206" spans="1:60" x14ac:dyDescent="0.2">
      <c r="A206" s="648"/>
      <c r="B206" s="492" t="s">
        <v>289</v>
      </c>
      <c r="C206" s="739" t="s">
        <v>104</v>
      </c>
      <c r="D206" s="747"/>
      <c r="E206" s="90"/>
      <c r="F206" s="90"/>
      <c r="G206" s="90"/>
      <c r="H206" s="96"/>
      <c r="I206" s="90"/>
      <c r="J206" s="93"/>
      <c r="K206" s="90"/>
      <c r="L206" s="90"/>
      <c r="M206" s="93"/>
      <c r="N206" s="90"/>
      <c r="O206" s="93"/>
      <c r="P206" s="93"/>
      <c r="Q206" s="93"/>
      <c r="R206" s="93"/>
      <c r="S206" s="93"/>
      <c r="T206" s="93"/>
      <c r="U206" s="93"/>
      <c r="V206" s="93"/>
      <c r="W206" s="93"/>
      <c r="X206" s="93"/>
      <c r="Y206" s="93"/>
      <c r="Z206" s="90"/>
      <c r="AA206" s="93"/>
      <c r="AB206" s="93"/>
      <c r="AC206" s="93"/>
      <c r="AD206" s="93"/>
      <c r="AE206" s="93"/>
      <c r="AF206" s="93"/>
      <c r="AG206" s="93"/>
      <c r="AH206" s="93"/>
      <c r="AI206" s="93"/>
      <c r="AJ206" s="93"/>
      <c r="AK206" s="93"/>
      <c r="AL206" s="90"/>
      <c r="AM206" s="93"/>
      <c r="AN206" s="93"/>
      <c r="AO206" s="93"/>
      <c r="AP206" s="93"/>
      <c r="AQ206" s="93"/>
      <c r="AR206" s="93"/>
      <c r="AS206" s="93"/>
      <c r="AT206" s="93"/>
      <c r="AU206" s="93"/>
      <c r="AV206" s="93"/>
      <c r="AW206" s="93"/>
      <c r="AX206" s="90"/>
      <c r="AY206" s="93"/>
      <c r="AZ206" s="93"/>
      <c r="BA206" s="93"/>
      <c r="BB206" s="93"/>
      <c r="BC206" s="93"/>
      <c r="BD206" s="93"/>
      <c r="BE206" s="93"/>
      <c r="BF206" s="93"/>
      <c r="BG206" s="93"/>
      <c r="BH206" s="1"/>
    </row>
    <row r="207" spans="1:60" ht="21" x14ac:dyDescent="0.2">
      <c r="A207" s="648"/>
      <c r="B207" s="492" t="s">
        <v>289</v>
      </c>
      <c r="C207" s="739" t="s">
        <v>104</v>
      </c>
      <c r="D207" s="752"/>
      <c r="E207" s="240" t="s">
        <v>290</v>
      </c>
      <c r="F207" s="240"/>
      <c r="G207" s="240"/>
      <c r="H207" s="240"/>
      <c r="I207" s="88"/>
      <c r="J207" s="216" t="str">
        <f>J$10</f>
        <v>totaal</v>
      </c>
      <c r="K207" s="142"/>
      <c r="L207" s="142"/>
      <c r="M207" s="216" t="str">
        <f>M$10</f>
        <v>totaal</v>
      </c>
      <c r="N207" s="222"/>
      <c r="O207" s="217" t="str">
        <f>O$10</f>
        <v>verwarming</v>
      </c>
      <c r="P207" s="217" t="str">
        <f>P$10</f>
        <v>koeling</v>
      </c>
      <c r="Q207" s="217" t="str">
        <f>Q$10</f>
        <v>tapwater</v>
      </c>
      <c r="R207" s="217"/>
      <c r="S207" s="217"/>
      <c r="T207" s="217"/>
      <c r="U207" s="217"/>
      <c r="V207" s="217"/>
      <c r="W207" s="488" t="str">
        <f>W$10</f>
        <v>zonnepanelen</v>
      </c>
      <c r="X207" s="214"/>
      <c r="Y207" s="216" t="str">
        <f>Y$10</f>
        <v>totaal</v>
      </c>
      <c r="Z207" s="222"/>
      <c r="AA207" s="217" t="str">
        <f>AA$10</f>
        <v>verwarming</v>
      </c>
      <c r="AB207" s="217" t="str">
        <f>AB$10</f>
        <v>koeling</v>
      </c>
      <c r="AC207" s="217" t="str">
        <f>AC$10</f>
        <v>tapwater</v>
      </c>
      <c r="AD207" s="217"/>
      <c r="AE207" s="217"/>
      <c r="AF207" s="217"/>
      <c r="AG207" s="217"/>
      <c r="AH207" s="217"/>
      <c r="AI207" s="488" t="str">
        <f>AI$10</f>
        <v>zonnepanelen</v>
      </c>
      <c r="AJ207" s="214"/>
      <c r="AK207" s="216" t="str">
        <f>AK$10</f>
        <v>totaal</v>
      </c>
      <c r="AL207" s="222"/>
      <c r="AM207" s="217" t="str">
        <f>AM$10</f>
        <v>verwarming</v>
      </c>
      <c r="AN207" s="217" t="str">
        <f>AN$10</f>
        <v>koeling</v>
      </c>
      <c r="AO207" s="217" t="str">
        <f>AO$10</f>
        <v>tapwater</v>
      </c>
      <c r="AP207" s="217"/>
      <c r="AQ207" s="217"/>
      <c r="AR207" s="217"/>
      <c r="AS207" s="217"/>
      <c r="AT207" s="217"/>
      <c r="AU207" s="488" t="str">
        <f>AU$10</f>
        <v>zonnepanelen</v>
      </c>
      <c r="AV207" s="214"/>
      <c r="AW207" s="216" t="str">
        <f>AW$10</f>
        <v>totaal</v>
      </c>
      <c r="AX207" s="222"/>
      <c r="AY207" s="217" t="str">
        <f>AY$10</f>
        <v>verwarming</v>
      </c>
      <c r="AZ207" s="217" t="str">
        <f>AZ$10</f>
        <v>koeling</v>
      </c>
      <c r="BA207" s="217" t="str">
        <f>BA$10</f>
        <v>tapwater</v>
      </c>
      <c r="BB207" s="217"/>
      <c r="BC207" s="217"/>
      <c r="BD207" s="217"/>
      <c r="BE207" s="217"/>
      <c r="BF207" s="217"/>
      <c r="BG207" s="488" t="str">
        <f>BG$10</f>
        <v>zonnepanelen</v>
      </c>
      <c r="BH207" s="1"/>
    </row>
    <row r="208" spans="1:60" ht="18.75" x14ac:dyDescent="0.2">
      <c r="A208" s="648"/>
      <c r="B208" s="492" t="s">
        <v>289</v>
      </c>
      <c r="C208" s="739" t="s">
        <v>104</v>
      </c>
      <c r="D208" s="747"/>
      <c r="E208" s="231" t="s">
        <v>291</v>
      </c>
      <c r="F208" s="231"/>
      <c r="G208" s="231"/>
      <c r="H208" s="89"/>
      <c r="I208" s="232"/>
      <c r="J208" s="231"/>
      <c r="K208" s="232"/>
      <c r="L208" s="232"/>
      <c r="M208" s="231"/>
      <c r="N208" s="232"/>
      <c r="O208" s="232"/>
      <c r="P208" s="232"/>
      <c r="Q208" s="232"/>
      <c r="R208" s="232"/>
      <c r="S208" s="232"/>
      <c r="T208" s="232"/>
      <c r="U208" s="232"/>
      <c r="V208" s="232"/>
      <c r="W208" s="232"/>
      <c r="X208" s="232"/>
      <c r="Y208" s="232"/>
      <c r="Z208" s="232"/>
      <c r="AA208" s="285"/>
      <c r="AB208" s="285"/>
      <c r="AC208" s="285"/>
      <c r="AD208" s="232"/>
      <c r="AE208" s="232"/>
      <c r="AF208" s="232"/>
      <c r="AG208" s="232"/>
      <c r="AH208" s="232"/>
      <c r="AI208" s="232"/>
      <c r="AJ208" s="232"/>
      <c r="AK208" s="232"/>
      <c r="AL208" s="232"/>
      <c r="AM208" s="232"/>
      <c r="AN208" s="232"/>
      <c r="AO208" s="232"/>
      <c r="AP208" s="232"/>
      <c r="AQ208" s="232"/>
      <c r="AR208" s="232"/>
      <c r="AS208" s="232"/>
      <c r="AT208" s="232"/>
      <c r="AU208" s="232"/>
      <c r="AV208" s="232"/>
      <c r="AW208" s="232"/>
      <c r="AX208" s="232"/>
      <c r="AY208" s="232"/>
      <c r="AZ208" s="232"/>
      <c r="BA208" s="232"/>
      <c r="BB208" s="232"/>
      <c r="BC208" s="232"/>
      <c r="BD208" s="232"/>
      <c r="BE208" s="232"/>
      <c r="BF208" s="232"/>
      <c r="BG208" s="232"/>
      <c r="BH208" s="38"/>
    </row>
    <row r="209" spans="1:60" x14ac:dyDescent="0.2">
      <c r="A209" s="648"/>
      <c r="B209" s="492" t="s">
        <v>289</v>
      </c>
      <c r="C209" s="656" t="s">
        <v>113</v>
      </c>
      <c r="D209" s="750" t="s">
        <v>50</v>
      </c>
      <c r="E209" s="220" t="s">
        <v>292</v>
      </c>
      <c r="F209" s="220"/>
      <c r="G209" s="220"/>
      <c r="H209" s="242" t="s">
        <v>177</v>
      </c>
      <c r="I209" s="129"/>
      <c r="J209" s="243">
        <f t="shared" ref="J209:J215" si="134">M209+Y209+AK209+AW209</f>
        <v>0</v>
      </c>
      <c r="K209" s="236"/>
      <c r="L209" s="236"/>
      <c r="M209" s="243">
        <f t="shared" ref="M209:M215" si="135">SUM(N209:X209)</f>
        <v>0</v>
      </c>
      <c r="N209" s="129"/>
      <c r="O209" s="207">
        <f>IF(OR(O$108=0,O$108=""),0,HLOOKUP(IF(O$80="",referentie_verwarming,O$80),toestellen_RV,ROWS(bibliotheek!$E$79:$E$83),FALSE)*O$107*(1-1/O$108)*f_P_renheat)</f>
        <v>0</v>
      </c>
      <c r="P209" s="207">
        <f>IF(OR(P$108=0,P$108=""),0,HLOOKUP(IF(P$80="",referentie_koeling,P$80),toestellen_KOEL,ROWS(bibliotheek!$E$170:$E$173),FALSE)*P$107*(1-1/P$108)*f_P_rencold)</f>
        <v>0</v>
      </c>
      <c r="Q209" s="207">
        <f>IF(OR(Q$108=0,Q$108=""),0,HLOOKUP(IF(Q$80="",referentie_warmtapwater,Q$80),toestellen_TAP,ROWS(bibliotheek!$E$136:$E$140),FALSE)*Q$107*(1-1/Q$108)*f_P_renheat)</f>
        <v>0</v>
      </c>
      <c r="R209" s="335"/>
      <c r="S209" s="335"/>
      <c r="T209" s="335"/>
      <c r="U209" s="335"/>
      <c r="V209" s="335"/>
      <c r="W209" s="335"/>
      <c r="X209" s="128"/>
      <c r="Y209" s="243">
        <f t="shared" ref="Y209:Y215" si="136">SUM(Z209:AJ209)</f>
        <v>0</v>
      </c>
      <c r="Z209" s="129"/>
      <c r="AA209" s="207">
        <f>IF(OR(AA$108=0,AA$108=""),0,HLOOKUP(IF(AA$80="",referentie_verwarming,AA$80),toestellen_RV,ROWS(bibliotheek!$E$79:$E$83),FALSE)*AA$107*(1-1/AA$108)*f_P_renheat)</f>
        <v>0</v>
      </c>
      <c r="AB209" s="207">
        <f>IF(OR(AB$108=0,AB$108=""),0,HLOOKUP(IF(AB$80="",referentie_koeling,AB$80),toestellen_KOEL,ROWS(bibliotheek!$E$170:$E$173),FALSE)*AB$107*(1-1/AB$108)*f_P_rencold)</f>
        <v>0</v>
      </c>
      <c r="AC209" s="207">
        <f>IF(OR(AC$108=0,AC$108=""),0,HLOOKUP(IF(AC$80="",referentie_warmtapwater,AC$80),toestellen_TAP,ROWS(bibliotheek!$E$136:$E$140),FALSE)*AC$107*(1-1/AC$108)*f_P_renheat)</f>
        <v>0</v>
      </c>
      <c r="AD209" s="335"/>
      <c r="AE209" s="335"/>
      <c r="AF209" s="335"/>
      <c r="AG209" s="335"/>
      <c r="AH209" s="335"/>
      <c r="AI209" s="335"/>
      <c r="AJ209" s="128"/>
      <c r="AK209" s="243">
        <f t="shared" ref="AK209:AK215" si="137">SUM(AL209:AV209)</f>
        <v>0</v>
      </c>
      <c r="AL209" s="129"/>
      <c r="AM209" s="207">
        <f>IF(OR(AM$108=0,AM$108=""),0,HLOOKUP(IF(AM$80="",referentie_verwarming,AM$80),toestellen_RV,ROWS(bibliotheek!$E$79:$E$83),FALSE)*AM$107*(1-1/AM$108)*f_P_renheat)</f>
        <v>0</v>
      </c>
      <c r="AN209" s="207">
        <f>IF(OR(AN$108=0,AN$108=""),0,HLOOKUP(IF(AN$80="",referentie_koeling,AN$80),toestellen_KOEL,ROWS(bibliotheek!$E$170:$E$173),FALSE)*AN$107*(1-1/AN$108)*f_P_rencold)</f>
        <v>0</v>
      </c>
      <c r="AO209" s="207">
        <f>IF(OR(AO$108=0,AO$108=""),0,HLOOKUP(IF(AO$80="",referentie_warmtapwater,AO$80),toestellen_TAP,ROWS(bibliotheek!$E$136:$E$140),FALSE)*AO$107*(1-1/AO$108)*f_P_renheat)</f>
        <v>0</v>
      </c>
      <c r="AP209" s="335"/>
      <c r="AQ209" s="335"/>
      <c r="AR209" s="335"/>
      <c r="AS209" s="335"/>
      <c r="AT209" s="335"/>
      <c r="AU209" s="335"/>
      <c r="AV209" s="128"/>
      <c r="AW209" s="243">
        <f t="shared" ref="AW209:AW215" si="138">SUM(AX209:BH209)</f>
        <v>0</v>
      </c>
      <c r="AX209" s="129"/>
      <c r="AY209" s="207">
        <f>IF(OR(AY$108=0,AY$108=""),0,HLOOKUP(IF(AY$80="",referentie_verwarming,AY$80),toestellen_RV,ROWS(bibliotheek!$E$79:$E$83),FALSE)*AY$107*(1-1/AY$108)*f_P_renheat)</f>
        <v>0</v>
      </c>
      <c r="AZ209" s="207">
        <f>IF(OR(AZ$108=0,AZ$108=""),0,HLOOKUP(IF(AZ$80="",referentie_koeling,AZ$80),toestellen_KOEL,ROWS(bibliotheek!$E$170:$E$173),FALSE)*AZ$107*(1-1/AZ$108)*f_P_rencold)</f>
        <v>0</v>
      </c>
      <c r="BA209" s="207">
        <f>IF(OR(BA$108=0,BA$108=""),0,HLOOKUP(IF(BA$80="",referentie_warmtapwater,BA$80),toestellen_TAP,ROWS(bibliotheek!$E$136:$E$140),FALSE)*BA$107*(1-1/BA$108)*f_P_renheat)</f>
        <v>0</v>
      </c>
      <c r="BB209" s="335"/>
      <c r="BC209" s="335"/>
      <c r="BD209" s="335"/>
      <c r="BE209" s="335"/>
      <c r="BF209" s="335"/>
      <c r="BG209" s="335"/>
      <c r="BH209" s="255"/>
    </row>
    <row r="210" spans="1:60" x14ac:dyDescent="0.2">
      <c r="A210" s="648"/>
      <c r="B210" s="492" t="s">
        <v>289</v>
      </c>
      <c r="C210" s="656" t="s">
        <v>113</v>
      </c>
      <c r="D210" s="750" t="s">
        <v>50</v>
      </c>
      <c r="E210" s="220" t="s">
        <v>293</v>
      </c>
      <c r="F210" s="220"/>
      <c r="G210" s="220"/>
      <c r="H210" s="242" t="s">
        <v>177</v>
      </c>
      <c r="I210" s="129"/>
      <c r="J210" s="243">
        <f t="shared" si="134"/>
        <v>0</v>
      </c>
      <c r="K210" s="236"/>
      <c r="L210" s="236"/>
      <c r="M210" s="243">
        <f t="shared" si="135"/>
        <v>0</v>
      </c>
      <c r="N210" s="129"/>
      <c r="O210" s="335"/>
      <c r="P210" s="207">
        <f>IF(OR(P$107=0,P$108&lt;=8),0,P$107*f_P_rencold*INDEX(bibliotheek!$E$175:$AC$175,MATCH(P$80,toestellen_KOEL_kopregel,0)))</f>
        <v>0</v>
      </c>
      <c r="Q210" s="335"/>
      <c r="R210" s="335"/>
      <c r="S210" s="335"/>
      <c r="T210" s="335"/>
      <c r="U210" s="335"/>
      <c r="V210" s="335"/>
      <c r="W210" s="335"/>
      <c r="X210" s="128"/>
      <c r="Y210" s="243">
        <f t="shared" si="136"/>
        <v>0</v>
      </c>
      <c r="Z210" s="129"/>
      <c r="AA210" s="335"/>
      <c r="AB210" s="207">
        <f>IF(OR(AB$107=0,AB$108&lt;=8),0,AB$107*f_P_rencold*INDEX(bibliotheek!$E$175:$AC$175,MATCH(AB$80,toestellen_KOEL_kopregel,0)))</f>
        <v>0</v>
      </c>
      <c r="AC210" s="335"/>
      <c r="AD210" s="335"/>
      <c r="AE210" s="335"/>
      <c r="AF210" s="335"/>
      <c r="AG210" s="335"/>
      <c r="AH210" s="335"/>
      <c r="AI210" s="335"/>
      <c r="AJ210" s="128"/>
      <c r="AK210" s="243">
        <f t="shared" si="137"/>
        <v>0</v>
      </c>
      <c r="AL210" s="129"/>
      <c r="AM210" s="335"/>
      <c r="AN210" s="207">
        <f>IF(OR(AN$107=0,AN$108&lt;=8),0,AN$107*f_P_rencold*INDEX(bibliotheek!$E$175:$AC$175,MATCH(AN$80,toestellen_KOEL_kopregel,0)))</f>
        <v>0</v>
      </c>
      <c r="AO210" s="335"/>
      <c r="AP210" s="335"/>
      <c r="AQ210" s="335"/>
      <c r="AR210" s="335"/>
      <c r="AS210" s="335"/>
      <c r="AT210" s="335"/>
      <c r="AU210" s="335"/>
      <c r="AV210" s="128"/>
      <c r="AW210" s="243">
        <f t="shared" si="138"/>
        <v>0</v>
      </c>
      <c r="AX210" s="129"/>
      <c r="AY210" s="335"/>
      <c r="AZ210" s="207">
        <f>IF(OR(AZ$107=0,AZ$108&lt;=8),0,AZ$107*f_P_rencold*INDEX(bibliotheek!$E$175:$AC$175,MATCH(AZ$80,toestellen_KOEL_kopregel,0)))</f>
        <v>0</v>
      </c>
      <c r="BA210" s="335"/>
      <c r="BB210" s="335"/>
      <c r="BC210" s="335"/>
      <c r="BD210" s="335"/>
      <c r="BE210" s="335"/>
      <c r="BF210" s="335"/>
      <c r="BG210" s="335"/>
      <c r="BH210" s="255"/>
    </row>
    <row r="211" spans="1:60" x14ac:dyDescent="0.2">
      <c r="A211" s="648"/>
      <c r="B211" s="492" t="s">
        <v>289</v>
      </c>
      <c r="C211" s="656" t="s">
        <v>113</v>
      </c>
      <c r="D211" s="750" t="s">
        <v>50</v>
      </c>
      <c r="E211" s="220" t="s">
        <v>294</v>
      </c>
      <c r="F211" s="220"/>
      <c r="G211" s="220"/>
      <c r="H211" s="242" t="s">
        <v>177</v>
      </c>
      <c r="I211" s="129"/>
      <c r="J211" s="243">
        <f t="shared" si="134"/>
        <v>0</v>
      </c>
      <c r="K211" s="236"/>
      <c r="L211" s="236"/>
      <c r="M211" s="243">
        <f t="shared" si="135"/>
        <v>0</v>
      </c>
      <c r="N211" s="129"/>
      <c r="O211" s="207">
        <f>IF(OR(O$107=0,LEFT(O$103,2)&lt;&gt;"bm"),0,O$107*INDEX(energiedragers_fPren,MATCH(O$102,energiedragers_namen,0)))+
IF(OR(O$135=0,LEFT(O$133,2)&lt;&gt;"bm"),0,O$135*INDEX(energiedragers_fPren,MATCH(O$132,energiedragers_namen,0)))</f>
        <v>0</v>
      </c>
      <c r="P211" s="335"/>
      <c r="Q211" s="207">
        <f>IF(OR(Q$107=0,LEFT(Q$103,2)&lt;&gt;"bm"),0,Q$107*INDEX(energiedragers_fPren,MATCH(Q$102,energiedragers_namen,0)))+
IF(OR(Q$135=0,LEFT(Q$133,2)&lt;&gt;"bm"),0,Q$135*INDEX(energiedragers_fPren,MATCH(Q$132,energiedragers_namen,0)))</f>
        <v>0</v>
      </c>
      <c r="R211" s="335"/>
      <c r="S211" s="335"/>
      <c r="T211" s="335"/>
      <c r="U211" s="335"/>
      <c r="V211" s="335"/>
      <c r="W211" s="335"/>
      <c r="X211" s="128"/>
      <c r="Y211" s="243">
        <f t="shared" si="136"/>
        <v>0</v>
      </c>
      <c r="Z211" s="129"/>
      <c r="AA211" s="207">
        <f>IF(OR(AA$107=0,LEFT(AA$103,2)&lt;&gt;"bm"),0,AA$107*INDEX(energiedragers_fPren,MATCH(AA$102,energiedragers_namen,0)))+
IF(OR(AA$135=0,LEFT(AA$133,2)&lt;&gt;"bm"),0,AA$135*INDEX(energiedragers_fPren,MATCH(AA$132,energiedragers_namen,0)))</f>
        <v>0</v>
      </c>
      <c r="AB211" s="335"/>
      <c r="AC211" s="207">
        <f>IF(OR(AC$107=0,LEFT(AC$103,2)&lt;&gt;"bm"),0,AC$107*INDEX(energiedragers_fPren,MATCH(AC$102,energiedragers_namen,0)))+
IF(OR(AC$135=0,LEFT(AC$133,2)&lt;&gt;"bm"),0,AC$135*INDEX(energiedragers_fPren,MATCH(AC$132,energiedragers_namen,0)))</f>
        <v>0</v>
      </c>
      <c r="AD211" s="335"/>
      <c r="AE211" s="335"/>
      <c r="AF211" s="335"/>
      <c r="AG211" s="335"/>
      <c r="AH211" s="335"/>
      <c r="AI211" s="335"/>
      <c r="AJ211" s="128"/>
      <c r="AK211" s="243">
        <f t="shared" si="137"/>
        <v>0</v>
      </c>
      <c r="AL211" s="129"/>
      <c r="AM211" s="207">
        <f>IF(OR(AM$107=0,LEFT(AM$103,2)&lt;&gt;"bm"),0,AM$107*INDEX(energiedragers_fPren,MATCH(AM$102,energiedragers_namen,0)))+
IF(OR(AM$135=0,LEFT(AM$133,2)&lt;&gt;"bm"),0,AM$135*INDEX(energiedragers_fPren,MATCH(AM$132,energiedragers_namen,0)))</f>
        <v>0</v>
      </c>
      <c r="AN211" s="335"/>
      <c r="AO211" s="207">
        <f>IF(OR(AO$107=0,LEFT(AO$103,2)&lt;&gt;"bm"),0,AO$107*INDEX(energiedragers_fPren,MATCH(AO$102,energiedragers_namen,0)))+
IF(OR(AO$135=0,LEFT(AO$133,2)&lt;&gt;"bm"),0,AO$135*INDEX(energiedragers_fPren,MATCH(AO$132,energiedragers_namen,0)))</f>
        <v>0</v>
      </c>
      <c r="AP211" s="335"/>
      <c r="AQ211" s="335"/>
      <c r="AR211" s="335"/>
      <c r="AS211" s="335"/>
      <c r="AT211" s="335"/>
      <c r="AU211" s="335"/>
      <c r="AV211" s="128"/>
      <c r="AW211" s="243">
        <f t="shared" si="138"/>
        <v>0</v>
      </c>
      <c r="AX211" s="129"/>
      <c r="AY211" s="207">
        <f>IF(OR(AY$107=0,LEFT(AY$103,2)&lt;&gt;"bm"),0,AY$107*INDEX(energiedragers_fPren,MATCH(AY$102,energiedragers_namen,0)))+
IF(OR(AY$135=0,LEFT(AY$133,2)&lt;&gt;"bm"),0,AY$135*INDEX(energiedragers_fPren,MATCH(AY$132,energiedragers_namen,0)))</f>
        <v>0</v>
      </c>
      <c r="AZ211" s="335"/>
      <c r="BA211" s="207">
        <f>IF(OR(BA$107=0,LEFT(BA$103,2)&lt;&gt;"bm"),0,BA$107*INDEX(energiedragers_fPren,MATCH(BA$102,energiedragers_namen,0)))+
IF(OR(BA$135=0,LEFT(BA$133,2)&lt;&gt;"bm"),0,BA$135*INDEX(energiedragers_fPren,MATCH(BA$132,energiedragers_namen,0)))</f>
        <v>0</v>
      </c>
      <c r="BB211" s="335"/>
      <c r="BC211" s="335"/>
      <c r="BD211" s="335"/>
      <c r="BE211" s="335"/>
      <c r="BF211" s="335"/>
      <c r="BG211" s="335"/>
      <c r="BH211" s="255"/>
    </row>
    <row r="212" spans="1:60" x14ac:dyDescent="0.2">
      <c r="A212" s="648"/>
      <c r="B212" s="492" t="s">
        <v>289</v>
      </c>
      <c r="C212" s="656" t="s">
        <v>113</v>
      </c>
      <c r="D212" s="750" t="s">
        <v>50</v>
      </c>
      <c r="E212" s="220" t="s">
        <v>295</v>
      </c>
      <c r="F212" s="220"/>
      <c r="G212" s="220"/>
      <c r="H212" s="242" t="s">
        <v>177</v>
      </c>
      <c r="I212" s="129"/>
      <c r="J212" s="243">
        <f t="shared" si="134"/>
        <v>0</v>
      </c>
      <c r="K212" s="236"/>
      <c r="L212" s="236"/>
      <c r="M212" s="243">
        <f t="shared" si="135"/>
        <v>0</v>
      </c>
      <c r="N212" s="129"/>
      <c r="O212" s="207">
        <f>IF(OR(O$107=0,LEFT(O$103,2)&lt;&gt;"dx"),0,O$107*INDEX(energiedragers_fPren,MATCH(O$102,energiedragers_namen,0)))+
IF(OR(O$135=0,LEFT(O$133,2)&lt;&gt;"dx"),0,O$135*INDEX(energiedragers_fPren,MATCH(O$132,energiedragers_namen,0)))</f>
        <v>0</v>
      </c>
      <c r="P212" s="207">
        <f>IF(OR(P$107=0,LEFT(P$103,2)&lt;&gt;"dx"),0,P$107*INDEX(energiedragers_fPren,MATCH(P$102,energiedragers_namen,0)))+
IF(OR(P$135=0,LEFT(P$133,2)&lt;&gt;"dx"),0,P$135*INDEX(energiedragers_fPren,MATCH(P$132,energiedragers_namen,0)))</f>
        <v>0</v>
      </c>
      <c r="Q212" s="207">
        <f>IF(OR(Q$107=0,LEFT(Q$103,2)&lt;&gt;"dx"),0,Q$107*INDEX(energiedragers_fPren,MATCH(Q$102,energiedragers_namen,0)))+
IF(OR(Q$135=0,LEFT(Q$133,2)&lt;&gt;"dx"),0,Q$135*INDEX(energiedragers_fPren,MATCH(Q$132,energiedragers_namen,0)))</f>
        <v>0</v>
      </c>
      <c r="R212" s="335"/>
      <c r="S212" s="335"/>
      <c r="T212" s="335"/>
      <c r="U212" s="335"/>
      <c r="V212" s="335"/>
      <c r="W212" s="335"/>
      <c r="X212" s="128"/>
      <c r="Y212" s="243">
        <f t="shared" si="136"/>
        <v>0</v>
      </c>
      <c r="Z212" s="129"/>
      <c r="AA212" s="207">
        <f>IF(OR(AA$107=0,LEFT(AA$103,2)&lt;&gt;"dx"),0,AA$107*INDEX(energiedragers_fPren,MATCH(AA$102,energiedragers_namen,0)))+
IF(OR(AA$135=0,LEFT(AA$133,2)&lt;&gt;"dx"),0,AA$135*INDEX(energiedragers_fPren,MATCH(AA$132,energiedragers_namen,0)))</f>
        <v>0</v>
      </c>
      <c r="AB212" s="207">
        <f>IF(OR(AB$107=0,LEFT(AB$103,2)&lt;&gt;"dx"),0,AB$107*INDEX(energiedragers_fPren,MATCH(AB$102,energiedragers_namen,0)))+
IF(OR(AB$135=0,LEFT(AB$133,2)&lt;&gt;"dx"),0,AB$135*INDEX(energiedragers_fPren,MATCH(AB$132,energiedragers_namen,0)))</f>
        <v>0</v>
      </c>
      <c r="AC212" s="207">
        <f>IF(OR(AC$107=0,LEFT(AC$103,2)&lt;&gt;"dx"),0,AC$107*INDEX(energiedragers_fPren,MATCH(AC$102,energiedragers_namen,0)))+
IF(OR(AC$135=0,LEFT(AC$133,2)&lt;&gt;"dx"),0,AC$135*INDEX(energiedragers_fPren,MATCH(AC$132,energiedragers_namen,0)))</f>
        <v>0</v>
      </c>
      <c r="AD212" s="335"/>
      <c r="AE212" s="335"/>
      <c r="AF212" s="335"/>
      <c r="AG212" s="335"/>
      <c r="AH212" s="335"/>
      <c r="AI212" s="335"/>
      <c r="AJ212" s="128"/>
      <c r="AK212" s="243">
        <f t="shared" si="137"/>
        <v>0</v>
      </c>
      <c r="AL212" s="129"/>
      <c r="AM212" s="207">
        <f>IF(OR(AM$107=0,LEFT(AM$103,2)&lt;&gt;"dx"),0,AM$107*INDEX(energiedragers_fPren,MATCH(AM$102,energiedragers_namen,0)))+
IF(OR(AM$135=0,LEFT(AM$133,2)&lt;&gt;"dx"),0,AM$135*INDEX(energiedragers_fPren,MATCH(AM$132,energiedragers_namen,0)))</f>
        <v>0</v>
      </c>
      <c r="AN212" s="207">
        <f>IF(OR(AN$107=0,LEFT(AN$103,2)&lt;&gt;"dx"),0,AN$107*INDEX(energiedragers_fPren,MATCH(AN$102,energiedragers_namen,0)))+
IF(OR(AN$135=0,LEFT(AN$133,2)&lt;&gt;"dx"),0,AN$135*INDEX(energiedragers_fPren,MATCH(AN$132,energiedragers_namen,0)))</f>
        <v>0</v>
      </c>
      <c r="AO212" s="207">
        <f>IF(OR(AO$107=0,LEFT(AO$103,2)&lt;&gt;"dx"),0,AO$107*INDEX(energiedragers_fPren,MATCH(AO$102,energiedragers_namen,0)))+
IF(OR(AO$135=0,LEFT(AO$133,2)&lt;&gt;"dx"),0,AO$135*INDEX(energiedragers_fPren,MATCH(AO$132,energiedragers_namen,0)))</f>
        <v>0</v>
      </c>
      <c r="AP212" s="335"/>
      <c r="AQ212" s="335"/>
      <c r="AR212" s="335"/>
      <c r="AS212" s="335"/>
      <c r="AT212" s="335"/>
      <c r="AU212" s="335"/>
      <c r="AV212" s="128"/>
      <c r="AW212" s="243">
        <f t="shared" si="138"/>
        <v>0</v>
      </c>
      <c r="AX212" s="129"/>
      <c r="AY212" s="207">
        <f>IF(OR(AY$107=0,LEFT(AY$103,2)&lt;&gt;"dx"),0,AY$107*INDEX(energiedragers_fPren,MATCH(AY$102,energiedragers_namen,0)))+
IF(OR(AY$135=0,LEFT(AY$133,2)&lt;&gt;"dx"),0,AY$135*INDEX(energiedragers_fPren,MATCH(AY$132,energiedragers_namen,0)))</f>
        <v>0</v>
      </c>
      <c r="AZ212" s="207">
        <f>IF(OR(AZ$107=0,LEFT(AZ$103,2)&lt;&gt;"dx"),0,AZ$107*INDEX(energiedragers_fPren,MATCH(AZ$102,energiedragers_namen,0)))+
IF(OR(AZ$135=0,LEFT(AZ$133,2)&lt;&gt;"dx"),0,AZ$135*INDEX(energiedragers_fPren,MATCH(AZ$132,energiedragers_namen,0)))</f>
        <v>0</v>
      </c>
      <c r="BA212" s="207">
        <f>IF(OR(BA$107=0,LEFT(BA$103,2)&lt;&gt;"dx"),0,BA$107*INDEX(energiedragers_fPren,MATCH(BA$102,energiedragers_namen,0)))+
IF(OR(BA$135=0,LEFT(BA$133,2)&lt;&gt;"dx"),0,BA$135*INDEX(energiedragers_fPren,MATCH(BA$132,energiedragers_namen,0)))</f>
        <v>0</v>
      </c>
      <c r="BB212" s="335"/>
      <c r="BC212" s="335"/>
      <c r="BD212" s="335"/>
      <c r="BE212" s="335"/>
      <c r="BF212" s="335"/>
      <c r="BG212" s="335"/>
      <c r="BH212" s="255"/>
    </row>
    <row r="213" spans="1:60" x14ac:dyDescent="0.2">
      <c r="A213" s="648"/>
      <c r="B213" s="492" t="s">
        <v>289</v>
      </c>
      <c r="C213" s="656" t="s">
        <v>113</v>
      </c>
      <c r="D213" s="750" t="s">
        <v>50</v>
      </c>
      <c r="E213" s="220" t="s">
        <v>296</v>
      </c>
      <c r="F213" s="220"/>
      <c r="G213" s="220"/>
      <c r="H213" s="242" t="s">
        <v>177</v>
      </c>
      <c r="I213" s="129"/>
      <c r="J213" s="243">
        <f t="shared" si="134"/>
        <v>0</v>
      </c>
      <c r="K213" s="236"/>
      <c r="L213" s="236"/>
      <c r="M213" s="243">
        <f t="shared" si="135"/>
        <v>0</v>
      </c>
      <c r="N213" s="129"/>
      <c r="O213" s="335"/>
      <c r="P213" s="207">
        <f>IF(OR(P$107=0,LEFT(P$103,2)&lt;&gt;"dx"),0,P$107*INDEX(energiedragers_fPren,MATCH(P$102,energiedragers_namen,0))+
IF(OR(P$135=0,LEFT(P$133,2)&lt;&gt;"dx"),0,P$135*INDEX(energiedragers_fPren,MATCH(P$132,energiedragers_namen,0))))</f>
        <v>0</v>
      </c>
      <c r="Q213" s="335"/>
      <c r="R213" s="335"/>
      <c r="S213" s="335"/>
      <c r="T213" s="335"/>
      <c r="U213" s="335"/>
      <c r="V213" s="335"/>
      <c r="W213" s="335"/>
      <c r="X213" s="128"/>
      <c r="Y213" s="243">
        <f t="shared" si="136"/>
        <v>0</v>
      </c>
      <c r="Z213" s="129"/>
      <c r="AA213" s="335"/>
      <c r="AB213" s="207">
        <f>IF(OR(AB$107=0,LEFT(AB$103,2)&lt;&gt;"dx"),0,AB$107*INDEX(energiedragers_fPren,MATCH(AB$102,energiedragers_namen,0))+
IF(OR(AB$135=0,LEFT(AB$133,2)&lt;&gt;"dx"),0,AB$135*INDEX(energiedragers_fPren,MATCH(AB$132,energiedragers_namen,0))))</f>
        <v>0</v>
      </c>
      <c r="AC213" s="335"/>
      <c r="AD213" s="335"/>
      <c r="AE213" s="335"/>
      <c r="AF213" s="335"/>
      <c r="AG213" s="335"/>
      <c r="AH213" s="335"/>
      <c r="AI213" s="335"/>
      <c r="AJ213" s="128"/>
      <c r="AK213" s="243">
        <f t="shared" si="137"/>
        <v>0</v>
      </c>
      <c r="AL213" s="129"/>
      <c r="AM213" s="335"/>
      <c r="AN213" s="207">
        <f>IF(OR(AN$107=0,LEFT(AN$103,2)&lt;&gt;"dx"),0,AN$107*INDEX(energiedragers_fPren,MATCH(AN$102,energiedragers_namen,0))+
IF(OR(AN$135=0,LEFT(AN$133,2)&lt;&gt;"dx"),0,AN$135*INDEX(energiedragers_fPren,MATCH(AN$132,energiedragers_namen,0))))</f>
        <v>0</v>
      </c>
      <c r="AO213" s="335"/>
      <c r="AP213" s="335"/>
      <c r="AQ213" s="335"/>
      <c r="AR213" s="335"/>
      <c r="AS213" s="335"/>
      <c r="AT213" s="335"/>
      <c r="AU213" s="335"/>
      <c r="AV213" s="128"/>
      <c r="AW213" s="243">
        <f t="shared" si="138"/>
        <v>0</v>
      </c>
      <c r="AX213" s="129"/>
      <c r="AY213" s="335"/>
      <c r="AZ213" s="207">
        <f>IF(OR(AZ$107=0,LEFT(AZ$103,2)&lt;&gt;"dx"),0,AZ$107*INDEX(energiedragers_fPren,MATCH(AZ$102,energiedragers_namen,0))+
IF(OR(AZ$135=0,LEFT(AZ$133,2)&lt;&gt;"dx"),0,AZ$135*INDEX(energiedragers_fPren,MATCH(AZ$132,energiedragers_namen,0))))</f>
        <v>0</v>
      </c>
      <c r="BA213" s="335"/>
      <c r="BB213" s="335"/>
      <c r="BC213" s="335"/>
      <c r="BD213" s="335"/>
      <c r="BE213" s="335"/>
      <c r="BF213" s="335"/>
      <c r="BG213" s="335"/>
      <c r="BH213" s="255"/>
    </row>
    <row r="214" spans="1:60" x14ac:dyDescent="0.2">
      <c r="A214" s="648"/>
      <c r="B214" s="492" t="s">
        <v>289</v>
      </c>
      <c r="C214" s="656" t="s">
        <v>113</v>
      </c>
      <c r="D214" s="750" t="s">
        <v>50</v>
      </c>
      <c r="E214" s="220" t="s">
        <v>297</v>
      </c>
      <c r="F214" s="220"/>
      <c r="G214" s="220"/>
      <c r="H214" s="242" t="s">
        <v>177</v>
      </c>
      <c r="I214" s="129"/>
      <c r="J214" s="243">
        <f t="shared" si="134"/>
        <v>0</v>
      </c>
      <c r="K214" s="236"/>
      <c r="L214" s="236"/>
      <c r="M214" s="243">
        <f t="shared" si="135"/>
        <v>0</v>
      </c>
      <c r="N214" s="129"/>
      <c r="O214" s="207">
        <f>O$88*f_P_renheat</f>
        <v>0</v>
      </c>
      <c r="P214" s="335"/>
      <c r="Q214" s="207">
        <f>Q$88*f_P_renheat</f>
        <v>0</v>
      </c>
      <c r="R214" s="335"/>
      <c r="S214" s="335"/>
      <c r="T214" s="335"/>
      <c r="U214" s="335"/>
      <c r="V214" s="335"/>
      <c r="W214" s="335"/>
      <c r="X214" s="122"/>
      <c r="Y214" s="243">
        <f t="shared" si="136"/>
        <v>0</v>
      </c>
      <c r="Z214" s="129"/>
      <c r="AA214" s="207">
        <f>AA$88*f_P_renheat</f>
        <v>0</v>
      </c>
      <c r="AB214" s="335"/>
      <c r="AC214" s="207">
        <f>AC$88*f_P_renheat</f>
        <v>0</v>
      </c>
      <c r="AD214" s="335"/>
      <c r="AE214" s="335"/>
      <c r="AF214" s="335"/>
      <c r="AG214" s="335"/>
      <c r="AH214" s="335"/>
      <c r="AI214" s="335"/>
      <c r="AJ214" s="122"/>
      <c r="AK214" s="243">
        <f t="shared" si="137"/>
        <v>0</v>
      </c>
      <c r="AL214" s="129"/>
      <c r="AM214" s="207">
        <f>AM$88*f_P_renheat</f>
        <v>0</v>
      </c>
      <c r="AN214" s="335"/>
      <c r="AO214" s="207">
        <f>AO$88*f_P_renheat</f>
        <v>0</v>
      </c>
      <c r="AP214" s="335"/>
      <c r="AQ214" s="335"/>
      <c r="AR214" s="335"/>
      <c r="AS214" s="335"/>
      <c r="AT214" s="335"/>
      <c r="AU214" s="335"/>
      <c r="AV214" s="122"/>
      <c r="AW214" s="243">
        <f t="shared" si="138"/>
        <v>0</v>
      </c>
      <c r="AX214" s="129"/>
      <c r="AY214" s="207">
        <f>AY$88*f_P_renheat</f>
        <v>0</v>
      </c>
      <c r="AZ214" s="335"/>
      <c r="BA214" s="207">
        <f>BA$88*f_P_renheat</f>
        <v>0</v>
      </c>
      <c r="BB214" s="335"/>
      <c r="BC214" s="335"/>
      <c r="BD214" s="335"/>
      <c r="BE214" s="335"/>
      <c r="BF214" s="335"/>
      <c r="BG214" s="335"/>
      <c r="BH214" s="214"/>
    </row>
    <row r="215" spans="1:60" x14ac:dyDescent="0.2">
      <c r="A215" s="648"/>
      <c r="B215" s="492" t="s">
        <v>289</v>
      </c>
      <c r="C215" s="656" t="s">
        <v>113</v>
      </c>
      <c r="D215" s="750" t="s">
        <v>50</v>
      </c>
      <c r="E215" s="220" t="s">
        <v>298</v>
      </c>
      <c r="F215" s="220"/>
      <c r="G215" s="220"/>
      <c r="H215" s="242" t="s">
        <v>177</v>
      </c>
      <c r="I215" s="129"/>
      <c r="J215" s="243">
        <f t="shared" si="134"/>
        <v>0</v>
      </c>
      <c r="K215" s="236"/>
      <c r="L215" s="236"/>
      <c r="M215" s="243">
        <f t="shared" si="135"/>
        <v>0</v>
      </c>
      <c r="N215" s="129"/>
      <c r="O215" s="335"/>
      <c r="P215" s="335"/>
      <c r="Q215" s="335"/>
      <c r="R215" s="335"/>
      <c r="S215" s="335"/>
      <c r="T215" s="335"/>
      <c r="U215" s="335"/>
      <c r="V215" s="335"/>
      <c r="W215" s="207">
        <f>M70*f_P_renelect</f>
        <v>0</v>
      </c>
      <c r="X215" s="128"/>
      <c r="Y215" s="243">
        <f t="shared" si="136"/>
        <v>0</v>
      </c>
      <c r="Z215" s="129"/>
      <c r="AA215" s="335"/>
      <c r="AB215" s="335"/>
      <c r="AC215" s="335"/>
      <c r="AD215" s="335"/>
      <c r="AE215" s="335"/>
      <c r="AF215" s="335"/>
      <c r="AG215" s="335"/>
      <c r="AH215" s="335"/>
      <c r="AI215" s="207">
        <f>Y70*f_P_renelect</f>
        <v>0</v>
      </c>
      <c r="AJ215" s="128"/>
      <c r="AK215" s="243">
        <f t="shared" si="137"/>
        <v>0</v>
      </c>
      <c r="AL215" s="129"/>
      <c r="AM215" s="335"/>
      <c r="AN215" s="335"/>
      <c r="AO215" s="335"/>
      <c r="AP215" s="335"/>
      <c r="AQ215" s="335"/>
      <c r="AR215" s="335"/>
      <c r="AS215" s="335"/>
      <c r="AT215" s="335"/>
      <c r="AU215" s="207">
        <f>AK70*f_P_renelect</f>
        <v>0</v>
      </c>
      <c r="AV215" s="128"/>
      <c r="AW215" s="243">
        <f t="shared" si="138"/>
        <v>0</v>
      </c>
      <c r="AX215" s="129"/>
      <c r="AY215" s="335"/>
      <c r="AZ215" s="335"/>
      <c r="BA215" s="335"/>
      <c r="BB215" s="335"/>
      <c r="BC215" s="335"/>
      <c r="BD215" s="335"/>
      <c r="BE215" s="335"/>
      <c r="BF215" s="335"/>
      <c r="BG215" s="207">
        <f>AW70*f_P_renelect</f>
        <v>0</v>
      </c>
      <c r="BH215" s="255"/>
    </row>
    <row r="216" spans="1:60" x14ac:dyDescent="0.2">
      <c r="A216" s="648"/>
      <c r="B216" s="492" t="s">
        <v>289</v>
      </c>
      <c r="C216" s="656" t="s">
        <v>113</v>
      </c>
      <c r="D216" s="747"/>
      <c r="E216" s="220" t="s">
        <v>258</v>
      </c>
      <c r="F216" s="220"/>
      <c r="G216" s="220"/>
      <c r="H216" s="242" t="s">
        <v>177</v>
      </c>
      <c r="I216" s="129"/>
      <c r="J216" s="243">
        <f>SUM(J209:J215)</f>
        <v>0</v>
      </c>
      <c r="K216" s="236"/>
      <c r="L216" s="236"/>
      <c r="M216" s="243">
        <f>SUM(M209:M215)</f>
        <v>0</v>
      </c>
      <c r="N216" s="129"/>
      <c r="O216" s="207">
        <f t="shared" ref="O216:W216" si="139">SUM(O209:O215)</f>
        <v>0</v>
      </c>
      <c r="P216" s="207">
        <f t="shared" si="139"/>
        <v>0</v>
      </c>
      <c r="Q216" s="207">
        <f t="shared" si="139"/>
        <v>0</v>
      </c>
      <c r="R216" s="335"/>
      <c r="S216" s="335"/>
      <c r="T216" s="335"/>
      <c r="U216" s="335"/>
      <c r="V216" s="335"/>
      <c r="W216" s="207">
        <f t="shared" si="139"/>
        <v>0</v>
      </c>
      <c r="X216" s="128"/>
      <c r="Y216" s="243">
        <f>SUM(Y209:Y215)</f>
        <v>0</v>
      </c>
      <c r="Z216" s="129"/>
      <c r="AA216" s="207">
        <f>SUM(AA209:AA215)</f>
        <v>0</v>
      </c>
      <c r="AB216" s="207">
        <f>SUM(AB209:AB215)</f>
        <v>0</v>
      </c>
      <c r="AC216" s="207">
        <f>SUM(AC209:AC215)</f>
        <v>0</v>
      </c>
      <c r="AD216" s="335"/>
      <c r="AE216" s="335"/>
      <c r="AF216" s="335"/>
      <c r="AG216" s="335"/>
      <c r="AH216" s="335"/>
      <c r="AI216" s="207">
        <f>SUM(AI209:AI215)</f>
        <v>0</v>
      </c>
      <c r="AJ216" s="128"/>
      <c r="AK216" s="243">
        <f>SUM(AK209:AK215)</f>
        <v>0</v>
      </c>
      <c r="AL216" s="129"/>
      <c r="AM216" s="207">
        <f>SUM(AM209:AM215)</f>
        <v>0</v>
      </c>
      <c r="AN216" s="207">
        <f>SUM(AN209:AN215)</f>
        <v>0</v>
      </c>
      <c r="AO216" s="207">
        <f>SUM(AO209:AO215)</f>
        <v>0</v>
      </c>
      <c r="AP216" s="335"/>
      <c r="AQ216" s="335"/>
      <c r="AR216" s="335"/>
      <c r="AS216" s="335"/>
      <c r="AT216" s="335"/>
      <c r="AU216" s="207">
        <f>SUM(AU209:AU215)</f>
        <v>0</v>
      </c>
      <c r="AV216" s="128"/>
      <c r="AW216" s="243">
        <f>SUM(AW209:AW215)</f>
        <v>0</v>
      </c>
      <c r="AX216" s="129"/>
      <c r="AY216" s="207">
        <f>SUM(AY209:AY215)</f>
        <v>0</v>
      </c>
      <c r="AZ216" s="207">
        <f>SUM(AZ209:AZ215)</f>
        <v>0</v>
      </c>
      <c r="BA216" s="207">
        <f>SUM(BA209:BA215)</f>
        <v>0</v>
      </c>
      <c r="BB216" s="335"/>
      <c r="BC216" s="335"/>
      <c r="BD216" s="335"/>
      <c r="BE216" s="335"/>
      <c r="BF216" s="335"/>
      <c r="BG216" s="207">
        <f>SUM(BG209:BG215)</f>
        <v>0</v>
      </c>
      <c r="BH216" s="255"/>
    </row>
    <row r="217" spans="1:60" x14ac:dyDescent="0.2">
      <c r="A217" s="648"/>
      <c r="B217" s="492" t="s">
        <v>289</v>
      </c>
      <c r="C217" s="739" t="s">
        <v>104</v>
      </c>
      <c r="D217" s="747"/>
      <c r="E217" s="90"/>
      <c r="F217" s="90"/>
      <c r="G217" s="90"/>
      <c r="H217" s="96"/>
      <c r="I217" s="90"/>
      <c r="J217" s="93"/>
      <c r="K217" s="90"/>
      <c r="L217" s="90"/>
      <c r="M217" s="93"/>
      <c r="N217" s="90"/>
      <c r="O217" s="93"/>
      <c r="P217" s="93"/>
      <c r="Q217" s="93"/>
      <c r="R217" s="93"/>
      <c r="S217" s="93"/>
      <c r="T217" s="93"/>
      <c r="U217" s="93"/>
      <c r="V217" s="93"/>
      <c r="W217" s="93"/>
      <c r="X217" s="93"/>
      <c r="Y217" s="93"/>
      <c r="Z217" s="90"/>
      <c r="AA217" s="93"/>
      <c r="AB217" s="93"/>
      <c r="AC217" s="93"/>
      <c r="AD217" s="93"/>
      <c r="AE217" s="93"/>
      <c r="AF217" s="93"/>
      <c r="AG217" s="93"/>
      <c r="AH217" s="93"/>
      <c r="AI217" s="93"/>
      <c r="AJ217" s="93"/>
      <c r="AK217" s="93"/>
      <c r="AL217" s="90"/>
      <c r="AM217" s="93"/>
      <c r="AN217" s="93"/>
      <c r="AO217" s="93"/>
      <c r="AP217" s="93"/>
      <c r="AQ217" s="93"/>
      <c r="AR217" s="93"/>
      <c r="AS217" s="93"/>
      <c r="AT217" s="93"/>
      <c r="AU217" s="93"/>
      <c r="AV217" s="93"/>
      <c r="AW217" s="93"/>
      <c r="AX217" s="90"/>
      <c r="AY217" s="93"/>
      <c r="AZ217" s="93"/>
      <c r="BA217" s="93"/>
      <c r="BB217" s="93"/>
      <c r="BC217" s="93"/>
      <c r="BD217" s="93"/>
      <c r="BE217" s="93"/>
      <c r="BF217" s="93"/>
      <c r="BG217" s="93"/>
      <c r="BH217" s="1"/>
    </row>
    <row r="218" spans="1:60" x14ac:dyDescent="0.2">
      <c r="A218" s="648"/>
      <c r="B218" s="492" t="s">
        <v>299</v>
      </c>
      <c r="C218" s="656" t="s">
        <v>104</v>
      </c>
      <c r="D218" s="747"/>
      <c r="E218" s="275"/>
      <c r="F218" s="90"/>
      <c r="G218" s="90"/>
      <c r="H218" s="96"/>
      <c r="I218" s="138"/>
      <c r="J218" s="93"/>
      <c r="K218" s="90"/>
      <c r="L218" s="90"/>
      <c r="M218" s="93"/>
      <c r="N218" s="90"/>
      <c r="O218" s="96"/>
      <c r="P218" s="96"/>
      <c r="Q218" s="93"/>
      <c r="R218" s="93"/>
      <c r="S218" s="93"/>
      <c r="T218" s="93"/>
      <c r="U218" s="93"/>
      <c r="V218" s="93"/>
      <c r="W218" s="93"/>
      <c r="X218" s="93"/>
      <c r="Y218" s="93"/>
      <c r="Z218" s="90"/>
      <c r="AA218" s="96"/>
      <c r="AB218" s="96"/>
      <c r="AC218" s="93"/>
      <c r="AD218" s="93"/>
      <c r="AE218" s="93"/>
      <c r="AF218" s="93"/>
      <c r="AG218" s="93"/>
      <c r="AH218" s="93"/>
      <c r="AI218" s="93"/>
      <c r="AJ218" s="93"/>
      <c r="AK218" s="93"/>
      <c r="AL218" s="90"/>
      <c r="AM218" s="96"/>
      <c r="AN218" s="96"/>
      <c r="AO218" s="93"/>
      <c r="AP218" s="93"/>
      <c r="AQ218" s="93"/>
      <c r="AR218" s="93"/>
      <c r="AS218" s="93"/>
      <c r="AT218" s="93"/>
      <c r="AU218" s="93"/>
      <c r="AV218" s="93"/>
      <c r="AW218" s="93"/>
      <c r="AX218" s="90"/>
      <c r="AY218" s="128"/>
      <c r="AZ218" s="93"/>
      <c r="BA218" s="93"/>
      <c r="BB218" s="93"/>
      <c r="BC218" s="93"/>
      <c r="BD218" s="93"/>
      <c r="BE218" s="93"/>
      <c r="BF218" s="93"/>
      <c r="BG218" s="93"/>
      <c r="BH218" s="1"/>
    </row>
    <row r="219" spans="1:60" ht="21" x14ac:dyDescent="0.2">
      <c r="A219" s="648"/>
      <c r="B219" s="492" t="s">
        <v>299</v>
      </c>
      <c r="C219" s="739" t="s">
        <v>104</v>
      </c>
      <c r="D219" s="752"/>
      <c r="E219" s="215" t="s">
        <v>300</v>
      </c>
      <c r="F219" s="240"/>
      <c r="G219" s="240"/>
      <c r="H219" s="240"/>
      <c r="I219" s="88"/>
      <c r="J219" s="241" t="str">
        <f>J$10</f>
        <v>totaal</v>
      </c>
      <c r="K219" s="142"/>
      <c r="L219" s="142"/>
      <c r="M219" s="216" t="str">
        <f>M$10</f>
        <v>totaal</v>
      </c>
      <c r="N219" s="222"/>
      <c r="O219" s="217" t="str">
        <f t="shared" ref="O219:W219" si="140">O$10</f>
        <v>verwarming</v>
      </c>
      <c r="P219" s="217" t="str">
        <f t="shared" si="140"/>
        <v>koeling</v>
      </c>
      <c r="Q219" s="217" t="str">
        <f t="shared" si="140"/>
        <v>tapwater</v>
      </c>
      <c r="R219" s="217" t="str">
        <f t="shared" si="140"/>
        <v>verlichting</v>
      </c>
      <c r="S219" s="217" t="str">
        <f t="shared" si="140"/>
        <v>ventilatoren</v>
      </c>
      <c r="T219" s="217" t="str">
        <f t="shared" si="140"/>
        <v>kookgas</v>
      </c>
      <c r="U219" s="217" t="str">
        <f t="shared" si="140"/>
        <v>overig elektra</v>
      </c>
      <c r="V219" s="217" t="str">
        <f t="shared" si="140"/>
        <v>mobiliteit</v>
      </c>
      <c r="W219" s="217" t="str">
        <f t="shared" si="140"/>
        <v>zonnepanelen</v>
      </c>
      <c r="X219" s="214"/>
      <c r="Y219" s="216" t="str">
        <f>Y$10</f>
        <v>totaal</v>
      </c>
      <c r="Z219" s="222"/>
      <c r="AA219" s="217" t="str">
        <f t="shared" ref="AA219:AI219" si="141">AA$10</f>
        <v>verwarming</v>
      </c>
      <c r="AB219" s="217" t="str">
        <f t="shared" si="141"/>
        <v>koeling</v>
      </c>
      <c r="AC219" s="217" t="str">
        <f t="shared" si="141"/>
        <v>tapwater</v>
      </c>
      <c r="AD219" s="217" t="str">
        <f t="shared" si="141"/>
        <v>verlichting</v>
      </c>
      <c r="AE219" s="217" t="str">
        <f t="shared" si="141"/>
        <v>ventilatoren</v>
      </c>
      <c r="AF219" s="217" t="str">
        <f t="shared" si="141"/>
        <v>kookgas</v>
      </c>
      <c r="AG219" s="217" t="str">
        <f t="shared" si="141"/>
        <v>overig elektra</v>
      </c>
      <c r="AH219" s="217" t="str">
        <f t="shared" si="141"/>
        <v>mobiliteit</v>
      </c>
      <c r="AI219" s="217" t="str">
        <f t="shared" si="141"/>
        <v>zonnepanelen</v>
      </c>
      <c r="AJ219" s="214"/>
      <c r="AK219" s="216" t="str">
        <f>AK$10</f>
        <v>totaal</v>
      </c>
      <c r="AL219" s="222"/>
      <c r="AM219" s="217" t="str">
        <f t="shared" ref="AM219:AU219" si="142">AM$10</f>
        <v>verwarming</v>
      </c>
      <c r="AN219" s="217" t="str">
        <f t="shared" si="142"/>
        <v>koeling</v>
      </c>
      <c r="AO219" s="217" t="str">
        <f t="shared" si="142"/>
        <v>tapwater</v>
      </c>
      <c r="AP219" s="217" t="str">
        <f t="shared" si="142"/>
        <v>verlichting</v>
      </c>
      <c r="AQ219" s="217" t="str">
        <f t="shared" si="142"/>
        <v>ventilatoren</v>
      </c>
      <c r="AR219" s="217" t="str">
        <f t="shared" si="142"/>
        <v>kookgas</v>
      </c>
      <c r="AS219" s="217" t="str">
        <f t="shared" si="142"/>
        <v>overig elektra</v>
      </c>
      <c r="AT219" s="217" t="str">
        <f t="shared" si="142"/>
        <v>mobiliteit</v>
      </c>
      <c r="AU219" s="217" t="str">
        <f t="shared" si="142"/>
        <v>zonnepanelen</v>
      </c>
      <c r="AV219" s="214"/>
      <c r="AW219" s="216" t="str">
        <f>AW$10</f>
        <v>totaal</v>
      </c>
      <c r="AX219" s="222"/>
      <c r="AY219" s="217" t="str">
        <f t="shared" ref="AY219:BG219" si="143">AY$10</f>
        <v>verwarming</v>
      </c>
      <c r="AZ219" s="217" t="str">
        <f t="shared" si="143"/>
        <v>koeling</v>
      </c>
      <c r="BA219" s="217" t="str">
        <f t="shared" si="143"/>
        <v>tapwater</v>
      </c>
      <c r="BB219" s="217" t="str">
        <f t="shared" si="143"/>
        <v>verlichting</v>
      </c>
      <c r="BC219" s="217" t="str">
        <f t="shared" si="143"/>
        <v>ventilatoren</v>
      </c>
      <c r="BD219" s="217" t="str">
        <f t="shared" si="143"/>
        <v>kookgas</v>
      </c>
      <c r="BE219" s="217" t="str">
        <f t="shared" si="143"/>
        <v>overig elektra</v>
      </c>
      <c r="BF219" s="217" t="str">
        <f t="shared" si="143"/>
        <v>mobiliteit</v>
      </c>
      <c r="BG219" s="217" t="str">
        <f t="shared" si="143"/>
        <v>zonnepanelen</v>
      </c>
      <c r="BH219" s="1"/>
    </row>
    <row r="220" spans="1:60" ht="18.75" x14ac:dyDescent="0.2">
      <c r="A220" s="648"/>
      <c r="B220" s="492" t="s">
        <v>299</v>
      </c>
      <c r="C220" s="739" t="s">
        <v>104</v>
      </c>
      <c r="D220" s="747"/>
      <c r="E220" s="231" t="s">
        <v>301</v>
      </c>
      <c r="F220" s="231"/>
      <c r="G220" s="231"/>
      <c r="H220" s="89"/>
      <c r="I220" s="232"/>
      <c r="J220" s="231"/>
      <c r="K220" s="232"/>
      <c r="L220" s="232"/>
      <c r="M220" s="231"/>
      <c r="N220" s="232"/>
      <c r="O220" s="285"/>
      <c r="P220" s="285"/>
      <c r="Q220" s="232"/>
      <c r="R220" s="232"/>
      <c r="S220" s="232"/>
      <c r="T220" s="232"/>
      <c r="U220" s="232"/>
      <c r="V220" s="232"/>
      <c r="W220" s="232"/>
      <c r="X220" s="232"/>
      <c r="Y220" s="232"/>
      <c r="Z220" s="232"/>
      <c r="AA220" s="232"/>
      <c r="AB220" s="232"/>
      <c r="AC220" s="232"/>
      <c r="AD220" s="232"/>
      <c r="AE220" s="232"/>
      <c r="AF220" s="232"/>
      <c r="AG220" s="232"/>
      <c r="AH220" s="232"/>
      <c r="AI220" s="232"/>
      <c r="AJ220" s="232"/>
      <c r="AK220" s="232"/>
      <c r="AL220" s="232"/>
      <c r="AM220" s="232"/>
      <c r="AN220" s="232"/>
      <c r="AO220" s="232"/>
      <c r="AP220" s="232"/>
      <c r="AQ220" s="232"/>
      <c r="AR220" s="232"/>
      <c r="AS220" s="232"/>
      <c r="AT220" s="232"/>
      <c r="AU220" s="232"/>
      <c r="AV220" s="232"/>
      <c r="AW220" s="232"/>
      <c r="AX220" s="232"/>
      <c r="AY220" s="232"/>
      <c r="AZ220" s="232"/>
      <c r="BA220" s="232"/>
      <c r="BB220" s="232"/>
      <c r="BC220" s="232"/>
      <c r="BD220" s="232"/>
      <c r="BE220" s="232"/>
      <c r="BF220" s="232"/>
      <c r="BG220" s="232"/>
      <c r="BH220" s="38"/>
    </row>
    <row r="221" spans="1:60" x14ac:dyDescent="0.2">
      <c r="A221" s="648"/>
      <c r="B221" s="492" t="s">
        <v>299</v>
      </c>
      <c r="C221" s="656" t="s">
        <v>113</v>
      </c>
      <c r="D221" s="747"/>
      <c r="E221" s="220" t="s">
        <v>302</v>
      </c>
      <c r="F221" s="220"/>
      <c r="G221" s="220"/>
      <c r="H221" s="242" t="s">
        <v>70</v>
      </c>
      <c r="I221" s="129"/>
      <c r="J221" s="271"/>
      <c r="K221" s="279"/>
      <c r="L221" s="279"/>
      <c r="M221" s="243" t="str">
        <f>CONCATENATE(O221,"/",Q221)</f>
        <v>gebouw/gebouw</v>
      </c>
      <c r="N221" s="100"/>
      <c r="O221" s="207" t="str">
        <f>IF(O80=geen,"-",O81)</f>
        <v>gebouw</v>
      </c>
      <c r="P221" s="207" t="str">
        <f>IF(P80=geen,"-",P81)</f>
        <v>-</v>
      </c>
      <c r="Q221" s="207" t="str">
        <f>IF(Q80=geen,"-",Q81)</f>
        <v>gebouw</v>
      </c>
      <c r="R221" s="335"/>
      <c r="S221" s="335"/>
      <c r="T221" s="335"/>
      <c r="U221" s="335"/>
      <c r="V221" s="335"/>
      <c r="W221" s="335"/>
      <c r="X221" s="128"/>
      <c r="Y221" s="243" t="str">
        <f>CONCATENATE(AA221,"/",AC221)</f>
        <v>gebouw/gebouw</v>
      </c>
      <c r="Z221" s="100"/>
      <c r="AA221" s="207" t="str">
        <f>IF(AA80=geen,"-",AA81)</f>
        <v>gebouw</v>
      </c>
      <c r="AB221" s="207" t="str">
        <f>IF(AB80=geen,"-",AB81)</f>
        <v>-</v>
      </c>
      <c r="AC221" s="207" t="str">
        <f>IF(AC80=geen,"-",AC81)</f>
        <v>gebouw</v>
      </c>
      <c r="AD221" s="335"/>
      <c r="AE221" s="335"/>
      <c r="AF221" s="335"/>
      <c r="AG221" s="335"/>
      <c r="AH221" s="335"/>
      <c r="AI221" s="335"/>
      <c r="AJ221" s="128"/>
      <c r="AK221" s="243" t="str">
        <f>CONCATENATE(AM221,"/",AO221)</f>
        <v>gebouw/gebouw</v>
      </c>
      <c r="AL221" s="100"/>
      <c r="AM221" s="207" t="str">
        <f>IF(AM80=geen,"-",AM81)</f>
        <v>gebouw</v>
      </c>
      <c r="AN221" s="207" t="str">
        <f>IF(AN80=geen,"-",AN81)</f>
        <v>-</v>
      </c>
      <c r="AO221" s="207" t="str">
        <f>IF(AO80=geen,"-",AO81)</f>
        <v>gebouw</v>
      </c>
      <c r="AP221" s="335"/>
      <c r="AQ221" s="335"/>
      <c r="AR221" s="335"/>
      <c r="AS221" s="335"/>
      <c r="AT221" s="335"/>
      <c r="AU221" s="335"/>
      <c r="AV221" s="128"/>
      <c r="AW221" s="243" t="str">
        <f>CONCATENATE(AY221,"/",BA221)</f>
        <v>gebouw/gebouw</v>
      </c>
      <c r="AX221" s="100"/>
      <c r="AY221" s="207" t="str">
        <f>IF(AY80=geen,"-",AY81)</f>
        <v>gebouw</v>
      </c>
      <c r="AZ221" s="207" t="str">
        <f>IF(AZ80=geen,"-",AZ81)</f>
        <v>-</v>
      </c>
      <c r="BA221" s="207" t="str">
        <f>IF(BA80=geen,"-",BA81)</f>
        <v>gebouw</v>
      </c>
      <c r="BB221" s="207"/>
      <c r="BC221" s="335"/>
      <c r="BD221" s="335"/>
      <c r="BE221" s="335"/>
      <c r="BF221" s="335"/>
      <c r="BG221" s="335"/>
      <c r="BH221" s="255"/>
    </row>
    <row r="222" spans="1:60" x14ac:dyDescent="0.2">
      <c r="A222" s="648"/>
      <c r="B222" s="492" t="s">
        <v>299</v>
      </c>
      <c r="C222" s="656" t="s">
        <v>113</v>
      </c>
      <c r="D222" s="747"/>
      <c r="E222" s="220" t="s">
        <v>222</v>
      </c>
      <c r="F222" s="220"/>
      <c r="G222" s="220"/>
      <c r="H222" s="242" t="s">
        <v>70</v>
      </c>
      <c r="I222" s="129"/>
      <c r="J222" s="271"/>
      <c r="K222" s="277"/>
      <c r="L222" s="277"/>
      <c r="M222" s="271" t="str">
        <f>IF(SUM(O222:Q222)=0,"",((O$221&lt;&gt;gebouw)*(O$117+O$142+O$159-O$177) + (P$221&lt;&gt;gebouw)*(P$117+P$142+P$159-P$177) + (Q$221&lt;&gt;gebouw)*(Q$117+Q$142+Q$159-Q$177) )/  ((O$221&lt;&gt;gebouw)*O$75 + AND(P$221&lt;&gt;gebouw,P$221&lt;&gt;"-")*P$75 + (Q$221&lt;&gt;gebouw)*Q$75) )</f>
        <v/>
      </c>
      <c r="N222" s="278"/>
      <c r="O222" s="272" t="str">
        <f>IF(OR(O$204=0,O$221=gebouw),"-",(O$117+O$142+O$159-O$177)/O$75)</f>
        <v>-</v>
      </c>
      <c r="P222" s="272" t="str">
        <f>IF(OR(P$204=0,P$221=gebouw),"-",(P$117+P$142+P$159-P$177)/P$75)</f>
        <v>-</v>
      </c>
      <c r="Q222" s="272" t="str">
        <f>IF(OR(Q$204=0,Q$221=gebouw),"-",(Q$117+Q$142+Q$159-Q$177)/Q$75)</f>
        <v>-</v>
      </c>
      <c r="R222" s="336"/>
      <c r="S222" s="336"/>
      <c r="T222" s="336"/>
      <c r="U222" s="336"/>
      <c r="V222" s="336"/>
      <c r="W222" s="336"/>
      <c r="X222" s="139"/>
      <c r="Y222" s="271" t="str">
        <f>IF(SUM(AA222:AC222)=0,"",((AA$221&lt;&gt;gebouw)*(AA$117+AA$142+AA$159-AA$177) + (AB$221&lt;&gt;gebouw)*(AB$117+AB$142+AB$159-AB$177) + (AC$221&lt;&gt;gebouw)*(AC$117+AC$142+AC$159-AC$177) )/  ((AA$221&lt;&gt;gebouw)*AA$75 + AND(AB$221&lt;&gt;gebouw,AB$221&lt;&gt;"-")*AB$75 + (AC$221&lt;&gt;gebouw)*AC$75) )</f>
        <v/>
      </c>
      <c r="Z222" s="278"/>
      <c r="AA222" s="272" t="str">
        <f>IF(OR(AA$204=0,AA$221=gebouw),"-",(AA$117+AA$142+AA$159-AA$177)/AA$75)</f>
        <v>-</v>
      </c>
      <c r="AB222" s="272" t="str">
        <f>IF(OR(AB$204=0,AB$221=gebouw),"-",(AB$117+AB$142+AB$159-AB$177)/AB$75)</f>
        <v>-</v>
      </c>
      <c r="AC222" s="272" t="str">
        <f>IF(OR(AC$204=0,AC$221=gebouw),"-",(AC$117+AC$142+AC$159-AC$177)/AC$75)</f>
        <v>-</v>
      </c>
      <c r="AD222" s="336"/>
      <c r="AE222" s="336"/>
      <c r="AF222" s="336"/>
      <c r="AG222" s="336"/>
      <c r="AH222" s="336"/>
      <c r="AI222" s="336"/>
      <c r="AJ222" s="139"/>
      <c r="AK222" s="271" t="str">
        <f>IF(SUM(AM222:AO222)=0,"",((AM$221&lt;&gt;gebouw)*(AM$117+AM$142+AM$159-AM$177) + (AN$221&lt;&gt;gebouw)*(AN$117+AN$142+AN$159-AN$177) + (AO$221&lt;&gt;gebouw)*(AO$117+AO$142+AO$159-AO$177) )/  ((AM$221&lt;&gt;gebouw)*AM$75 + AND(AN$221&lt;&gt;gebouw,AN$221&lt;&gt;"-")*AN$75 + (AO$221&lt;&gt;gebouw)*AO$75) )</f>
        <v/>
      </c>
      <c r="AL222" s="278"/>
      <c r="AM222" s="272" t="str">
        <f>IF(OR(AM$204=0,AM$221=gebouw),"-",(AM$117+AM$142+AM$159-AM$177)/AM$75)</f>
        <v>-</v>
      </c>
      <c r="AN222" s="272" t="str">
        <f>IF(OR(AN$204=0,AN$221=gebouw),"-",(AN$117+AN$142+AN$159-AN$177)/AN$75)</f>
        <v>-</v>
      </c>
      <c r="AO222" s="272" t="str">
        <f>IF(OR(AO$204=0,AO$221=gebouw),"-",(AO$117+AO$142+AO$159-AO$177)/AO$75)</f>
        <v>-</v>
      </c>
      <c r="AP222" s="336"/>
      <c r="AQ222" s="336"/>
      <c r="AR222" s="336"/>
      <c r="AS222" s="336"/>
      <c r="AT222" s="336"/>
      <c r="AU222" s="336"/>
      <c r="AV222" s="139"/>
      <c r="AW222" s="271" t="str">
        <f>IF(SUM(AY222:BA222)=0,"",((AY$221&lt;&gt;gebouw)*(AY$117+AY$142+AY$159-AY$177) + (AZ$221&lt;&gt;gebouw)*(AZ$117+AZ$142+AZ$159-AZ$177) + (BA$221&lt;&gt;gebouw)*(BA$117+BA$142+BA$159-BA$177) )/  ((AY$221&lt;&gt;gebouw)*AY$75 + AND(AZ$221&lt;&gt;gebouw,AZ$221&lt;&gt;"-")*AZ$75 + (BA$221&lt;&gt;gebouw)*BA$75) )</f>
        <v/>
      </c>
      <c r="AX222" s="278"/>
      <c r="AY222" s="272" t="str">
        <f>IF(OR(AY$204=0,AY$221=gebouw),"-",(AY$117+AY$142+AY$159-AY$177)/AY$75)</f>
        <v>-</v>
      </c>
      <c r="AZ222" s="272" t="str">
        <f>IF(OR(AZ$204=0,AZ$221=gebouw),"-",(AZ$117+AZ$142+AZ$159-AZ$177)/AZ$75)</f>
        <v>-</v>
      </c>
      <c r="BA222" s="272" t="str">
        <f>IF(OR(BA$204=0,BA$221=gebouw),"-",(BA$117+BA$142+BA$159-BA$177)/BA$75)</f>
        <v>-</v>
      </c>
      <c r="BB222" s="272"/>
      <c r="BC222" s="336"/>
      <c r="BD222" s="336"/>
      <c r="BE222" s="336"/>
      <c r="BF222" s="336"/>
      <c r="BG222" s="336"/>
      <c r="BH222" s="255"/>
    </row>
    <row r="223" spans="1:60" x14ac:dyDescent="0.2">
      <c r="A223" s="648"/>
      <c r="B223" s="492" t="s">
        <v>299</v>
      </c>
      <c r="C223" s="739" t="s">
        <v>104</v>
      </c>
      <c r="D223" s="747"/>
      <c r="E223" s="90"/>
      <c r="F223" s="90"/>
      <c r="G223" s="90"/>
      <c r="H223" s="96"/>
      <c r="I223" s="90"/>
      <c r="J223" s="93"/>
      <c r="K223" s="90"/>
      <c r="L223" s="90"/>
      <c r="M223" s="690"/>
      <c r="N223" s="90"/>
      <c r="O223" s="93"/>
      <c r="P223" s="93"/>
      <c r="Q223" s="93"/>
      <c r="R223" s="93"/>
      <c r="S223" s="93"/>
      <c r="T223" s="93"/>
      <c r="U223" s="93"/>
      <c r="V223" s="93"/>
      <c r="W223" s="93"/>
      <c r="X223" s="93"/>
      <c r="Y223" s="139"/>
      <c r="Z223" s="90"/>
      <c r="AA223" s="93"/>
      <c r="AB223" s="93"/>
      <c r="AC223" s="93"/>
      <c r="AD223" s="93"/>
      <c r="AE223" s="93"/>
      <c r="AF223" s="93"/>
      <c r="AG223" s="93"/>
      <c r="AH223" s="93"/>
      <c r="AI223" s="93"/>
      <c r="AJ223" s="93"/>
      <c r="AK223" s="93"/>
      <c r="AL223" s="90"/>
      <c r="AM223" s="93"/>
      <c r="AN223" s="93"/>
      <c r="AO223" s="93"/>
      <c r="AP223" s="93"/>
      <c r="AQ223" s="93"/>
      <c r="AR223" s="93"/>
      <c r="AS223" s="93"/>
      <c r="AT223" s="93"/>
      <c r="AU223" s="93"/>
      <c r="AV223" s="93"/>
      <c r="AW223" s="93"/>
      <c r="AX223" s="90"/>
      <c r="AY223" s="90"/>
      <c r="AZ223" s="93"/>
      <c r="BA223" s="93"/>
      <c r="BB223" s="93"/>
      <c r="BC223" s="93"/>
      <c r="BD223" s="93"/>
      <c r="BE223" s="93"/>
      <c r="BF223" s="93"/>
      <c r="BG223" s="93"/>
      <c r="BH223" s="1"/>
    </row>
    <row r="224" spans="1:60" x14ac:dyDescent="0.2">
      <c r="A224" s="648"/>
      <c r="B224" s="492" t="s">
        <v>303</v>
      </c>
      <c r="C224" s="656" t="s">
        <v>104</v>
      </c>
      <c r="D224" s="747"/>
      <c r="E224" s="90"/>
      <c r="F224" s="90"/>
      <c r="G224" s="90"/>
      <c r="H224" s="96"/>
      <c r="I224" s="90"/>
      <c r="J224" s="93"/>
      <c r="K224" s="90"/>
      <c r="L224" s="90"/>
      <c r="M224" s="93"/>
      <c r="N224" s="90"/>
      <c r="O224" s="93"/>
      <c r="P224" s="93"/>
      <c r="Q224" s="93"/>
      <c r="R224" s="93"/>
      <c r="S224" s="93"/>
      <c r="T224" s="93"/>
      <c r="U224" s="93"/>
      <c r="V224" s="93"/>
      <c r="W224" s="93"/>
      <c r="X224" s="93"/>
      <c r="Y224" s="93"/>
      <c r="Z224" s="90"/>
      <c r="AA224" s="93"/>
      <c r="AB224" s="93"/>
      <c r="AC224" s="93"/>
      <c r="AD224" s="93"/>
      <c r="AE224" s="93"/>
      <c r="AF224" s="93"/>
      <c r="AG224" s="93"/>
      <c r="AH224" s="93"/>
      <c r="AI224" s="93"/>
      <c r="AJ224" s="93"/>
      <c r="AK224" s="93"/>
      <c r="AL224" s="90"/>
      <c r="AM224" s="93"/>
      <c r="AN224" s="93"/>
      <c r="AO224" s="93"/>
      <c r="AP224" s="93"/>
      <c r="AQ224" s="93"/>
      <c r="AR224" s="93"/>
      <c r="AS224" s="93"/>
      <c r="AT224" s="93"/>
      <c r="AU224" s="93"/>
      <c r="AV224" s="93"/>
      <c r="AW224" s="93"/>
      <c r="AX224" s="90"/>
      <c r="AY224" s="93"/>
      <c r="AZ224" s="93"/>
      <c r="BA224" s="93"/>
      <c r="BB224" s="93"/>
      <c r="BC224" s="93"/>
      <c r="BD224" s="93"/>
      <c r="BE224" s="93"/>
      <c r="BF224" s="93"/>
      <c r="BG224" s="93"/>
      <c r="BH224" s="1"/>
    </row>
    <row r="225" spans="1:60" s="2" customFormat="1" ht="21" x14ac:dyDescent="0.2">
      <c r="A225" s="649"/>
      <c r="B225" s="492" t="s">
        <v>303</v>
      </c>
      <c r="C225" s="739" t="s">
        <v>104</v>
      </c>
      <c r="D225" s="749" t="s">
        <v>50</v>
      </c>
      <c r="E225" s="253" t="s">
        <v>304</v>
      </c>
      <c r="F225" s="253"/>
      <c r="G225" s="253"/>
      <c r="H225" s="253"/>
      <c r="I225" s="146"/>
      <c r="J225" s="318"/>
      <c r="K225" s="142"/>
      <c r="L225" s="142"/>
      <c r="M225" s="318"/>
      <c r="N225" s="222"/>
      <c r="O225" s="320" t="str">
        <f t="shared" ref="O225:W225" si="144">O$17</f>
        <v/>
      </c>
      <c r="P225" s="320" t="str">
        <f t="shared" si="144"/>
        <v/>
      </c>
      <c r="Q225" s="320" t="str">
        <f t="shared" si="144"/>
        <v/>
      </c>
      <c r="R225" s="320" t="str">
        <f t="shared" si="144"/>
        <v/>
      </c>
      <c r="S225" s="320" t="str">
        <f t="shared" si="144"/>
        <v/>
      </c>
      <c r="T225" s="320" t="str">
        <f t="shared" si="144"/>
        <v/>
      </c>
      <c r="U225" s="320" t="str">
        <f t="shared" si="144"/>
        <v/>
      </c>
      <c r="V225" s="320" t="str">
        <f t="shared" si="144"/>
        <v/>
      </c>
      <c r="W225" s="320" t="str">
        <f t="shared" si="144"/>
        <v/>
      </c>
      <c r="X225" s="214"/>
      <c r="Y225" s="318"/>
      <c r="Z225" s="222"/>
      <c r="AA225" s="320" t="str">
        <f t="shared" ref="AA225:AI225" si="145">AA$17</f>
        <v/>
      </c>
      <c r="AB225" s="320" t="str">
        <f t="shared" si="145"/>
        <v/>
      </c>
      <c r="AC225" s="320" t="str">
        <f t="shared" si="145"/>
        <v/>
      </c>
      <c r="AD225" s="320" t="str">
        <f t="shared" si="145"/>
        <v/>
      </c>
      <c r="AE225" s="320" t="str">
        <f t="shared" si="145"/>
        <v/>
      </c>
      <c r="AF225" s="320" t="str">
        <f t="shared" si="145"/>
        <v/>
      </c>
      <c r="AG225" s="320" t="str">
        <f t="shared" si="145"/>
        <v/>
      </c>
      <c r="AH225" s="320" t="str">
        <f t="shared" si="145"/>
        <v/>
      </c>
      <c r="AI225" s="320" t="str">
        <f t="shared" si="145"/>
        <v/>
      </c>
      <c r="AJ225" s="214"/>
      <c r="AK225" s="318"/>
      <c r="AL225" s="222"/>
      <c r="AM225" s="320" t="str">
        <f>AM$17</f>
        <v/>
      </c>
      <c r="AN225" s="320" t="str">
        <f t="shared" ref="AN225:AU225" si="146">AN$17</f>
        <v/>
      </c>
      <c r="AO225" s="320" t="str">
        <f t="shared" si="146"/>
        <v/>
      </c>
      <c r="AP225" s="320" t="str">
        <f t="shared" si="146"/>
        <v/>
      </c>
      <c r="AQ225" s="320" t="str">
        <f t="shared" si="146"/>
        <v/>
      </c>
      <c r="AR225" s="320" t="str">
        <f t="shared" si="146"/>
        <v/>
      </c>
      <c r="AS225" s="320" t="str">
        <f t="shared" si="146"/>
        <v/>
      </c>
      <c r="AT225" s="320" t="str">
        <f t="shared" si="146"/>
        <v/>
      </c>
      <c r="AU225" s="320" t="str">
        <f t="shared" si="146"/>
        <v/>
      </c>
      <c r="AV225" s="214"/>
      <c r="AW225" s="318"/>
      <c r="AX225" s="222"/>
      <c r="AY225" s="374" t="str">
        <f>AY$17</f>
        <v/>
      </c>
      <c r="AZ225" s="374" t="str">
        <f t="shared" ref="AZ225:BG225" si="147">AZ$17</f>
        <v/>
      </c>
      <c r="BA225" s="374" t="str">
        <f t="shared" si="147"/>
        <v/>
      </c>
      <c r="BB225" s="374" t="str">
        <f t="shared" si="147"/>
        <v/>
      </c>
      <c r="BC225" s="374" t="str">
        <f t="shared" si="147"/>
        <v/>
      </c>
      <c r="BD225" s="374" t="str">
        <f t="shared" si="147"/>
        <v/>
      </c>
      <c r="BE225" s="374" t="str">
        <f t="shared" si="147"/>
        <v/>
      </c>
      <c r="BF225" s="374" t="str">
        <f t="shared" si="147"/>
        <v/>
      </c>
      <c r="BG225" s="374" t="str">
        <f t="shared" si="147"/>
        <v/>
      </c>
      <c r="BH225" s="1"/>
    </row>
    <row r="226" spans="1:60" ht="18.75" x14ac:dyDescent="0.2">
      <c r="A226" s="648"/>
      <c r="B226" s="492" t="s">
        <v>303</v>
      </c>
      <c r="C226" s="739" t="s">
        <v>104</v>
      </c>
      <c r="D226" s="747"/>
      <c r="E226" s="236" t="s">
        <v>305</v>
      </c>
      <c r="F226" s="236"/>
      <c r="G226" s="236"/>
      <c r="H226" s="89"/>
      <c r="I226" s="236"/>
      <c r="J226" s="236"/>
      <c r="K226" s="236"/>
      <c r="L226" s="236"/>
      <c r="M226" s="236"/>
      <c r="N226" s="236"/>
      <c r="O226" s="236"/>
      <c r="P226" s="236"/>
      <c r="Q226" s="236"/>
      <c r="R226" s="236"/>
      <c r="S226" s="236"/>
      <c r="T226" s="236"/>
      <c r="U226" s="236"/>
      <c r="V226" s="236"/>
      <c r="W226" s="236"/>
      <c r="X226" s="236"/>
      <c r="Y226" s="236"/>
      <c r="Z226" s="236"/>
      <c r="AA226" s="236"/>
      <c r="AB226" s="236"/>
      <c r="AC226" s="236"/>
      <c r="AD226" s="236"/>
      <c r="AE226" s="236"/>
      <c r="AF226" s="236"/>
      <c r="AG226" s="236"/>
      <c r="AH226" s="236"/>
      <c r="AI226" s="236"/>
      <c r="AJ226" s="236"/>
      <c r="AK226" s="236"/>
      <c r="AL226" s="236"/>
      <c r="AM226" s="236"/>
      <c r="AN226" s="236"/>
      <c r="AO226" s="236"/>
      <c r="AP226" s="236"/>
      <c r="AQ226" s="236"/>
      <c r="AR226" s="236"/>
      <c r="AS226" s="236"/>
      <c r="AT226" s="236"/>
      <c r="AU226" s="236"/>
      <c r="AV226" s="236"/>
      <c r="AW226" s="236"/>
      <c r="AX226" s="236"/>
      <c r="AY226" s="236"/>
      <c r="AZ226" s="236"/>
      <c r="BA226" s="236"/>
      <c r="BB226" s="236"/>
      <c r="BC226" s="236"/>
      <c r="BD226" s="236"/>
      <c r="BE226" s="236"/>
      <c r="BF226" s="236"/>
      <c r="BG226" s="236"/>
      <c r="BH226" s="38"/>
    </row>
    <row r="227" spans="1:60" x14ac:dyDescent="0.2">
      <c r="A227" s="648"/>
      <c r="B227" s="492" t="s">
        <v>303</v>
      </c>
      <c r="C227" s="656" t="s">
        <v>113</v>
      </c>
      <c r="D227" s="750"/>
      <c r="E227" s="220" t="s">
        <v>306</v>
      </c>
      <c r="F227" s="220"/>
      <c r="G227" s="220"/>
      <c r="H227" s="242" t="s">
        <v>169</v>
      </c>
      <c r="I227" s="129"/>
      <c r="J227" s="243"/>
      <c r="K227" s="279"/>
      <c r="L227" s="279"/>
      <c r="M227" s="243"/>
      <c r="N227" s="100"/>
      <c r="O227" s="207" t="str">
        <f t="shared" ref="O227:W227" si="148">IF(O$19="","",O60)</f>
        <v/>
      </c>
      <c r="P227" s="207" t="str">
        <f t="shared" si="148"/>
        <v/>
      </c>
      <c r="Q227" s="207" t="str">
        <f t="shared" si="148"/>
        <v/>
      </c>
      <c r="R227" s="207" t="str">
        <f t="shared" si="148"/>
        <v/>
      </c>
      <c r="S227" s="207" t="str">
        <f t="shared" si="148"/>
        <v/>
      </c>
      <c r="T227" s="207" t="str">
        <f t="shared" si="148"/>
        <v/>
      </c>
      <c r="U227" s="207" t="str">
        <f t="shared" si="148"/>
        <v/>
      </c>
      <c r="V227" s="207" t="str">
        <f t="shared" si="148"/>
        <v/>
      </c>
      <c r="W227" s="207" t="str">
        <f t="shared" si="148"/>
        <v/>
      </c>
      <c r="X227" s="128"/>
      <c r="Y227" s="243"/>
      <c r="Z227" s="100"/>
      <c r="AA227" s="207" t="str">
        <f t="shared" ref="AA227:AI227" si="149">IF(AA$19="","",AA60)</f>
        <v/>
      </c>
      <c r="AB227" s="207" t="str">
        <f t="shared" si="149"/>
        <v/>
      </c>
      <c r="AC227" s="207" t="str">
        <f t="shared" si="149"/>
        <v/>
      </c>
      <c r="AD227" s="207" t="str">
        <f t="shared" si="149"/>
        <v/>
      </c>
      <c r="AE227" s="207" t="str">
        <f t="shared" si="149"/>
        <v/>
      </c>
      <c r="AF227" s="207" t="str">
        <f t="shared" si="149"/>
        <v/>
      </c>
      <c r="AG227" s="207" t="str">
        <f t="shared" si="149"/>
        <v/>
      </c>
      <c r="AH227" s="207" t="str">
        <f t="shared" si="149"/>
        <v/>
      </c>
      <c r="AI227" s="207" t="str">
        <f t="shared" si="149"/>
        <v/>
      </c>
      <c r="AJ227" s="128"/>
      <c r="AK227" s="243"/>
      <c r="AL227" s="100"/>
      <c r="AM227" s="207" t="str">
        <f t="shared" ref="AM227:AU227" si="150">IF(AM$19="","",AM60)</f>
        <v/>
      </c>
      <c r="AN227" s="207" t="str">
        <f t="shared" si="150"/>
        <v/>
      </c>
      <c r="AO227" s="207" t="str">
        <f t="shared" si="150"/>
        <v/>
      </c>
      <c r="AP227" s="207" t="str">
        <f t="shared" si="150"/>
        <v/>
      </c>
      <c r="AQ227" s="207" t="str">
        <f t="shared" si="150"/>
        <v/>
      </c>
      <c r="AR227" s="207" t="str">
        <f t="shared" si="150"/>
        <v/>
      </c>
      <c r="AS227" s="207" t="str">
        <f t="shared" si="150"/>
        <v/>
      </c>
      <c r="AT227" s="207" t="str">
        <f t="shared" si="150"/>
        <v/>
      </c>
      <c r="AU227" s="207" t="str">
        <f t="shared" si="150"/>
        <v/>
      </c>
      <c r="AV227" s="128"/>
      <c r="AW227" s="243"/>
      <c r="AX227" s="100"/>
      <c r="AY227" s="207" t="str">
        <f t="shared" ref="AY227:BG227" si="151">IF(AY$19="","",AY60)</f>
        <v/>
      </c>
      <c r="AZ227" s="207" t="str">
        <f t="shared" si="151"/>
        <v/>
      </c>
      <c r="BA227" s="207" t="str">
        <f t="shared" si="151"/>
        <v/>
      </c>
      <c r="BB227" s="207" t="str">
        <f t="shared" si="151"/>
        <v/>
      </c>
      <c r="BC227" s="207" t="str">
        <f t="shared" si="151"/>
        <v/>
      </c>
      <c r="BD227" s="207" t="str">
        <f t="shared" si="151"/>
        <v/>
      </c>
      <c r="BE227" s="207" t="str">
        <f t="shared" si="151"/>
        <v/>
      </c>
      <c r="BF227" s="207" t="str">
        <f t="shared" si="151"/>
        <v/>
      </c>
      <c r="BG227" s="207" t="str">
        <f t="shared" si="151"/>
        <v/>
      </c>
      <c r="BH227" s="255"/>
    </row>
    <row r="228" spans="1:60" ht="18.75" x14ac:dyDescent="0.2">
      <c r="A228" s="648"/>
      <c r="B228" s="492" t="s">
        <v>303</v>
      </c>
      <c r="C228" s="739" t="s">
        <v>104</v>
      </c>
      <c r="D228" s="747"/>
      <c r="E228" s="236" t="s">
        <v>307</v>
      </c>
      <c r="F228" s="236"/>
      <c r="G228" s="236"/>
      <c r="H228" s="89"/>
      <c r="I228" s="236"/>
      <c r="J228" s="236"/>
      <c r="K228" s="236"/>
      <c r="L228" s="236"/>
      <c r="M228" s="236"/>
      <c r="N228" s="236"/>
      <c r="O228" s="236"/>
      <c r="P228" s="236"/>
      <c r="Q228" s="236"/>
      <c r="R228" s="236"/>
      <c r="S228" s="236"/>
      <c r="T228" s="236"/>
      <c r="U228" s="236"/>
      <c r="V228" s="236"/>
      <c r="W228" s="236"/>
      <c r="X228" s="236"/>
      <c r="Y228" s="236"/>
      <c r="Z228" s="236"/>
      <c r="AA228" s="236"/>
      <c r="AB228" s="236"/>
      <c r="AC228" s="236"/>
      <c r="AD228" s="236"/>
      <c r="AE228" s="236"/>
      <c r="AF228" s="236"/>
      <c r="AG228" s="236"/>
      <c r="AH228" s="236"/>
      <c r="AI228" s="236"/>
      <c r="AJ228" s="236"/>
      <c r="AK228" s="236"/>
      <c r="AL228" s="236"/>
      <c r="AM228" s="236"/>
      <c r="AN228" s="236"/>
      <c r="AO228" s="236"/>
      <c r="AP228" s="236"/>
      <c r="AQ228" s="236"/>
      <c r="AR228" s="236"/>
      <c r="AS228" s="236"/>
      <c r="AT228" s="236"/>
      <c r="AU228" s="236"/>
      <c r="AV228" s="236"/>
      <c r="AW228" s="236"/>
      <c r="AX228" s="236"/>
      <c r="AY228" s="236"/>
      <c r="AZ228" s="236"/>
      <c r="BA228" s="236"/>
      <c r="BB228" s="236"/>
      <c r="BC228" s="236"/>
      <c r="BD228" s="236"/>
      <c r="BE228" s="236"/>
      <c r="BF228" s="236"/>
      <c r="BG228" s="236"/>
      <c r="BH228" s="38"/>
    </row>
    <row r="229" spans="1:60" x14ac:dyDescent="0.2">
      <c r="A229" s="648"/>
      <c r="B229" s="492" t="s">
        <v>303</v>
      </c>
      <c r="C229" s="656" t="s">
        <v>113</v>
      </c>
      <c r="D229" s="750"/>
      <c r="E229" s="220" t="s">
        <v>306</v>
      </c>
      <c r="F229" s="220"/>
      <c r="G229" s="220"/>
      <c r="H229" s="242" t="s">
        <v>169</v>
      </c>
      <c r="I229" s="129"/>
      <c r="J229" s="243"/>
      <c r="K229" s="279"/>
      <c r="L229" s="279"/>
      <c r="M229" s="243"/>
      <c r="N229" s="100"/>
      <c r="O229" s="207" t="str">
        <f t="shared" ref="O229:W229" si="152">IF(O$19="","-",O61)</f>
        <v>-</v>
      </c>
      <c r="P229" s="207" t="str">
        <f t="shared" si="152"/>
        <v>-</v>
      </c>
      <c r="Q229" s="207" t="str">
        <f t="shared" si="152"/>
        <v>-</v>
      </c>
      <c r="R229" s="207" t="str">
        <f t="shared" si="152"/>
        <v>-</v>
      </c>
      <c r="S229" s="207" t="str">
        <f t="shared" si="152"/>
        <v>-</v>
      </c>
      <c r="T229" s="207" t="str">
        <f t="shared" si="152"/>
        <v>-</v>
      </c>
      <c r="U229" s="207" t="str">
        <f t="shared" si="152"/>
        <v>-</v>
      </c>
      <c r="V229" s="207" t="str">
        <f t="shared" si="152"/>
        <v>-</v>
      </c>
      <c r="W229" s="207" t="str">
        <f t="shared" si="152"/>
        <v>-</v>
      </c>
      <c r="X229" s="128"/>
      <c r="Y229" s="243"/>
      <c r="Z229" s="100"/>
      <c r="AA229" s="207" t="str">
        <f t="shared" ref="AA229:AI229" si="153">IF(AA$19="","-",AA61)</f>
        <v>-</v>
      </c>
      <c r="AB229" s="207" t="str">
        <f t="shared" si="153"/>
        <v>-</v>
      </c>
      <c r="AC229" s="207" t="str">
        <f t="shared" si="153"/>
        <v>-</v>
      </c>
      <c r="AD229" s="207" t="str">
        <f t="shared" si="153"/>
        <v>-</v>
      </c>
      <c r="AE229" s="207" t="str">
        <f t="shared" si="153"/>
        <v>-</v>
      </c>
      <c r="AF229" s="207" t="str">
        <f t="shared" si="153"/>
        <v>-</v>
      </c>
      <c r="AG229" s="207" t="str">
        <f t="shared" si="153"/>
        <v>-</v>
      </c>
      <c r="AH229" s="207" t="str">
        <f t="shared" si="153"/>
        <v>-</v>
      </c>
      <c r="AI229" s="207" t="str">
        <f t="shared" si="153"/>
        <v>-</v>
      </c>
      <c r="AJ229" s="128"/>
      <c r="AK229" s="243"/>
      <c r="AL229" s="100"/>
      <c r="AM229" s="207" t="str">
        <f t="shared" ref="AM229:AU229" si="154">IF(AM$19="","-",AM61)</f>
        <v>-</v>
      </c>
      <c r="AN229" s="207" t="str">
        <f t="shared" si="154"/>
        <v>-</v>
      </c>
      <c r="AO229" s="207" t="str">
        <f t="shared" si="154"/>
        <v>-</v>
      </c>
      <c r="AP229" s="207" t="str">
        <f t="shared" si="154"/>
        <v>-</v>
      </c>
      <c r="AQ229" s="207" t="str">
        <f t="shared" si="154"/>
        <v>-</v>
      </c>
      <c r="AR229" s="207" t="str">
        <f t="shared" si="154"/>
        <v>-</v>
      </c>
      <c r="AS229" s="207" t="str">
        <f t="shared" si="154"/>
        <v>-</v>
      </c>
      <c r="AT229" s="207" t="str">
        <f t="shared" si="154"/>
        <v>-</v>
      </c>
      <c r="AU229" s="207" t="str">
        <f t="shared" si="154"/>
        <v>-</v>
      </c>
      <c r="AV229" s="128"/>
      <c r="AW229" s="243"/>
      <c r="AX229" s="100"/>
      <c r="AY229" s="207" t="str">
        <f t="shared" ref="AY229:BG229" si="155">IF(AY$19="","-",AY61)</f>
        <v>-</v>
      </c>
      <c r="AZ229" s="207" t="str">
        <f t="shared" si="155"/>
        <v>-</v>
      </c>
      <c r="BA229" s="207" t="str">
        <f t="shared" si="155"/>
        <v>-</v>
      </c>
      <c r="BB229" s="207" t="str">
        <f t="shared" si="155"/>
        <v>-</v>
      </c>
      <c r="BC229" s="207" t="str">
        <f t="shared" si="155"/>
        <v>-</v>
      </c>
      <c r="BD229" s="207" t="str">
        <f t="shared" si="155"/>
        <v>-</v>
      </c>
      <c r="BE229" s="207" t="str">
        <f t="shared" si="155"/>
        <v>-</v>
      </c>
      <c r="BF229" s="207" t="str">
        <f t="shared" si="155"/>
        <v>-</v>
      </c>
      <c r="BG229" s="207" t="str">
        <f t="shared" si="155"/>
        <v>-</v>
      </c>
      <c r="BH229" s="255"/>
    </row>
    <row r="230" spans="1:60" x14ac:dyDescent="0.2">
      <c r="A230" s="648"/>
      <c r="B230" s="492" t="s">
        <v>303</v>
      </c>
      <c r="C230" s="739" t="s">
        <v>104</v>
      </c>
      <c r="D230" s="747"/>
      <c r="E230" s="90"/>
      <c r="F230" s="90"/>
      <c r="G230" s="90"/>
      <c r="H230" s="96"/>
      <c r="I230" s="90"/>
      <c r="J230" s="93"/>
      <c r="K230" s="90"/>
      <c r="L230" s="90"/>
      <c r="M230" s="93"/>
      <c r="N230" s="90"/>
      <c r="O230" s="92"/>
      <c r="P230" s="93"/>
      <c r="Q230" s="93"/>
      <c r="R230" s="93"/>
      <c r="S230" s="93"/>
      <c r="T230" s="93"/>
      <c r="U230" s="93"/>
      <c r="V230" s="93"/>
      <c r="W230" s="93"/>
      <c r="X230" s="93"/>
      <c r="Y230" s="93"/>
      <c r="Z230" s="90"/>
      <c r="AA230" s="93"/>
      <c r="AB230" s="93"/>
      <c r="AC230" s="93"/>
      <c r="AD230" s="93"/>
      <c r="AE230" s="93"/>
      <c r="AF230" s="93"/>
      <c r="AG230" s="93"/>
      <c r="AH230" s="93"/>
      <c r="AI230" s="93"/>
      <c r="AJ230" s="93"/>
      <c r="AK230" s="93"/>
      <c r="AL230" s="90"/>
      <c r="AM230" s="93"/>
      <c r="AN230" s="93"/>
      <c r="AO230" s="93"/>
      <c r="AP230" s="93"/>
      <c r="AQ230" s="93"/>
      <c r="AR230" s="93"/>
      <c r="AS230" s="93"/>
      <c r="AT230" s="93"/>
      <c r="AU230" s="93"/>
      <c r="AV230" s="93"/>
      <c r="AW230" s="93"/>
      <c r="AX230" s="90"/>
      <c r="AY230" s="93"/>
      <c r="AZ230" s="93"/>
      <c r="BA230" s="93"/>
      <c r="BB230" s="93"/>
      <c r="BC230" s="93"/>
      <c r="BD230" s="93"/>
      <c r="BE230" s="93"/>
      <c r="BF230" s="93"/>
      <c r="BG230" s="93"/>
      <c r="BH230" s="1"/>
    </row>
    <row r="231" spans="1:60" hidden="1" x14ac:dyDescent="0.2">
      <c r="A231" s="648"/>
      <c r="B231" s="492" t="s">
        <v>308</v>
      </c>
      <c r="C231" s="739" t="s">
        <v>309</v>
      </c>
      <c r="D231" s="747"/>
      <c r="E231" s="90"/>
      <c r="F231" s="90"/>
      <c r="G231" s="90"/>
      <c r="H231" s="96"/>
      <c r="I231" s="90"/>
      <c r="J231" s="93"/>
      <c r="K231" s="90"/>
      <c r="L231" s="90"/>
      <c r="M231" s="93"/>
      <c r="N231" s="90"/>
      <c r="O231" s="93"/>
      <c r="P231" s="93"/>
      <c r="Q231" s="93"/>
      <c r="R231" s="93"/>
      <c r="S231" s="93"/>
      <c r="T231" s="93"/>
      <c r="U231" s="93"/>
      <c r="V231" s="93"/>
      <c r="W231" s="93"/>
      <c r="X231" s="93"/>
      <c r="Y231" s="93"/>
      <c r="Z231" s="90"/>
      <c r="AA231" s="93"/>
      <c r="AB231" s="93"/>
      <c r="AC231" s="93"/>
      <c r="AD231" s="93"/>
      <c r="AE231" s="93"/>
      <c r="AF231" s="93"/>
      <c r="AG231" s="93"/>
      <c r="AH231" s="93"/>
      <c r="AI231" s="93"/>
      <c r="AJ231" s="93"/>
      <c r="AK231" s="93"/>
      <c r="AL231" s="90"/>
      <c r="AM231" s="93"/>
      <c r="AN231" s="93"/>
      <c r="AO231" s="93"/>
      <c r="AP231" s="93"/>
      <c r="AQ231" s="93"/>
      <c r="AR231" s="93"/>
      <c r="AS231" s="93"/>
      <c r="AT231" s="93"/>
      <c r="AU231" s="93"/>
      <c r="AV231" s="93"/>
      <c r="AW231" s="93"/>
      <c r="AX231" s="90"/>
      <c r="AY231" s="93"/>
      <c r="AZ231" s="93"/>
      <c r="BA231" s="93"/>
      <c r="BB231" s="93"/>
      <c r="BC231" s="93"/>
      <c r="BD231" s="93"/>
      <c r="BE231" s="93"/>
      <c r="BF231" s="93"/>
      <c r="BG231" s="93"/>
      <c r="BH231" s="1"/>
    </row>
    <row r="232" spans="1:60" s="2" customFormat="1" ht="21" hidden="1" x14ac:dyDescent="0.2">
      <c r="A232" s="649"/>
      <c r="B232" s="492" t="s">
        <v>308</v>
      </c>
      <c r="C232" s="739" t="s">
        <v>309</v>
      </c>
      <c r="D232" s="749"/>
      <c r="E232" s="253" t="s">
        <v>310</v>
      </c>
      <c r="F232" s="253"/>
      <c r="G232" s="253"/>
      <c r="H232" s="253"/>
      <c r="I232" s="146"/>
      <c r="J232" s="318" t="str">
        <f>J$10</f>
        <v>totaal</v>
      </c>
      <c r="K232" s="142"/>
      <c r="L232" s="142"/>
      <c r="M232" s="318" t="str">
        <f>M$10</f>
        <v>totaal</v>
      </c>
      <c r="N232" s="222"/>
      <c r="O232" s="320" t="str">
        <f t="shared" ref="O232:W232" si="156">O$17</f>
        <v/>
      </c>
      <c r="P232" s="320" t="str">
        <f t="shared" si="156"/>
        <v/>
      </c>
      <c r="Q232" s="320" t="str">
        <f t="shared" si="156"/>
        <v/>
      </c>
      <c r="R232" s="320" t="str">
        <f t="shared" si="156"/>
        <v/>
      </c>
      <c r="S232" s="320" t="str">
        <f t="shared" si="156"/>
        <v/>
      </c>
      <c r="T232" s="320" t="str">
        <f t="shared" si="156"/>
        <v/>
      </c>
      <c r="U232" s="320" t="str">
        <f t="shared" si="156"/>
        <v/>
      </c>
      <c r="V232" s="320" t="str">
        <f t="shared" si="156"/>
        <v/>
      </c>
      <c r="W232" s="320" t="str">
        <f t="shared" si="156"/>
        <v/>
      </c>
      <c r="X232" s="214"/>
      <c r="Y232" s="318" t="str">
        <f>Y$10</f>
        <v>totaal</v>
      </c>
      <c r="Z232" s="222"/>
      <c r="AA232" s="320" t="str">
        <f t="shared" ref="AA232:AI232" si="157">AA$17</f>
        <v/>
      </c>
      <c r="AB232" s="320" t="str">
        <f t="shared" si="157"/>
        <v/>
      </c>
      <c r="AC232" s="320" t="str">
        <f t="shared" si="157"/>
        <v/>
      </c>
      <c r="AD232" s="320" t="str">
        <f t="shared" si="157"/>
        <v/>
      </c>
      <c r="AE232" s="320" t="str">
        <f t="shared" si="157"/>
        <v/>
      </c>
      <c r="AF232" s="320" t="str">
        <f t="shared" si="157"/>
        <v/>
      </c>
      <c r="AG232" s="320" t="str">
        <f t="shared" si="157"/>
        <v/>
      </c>
      <c r="AH232" s="320" t="str">
        <f t="shared" si="157"/>
        <v/>
      </c>
      <c r="AI232" s="320" t="str">
        <f t="shared" si="157"/>
        <v/>
      </c>
      <c r="AJ232" s="214"/>
      <c r="AK232" s="318" t="str">
        <f>AK$10</f>
        <v>totaal</v>
      </c>
      <c r="AL232" s="222"/>
      <c r="AM232" s="320" t="str">
        <f>AM$17</f>
        <v/>
      </c>
      <c r="AN232" s="320" t="str">
        <f t="shared" ref="AN232:AU232" si="158">AN$17</f>
        <v/>
      </c>
      <c r="AO232" s="320" t="str">
        <f t="shared" si="158"/>
        <v/>
      </c>
      <c r="AP232" s="320" t="str">
        <f t="shared" si="158"/>
        <v/>
      </c>
      <c r="AQ232" s="320" t="str">
        <f t="shared" si="158"/>
        <v/>
      </c>
      <c r="AR232" s="320" t="str">
        <f t="shared" si="158"/>
        <v/>
      </c>
      <c r="AS232" s="320" t="str">
        <f t="shared" si="158"/>
        <v/>
      </c>
      <c r="AT232" s="320" t="str">
        <f t="shared" si="158"/>
        <v/>
      </c>
      <c r="AU232" s="320" t="str">
        <f t="shared" si="158"/>
        <v/>
      </c>
      <c r="AV232" s="214"/>
      <c r="AW232" s="318" t="str">
        <f>AW$10</f>
        <v>totaal</v>
      </c>
      <c r="AX232" s="222"/>
      <c r="AY232" s="320" t="str">
        <f>AY$17</f>
        <v/>
      </c>
      <c r="AZ232" s="320" t="str">
        <f t="shared" ref="AZ232:BG232" si="159">AZ$17</f>
        <v/>
      </c>
      <c r="BA232" s="320" t="str">
        <f t="shared" si="159"/>
        <v/>
      </c>
      <c r="BB232" s="320" t="str">
        <f t="shared" si="159"/>
        <v/>
      </c>
      <c r="BC232" s="320" t="str">
        <f t="shared" si="159"/>
        <v/>
      </c>
      <c r="BD232" s="320" t="str">
        <f t="shared" si="159"/>
        <v/>
      </c>
      <c r="BE232" s="320" t="str">
        <f t="shared" si="159"/>
        <v/>
      </c>
      <c r="BF232" s="320" t="str">
        <f t="shared" si="159"/>
        <v/>
      </c>
      <c r="BG232" s="320" t="str">
        <f t="shared" si="159"/>
        <v/>
      </c>
      <c r="BH232" s="1"/>
    </row>
    <row r="233" spans="1:60" ht="18.75" hidden="1" x14ac:dyDescent="0.2">
      <c r="A233" s="648"/>
      <c r="B233" s="492" t="s">
        <v>308</v>
      </c>
      <c r="C233" s="739" t="s">
        <v>309</v>
      </c>
      <c r="D233" s="747"/>
      <c r="E233" s="236" t="s">
        <v>311</v>
      </c>
      <c r="F233" s="236"/>
      <c r="G233" s="236"/>
      <c r="H233" s="89"/>
      <c r="I233" s="236"/>
      <c r="J233" s="236"/>
      <c r="K233" s="236"/>
      <c r="L233" s="236"/>
      <c r="M233" s="236"/>
      <c r="N233" s="236"/>
      <c r="O233" s="236"/>
      <c r="P233" s="236"/>
      <c r="Q233" s="236"/>
      <c r="R233" s="236"/>
      <c r="S233" s="236"/>
      <c r="T233" s="236"/>
      <c r="U233" s="236"/>
      <c r="V233" s="236"/>
      <c r="W233" s="236"/>
      <c r="X233" s="236"/>
      <c r="Y233" s="236"/>
      <c r="Z233" s="236"/>
      <c r="AA233" s="236"/>
      <c r="AB233" s="236"/>
      <c r="AC233" s="236"/>
      <c r="AD233" s="236"/>
      <c r="AE233" s="236"/>
      <c r="AF233" s="236"/>
      <c r="AG233" s="236"/>
      <c r="AH233" s="236"/>
      <c r="AI233" s="236"/>
      <c r="AJ233" s="236"/>
      <c r="AK233" s="236"/>
      <c r="AL233" s="236"/>
      <c r="AM233" s="236"/>
      <c r="AN233" s="236"/>
      <c r="AO233" s="236"/>
      <c r="AP233" s="236"/>
      <c r="AQ233" s="236"/>
      <c r="AR233" s="236"/>
      <c r="AS233" s="236"/>
      <c r="AT233" s="236"/>
      <c r="AU233" s="236"/>
      <c r="AV233" s="236"/>
      <c r="AW233" s="236"/>
      <c r="AX233" s="236"/>
      <c r="AY233" s="236"/>
      <c r="AZ233" s="236"/>
      <c r="BA233" s="236"/>
      <c r="BB233" s="236"/>
      <c r="BC233" s="236"/>
      <c r="BD233" s="236"/>
      <c r="BE233" s="236"/>
      <c r="BF233" s="236"/>
      <c r="BG233" s="236"/>
      <c r="BH233" s="38"/>
    </row>
    <row r="234" spans="1:60" hidden="1" x14ac:dyDescent="0.2">
      <c r="A234" s="648"/>
      <c r="B234" s="492" t="s">
        <v>308</v>
      </c>
      <c r="C234" s="739" t="s">
        <v>309</v>
      </c>
      <c r="D234" s="750" t="s">
        <v>50</v>
      </c>
      <c r="E234" s="220" t="s">
        <v>312</v>
      </c>
      <c r="F234" s="220"/>
      <c r="G234" s="220"/>
      <c r="H234" s="242" t="s">
        <v>70</v>
      </c>
      <c r="I234" s="129"/>
      <c r="J234" s="230"/>
      <c r="K234" s="236"/>
      <c r="L234" s="236"/>
      <c r="M234" s="423">
        <f>SUM(N234:X234)</f>
        <v>0</v>
      </c>
      <c r="N234" s="424"/>
      <c r="O234" s="273">
        <f t="shared" ref="O234:W235" si="160">IF(OR(O$19="",$M60=0),0,O$32*O60/$M60/1000)</f>
        <v>0</v>
      </c>
      <c r="P234" s="273">
        <f t="shared" si="160"/>
        <v>0</v>
      </c>
      <c r="Q234" s="273">
        <f t="shared" si="160"/>
        <v>0</v>
      </c>
      <c r="R234" s="273">
        <f t="shared" si="160"/>
        <v>0</v>
      </c>
      <c r="S234" s="273">
        <f t="shared" si="160"/>
        <v>0</v>
      </c>
      <c r="T234" s="273">
        <f t="shared" si="160"/>
        <v>0</v>
      </c>
      <c r="U234" s="273">
        <f t="shared" si="160"/>
        <v>0</v>
      </c>
      <c r="V234" s="273">
        <f t="shared" si="160"/>
        <v>0</v>
      </c>
      <c r="W234" s="273">
        <f t="shared" si="160"/>
        <v>0</v>
      </c>
      <c r="X234" s="422"/>
      <c r="Y234" s="423">
        <f>SUM(Z234:AJ234)</f>
        <v>0</v>
      </c>
      <c r="Z234" s="424"/>
      <c r="AA234" s="273">
        <f t="shared" ref="AA234:AI235" si="161">IF(OR(AA$19="",$Y60=0),0,AA$32*AA60/$Y60/1000)</f>
        <v>0</v>
      </c>
      <c r="AB234" s="273">
        <f t="shared" si="161"/>
        <v>0</v>
      </c>
      <c r="AC234" s="273">
        <f t="shared" si="161"/>
        <v>0</v>
      </c>
      <c r="AD234" s="273">
        <f t="shared" si="161"/>
        <v>0</v>
      </c>
      <c r="AE234" s="273">
        <f t="shared" si="161"/>
        <v>0</v>
      </c>
      <c r="AF234" s="273">
        <f t="shared" si="161"/>
        <v>0</v>
      </c>
      <c r="AG234" s="273">
        <f t="shared" si="161"/>
        <v>0</v>
      </c>
      <c r="AH234" s="273">
        <f t="shared" si="161"/>
        <v>0</v>
      </c>
      <c r="AI234" s="273">
        <f t="shared" si="161"/>
        <v>0</v>
      </c>
      <c r="AJ234" s="422"/>
      <c r="AK234" s="423">
        <f>SUM(AL234:AV234)</f>
        <v>0</v>
      </c>
      <c r="AL234" s="424"/>
      <c r="AM234" s="273">
        <f t="shared" ref="AM234:AU235" si="162">IF(OR(AM$19="",$AK60=0),0,AM$32*AM60/$AK60/1000)</f>
        <v>0</v>
      </c>
      <c r="AN234" s="273">
        <f t="shared" si="162"/>
        <v>0</v>
      </c>
      <c r="AO234" s="273">
        <f t="shared" si="162"/>
        <v>0</v>
      </c>
      <c r="AP234" s="273">
        <f t="shared" si="162"/>
        <v>0</v>
      </c>
      <c r="AQ234" s="273">
        <f t="shared" si="162"/>
        <v>0</v>
      </c>
      <c r="AR234" s="273">
        <f t="shared" si="162"/>
        <v>0</v>
      </c>
      <c r="AS234" s="273">
        <f t="shared" si="162"/>
        <v>0</v>
      </c>
      <c r="AT234" s="273">
        <f t="shared" si="162"/>
        <v>0</v>
      </c>
      <c r="AU234" s="273">
        <f t="shared" si="162"/>
        <v>0</v>
      </c>
      <c r="AV234" s="422"/>
      <c r="AW234" s="423">
        <f>SUM(AX234:BH234)</f>
        <v>0</v>
      </c>
      <c r="AX234" s="424"/>
      <c r="AY234" s="273">
        <f t="shared" ref="AY234:BG235" si="163">IF(OR(AY$19="",$AW60=0),0,AY$32*AY60/$AW60/1000)</f>
        <v>0</v>
      </c>
      <c r="AZ234" s="273">
        <f t="shared" si="163"/>
        <v>0</v>
      </c>
      <c r="BA234" s="273">
        <f t="shared" si="163"/>
        <v>0</v>
      </c>
      <c r="BB234" s="273">
        <f t="shared" si="163"/>
        <v>0</v>
      </c>
      <c r="BC234" s="273">
        <f t="shared" si="163"/>
        <v>0</v>
      </c>
      <c r="BD234" s="273">
        <f t="shared" si="163"/>
        <v>0</v>
      </c>
      <c r="BE234" s="273">
        <f t="shared" si="163"/>
        <v>0</v>
      </c>
      <c r="BF234" s="273">
        <f t="shared" si="163"/>
        <v>0</v>
      </c>
      <c r="BG234" s="273">
        <f t="shared" si="163"/>
        <v>0</v>
      </c>
      <c r="BH234" s="255"/>
    </row>
    <row r="235" spans="1:60" hidden="1" x14ac:dyDescent="0.2">
      <c r="A235" s="648"/>
      <c r="B235" s="492" t="s">
        <v>308</v>
      </c>
      <c r="C235" s="739" t="s">
        <v>309</v>
      </c>
      <c r="D235" s="747"/>
      <c r="E235" s="220" t="s">
        <v>313</v>
      </c>
      <c r="F235" s="220"/>
      <c r="G235" s="220"/>
      <c r="H235" s="242" t="s">
        <v>70</v>
      </c>
      <c r="I235" s="129"/>
      <c r="J235" s="230"/>
      <c r="K235" s="236"/>
      <c r="L235" s="236"/>
      <c r="M235" s="423">
        <f>SUM(N235:X235)</f>
        <v>0</v>
      </c>
      <c r="N235" s="424"/>
      <c r="O235" s="273">
        <f t="shared" si="160"/>
        <v>0</v>
      </c>
      <c r="P235" s="273">
        <f t="shared" si="160"/>
        <v>0</v>
      </c>
      <c r="Q235" s="273">
        <f t="shared" si="160"/>
        <v>0</v>
      </c>
      <c r="R235" s="273">
        <f t="shared" si="160"/>
        <v>0</v>
      </c>
      <c r="S235" s="273">
        <f t="shared" si="160"/>
        <v>0</v>
      </c>
      <c r="T235" s="273">
        <f t="shared" si="160"/>
        <v>0</v>
      </c>
      <c r="U235" s="273">
        <f t="shared" si="160"/>
        <v>0</v>
      </c>
      <c r="V235" s="273">
        <f t="shared" si="160"/>
        <v>0</v>
      </c>
      <c r="W235" s="273">
        <f t="shared" si="160"/>
        <v>0</v>
      </c>
      <c r="X235" s="422"/>
      <c r="Y235" s="423">
        <f>SUM(Z235:AJ235)</f>
        <v>0</v>
      </c>
      <c r="Z235" s="424"/>
      <c r="AA235" s="273">
        <f t="shared" si="161"/>
        <v>0</v>
      </c>
      <c r="AB235" s="273">
        <f t="shared" si="161"/>
        <v>0</v>
      </c>
      <c r="AC235" s="273">
        <f t="shared" si="161"/>
        <v>0</v>
      </c>
      <c r="AD235" s="273">
        <f t="shared" si="161"/>
        <v>0</v>
      </c>
      <c r="AE235" s="273">
        <f t="shared" si="161"/>
        <v>0</v>
      </c>
      <c r="AF235" s="273">
        <f t="shared" si="161"/>
        <v>0</v>
      </c>
      <c r="AG235" s="273">
        <f t="shared" si="161"/>
        <v>0</v>
      </c>
      <c r="AH235" s="273">
        <f t="shared" si="161"/>
        <v>0</v>
      </c>
      <c r="AI235" s="273">
        <f t="shared" si="161"/>
        <v>0</v>
      </c>
      <c r="AJ235" s="422"/>
      <c r="AK235" s="423">
        <f>SUM(AL235:AV235)</f>
        <v>0</v>
      </c>
      <c r="AL235" s="424"/>
      <c r="AM235" s="273">
        <f t="shared" si="162"/>
        <v>0</v>
      </c>
      <c r="AN235" s="273">
        <f t="shared" si="162"/>
        <v>0</v>
      </c>
      <c r="AO235" s="273">
        <f t="shared" si="162"/>
        <v>0</v>
      </c>
      <c r="AP235" s="273">
        <f t="shared" si="162"/>
        <v>0</v>
      </c>
      <c r="AQ235" s="273">
        <f t="shared" si="162"/>
        <v>0</v>
      </c>
      <c r="AR235" s="273">
        <f t="shared" si="162"/>
        <v>0</v>
      </c>
      <c r="AS235" s="273">
        <f t="shared" si="162"/>
        <v>0</v>
      </c>
      <c r="AT235" s="273">
        <f t="shared" si="162"/>
        <v>0</v>
      </c>
      <c r="AU235" s="273">
        <f t="shared" si="162"/>
        <v>0</v>
      </c>
      <c r="AV235" s="422"/>
      <c r="AW235" s="423">
        <f>SUM(AX235:BH235)</f>
        <v>0</v>
      </c>
      <c r="AX235" s="424"/>
      <c r="AY235" s="273">
        <f t="shared" si="163"/>
        <v>0</v>
      </c>
      <c r="AZ235" s="273">
        <f t="shared" si="163"/>
        <v>0</v>
      </c>
      <c r="BA235" s="273">
        <f t="shared" si="163"/>
        <v>0</v>
      </c>
      <c r="BB235" s="273">
        <f t="shared" si="163"/>
        <v>0</v>
      </c>
      <c r="BC235" s="273">
        <f t="shared" si="163"/>
        <v>0</v>
      </c>
      <c r="BD235" s="273">
        <f t="shared" si="163"/>
        <v>0</v>
      </c>
      <c r="BE235" s="273">
        <f t="shared" si="163"/>
        <v>0</v>
      </c>
      <c r="BF235" s="273">
        <f t="shared" si="163"/>
        <v>0</v>
      </c>
      <c r="BG235" s="273">
        <f t="shared" si="163"/>
        <v>0</v>
      </c>
      <c r="BH235" s="255"/>
    </row>
    <row r="236" spans="1:60" hidden="1" x14ac:dyDescent="0.2">
      <c r="A236" s="648"/>
      <c r="B236" s="492" t="s">
        <v>308</v>
      </c>
      <c r="C236" s="739" t="s">
        <v>309</v>
      </c>
      <c r="D236" s="747"/>
      <c r="E236" s="220" t="s">
        <v>314</v>
      </c>
      <c r="F236" s="220"/>
      <c r="G236" s="220"/>
      <c r="H236" s="242" t="s">
        <v>70</v>
      </c>
      <c r="I236" s="129"/>
      <c r="J236" s="230"/>
      <c r="K236" s="236"/>
      <c r="L236" s="236"/>
      <c r="M236" s="423">
        <f>SUM(N236:X236)</f>
        <v>0</v>
      </c>
      <c r="N236" s="424"/>
      <c r="O236" s="273">
        <f t="shared" ref="O236:W236" si="164">IF(OR(O$19="",$M$62=0),0,O$32*O62/$M62/1000)</f>
        <v>0</v>
      </c>
      <c r="P236" s="273">
        <f t="shared" si="164"/>
        <v>0</v>
      </c>
      <c r="Q236" s="273">
        <f t="shared" si="164"/>
        <v>0</v>
      </c>
      <c r="R236" s="273">
        <f t="shared" si="164"/>
        <v>0</v>
      </c>
      <c r="S236" s="273">
        <f t="shared" si="164"/>
        <v>0</v>
      </c>
      <c r="T236" s="273">
        <f t="shared" si="164"/>
        <v>0</v>
      </c>
      <c r="U236" s="273">
        <f t="shared" si="164"/>
        <v>0</v>
      </c>
      <c r="V236" s="273">
        <f t="shared" si="164"/>
        <v>0</v>
      </c>
      <c r="W236" s="273">
        <f t="shared" si="164"/>
        <v>0</v>
      </c>
      <c r="X236" s="422"/>
      <c r="Y236" s="423">
        <f>SUM(Z236:AJ236)</f>
        <v>0</v>
      </c>
      <c r="Z236" s="424"/>
      <c r="AA236" s="273">
        <f t="shared" ref="AA236:AI236" si="165">IF(OR(AA$19="",$Y$62=0),0,AA$32*AA62/$Y62/1000)</f>
        <v>0</v>
      </c>
      <c r="AB236" s="273">
        <f t="shared" si="165"/>
        <v>0</v>
      </c>
      <c r="AC236" s="273">
        <f t="shared" si="165"/>
        <v>0</v>
      </c>
      <c r="AD236" s="273">
        <f t="shared" si="165"/>
        <v>0</v>
      </c>
      <c r="AE236" s="273">
        <f t="shared" si="165"/>
        <v>0</v>
      </c>
      <c r="AF236" s="273">
        <f t="shared" si="165"/>
        <v>0</v>
      </c>
      <c r="AG236" s="273">
        <f t="shared" si="165"/>
        <v>0</v>
      </c>
      <c r="AH236" s="273">
        <f t="shared" si="165"/>
        <v>0</v>
      </c>
      <c r="AI236" s="273">
        <f t="shared" si="165"/>
        <v>0</v>
      </c>
      <c r="AJ236" s="422"/>
      <c r="AK236" s="423">
        <f>SUM(AL236:AV236)</f>
        <v>0</v>
      </c>
      <c r="AL236" s="424"/>
      <c r="AM236" s="273">
        <f t="shared" ref="AM236:AU236" si="166">IF(OR(AM$19="",$AK$62=0),0,AM$32*AM62/$AK62/1000)</f>
        <v>0</v>
      </c>
      <c r="AN236" s="273">
        <f t="shared" si="166"/>
        <v>0</v>
      </c>
      <c r="AO236" s="273">
        <f t="shared" si="166"/>
        <v>0</v>
      </c>
      <c r="AP236" s="273">
        <f t="shared" si="166"/>
        <v>0</v>
      </c>
      <c r="AQ236" s="273">
        <f t="shared" si="166"/>
        <v>0</v>
      </c>
      <c r="AR236" s="273">
        <f t="shared" si="166"/>
        <v>0</v>
      </c>
      <c r="AS236" s="273">
        <f t="shared" si="166"/>
        <v>0</v>
      </c>
      <c r="AT236" s="273">
        <f t="shared" si="166"/>
        <v>0</v>
      </c>
      <c r="AU236" s="273">
        <f t="shared" si="166"/>
        <v>0</v>
      </c>
      <c r="AV236" s="422"/>
      <c r="AW236" s="423">
        <f>SUM(AX236:BH236)</f>
        <v>0</v>
      </c>
      <c r="AX236" s="424"/>
      <c r="AY236" s="273">
        <f t="shared" ref="AY236:BG236" si="167">IF(OR(AY$19="",$AW$62=0),0,AY$32*AY62/$AW62/1000)</f>
        <v>0</v>
      </c>
      <c r="AZ236" s="273">
        <f t="shared" si="167"/>
        <v>0</v>
      </c>
      <c r="BA236" s="273">
        <f t="shared" si="167"/>
        <v>0</v>
      </c>
      <c r="BB236" s="273">
        <f t="shared" si="167"/>
        <v>0</v>
      </c>
      <c r="BC236" s="273">
        <f t="shared" si="167"/>
        <v>0</v>
      </c>
      <c r="BD236" s="273">
        <f t="shared" si="167"/>
        <v>0</v>
      </c>
      <c r="BE236" s="273">
        <f t="shared" si="167"/>
        <v>0</v>
      </c>
      <c r="BF236" s="273">
        <f t="shared" si="167"/>
        <v>0</v>
      </c>
      <c r="BG236" s="273">
        <f t="shared" si="167"/>
        <v>0</v>
      </c>
      <c r="BH236" s="255"/>
    </row>
    <row r="237" spans="1:60" hidden="1" x14ac:dyDescent="0.2">
      <c r="A237" s="648"/>
      <c r="B237" s="492" t="s">
        <v>308</v>
      </c>
      <c r="C237" s="739" t="s">
        <v>309</v>
      </c>
      <c r="D237" s="747"/>
      <c r="E237" s="90"/>
      <c r="F237" s="90"/>
      <c r="G237" s="90"/>
      <c r="H237" s="96"/>
      <c r="I237" s="90"/>
      <c r="J237" s="93"/>
      <c r="K237" s="90"/>
      <c r="L237" s="90"/>
      <c r="M237" s="93"/>
      <c r="N237" s="90"/>
      <c r="O237" s="92"/>
      <c r="P237" s="93"/>
      <c r="Q237" s="93"/>
      <c r="R237" s="93"/>
      <c r="S237" s="93"/>
      <c r="T237" s="93"/>
      <c r="U237" s="93"/>
      <c r="V237" s="93"/>
      <c r="W237" s="93"/>
      <c r="X237" s="93"/>
      <c r="Y237" s="93"/>
      <c r="Z237" s="90"/>
      <c r="AA237" s="93"/>
      <c r="AB237" s="93"/>
      <c r="AC237" s="93"/>
      <c r="AD237" s="93"/>
      <c r="AE237" s="93"/>
      <c r="AF237" s="93"/>
      <c r="AG237" s="93"/>
      <c r="AH237" s="93"/>
      <c r="AI237" s="93"/>
      <c r="AJ237" s="93"/>
      <c r="AK237" s="93"/>
      <c r="AL237" s="90"/>
      <c r="AM237" s="93"/>
      <c r="AN237" s="93"/>
      <c r="AO237" s="93"/>
      <c r="AP237" s="93"/>
      <c r="AQ237" s="93"/>
      <c r="AR237" s="93"/>
      <c r="AS237" s="93"/>
      <c r="AT237" s="93"/>
      <c r="AU237" s="93"/>
      <c r="AV237" s="93"/>
      <c r="AW237" s="93"/>
      <c r="AX237" s="90"/>
      <c r="AY237" s="93"/>
      <c r="AZ237" s="93"/>
      <c r="BA237" s="93"/>
      <c r="BB237" s="93"/>
      <c r="BC237" s="93"/>
      <c r="BD237" s="93"/>
      <c r="BE237" s="93"/>
      <c r="BF237" s="93"/>
      <c r="BG237" s="93"/>
      <c r="BH237" s="1"/>
    </row>
    <row r="238" spans="1:60" x14ac:dyDescent="0.2">
      <c r="A238" s="648"/>
      <c r="B238" s="492" t="s">
        <v>315</v>
      </c>
      <c r="C238" s="656" t="s">
        <v>104</v>
      </c>
      <c r="D238" s="747"/>
      <c r="E238" s="90"/>
      <c r="F238" s="90"/>
      <c r="G238" s="90"/>
      <c r="H238" s="96"/>
      <c r="I238" s="90"/>
      <c r="J238" s="93"/>
      <c r="K238" s="90"/>
      <c r="L238" s="90"/>
      <c r="M238" s="93"/>
      <c r="N238" s="90"/>
      <c r="O238" s="93"/>
      <c r="P238" s="93"/>
      <c r="Q238" s="93"/>
      <c r="R238" s="93"/>
      <c r="S238" s="93"/>
      <c r="T238" s="93"/>
      <c r="U238" s="93"/>
      <c r="V238" s="93"/>
      <c r="W238" s="93"/>
      <c r="X238" s="93"/>
      <c r="Y238" s="93"/>
      <c r="Z238" s="90"/>
      <c r="AA238" s="93"/>
      <c r="AB238" s="93"/>
      <c r="AC238" s="93"/>
      <c r="AD238" s="93"/>
      <c r="AE238" s="93"/>
      <c r="AF238" s="93"/>
      <c r="AG238" s="93"/>
      <c r="AH238" s="93"/>
      <c r="AI238" s="93"/>
      <c r="AJ238" s="93"/>
      <c r="AK238" s="93"/>
      <c r="AL238" s="90"/>
      <c r="AM238" s="93"/>
      <c r="AN238" s="93"/>
      <c r="AO238" s="93"/>
      <c r="AP238" s="93"/>
      <c r="AQ238" s="93"/>
      <c r="AR238" s="93"/>
      <c r="AS238" s="93"/>
      <c r="AT238" s="93"/>
      <c r="AU238" s="93"/>
      <c r="AV238" s="93"/>
      <c r="AW238" s="93"/>
      <c r="AX238" s="90"/>
      <c r="AY238" s="93"/>
      <c r="AZ238" s="93"/>
      <c r="BA238" s="93"/>
      <c r="BB238" s="93"/>
      <c r="BC238" s="93"/>
      <c r="BD238" s="93"/>
      <c r="BE238" s="93"/>
      <c r="BF238" s="93"/>
      <c r="BG238" s="93"/>
      <c r="BH238" s="1"/>
    </row>
    <row r="239" spans="1:60" s="2" customFormat="1" ht="21" x14ac:dyDescent="0.2">
      <c r="A239" s="649"/>
      <c r="B239" s="492" t="s">
        <v>315</v>
      </c>
      <c r="C239" s="739" t="s">
        <v>104</v>
      </c>
      <c r="D239" s="749" t="s">
        <v>50</v>
      </c>
      <c r="E239" s="253" t="s">
        <v>114</v>
      </c>
      <c r="F239" s="253"/>
      <c r="G239" s="253"/>
      <c r="H239" s="253"/>
      <c r="I239" s="146"/>
      <c r="J239" s="318" t="str">
        <f>J$10&amp;" MWh"</f>
        <v>totaal MWh</v>
      </c>
      <c r="K239" s="142"/>
      <c r="L239" s="142"/>
      <c r="M239" s="318" t="str">
        <f>M$10&amp;" MWh"</f>
        <v>totaal MWh</v>
      </c>
      <c r="N239" s="222"/>
      <c r="O239" s="320" t="str">
        <f t="shared" ref="O239:W239" si="168">O$17</f>
        <v/>
      </c>
      <c r="P239" s="320" t="str">
        <f t="shared" si="168"/>
        <v/>
      </c>
      <c r="Q239" s="320" t="str">
        <f t="shared" si="168"/>
        <v/>
      </c>
      <c r="R239" s="320" t="str">
        <f t="shared" si="168"/>
        <v/>
      </c>
      <c r="S239" s="320" t="str">
        <f t="shared" si="168"/>
        <v/>
      </c>
      <c r="T239" s="320" t="str">
        <f t="shared" si="168"/>
        <v/>
      </c>
      <c r="U239" s="320" t="str">
        <f t="shared" si="168"/>
        <v/>
      </c>
      <c r="V239" s="320" t="str">
        <f t="shared" si="168"/>
        <v/>
      </c>
      <c r="W239" s="320" t="str">
        <f t="shared" si="168"/>
        <v/>
      </c>
      <c r="X239" s="214"/>
      <c r="Y239" s="318" t="str">
        <f>Y$10&amp;" MWh"</f>
        <v>totaal MWh</v>
      </c>
      <c r="Z239" s="222"/>
      <c r="AA239" s="320" t="str">
        <f t="shared" ref="AA239:AI239" si="169">AA$17</f>
        <v/>
      </c>
      <c r="AB239" s="320" t="str">
        <f t="shared" si="169"/>
        <v/>
      </c>
      <c r="AC239" s="320" t="str">
        <f t="shared" si="169"/>
        <v/>
      </c>
      <c r="AD239" s="320" t="str">
        <f t="shared" si="169"/>
        <v/>
      </c>
      <c r="AE239" s="320" t="str">
        <f t="shared" si="169"/>
        <v/>
      </c>
      <c r="AF239" s="320" t="str">
        <f t="shared" si="169"/>
        <v/>
      </c>
      <c r="AG239" s="320" t="str">
        <f t="shared" si="169"/>
        <v/>
      </c>
      <c r="AH239" s="320" t="str">
        <f t="shared" si="169"/>
        <v/>
      </c>
      <c r="AI239" s="320" t="str">
        <f t="shared" si="169"/>
        <v/>
      </c>
      <c r="AJ239" s="214"/>
      <c r="AK239" s="318" t="str">
        <f>AK$10&amp;" MWh"</f>
        <v>totaal MWh</v>
      </c>
      <c r="AL239" s="222"/>
      <c r="AM239" s="320" t="str">
        <f>AM$17</f>
        <v/>
      </c>
      <c r="AN239" s="320" t="str">
        <f t="shared" ref="AN239:AU239" si="170">AN$17</f>
        <v/>
      </c>
      <c r="AO239" s="320" t="str">
        <f t="shared" si="170"/>
        <v/>
      </c>
      <c r="AP239" s="320" t="str">
        <f t="shared" si="170"/>
        <v/>
      </c>
      <c r="AQ239" s="320" t="str">
        <f t="shared" si="170"/>
        <v/>
      </c>
      <c r="AR239" s="320" t="str">
        <f t="shared" si="170"/>
        <v/>
      </c>
      <c r="AS239" s="320" t="str">
        <f t="shared" si="170"/>
        <v/>
      </c>
      <c r="AT239" s="320" t="str">
        <f t="shared" si="170"/>
        <v/>
      </c>
      <c r="AU239" s="320" t="str">
        <f t="shared" si="170"/>
        <v/>
      </c>
      <c r="AV239" s="214"/>
      <c r="AW239" s="318" t="str">
        <f>AW$10&amp;" MWh"</f>
        <v>totaal MWh</v>
      </c>
      <c r="AX239" s="222"/>
      <c r="AY239" s="320" t="str">
        <f>AY$17</f>
        <v/>
      </c>
      <c r="AZ239" s="320" t="str">
        <f t="shared" ref="AZ239:BG239" si="171">AZ$17</f>
        <v/>
      </c>
      <c r="BA239" s="320" t="str">
        <f t="shared" si="171"/>
        <v/>
      </c>
      <c r="BB239" s="320" t="str">
        <f t="shared" si="171"/>
        <v/>
      </c>
      <c r="BC239" s="320" t="str">
        <f t="shared" si="171"/>
        <v/>
      </c>
      <c r="BD239" s="320" t="str">
        <f t="shared" si="171"/>
        <v/>
      </c>
      <c r="BE239" s="320" t="str">
        <f t="shared" si="171"/>
        <v/>
      </c>
      <c r="BF239" s="320" t="str">
        <f t="shared" si="171"/>
        <v/>
      </c>
      <c r="BG239" s="320" t="str">
        <f t="shared" si="171"/>
        <v/>
      </c>
      <c r="BH239" s="1"/>
    </row>
    <row r="240" spans="1:60" ht="18.75" x14ac:dyDescent="0.2">
      <c r="A240" s="648"/>
      <c r="B240" s="492" t="s">
        <v>315</v>
      </c>
      <c r="C240" s="739" t="s">
        <v>104</v>
      </c>
      <c r="D240" s="747"/>
      <c r="E240" s="236" t="s">
        <v>316</v>
      </c>
      <c r="F240" s="236"/>
      <c r="G240" s="236"/>
      <c r="H240" s="89"/>
      <c r="I240" s="236"/>
      <c r="J240" s="236"/>
      <c r="K240" s="236"/>
      <c r="L240" s="236"/>
      <c r="M240" s="236"/>
      <c r="N240" s="236"/>
      <c r="O240" s="236"/>
      <c r="P240" s="236"/>
      <c r="Q240" s="236"/>
      <c r="R240" s="236"/>
      <c r="S240" s="236"/>
      <c r="T240" s="236"/>
      <c r="U240" s="236"/>
      <c r="V240" s="236"/>
      <c r="W240" s="236"/>
      <c r="X240" s="236"/>
      <c r="Y240" s="236"/>
      <c r="Z240" s="236"/>
      <c r="AA240" s="236"/>
      <c r="AB240" s="236"/>
      <c r="AC240" s="236"/>
      <c r="AD240" s="236"/>
      <c r="AE240" s="236"/>
      <c r="AF240" s="236"/>
      <c r="AG240" s="236"/>
      <c r="AH240" s="236"/>
      <c r="AI240" s="236"/>
      <c r="AJ240" s="236"/>
      <c r="AK240" s="236"/>
      <c r="AL240" s="236"/>
      <c r="AM240" s="236"/>
      <c r="AN240" s="236"/>
      <c r="AO240" s="236"/>
      <c r="AP240" s="236"/>
      <c r="AQ240" s="236"/>
      <c r="AR240" s="236"/>
      <c r="AS240" s="236"/>
      <c r="AT240" s="236"/>
      <c r="AU240" s="236"/>
      <c r="AV240" s="236"/>
      <c r="AW240" s="236"/>
      <c r="AX240" s="236"/>
      <c r="AY240" s="236"/>
      <c r="AZ240" s="236"/>
      <c r="BA240" s="236"/>
      <c r="BB240" s="236"/>
      <c r="BC240" s="236"/>
      <c r="BD240" s="236"/>
      <c r="BE240" s="236"/>
      <c r="BF240" s="236"/>
      <c r="BG240" s="236"/>
      <c r="BH240" s="38"/>
    </row>
    <row r="241" spans="1:60" x14ac:dyDescent="0.2">
      <c r="A241" s="648"/>
      <c r="B241" s="492" t="s">
        <v>315</v>
      </c>
      <c r="C241" s="656" t="s">
        <v>113</v>
      </c>
      <c r="D241" s="750"/>
      <c r="E241" s="367" t="str">
        <f>$O$73</f>
        <v>verwarming</v>
      </c>
      <c r="F241" s="220"/>
      <c r="G241" s="220"/>
      <c r="H241" s="242" t="s">
        <v>317</v>
      </c>
      <c r="I241" s="129"/>
      <c r="J241" s="243">
        <f t="shared" ref="J241:J249" si="172">M241+Y241+AK241+AW241</f>
        <v>0</v>
      </c>
      <c r="K241" s="236"/>
      <c r="L241" s="236"/>
      <c r="M241" s="243">
        <f t="shared" ref="M241:M248" si="173">SUMPRODUCT(N241:X241,N$24:X$24,N$31:X$31)/1000</f>
        <v>0</v>
      </c>
      <c r="N241" s="129"/>
      <c r="O241" s="207">
        <f t="shared" ref="O241:W241" si="174">IF(OR(O$24=0,$O$75=0),0,
(($O$117+$O$142+$O$159)/$O$75)*O60)</f>
        <v>0</v>
      </c>
      <c r="P241" s="207">
        <f t="shared" si="174"/>
        <v>0</v>
      </c>
      <c r="Q241" s="207">
        <f t="shared" si="174"/>
        <v>0</v>
      </c>
      <c r="R241" s="207">
        <f t="shared" si="174"/>
        <v>0</v>
      </c>
      <c r="S241" s="207">
        <f t="shared" si="174"/>
        <v>0</v>
      </c>
      <c r="T241" s="207">
        <f t="shared" si="174"/>
        <v>0</v>
      </c>
      <c r="U241" s="207">
        <f t="shared" si="174"/>
        <v>0</v>
      </c>
      <c r="V241" s="207">
        <f t="shared" si="174"/>
        <v>0</v>
      </c>
      <c r="W241" s="207">
        <f t="shared" si="174"/>
        <v>0</v>
      </c>
      <c r="X241" s="128"/>
      <c r="Y241" s="243">
        <f t="shared" ref="Y241:Y248" si="175">SUMPRODUCT(Z241:AJ241,Z$24:AJ$24,Z$31:AJ$31)/1000</f>
        <v>0</v>
      </c>
      <c r="Z241" s="129"/>
      <c r="AA241" s="207">
        <f t="shared" ref="AA241:AI241" si="176">IF(AA$24=0,0,
(($AA$117+$AA$142+$AA$159)/$AA$75)*AA60)</f>
        <v>0</v>
      </c>
      <c r="AB241" s="207">
        <f t="shared" si="176"/>
        <v>0</v>
      </c>
      <c r="AC241" s="207">
        <f t="shared" si="176"/>
        <v>0</v>
      </c>
      <c r="AD241" s="207">
        <f t="shared" si="176"/>
        <v>0</v>
      </c>
      <c r="AE241" s="207">
        <f t="shared" si="176"/>
        <v>0</v>
      </c>
      <c r="AF241" s="207">
        <f t="shared" si="176"/>
        <v>0</v>
      </c>
      <c r="AG241" s="207">
        <f t="shared" si="176"/>
        <v>0</v>
      </c>
      <c r="AH241" s="207">
        <f t="shared" si="176"/>
        <v>0</v>
      </c>
      <c r="AI241" s="207">
        <f t="shared" si="176"/>
        <v>0</v>
      </c>
      <c r="AJ241" s="128"/>
      <c r="AK241" s="243">
        <f t="shared" ref="AK241:AK248" si="177">SUMPRODUCT(AL241:AV241,AL$24:AV$24,AL$31:AV$31)/1000</f>
        <v>0</v>
      </c>
      <c r="AL241" s="129"/>
      <c r="AM241" s="207">
        <f t="shared" ref="AM241:AU241" si="178">IF(AM$24=0,0,
(($AM$117+$AM$142+$AM$159)/$AM$75)*AM60)</f>
        <v>0</v>
      </c>
      <c r="AN241" s="207">
        <f t="shared" si="178"/>
        <v>0</v>
      </c>
      <c r="AO241" s="207">
        <f t="shared" si="178"/>
        <v>0</v>
      </c>
      <c r="AP241" s="207">
        <f t="shared" si="178"/>
        <v>0</v>
      </c>
      <c r="AQ241" s="207">
        <f t="shared" si="178"/>
        <v>0</v>
      </c>
      <c r="AR241" s="207">
        <f t="shared" si="178"/>
        <v>0</v>
      </c>
      <c r="AS241" s="207">
        <f t="shared" si="178"/>
        <v>0</v>
      </c>
      <c r="AT241" s="207">
        <f t="shared" si="178"/>
        <v>0</v>
      </c>
      <c r="AU241" s="207">
        <f t="shared" si="178"/>
        <v>0</v>
      </c>
      <c r="AV241" s="128"/>
      <c r="AW241" s="243">
        <f t="shared" ref="AW241:AW248" si="179">SUMPRODUCT(AX241:BH241,AX$24:BH$24,AX$31:BH$31)/1000</f>
        <v>0</v>
      </c>
      <c r="AX241" s="129"/>
      <c r="AY241" s="207">
        <f t="shared" ref="AY241:BG241" si="180">IF(AY$24=0,0,
(($AY$117+$AY$142+$AY$159)/$AY$75)*AY60)</f>
        <v>0</v>
      </c>
      <c r="AZ241" s="207">
        <f t="shared" si="180"/>
        <v>0</v>
      </c>
      <c r="BA241" s="207">
        <f t="shared" si="180"/>
        <v>0</v>
      </c>
      <c r="BB241" s="207">
        <f t="shared" si="180"/>
        <v>0</v>
      </c>
      <c r="BC241" s="207">
        <f t="shared" si="180"/>
        <v>0</v>
      </c>
      <c r="BD241" s="207">
        <f t="shared" si="180"/>
        <v>0</v>
      </c>
      <c r="BE241" s="207">
        <f t="shared" si="180"/>
        <v>0</v>
      </c>
      <c r="BF241" s="207">
        <f t="shared" si="180"/>
        <v>0</v>
      </c>
      <c r="BG241" s="207">
        <f t="shared" si="180"/>
        <v>0</v>
      </c>
      <c r="BH241" s="255"/>
    </row>
    <row r="242" spans="1:60" x14ac:dyDescent="0.2">
      <c r="A242" s="648"/>
      <c r="B242" s="492" t="s">
        <v>315</v>
      </c>
      <c r="C242" s="656" t="s">
        <v>113</v>
      </c>
      <c r="D242" s="750"/>
      <c r="E242" s="367" t="str">
        <f>$P$73</f>
        <v>koeling</v>
      </c>
      <c r="F242" s="220"/>
      <c r="G242" s="220"/>
      <c r="H242" s="242" t="s">
        <v>317</v>
      </c>
      <c r="I242" s="129"/>
      <c r="J242" s="243">
        <f t="shared" si="172"/>
        <v>0</v>
      </c>
      <c r="K242" s="236"/>
      <c r="L242" s="236"/>
      <c r="M242" s="243">
        <f t="shared" si="173"/>
        <v>0</v>
      </c>
      <c r="N242" s="129"/>
      <c r="O242" s="207">
        <f t="shared" ref="O242:W242" si="181">IF(OR(O$24=0,$P$75=0),0,
(($P$117+$P$142+$P$159)/$P$75)*O61)</f>
        <v>0</v>
      </c>
      <c r="P242" s="207">
        <f t="shared" si="181"/>
        <v>0</v>
      </c>
      <c r="Q242" s="207">
        <f t="shared" si="181"/>
        <v>0</v>
      </c>
      <c r="R242" s="207">
        <f t="shared" si="181"/>
        <v>0</v>
      </c>
      <c r="S242" s="207">
        <f t="shared" si="181"/>
        <v>0</v>
      </c>
      <c r="T242" s="207">
        <f t="shared" si="181"/>
        <v>0</v>
      </c>
      <c r="U242" s="207">
        <f t="shared" si="181"/>
        <v>0</v>
      </c>
      <c r="V242" s="207">
        <f t="shared" si="181"/>
        <v>0</v>
      </c>
      <c r="W242" s="207">
        <f t="shared" si="181"/>
        <v>0</v>
      </c>
      <c r="X242" s="128"/>
      <c r="Y242" s="243">
        <f t="shared" si="175"/>
        <v>0</v>
      </c>
      <c r="Z242" s="129"/>
      <c r="AA242" s="207">
        <f t="shared" ref="AA242:AI242" si="182">IF(OR(AA$24=0,$AB$75=0),0,
(($AB$117+$AB$142+$AB$159)/$AB$75)*AA61)</f>
        <v>0</v>
      </c>
      <c r="AB242" s="207">
        <f t="shared" si="182"/>
        <v>0</v>
      </c>
      <c r="AC242" s="207">
        <f t="shared" si="182"/>
        <v>0</v>
      </c>
      <c r="AD242" s="207">
        <f t="shared" si="182"/>
        <v>0</v>
      </c>
      <c r="AE242" s="207">
        <f t="shared" si="182"/>
        <v>0</v>
      </c>
      <c r="AF242" s="207">
        <f t="shared" si="182"/>
        <v>0</v>
      </c>
      <c r="AG242" s="207">
        <f t="shared" si="182"/>
        <v>0</v>
      </c>
      <c r="AH242" s="207">
        <f t="shared" si="182"/>
        <v>0</v>
      </c>
      <c r="AI242" s="207">
        <f t="shared" si="182"/>
        <v>0</v>
      </c>
      <c r="AJ242" s="128"/>
      <c r="AK242" s="243">
        <f t="shared" si="177"/>
        <v>0</v>
      </c>
      <c r="AL242" s="129"/>
      <c r="AM242" s="207">
        <f t="shared" ref="AM242:AU242" si="183">IF(OR(AM$24=0,$AN$75=0),0,
(($AN$117+$AN$142+$AN$159)/$AN$75)*AM61)</f>
        <v>0</v>
      </c>
      <c r="AN242" s="207">
        <f t="shared" si="183"/>
        <v>0</v>
      </c>
      <c r="AO242" s="207">
        <f t="shared" si="183"/>
        <v>0</v>
      </c>
      <c r="AP242" s="207">
        <f t="shared" si="183"/>
        <v>0</v>
      </c>
      <c r="AQ242" s="207">
        <f t="shared" si="183"/>
        <v>0</v>
      </c>
      <c r="AR242" s="207">
        <f t="shared" si="183"/>
        <v>0</v>
      </c>
      <c r="AS242" s="207">
        <f t="shared" si="183"/>
        <v>0</v>
      </c>
      <c r="AT242" s="207">
        <f t="shared" si="183"/>
        <v>0</v>
      </c>
      <c r="AU242" s="207">
        <f t="shared" si="183"/>
        <v>0</v>
      </c>
      <c r="AV242" s="128"/>
      <c r="AW242" s="243">
        <f t="shared" si="179"/>
        <v>0</v>
      </c>
      <c r="AX242" s="129"/>
      <c r="AY242" s="207">
        <f t="shared" ref="AY242:BG242" si="184">IF(OR(AY$24=0,$AZ$75=0),0,
(($AZ$117+$AZ$142+$AZ$159)/$AZ$75)*AY61)</f>
        <v>0</v>
      </c>
      <c r="AZ242" s="207">
        <f t="shared" si="184"/>
        <v>0</v>
      </c>
      <c r="BA242" s="207">
        <f t="shared" si="184"/>
        <v>0</v>
      </c>
      <c r="BB242" s="207">
        <f t="shared" si="184"/>
        <v>0</v>
      </c>
      <c r="BC242" s="207">
        <f t="shared" si="184"/>
        <v>0</v>
      </c>
      <c r="BD242" s="207">
        <f t="shared" si="184"/>
        <v>0</v>
      </c>
      <c r="BE242" s="207">
        <f t="shared" si="184"/>
        <v>0</v>
      </c>
      <c r="BF242" s="207">
        <f t="shared" si="184"/>
        <v>0</v>
      </c>
      <c r="BG242" s="207">
        <f t="shared" si="184"/>
        <v>0</v>
      </c>
      <c r="BH242" s="255"/>
    </row>
    <row r="243" spans="1:60" x14ac:dyDescent="0.2">
      <c r="A243" s="648"/>
      <c r="B243" s="492" t="s">
        <v>315</v>
      </c>
      <c r="C243" s="656" t="s">
        <v>113</v>
      </c>
      <c r="D243" s="750"/>
      <c r="E243" s="367" t="str">
        <f>$Q$73</f>
        <v>tapwater</v>
      </c>
      <c r="F243" s="220"/>
      <c r="G243" s="220"/>
      <c r="H243" s="242" t="s">
        <v>317</v>
      </c>
      <c r="I243" s="129"/>
      <c r="J243" s="243">
        <f t="shared" si="172"/>
        <v>0</v>
      </c>
      <c r="K243" s="236"/>
      <c r="L243" s="236"/>
      <c r="M243" s="243">
        <f t="shared" si="173"/>
        <v>0</v>
      </c>
      <c r="N243" s="129"/>
      <c r="O243" s="207">
        <f t="shared" ref="O243:W243" si="185">IF(O$24=0,0,
(($Q$117+$Q$142+$Q$159)/$Q$75)*O62)</f>
        <v>0</v>
      </c>
      <c r="P243" s="207">
        <f t="shared" si="185"/>
        <v>0</v>
      </c>
      <c r="Q243" s="207">
        <f t="shared" si="185"/>
        <v>0</v>
      </c>
      <c r="R243" s="207">
        <f t="shared" si="185"/>
        <v>0</v>
      </c>
      <c r="S243" s="207">
        <f t="shared" si="185"/>
        <v>0</v>
      </c>
      <c r="T243" s="207">
        <f t="shared" si="185"/>
        <v>0</v>
      </c>
      <c r="U243" s="207">
        <f t="shared" si="185"/>
        <v>0</v>
      </c>
      <c r="V243" s="207">
        <f t="shared" si="185"/>
        <v>0</v>
      </c>
      <c r="W243" s="207">
        <f t="shared" si="185"/>
        <v>0</v>
      </c>
      <c r="X243" s="128"/>
      <c r="Y243" s="243">
        <f t="shared" si="175"/>
        <v>0</v>
      </c>
      <c r="Z243" s="129"/>
      <c r="AA243" s="207">
        <f t="shared" ref="AA243:AI243" si="186">IF(AA$24=0,0,
(($AC$117+$AC$142+$AC$159)/$AC$75)*AA62)</f>
        <v>0</v>
      </c>
      <c r="AB243" s="207">
        <f t="shared" si="186"/>
        <v>0</v>
      </c>
      <c r="AC243" s="207">
        <f t="shared" si="186"/>
        <v>0</v>
      </c>
      <c r="AD243" s="207">
        <f t="shared" si="186"/>
        <v>0</v>
      </c>
      <c r="AE243" s="207">
        <f t="shared" si="186"/>
        <v>0</v>
      </c>
      <c r="AF243" s="207">
        <f t="shared" si="186"/>
        <v>0</v>
      </c>
      <c r="AG243" s="207">
        <f t="shared" si="186"/>
        <v>0</v>
      </c>
      <c r="AH243" s="207">
        <f t="shared" si="186"/>
        <v>0</v>
      </c>
      <c r="AI243" s="207">
        <f t="shared" si="186"/>
        <v>0</v>
      </c>
      <c r="AJ243" s="128"/>
      <c r="AK243" s="243">
        <f t="shared" si="177"/>
        <v>0</v>
      </c>
      <c r="AL243" s="129"/>
      <c r="AM243" s="207">
        <f t="shared" ref="AM243:AU243" si="187">IF(AM$24=0,0,
(($AO$117+$AO$142+$AO$159)/$AO$75)*AM62)</f>
        <v>0</v>
      </c>
      <c r="AN243" s="207">
        <f t="shared" si="187"/>
        <v>0</v>
      </c>
      <c r="AO243" s="207">
        <f t="shared" si="187"/>
        <v>0</v>
      </c>
      <c r="AP243" s="207">
        <f t="shared" si="187"/>
        <v>0</v>
      </c>
      <c r="AQ243" s="207">
        <f t="shared" si="187"/>
        <v>0</v>
      </c>
      <c r="AR243" s="207">
        <f t="shared" si="187"/>
        <v>0</v>
      </c>
      <c r="AS243" s="207">
        <f t="shared" si="187"/>
        <v>0</v>
      </c>
      <c r="AT243" s="207">
        <f t="shared" si="187"/>
        <v>0</v>
      </c>
      <c r="AU243" s="207">
        <f t="shared" si="187"/>
        <v>0</v>
      </c>
      <c r="AV243" s="128"/>
      <c r="AW243" s="243">
        <f t="shared" si="179"/>
        <v>0</v>
      </c>
      <c r="AX243" s="129"/>
      <c r="AY243" s="207">
        <f t="shared" ref="AY243:BG243" si="188">IF(AY$24=0,0,
(($BA$117+$BA$142+$BA$159)/$BA$75)*AY62)</f>
        <v>0</v>
      </c>
      <c r="AZ243" s="207">
        <f t="shared" si="188"/>
        <v>0</v>
      </c>
      <c r="BA243" s="207">
        <f t="shared" si="188"/>
        <v>0</v>
      </c>
      <c r="BB243" s="207">
        <f t="shared" si="188"/>
        <v>0</v>
      </c>
      <c r="BC243" s="207">
        <f t="shared" si="188"/>
        <v>0</v>
      </c>
      <c r="BD243" s="207">
        <f t="shared" si="188"/>
        <v>0</v>
      </c>
      <c r="BE243" s="207">
        <f t="shared" si="188"/>
        <v>0</v>
      </c>
      <c r="BF243" s="207">
        <f t="shared" si="188"/>
        <v>0</v>
      </c>
      <c r="BG243" s="207">
        <f t="shared" si="188"/>
        <v>0</v>
      </c>
      <c r="BH243" s="255"/>
    </row>
    <row r="244" spans="1:60" x14ac:dyDescent="0.2">
      <c r="A244" s="648"/>
      <c r="B244" s="492" t="s">
        <v>315</v>
      </c>
      <c r="C244" s="656" t="s">
        <v>113</v>
      </c>
      <c r="D244" s="750"/>
      <c r="E244" s="367" t="str">
        <f>$R$73</f>
        <v>verlichting</v>
      </c>
      <c r="F244" s="220"/>
      <c r="G244" s="220"/>
      <c r="H244" s="242" t="s">
        <v>317</v>
      </c>
      <c r="I244" s="129"/>
      <c r="J244" s="243">
        <f t="shared" si="172"/>
        <v>0</v>
      </c>
      <c r="K244" s="236"/>
      <c r="L244" s="236"/>
      <c r="M244" s="243">
        <f t="shared" si="173"/>
        <v>0</v>
      </c>
      <c r="N244" s="129"/>
      <c r="O244" s="207">
        <f t="shared" ref="O244:W244" si="189">IF(O$24=0,0,$R$159/$R$75*O63)</f>
        <v>0</v>
      </c>
      <c r="P244" s="207">
        <f t="shared" si="189"/>
        <v>0</v>
      </c>
      <c r="Q244" s="207">
        <f t="shared" si="189"/>
        <v>0</v>
      </c>
      <c r="R244" s="207">
        <f t="shared" si="189"/>
        <v>0</v>
      </c>
      <c r="S244" s="207">
        <f t="shared" si="189"/>
        <v>0</v>
      </c>
      <c r="T244" s="207">
        <f t="shared" si="189"/>
        <v>0</v>
      </c>
      <c r="U244" s="207">
        <f t="shared" si="189"/>
        <v>0</v>
      </c>
      <c r="V244" s="207">
        <f t="shared" si="189"/>
        <v>0</v>
      </c>
      <c r="W244" s="207">
        <f t="shared" si="189"/>
        <v>0</v>
      </c>
      <c r="X244" s="128"/>
      <c r="Y244" s="243">
        <f t="shared" si="175"/>
        <v>0</v>
      </c>
      <c r="Z244" s="129"/>
      <c r="AA244" s="207">
        <f t="shared" ref="AA244:AI244" si="190">IF(AA$24=0,0,$AD$159/$AD$75*AA63)</f>
        <v>0</v>
      </c>
      <c r="AB244" s="207">
        <f t="shared" si="190"/>
        <v>0</v>
      </c>
      <c r="AC244" s="207">
        <f t="shared" si="190"/>
        <v>0</v>
      </c>
      <c r="AD244" s="207">
        <f t="shared" si="190"/>
        <v>0</v>
      </c>
      <c r="AE244" s="207">
        <f t="shared" si="190"/>
        <v>0</v>
      </c>
      <c r="AF244" s="207">
        <f t="shared" si="190"/>
        <v>0</v>
      </c>
      <c r="AG244" s="207">
        <f t="shared" si="190"/>
        <v>0</v>
      </c>
      <c r="AH244" s="207">
        <f t="shared" si="190"/>
        <v>0</v>
      </c>
      <c r="AI244" s="207">
        <f t="shared" si="190"/>
        <v>0</v>
      </c>
      <c r="AJ244" s="128"/>
      <c r="AK244" s="243">
        <f t="shared" si="177"/>
        <v>0</v>
      </c>
      <c r="AL244" s="129"/>
      <c r="AM244" s="207">
        <f t="shared" ref="AM244:AU244" si="191">IF(AM$24=0,0,$AP$159/$AP$75*AM63)</f>
        <v>0</v>
      </c>
      <c r="AN244" s="207">
        <f t="shared" si="191"/>
        <v>0</v>
      </c>
      <c r="AO244" s="207">
        <f t="shared" si="191"/>
        <v>0</v>
      </c>
      <c r="AP244" s="207">
        <f t="shared" si="191"/>
        <v>0</v>
      </c>
      <c r="AQ244" s="207">
        <f t="shared" si="191"/>
        <v>0</v>
      </c>
      <c r="AR244" s="207">
        <f t="shared" si="191"/>
        <v>0</v>
      </c>
      <c r="AS244" s="207">
        <f t="shared" si="191"/>
        <v>0</v>
      </c>
      <c r="AT244" s="207">
        <f t="shared" si="191"/>
        <v>0</v>
      </c>
      <c r="AU244" s="207">
        <f t="shared" si="191"/>
        <v>0</v>
      </c>
      <c r="AV244" s="128"/>
      <c r="AW244" s="243">
        <f t="shared" si="179"/>
        <v>0</v>
      </c>
      <c r="AX244" s="129"/>
      <c r="AY244" s="207">
        <f t="shared" ref="AY244:BG244" si="192">IF(AY$24=0,0,$BB$159/$BB$75*AY63)</f>
        <v>0</v>
      </c>
      <c r="AZ244" s="207">
        <f t="shared" si="192"/>
        <v>0</v>
      </c>
      <c r="BA244" s="207">
        <f t="shared" si="192"/>
        <v>0</v>
      </c>
      <c r="BB244" s="207">
        <f t="shared" si="192"/>
        <v>0</v>
      </c>
      <c r="BC244" s="207">
        <f t="shared" si="192"/>
        <v>0</v>
      </c>
      <c r="BD244" s="207">
        <f t="shared" si="192"/>
        <v>0</v>
      </c>
      <c r="BE244" s="207">
        <f t="shared" si="192"/>
        <v>0</v>
      </c>
      <c r="BF244" s="207">
        <f t="shared" si="192"/>
        <v>0</v>
      </c>
      <c r="BG244" s="207">
        <f t="shared" si="192"/>
        <v>0</v>
      </c>
      <c r="BH244" s="255"/>
    </row>
    <row r="245" spans="1:60" x14ac:dyDescent="0.2">
      <c r="A245" s="648"/>
      <c r="B245" s="492" t="s">
        <v>315</v>
      </c>
      <c r="C245" s="656" t="s">
        <v>113</v>
      </c>
      <c r="D245" s="750"/>
      <c r="E245" s="367" t="str">
        <f>$S$73</f>
        <v>ventilatoren</v>
      </c>
      <c r="F245" s="220"/>
      <c r="G245" s="220"/>
      <c r="H245" s="242" t="s">
        <v>317</v>
      </c>
      <c r="I245" s="129"/>
      <c r="J245" s="243">
        <f t="shared" si="172"/>
        <v>0</v>
      </c>
      <c r="K245" s="236"/>
      <c r="L245" s="236"/>
      <c r="M245" s="243">
        <f t="shared" si="173"/>
        <v>0</v>
      </c>
      <c r="N245" s="129"/>
      <c r="O245" s="207">
        <f t="shared" ref="O245:W245" si="193">IF(OR(O$24=0,$S$75=0),0,$S$159/$S$75*O64)</f>
        <v>0</v>
      </c>
      <c r="P245" s="207">
        <f t="shared" si="193"/>
        <v>0</v>
      </c>
      <c r="Q245" s="207">
        <f t="shared" si="193"/>
        <v>0</v>
      </c>
      <c r="R245" s="207">
        <f t="shared" si="193"/>
        <v>0</v>
      </c>
      <c r="S245" s="207">
        <f t="shared" si="193"/>
        <v>0</v>
      </c>
      <c r="T245" s="207">
        <f t="shared" si="193"/>
        <v>0</v>
      </c>
      <c r="U245" s="207">
        <f t="shared" si="193"/>
        <v>0</v>
      </c>
      <c r="V245" s="207">
        <f t="shared" si="193"/>
        <v>0</v>
      </c>
      <c r="W245" s="207">
        <f t="shared" si="193"/>
        <v>0</v>
      </c>
      <c r="X245" s="128"/>
      <c r="Y245" s="243">
        <f t="shared" si="175"/>
        <v>0</v>
      </c>
      <c r="Z245" s="129"/>
      <c r="AA245" s="207">
        <f t="shared" ref="AA245:AI245" si="194">IF(OR(AA$24=0,$AE$75=0),0,$AE$159/$AE$75*AA64)</f>
        <v>0</v>
      </c>
      <c r="AB245" s="207">
        <f t="shared" si="194"/>
        <v>0</v>
      </c>
      <c r="AC245" s="207">
        <f t="shared" si="194"/>
        <v>0</v>
      </c>
      <c r="AD245" s="207">
        <f t="shared" si="194"/>
        <v>0</v>
      </c>
      <c r="AE245" s="207">
        <f t="shared" si="194"/>
        <v>0</v>
      </c>
      <c r="AF245" s="207">
        <f t="shared" si="194"/>
        <v>0</v>
      </c>
      <c r="AG245" s="207">
        <f t="shared" si="194"/>
        <v>0</v>
      </c>
      <c r="AH245" s="207">
        <f t="shared" si="194"/>
        <v>0</v>
      </c>
      <c r="AI245" s="207">
        <f t="shared" si="194"/>
        <v>0</v>
      </c>
      <c r="AJ245" s="128"/>
      <c r="AK245" s="243">
        <f t="shared" si="177"/>
        <v>0</v>
      </c>
      <c r="AL245" s="129"/>
      <c r="AM245" s="207">
        <f t="shared" ref="AM245:AU245" si="195">IF(OR(AM$24=0,$AQ$75=0),0,$AQ$159/$AQ$75*AM64)</f>
        <v>0</v>
      </c>
      <c r="AN245" s="207">
        <f t="shared" si="195"/>
        <v>0</v>
      </c>
      <c r="AO245" s="207">
        <f t="shared" si="195"/>
        <v>0</v>
      </c>
      <c r="AP245" s="207">
        <f t="shared" si="195"/>
        <v>0</v>
      </c>
      <c r="AQ245" s="207">
        <f t="shared" si="195"/>
        <v>0</v>
      </c>
      <c r="AR245" s="207">
        <f t="shared" si="195"/>
        <v>0</v>
      </c>
      <c r="AS245" s="207">
        <f t="shared" si="195"/>
        <v>0</v>
      </c>
      <c r="AT245" s="207">
        <f t="shared" si="195"/>
        <v>0</v>
      </c>
      <c r="AU245" s="207">
        <f t="shared" si="195"/>
        <v>0</v>
      </c>
      <c r="AV245" s="128"/>
      <c r="AW245" s="243">
        <f t="shared" si="179"/>
        <v>0</v>
      </c>
      <c r="AX245" s="129"/>
      <c r="AY245" s="207">
        <f t="shared" ref="AY245:BG245" si="196">IF(OR(AY$24=0,$BC$75=0),0,$BC$159/$BC$75*AY64)</f>
        <v>0</v>
      </c>
      <c r="AZ245" s="207">
        <f t="shared" si="196"/>
        <v>0</v>
      </c>
      <c r="BA245" s="207">
        <f t="shared" si="196"/>
        <v>0</v>
      </c>
      <c r="BB245" s="207">
        <f t="shared" si="196"/>
        <v>0</v>
      </c>
      <c r="BC245" s="207">
        <f t="shared" si="196"/>
        <v>0</v>
      </c>
      <c r="BD245" s="207">
        <f t="shared" si="196"/>
        <v>0</v>
      </c>
      <c r="BE245" s="207">
        <f t="shared" si="196"/>
        <v>0</v>
      </c>
      <c r="BF245" s="207">
        <f t="shared" si="196"/>
        <v>0</v>
      </c>
      <c r="BG245" s="207">
        <f t="shared" si="196"/>
        <v>0</v>
      </c>
      <c r="BH245" s="255"/>
    </row>
    <row r="246" spans="1:60" x14ac:dyDescent="0.2">
      <c r="A246" s="648"/>
      <c r="B246" s="492" t="s">
        <v>315</v>
      </c>
      <c r="C246" s="656" t="s">
        <v>113</v>
      </c>
      <c r="D246" s="750"/>
      <c r="E246" s="367" t="str">
        <f>$T$73</f>
        <v>kookgas</v>
      </c>
      <c r="F246" s="220"/>
      <c r="G246" s="220"/>
      <c r="H246" s="242" t="s">
        <v>317</v>
      </c>
      <c r="I246" s="129"/>
      <c r="J246" s="243">
        <f t="shared" si="172"/>
        <v>0</v>
      </c>
      <c r="K246" s="236"/>
      <c r="L246" s="236"/>
      <c r="M246" s="243">
        <f t="shared" si="173"/>
        <v>0</v>
      </c>
      <c r="N246" s="129"/>
      <c r="O246" s="207">
        <f t="shared" ref="O246:W246" si="197">IF(OR(O$24=0,$T$75=0),0,$T$204/$T$75*O65)</f>
        <v>0</v>
      </c>
      <c r="P246" s="207">
        <f t="shared" si="197"/>
        <v>0</v>
      </c>
      <c r="Q246" s="207">
        <f t="shared" si="197"/>
        <v>0</v>
      </c>
      <c r="R246" s="207">
        <f t="shared" si="197"/>
        <v>0</v>
      </c>
      <c r="S246" s="207">
        <f t="shared" si="197"/>
        <v>0</v>
      </c>
      <c r="T246" s="207">
        <f t="shared" si="197"/>
        <v>0</v>
      </c>
      <c r="U246" s="207">
        <f t="shared" si="197"/>
        <v>0</v>
      </c>
      <c r="V246" s="207">
        <f t="shared" si="197"/>
        <v>0</v>
      </c>
      <c r="W246" s="207">
        <f t="shared" si="197"/>
        <v>0</v>
      </c>
      <c r="X246" s="128"/>
      <c r="Y246" s="243">
        <f t="shared" si="175"/>
        <v>0</v>
      </c>
      <c r="Z246" s="129"/>
      <c r="AA246" s="207">
        <f t="shared" ref="AA246:AI246" si="198">IF(OR(AA$24=0,$AF$75=0),0,$AF$204/$AF$75*AA65)</f>
        <v>0</v>
      </c>
      <c r="AB246" s="207">
        <f t="shared" si="198"/>
        <v>0</v>
      </c>
      <c r="AC246" s="207">
        <f t="shared" si="198"/>
        <v>0</v>
      </c>
      <c r="AD246" s="207">
        <f t="shared" si="198"/>
        <v>0</v>
      </c>
      <c r="AE246" s="207">
        <f t="shared" si="198"/>
        <v>0</v>
      </c>
      <c r="AF246" s="207">
        <f t="shared" si="198"/>
        <v>0</v>
      </c>
      <c r="AG246" s="207">
        <f t="shared" si="198"/>
        <v>0</v>
      </c>
      <c r="AH246" s="207">
        <f t="shared" si="198"/>
        <v>0</v>
      </c>
      <c r="AI246" s="207">
        <f t="shared" si="198"/>
        <v>0</v>
      </c>
      <c r="AJ246" s="128"/>
      <c r="AK246" s="243">
        <f t="shared" si="177"/>
        <v>0</v>
      </c>
      <c r="AL246" s="129"/>
      <c r="AM246" s="207">
        <f t="shared" ref="AM246:AU246" si="199">IF(OR(AM$24=0,$AR$75=0),0,$AR$204/$AR$75*AM65)</f>
        <v>0</v>
      </c>
      <c r="AN246" s="207">
        <f t="shared" si="199"/>
        <v>0</v>
      </c>
      <c r="AO246" s="207">
        <f t="shared" si="199"/>
        <v>0</v>
      </c>
      <c r="AP246" s="207">
        <f t="shared" si="199"/>
        <v>0</v>
      </c>
      <c r="AQ246" s="207">
        <f t="shared" si="199"/>
        <v>0</v>
      </c>
      <c r="AR246" s="207">
        <f t="shared" si="199"/>
        <v>0</v>
      </c>
      <c r="AS246" s="207">
        <f t="shared" si="199"/>
        <v>0</v>
      </c>
      <c r="AT246" s="207">
        <f t="shared" si="199"/>
        <v>0</v>
      </c>
      <c r="AU246" s="207">
        <f t="shared" si="199"/>
        <v>0</v>
      </c>
      <c r="AV246" s="128"/>
      <c r="AW246" s="243">
        <f t="shared" si="179"/>
        <v>0</v>
      </c>
      <c r="AX246" s="129">
        <f>IF(AX$24=0,0,$BD$204/$BD$75*AX65)</f>
        <v>0</v>
      </c>
      <c r="AY246" s="207">
        <f t="shared" ref="AY246:BG246" si="200">IF(OR(AY$24=0,$BD$75=0),0,$BD$204/$BD$75*AY65)</f>
        <v>0</v>
      </c>
      <c r="AZ246" s="207">
        <f t="shared" si="200"/>
        <v>0</v>
      </c>
      <c r="BA246" s="207">
        <f t="shared" si="200"/>
        <v>0</v>
      </c>
      <c r="BB246" s="207">
        <f t="shared" si="200"/>
        <v>0</v>
      </c>
      <c r="BC246" s="207">
        <f t="shared" si="200"/>
        <v>0</v>
      </c>
      <c r="BD246" s="207">
        <f t="shared" si="200"/>
        <v>0</v>
      </c>
      <c r="BE246" s="207">
        <f t="shared" si="200"/>
        <v>0</v>
      </c>
      <c r="BF246" s="207">
        <f t="shared" si="200"/>
        <v>0</v>
      </c>
      <c r="BG246" s="207">
        <f t="shared" si="200"/>
        <v>0</v>
      </c>
      <c r="BH246" s="255"/>
    </row>
    <row r="247" spans="1:60" x14ac:dyDescent="0.2">
      <c r="A247" s="648"/>
      <c r="B247" s="492" t="s">
        <v>315</v>
      </c>
      <c r="C247" s="656" t="s">
        <v>113</v>
      </c>
      <c r="D247" s="750"/>
      <c r="E247" s="367" t="str">
        <f>$U$73</f>
        <v>overig elektra</v>
      </c>
      <c r="F247" s="220"/>
      <c r="G247" s="220"/>
      <c r="H247" s="242" t="s">
        <v>317</v>
      </c>
      <c r="I247" s="129"/>
      <c r="J247" s="243">
        <f t="shared" si="172"/>
        <v>0</v>
      </c>
      <c r="K247" s="236"/>
      <c r="L247" s="236"/>
      <c r="M247" s="243">
        <f t="shared" si="173"/>
        <v>0</v>
      </c>
      <c r="N247" s="129"/>
      <c r="O247" s="207">
        <f t="shared" ref="O247:W247" si="201">IF(OR(O$24=0,$U$75=0),0,$U$159/$U$75*O66)</f>
        <v>0</v>
      </c>
      <c r="P247" s="207">
        <f t="shared" si="201"/>
        <v>0</v>
      </c>
      <c r="Q247" s="207">
        <f t="shared" si="201"/>
        <v>0</v>
      </c>
      <c r="R247" s="207">
        <f t="shared" si="201"/>
        <v>0</v>
      </c>
      <c r="S247" s="207">
        <f t="shared" si="201"/>
        <v>0</v>
      </c>
      <c r="T247" s="207">
        <f t="shared" si="201"/>
        <v>0</v>
      </c>
      <c r="U247" s="207">
        <f t="shared" si="201"/>
        <v>0</v>
      </c>
      <c r="V247" s="207">
        <f t="shared" si="201"/>
        <v>0</v>
      </c>
      <c r="W247" s="207">
        <f t="shared" si="201"/>
        <v>0</v>
      </c>
      <c r="X247" s="128"/>
      <c r="Y247" s="243">
        <f t="shared" si="175"/>
        <v>0</v>
      </c>
      <c r="Z247" s="129"/>
      <c r="AA247" s="207">
        <f t="shared" ref="AA247:AI247" si="202">IF(OR(AA$24=0,$U$75=0),0,$AG$159/$U$75*AA66)</f>
        <v>0</v>
      </c>
      <c r="AB247" s="207">
        <f t="shared" si="202"/>
        <v>0</v>
      </c>
      <c r="AC247" s="207">
        <f t="shared" si="202"/>
        <v>0</v>
      </c>
      <c r="AD247" s="207">
        <f t="shared" si="202"/>
        <v>0</v>
      </c>
      <c r="AE247" s="207">
        <f t="shared" si="202"/>
        <v>0</v>
      </c>
      <c r="AF247" s="207">
        <f t="shared" si="202"/>
        <v>0</v>
      </c>
      <c r="AG247" s="207">
        <f t="shared" si="202"/>
        <v>0</v>
      </c>
      <c r="AH247" s="207">
        <f t="shared" si="202"/>
        <v>0</v>
      </c>
      <c r="AI247" s="207">
        <f t="shared" si="202"/>
        <v>0</v>
      </c>
      <c r="AJ247" s="128"/>
      <c r="AK247" s="243">
        <f t="shared" si="177"/>
        <v>0</v>
      </c>
      <c r="AL247" s="129"/>
      <c r="AM247" s="207">
        <f t="shared" ref="AM247:AU247" si="203">IF(OR(AM$24=0,$U$75=0),0,$AS$159/$U$75*AM66)</f>
        <v>0</v>
      </c>
      <c r="AN247" s="207">
        <f t="shared" si="203"/>
        <v>0</v>
      </c>
      <c r="AO247" s="207">
        <f t="shared" si="203"/>
        <v>0</v>
      </c>
      <c r="AP247" s="207">
        <f t="shared" si="203"/>
        <v>0</v>
      </c>
      <c r="AQ247" s="207">
        <f t="shared" si="203"/>
        <v>0</v>
      </c>
      <c r="AR247" s="207">
        <f t="shared" si="203"/>
        <v>0</v>
      </c>
      <c r="AS247" s="207">
        <f t="shared" si="203"/>
        <v>0</v>
      </c>
      <c r="AT247" s="207">
        <f t="shared" si="203"/>
        <v>0</v>
      </c>
      <c r="AU247" s="207">
        <f t="shared" si="203"/>
        <v>0</v>
      </c>
      <c r="AV247" s="128"/>
      <c r="AW247" s="243">
        <f t="shared" si="179"/>
        <v>0</v>
      </c>
      <c r="AX247" s="129"/>
      <c r="AY247" s="207">
        <f t="shared" ref="AY247:BG247" si="204">IF(OR(AY$24=0,$U$75=0),0,$BE$159/$U$75*AY66)</f>
        <v>0</v>
      </c>
      <c r="AZ247" s="207">
        <f t="shared" si="204"/>
        <v>0</v>
      </c>
      <c r="BA247" s="207">
        <f t="shared" si="204"/>
        <v>0</v>
      </c>
      <c r="BB247" s="207">
        <f t="shared" si="204"/>
        <v>0</v>
      </c>
      <c r="BC247" s="207">
        <f t="shared" si="204"/>
        <v>0</v>
      </c>
      <c r="BD247" s="207">
        <f t="shared" si="204"/>
        <v>0</v>
      </c>
      <c r="BE247" s="207">
        <f t="shared" si="204"/>
        <v>0</v>
      </c>
      <c r="BF247" s="207">
        <f t="shared" si="204"/>
        <v>0</v>
      </c>
      <c r="BG247" s="207">
        <f t="shared" si="204"/>
        <v>0</v>
      </c>
      <c r="BH247" s="255"/>
    </row>
    <row r="248" spans="1:60" x14ac:dyDescent="0.2">
      <c r="A248" s="648"/>
      <c r="B248" s="492" t="s">
        <v>315</v>
      </c>
      <c r="C248" s="656" t="s">
        <v>113</v>
      </c>
      <c r="D248" s="750"/>
      <c r="E248" s="367" t="str">
        <f>$V$73</f>
        <v>mobiliteit</v>
      </c>
      <c r="F248" s="220"/>
      <c r="G248" s="220"/>
      <c r="H248" s="242" t="s">
        <v>317</v>
      </c>
      <c r="I248" s="129"/>
      <c r="J248" s="243">
        <f t="shared" si="172"/>
        <v>0</v>
      </c>
      <c r="K248" s="236"/>
      <c r="L248" s="236"/>
      <c r="M248" s="243">
        <f t="shared" si="173"/>
        <v>0</v>
      </c>
      <c r="N248" s="129"/>
      <c r="O248" s="207">
        <f t="shared" ref="O248:W248" si="205">IF(OR($V$154=0,O$31=0),0,$V$159/$V$154*O$68/O$31)</f>
        <v>0</v>
      </c>
      <c r="P248" s="207">
        <f t="shared" si="205"/>
        <v>0</v>
      </c>
      <c r="Q248" s="207">
        <f t="shared" si="205"/>
        <v>0</v>
      </c>
      <c r="R248" s="207">
        <f t="shared" si="205"/>
        <v>0</v>
      </c>
      <c r="S248" s="207">
        <f t="shared" si="205"/>
        <v>0</v>
      </c>
      <c r="T248" s="207">
        <f t="shared" si="205"/>
        <v>0</v>
      </c>
      <c r="U248" s="207">
        <f t="shared" si="205"/>
        <v>0</v>
      </c>
      <c r="V248" s="207">
        <f t="shared" si="205"/>
        <v>0</v>
      </c>
      <c r="W248" s="207">
        <f t="shared" si="205"/>
        <v>0</v>
      </c>
      <c r="X248" s="128"/>
      <c r="Y248" s="243">
        <f t="shared" si="175"/>
        <v>0</v>
      </c>
      <c r="Z248" s="129"/>
      <c r="AA248" s="207">
        <f t="shared" ref="AA248:AI248" si="206">IF(OR($AH$154=0,AA$31=0),0,$AH$159/$AH$154*AA$68/AA$31)</f>
        <v>0</v>
      </c>
      <c r="AB248" s="207">
        <f t="shared" si="206"/>
        <v>0</v>
      </c>
      <c r="AC248" s="207">
        <f t="shared" si="206"/>
        <v>0</v>
      </c>
      <c r="AD248" s="207">
        <f t="shared" si="206"/>
        <v>0</v>
      </c>
      <c r="AE248" s="207">
        <f t="shared" si="206"/>
        <v>0</v>
      </c>
      <c r="AF248" s="207">
        <f t="shared" si="206"/>
        <v>0</v>
      </c>
      <c r="AG248" s="207">
        <f t="shared" si="206"/>
        <v>0</v>
      </c>
      <c r="AH248" s="207">
        <f t="shared" si="206"/>
        <v>0</v>
      </c>
      <c r="AI248" s="207">
        <f t="shared" si="206"/>
        <v>0</v>
      </c>
      <c r="AJ248" s="128"/>
      <c r="AK248" s="243">
        <f t="shared" si="177"/>
        <v>0</v>
      </c>
      <c r="AL248" s="129"/>
      <c r="AM248" s="207">
        <f t="shared" ref="AM248:AU248" si="207">IF(OR($AT$154=0,AM$31=0),0,$AT$159/$AT$154*AM$68/AM$31)</f>
        <v>0</v>
      </c>
      <c r="AN248" s="207">
        <f t="shared" si="207"/>
        <v>0</v>
      </c>
      <c r="AO248" s="207">
        <f t="shared" si="207"/>
        <v>0</v>
      </c>
      <c r="AP248" s="207">
        <f t="shared" si="207"/>
        <v>0</v>
      </c>
      <c r="AQ248" s="207">
        <f t="shared" si="207"/>
        <v>0</v>
      </c>
      <c r="AR248" s="207">
        <f t="shared" si="207"/>
        <v>0</v>
      </c>
      <c r="AS248" s="207">
        <f t="shared" si="207"/>
        <v>0</v>
      </c>
      <c r="AT248" s="207">
        <f t="shared" si="207"/>
        <v>0</v>
      </c>
      <c r="AU248" s="207">
        <f t="shared" si="207"/>
        <v>0</v>
      </c>
      <c r="AV248" s="128"/>
      <c r="AW248" s="243">
        <f t="shared" si="179"/>
        <v>0</v>
      </c>
      <c r="AX248" s="129"/>
      <c r="AY248" s="207">
        <f>IF(OR($BF$154=0,AY$24=0),0,$BF$159/$BF$154*AY$68/AY$31)</f>
        <v>0</v>
      </c>
      <c r="AZ248" s="207">
        <f t="shared" ref="AZ248:BG248" si="208">IF(OR($BF$154=0,AZ$31=0),0,$BF$159/$BF$154*AZ$68/AZ$31)</f>
        <v>0</v>
      </c>
      <c r="BA248" s="207">
        <f t="shared" si="208"/>
        <v>0</v>
      </c>
      <c r="BB248" s="207">
        <f t="shared" si="208"/>
        <v>0</v>
      </c>
      <c r="BC248" s="207">
        <f t="shared" si="208"/>
        <v>0</v>
      </c>
      <c r="BD248" s="207">
        <f t="shared" si="208"/>
        <v>0</v>
      </c>
      <c r="BE248" s="207">
        <f t="shared" si="208"/>
        <v>0</v>
      </c>
      <c r="BF248" s="207">
        <f t="shared" si="208"/>
        <v>0</v>
      </c>
      <c r="BG248" s="207">
        <f t="shared" si="208"/>
        <v>0</v>
      </c>
      <c r="BH248" s="255"/>
    </row>
    <row r="249" spans="1:60" x14ac:dyDescent="0.2">
      <c r="A249" s="648"/>
      <c r="B249" s="492" t="s">
        <v>315</v>
      </c>
      <c r="C249" s="656" t="s">
        <v>113</v>
      </c>
      <c r="D249" s="750"/>
      <c r="E249" s="220" t="s">
        <v>318</v>
      </c>
      <c r="F249" s="220"/>
      <c r="G249" s="220"/>
      <c r="H249" s="242" t="s">
        <v>317</v>
      </c>
      <c r="I249" s="129"/>
      <c r="J249" s="243">
        <f t="shared" si="172"/>
        <v>0</v>
      </c>
      <c r="K249" s="236"/>
      <c r="L249" s="236"/>
      <c r="M249" s="243">
        <f>SUM(M241:M248)</f>
        <v>0</v>
      </c>
      <c r="N249" s="129"/>
      <c r="O249" s="207">
        <f t="shared" ref="O249:W249" si="209">SUM(O241:O248)</f>
        <v>0</v>
      </c>
      <c r="P249" s="207">
        <f t="shared" si="209"/>
        <v>0</v>
      </c>
      <c r="Q249" s="207">
        <f t="shared" si="209"/>
        <v>0</v>
      </c>
      <c r="R249" s="207">
        <f t="shared" si="209"/>
        <v>0</v>
      </c>
      <c r="S249" s="207">
        <f t="shared" si="209"/>
        <v>0</v>
      </c>
      <c r="T249" s="207">
        <f>SUM(T241:T248)</f>
        <v>0</v>
      </c>
      <c r="U249" s="207">
        <f t="shared" si="209"/>
        <v>0</v>
      </c>
      <c r="V249" s="207">
        <f t="shared" si="209"/>
        <v>0</v>
      </c>
      <c r="W249" s="207">
        <f t="shared" si="209"/>
        <v>0</v>
      </c>
      <c r="X249" s="128"/>
      <c r="Y249" s="243">
        <f>SUM(Y241:Y248)</f>
        <v>0</v>
      </c>
      <c r="Z249" s="129"/>
      <c r="AA249" s="207">
        <f t="shared" ref="AA249:AI249" si="210">SUM(AA241:AA248)</f>
        <v>0</v>
      </c>
      <c r="AB249" s="207">
        <f t="shared" si="210"/>
        <v>0</v>
      </c>
      <c r="AC249" s="207">
        <f t="shared" si="210"/>
        <v>0</v>
      </c>
      <c r="AD249" s="207">
        <f t="shared" si="210"/>
        <v>0</v>
      </c>
      <c r="AE249" s="207">
        <f t="shared" si="210"/>
        <v>0</v>
      </c>
      <c r="AF249" s="207">
        <f>SUM(AF241:AF248)</f>
        <v>0</v>
      </c>
      <c r="AG249" s="207">
        <f t="shared" si="210"/>
        <v>0</v>
      </c>
      <c r="AH249" s="207">
        <f t="shared" si="210"/>
        <v>0</v>
      </c>
      <c r="AI249" s="207">
        <f t="shared" si="210"/>
        <v>0</v>
      </c>
      <c r="AJ249" s="128"/>
      <c r="AK249" s="243">
        <f t="shared" ref="AK249:AU249" si="211">SUM(AK241:AK248)</f>
        <v>0</v>
      </c>
      <c r="AL249" s="129"/>
      <c r="AM249" s="207">
        <f t="shared" si="211"/>
        <v>0</v>
      </c>
      <c r="AN249" s="207">
        <f t="shared" si="211"/>
        <v>0</v>
      </c>
      <c r="AO249" s="207">
        <f t="shared" si="211"/>
        <v>0</v>
      </c>
      <c r="AP249" s="207">
        <f t="shared" si="211"/>
        <v>0</v>
      </c>
      <c r="AQ249" s="207">
        <f t="shared" si="211"/>
        <v>0</v>
      </c>
      <c r="AR249" s="207">
        <f>SUM(AR241:AR248)</f>
        <v>0</v>
      </c>
      <c r="AS249" s="207">
        <f t="shared" si="211"/>
        <v>0</v>
      </c>
      <c r="AT249" s="207">
        <f t="shared" si="211"/>
        <v>0</v>
      </c>
      <c r="AU249" s="207">
        <f t="shared" si="211"/>
        <v>0</v>
      </c>
      <c r="AV249" s="128"/>
      <c r="AW249" s="243">
        <f>SUM(AW241:AW248)</f>
        <v>0</v>
      </c>
      <c r="AX249" s="129"/>
      <c r="AY249" s="207">
        <f t="shared" ref="AY249:BG249" si="212">SUM(AY241:AY248)</f>
        <v>0</v>
      </c>
      <c r="AZ249" s="207">
        <f t="shared" si="212"/>
        <v>0</v>
      </c>
      <c r="BA249" s="207">
        <f t="shared" si="212"/>
        <v>0</v>
      </c>
      <c r="BB249" s="207">
        <f t="shared" si="212"/>
        <v>0</v>
      </c>
      <c r="BC249" s="207">
        <f t="shared" si="212"/>
        <v>0</v>
      </c>
      <c r="BD249" s="207">
        <f>SUM(BD241:BD248)</f>
        <v>0</v>
      </c>
      <c r="BE249" s="207">
        <f t="shared" si="212"/>
        <v>0</v>
      </c>
      <c r="BF249" s="207">
        <f t="shared" si="212"/>
        <v>0</v>
      </c>
      <c r="BG249" s="207">
        <f t="shared" si="212"/>
        <v>0</v>
      </c>
      <c r="BH249" s="255"/>
    </row>
    <row r="250" spans="1:60" ht="18.75" x14ac:dyDescent="0.2">
      <c r="A250" s="648"/>
      <c r="B250" s="492" t="s">
        <v>315</v>
      </c>
      <c r="C250" s="739" t="s">
        <v>104</v>
      </c>
      <c r="D250" s="747"/>
      <c r="E250" s="236" t="s">
        <v>319</v>
      </c>
      <c r="F250" s="236"/>
      <c r="G250" s="236"/>
      <c r="H250" s="89"/>
      <c r="I250" s="236"/>
      <c r="J250" s="279"/>
      <c r="K250" s="236"/>
      <c r="L250" s="236"/>
      <c r="M250" s="279"/>
      <c r="N250" s="236"/>
      <c r="O250" s="236"/>
      <c r="P250" s="236"/>
      <c r="Q250" s="236"/>
      <c r="R250" s="236"/>
      <c r="S250" s="236"/>
      <c r="T250" s="236"/>
      <c r="U250" s="236"/>
      <c r="V250" s="236"/>
      <c r="W250" s="236"/>
      <c r="X250" s="236"/>
      <c r="Y250" s="279"/>
      <c r="Z250" s="236"/>
      <c r="AA250" s="236"/>
      <c r="AB250" s="236"/>
      <c r="AC250" s="236"/>
      <c r="AD250" s="236"/>
      <c r="AE250" s="236"/>
      <c r="AF250" s="236"/>
      <c r="AG250" s="236"/>
      <c r="AH250" s="236"/>
      <c r="AI250" s="236"/>
      <c r="AJ250" s="236"/>
      <c r="AK250" s="279"/>
      <c r="AL250" s="236"/>
      <c r="AM250" s="236"/>
      <c r="AN250" s="236"/>
      <c r="AO250" s="236"/>
      <c r="AP250" s="236"/>
      <c r="AQ250" s="236"/>
      <c r="AR250" s="236"/>
      <c r="AS250" s="236"/>
      <c r="AT250" s="236"/>
      <c r="AU250" s="236"/>
      <c r="AV250" s="236"/>
      <c r="AW250" s="279"/>
      <c r="AX250" s="236"/>
      <c r="AY250" s="236"/>
      <c r="AZ250" s="236"/>
      <c r="BA250" s="236"/>
      <c r="BB250" s="236"/>
      <c r="BC250" s="236"/>
      <c r="BD250" s="236"/>
      <c r="BE250" s="236"/>
      <c r="BF250" s="236"/>
      <c r="BG250" s="236"/>
      <c r="BH250" s="38"/>
    </row>
    <row r="251" spans="1:60" x14ac:dyDescent="0.2">
      <c r="A251" s="648"/>
      <c r="B251" s="492" t="s">
        <v>315</v>
      </c>
      <c r="C251" s="656" t="s">
        <v>113</v>
      </c>
      <c r="D251" s="750"/>
      <c r="E251" s="220" t="s">
        <v>320</v>
      </c>
      <c r="F251" s="220"/>
      <c r="G251" s="220"/>
      <c r="H251" s="242" t="s">
        <v>317</v>
      </c>
      <c r="I251" s="129"/>
      <c r="J251" s="243">
        <f>M251+Y251+AK251+AW251</f>
        <v>0</v>
      </c>
      <c r="K251" s="236"/>
      <c r="L251" s="236"/>
      <c r="M251" s="243">
        <f>SUMPRODUCT(N251:X251,N$24:X$24,N$31:X$31)/1000</f>
        <v>0</v>
      </c>
      <c r="N251" s="129"/>
      <c r="O251" s="207">
        <f t="shared" ref="O251:W251" si="213">IF(OR(O$24=0,O$31=0,$M$167+$M$168=0),0,
-(O234*($M$167/($M$167+$M$168))*$M$177*1000)/(O24*O31))</f>
        <v>0</v>
      </c>
      <c r="P251" s="207">
        <f t="shared" si="213"/>
        <v>0</v>
      </c>
      <c r="Q251" s="207">
        <f t="shared" si="213"/>
        <v>0</v>
      </c>
      <c r="R251" s="207">
        <f t="shared" si="213"/>
        <v>0</v>
      </c>
      <c r="S251" s="207">
        <f t="shared" si="213"/>
        <v>0</v>
      </c>
      <c r="T251" s="207">
        <f t="shared" si="213"/>
        <v>0</v>
      </c>
      <c r="U251" s="207">
        <f t="shared" si="213"/>
        <v>0</v>
      </c>
      <c r="V251" s="207">
        <f t="shared" si="213"/>
        <v>0</v>
      </c>
      <c r="W251" s="207">
        <f t="shared" si="213"/>
        <v>0</v>
      </c>
      <c r="X251" s="128"/>
      <c r="Y251" s="243">
        <f>SUMPRODUCT(Z251:AJ251,Z$24:AJ$24,Z$31:AJ$31)/1000</f>
        <v>0</v>
      </c>
      <c r="Z251" s="129"/>
      <c r="AA251" s="207">
        <f t="shared" ref="AA251:AI251" si="214">IF(OR(AA$19="-",AA$24=0,AA$31=0,$Y$167+$Y$168=0),0,
-(AA234*($Y$167/($Y$167+$Y$168))*$Y$177*1000)/(AA24*AA31))</f>
        <v>0</v>
      </c>
      <c r="AB251" s="207">
        <f t="shared" si="214"/>
        <v>0</v>
      </c>
      <c r="AC251" s="207">
        <f t="shared" si="214"/>
        <v>0</v>
      </c>
      <c r="AD251" s="207">
        <f t="shared" si="214"/>
        <v>0</v>
      </c>
      <c r="AE251" s="207">
        <f t="shared" si="214"/>
        <v>0</v>
      </c>
      <c r="AF251" s="207">
        <f t="shared" si="214"/>
        <v>0</v>
      </c>
      <c r="AG251" s="207">
        <f t="shared" si="214"/>
        <v>0</v>
      </c>
      <c r="AH251" s="207">
        <f t="shared" si="214"/>
        <v>0</v>
      </c>
      <c r="AI251" s="207">
        <f t="shared" si="214"/>
        <v>0</v>
      </c>
      <c r="AJ251" s="128"/>
      <c r="AK251" s="243">
        <f>SUMPRODUCT(AL251:AV251,AL$24:AV$24,AL$31:AV$31)/1000</f>
        <v>0</v>
      </c>
      <c r="AL251" s="129"/>
      <c r="AM251" s="207">
        <f t="shared" ref="AM251:AU251" si="215">IF(OR(AM$24=0,AM$31=0,$AK$167+$AK$168=0),0,
-AM234*($AK$167/($AK$167+$AK$168))*$AK$177*1000/(AM24*AM31))</f>
        <v>0</v>
      </c>
      <c r="AN251" s="207">
        <f t="shared" si="215"/>
        <v>0</v>
      </c>
      <c r="AO251" s="207">
        <f t="shared" si="215"/>
        <v>0</v>
      </c>
      <c r="AP251" s="207">
        <f t="shared" si="215"/>
        <v>0</v>
      </c>
      <c r="AQ251" s="207">
        <f t="shared" si="215"/>
        <v>0</v>
      </c>
      <c r="AR251" s="207">
        <f t="shared" si="215"/>
        <v>0</v>
      </c>
      <c r="AS251" s="207">
        <f t="shared" si="215"/>
        <v>0</v>
      </c>
      <c r="AT251" s="207">
        <f t="shared" si="215"/>
        <v>0</v>
      </c>
      <c r="AU251" s="207">
        <f t="shared" si="215"/>
        <v>0</v>
      </c>
      <c r="AV251" s="128"/>
      <c r="AW251" s="243">
        <f>SUMPRODUCT(AX251:BH251,AX$24:BH$24,AX$31:BH$31)/1000</f>
        <v>0</v>
      </c>
      <c r="AX251" s="129"/>
      <c r="AY251" s="207">
        <f t="shared" ref="AY251:BG251" si="216">IF(OR(AY$24=0,AY$31=0,$AW$167+$AW$168=0),0,
-AY234*($AW$167/($AW$167+$AW$168))*$AW$177*1000/(AY24*AY31))</f>
        <v>0</v>
      </c>
      <c r="AZ251" s="207">
        <f t="shared" si="216"/>
        <v>0</v>
      </c>
      <c r="BA251" s="207">
        <f t="shared" si="216"/>
        <v>0</v>
      </c>
      <c r="BB251" s="207">
        <f t="shared" si="216"/>
        <v>0</v>
      </c>
      <c r="BC251" s="207">
        <f t="shared" si="216"/>
        <v>0</v>
      </c>
      <c r="BD251" s="207">
        <f t="shared" si="216"/>
        <v>0</v>
      </c>
      <c r="BE251" s="207">
        <f t="shared" si="216"/>
        <v>0</v>
      </c>
      <c r="BF251" s="207">
        <f t="shared" si="216"/>
        <v>0</v>
      </c>
      <c r="BG251" s="207">
        <f t="shared" si="216"/>
        <v>0</v>
      </c>
      <c r="BH251" s="255"/>
    </row>
    <row r="252" spans="1:60" x14ac:dyDescent="0.2">
      <c r="A252" s="648"/>
      <c r="B252" s="492" t="s">
        <v>315</v>
      </c>
      <c r="C252" s="656" t="s">
        <v>113</v>
      </c>
      <c r="D252" s="750"/>
      <c r="E252" s="220" t="s">
        <v>321</v>
      </c>
      <c r="F252" s="220"/>
      <c r="G252" s="220"/>
      <c r="H252" s="242" t="s">
        <v>317</v>
      </c>
      <c r="I252" s="129"/>
      <c r="J252" s="243">
        <f>M252+Y252+AK252+AW252</f>
        <v>0</v>
      </c>
      <c r="K252" s="236"/>
      <c r="L252" s="236"/>
      <c r="M252" s="243">
        <f>SUMPRODUCT(N252:X252,N$24:X$24,N$31:X$31)/1000</f>
        <v>0</v>
      </c>
      <c r="N252" s="129"/>
      <c r="O252" s="207">
        <f t="shared" ref="O252:W252" si="217">IF(OR(O$24=0,O$31=0,$M$167+$M$168=0),0,
-O70*($M$177/($M$167+$M$168))/O31)</f>
        <v>0</v>
      </c>
      <c r="P252" s="207">
        <f t="shared" si="217"/>
        <v>0</v>
      </c>
      <c r="Q252" s="207">
        <f t="shared" si="217"/>
        <v>0</v>
      </c>
      <c r="R252" s="207">
        <f t="shared" si="217"/>
        <v>0</v>
      </c>
      <c r="S252" s="207">
        <f t="shared" si="217"/>
        <v>0</v>
      </c>
      <c r="T252" s="207">
        <f t="shared" si="217"/>
        <v>0</v>
      </c>
      <c r="U252" s="207">
        <f t="shared" si="217"/>
        <v>0</v>
      </c>
      <c r="V252" s="207">
        <f t="shared" si="217"/>
        <v>0</v>
      </c>
      <c r="W252" s="207">
        <f t="shared" si="217"/>
        <v>0</v>
      </c>
      <c r="X252" s="128"/>
      <c r="Y252" s="243">
        <f>SUMPRODUCT(Z252:AJ252,Z$24:AJ$24,Z$31:AJ$31)/1000</f>
        <v>0</v>
      </c>
      <c r="Z252" s="129"/>
      <c r="AA252" s="207">
        <f t="shared" ref="AA252:AI252" si="218">IF(OR(AA$24=0,AA$31=0,$Y$167+$Y$168=0),0,
-AA70*($Y$177/($Y$167+$Y$168))/AA31)</f>
        <v>0</v>
      </c>
      <c r="AB252" s="207">
        <f t="shared" si="218"/>
        <v>0</v>
      </c>
      <c r="AC252" s="207">
        <f t="shared" si="218"/>
        <v>0</v>
      </c>
      <c r="AD252" s="207">
        <f t="shared" si="218"/>
        <v>0</v>
      </c>
      <c r="AE252" s="207">
        <f t="shared" si="218"/>
        <v>0</v>
      </c>
      <c r="AF252" s="207">
        <f t="shared" si="218"/>
        <v>0</v>
      </c>
      <c r="AG252" s="207">
        <f t="shared" si="218"/>
        <v>0</v>
      </c>
      <c r="AH252" s="207">
        <f t="shared" si="218"/>
        <v>0</v>
      </c>
      <c r="AI252" s="207">
        <f t="shared" si="218"/>
        <v>0</v>
      </c>
      <c r="AJ252" s="128"/>
      <c r="AK252" s="243">
        <f>SUMPRODUCT(AL252:AV252,AL$24:AV$24,AL$31:AV$31)/1000</f>
        <v>0</v>
      </c>
      <c r="AL252" s="129"/>
      <c r="AM252" s="207">
        <f t="shared" ref="AM252:AU252" si="219">IF(OR(AM$24=0,AM$31=0,$AK$167+$AK$168=0),0,
-AM70*($AK$177/($AK$167+$AK$168))/AM31)</f>
        <v>0</v>
      </c>
      <c r="AN252" s="207">
        <f t="shared" si="219"/>
        <v>0</v>
      </c>
      <c r="AO252" s="207">
        <f t="shared" si="219"/>
        <v>0</v>
      </c>
      <c r="AP252" s="207">
        <f t="shared" si="219"/>
        <v>0</v>
      </c>
      <c r="AQ252" s="207">
        <f t="shared" si="219"/>
        <v>0</v>
      </c>
      <c r="AR252" s="207">
        <f t="shared" si="219"/>
        <v>0</v>
      </c>
      <c r="AS252" s="207">
        <f t="shared" si="219"/>
        <v>0</v>
      </c>
      <c r="AT252" s="207">
        <f t="shared" si="219"/>
        <v>0</v>
      </c>
      <c r="AU252" s="207">
        <f t="shared" si="219"/>
        <v>0</v>
      </c>
      <c r="AV252" s="128"/>
      <c r="AW252" s="243">
        <f>SUMPRODUCT(AX252:BH252,AX$24:BH$24,AX$31:BH$31)/1000</f>
        <v>0</v>
      </c>
      <c r="AX252" s="129"/>
      <c r="AY252" s="207">
        <f t="shared" ref="AY252:BG252" si="220">IF(OR(AY$24=0,AY$31=0,$AW$167+$AW$168=0),0,
-AY70*($AW$177/($AW$167+$AW$168))/AY31)</f>
        <v>0</v>
      </c>
      <c r="AZ252" s="207">
        <f t="shared" si="220"/>
        <v>0</v>
      </c>
      <c r="BA252" s="207">
        <f t="shared" si="220"/>
        <v>0</v>
      </c>
      <c r="BB252" s="207">
        <f t="shared" si="220"/>
        <v>0</v>
      </c>
      <c r="BC252" s="207">
        <f t="shared" si="220"/>
        <v>0</v>
      </c>
      <c r="BD252" s="207">
        <f t="shared" si="220"/>
        <v>0</v>
      </c>
      <c r="BE252" s="207">
        <f t="shared" si="220"/>
        <v>0</v>
      </c>
      <c r="BF252" s="207">
        <f t="shared" si="220"/>
        <v>0</v>
      </c>
      <c r="BG252" s="207">
        <f t="shared" si="220"/>
        <v>0</v>
      </c>
      <c r="BH252" s="255"/>
    </row>
    <row r="253" spans="1:60" x14ac:dyDescent="0.2">
      <c r="A253" s="648"/>
      <c r="B253" s="492" t="s">
        <v>315</v>
      </c>
      <c r="C253" s="656" t="s">
        <v>113</v>
      </c>
      <c r="D253" s="750"/>
      <c r="E253" s="220" t="s">
        <v>322</v>
      </c>
      <c r="F253" s="220"/>
      <c r="G253" s="220"/>
      <c r="H253" s="242" t="s">
        <v>317</v>
      </c>
      <c r="I253" s="129"/>
      <c r="J253" s="243">
        <f>M253+Y253+AK253+AW253</f>
        <v>0</v>
      </c>
      <c r="K253" s="236"/>
      <c r="L253" s="236"/>
      <c r="M253" s="243">
        <f>M251+M252</f>
        <v>0</v>
      </c>
      <c r="N253" s="129"/>
      <c r="O253" s="207">
        <f>O251+O252</f>
        <v>0</v>
      </c>
      <c r="P253" s="207">
        <f t="shared" ref="P253:W253" si="221">P251+P252</f>
        <v>0</v>
      </c>
      <c r="Q253" s="207">
        <f t="shared" si="221"/>
        <v>0</v>
      </c>
      <c r="R253" s="207">
        <f t="shared" si="221"/>
        <v>0</v>
      </c>
      <c r="S253" s="207">
        <f t="shared" si="221"/>
        <v>0</v>
      </c>
      <c r="T253" s="207">
        <f>T251+T252</f>
        <v>0</v>
      </c>
      <c r="U253" s="207">
        <f t="shared" si="221"/>
        <v>0</v>
      </c>
      <c r="V253" s="207">
        <f t="shared" si="221"/>
        <v>0</v>
      </c>
      <c r="W253" s="207">
        <f t="shared" si="221"/>
        <v>0</v>
      </c>
      <c r="X253" s="128"/>
      <c r="Y253" s="243">
        <f>Y251+Y252</f>
        <v>0</v>
      </c>
      <c r="Z253" s="129"/>
      <c r="AA253" s="207">
        <f>AA251+AA252</f>
        <v>0</v>
      </c>
      <c r="AB253" s="207">
        <f t="shared" ref="AB253:AI253" si="222">AB251+AB252</f>
        <v>0</v>
      </c>
      <c r="AC253" s="207">
        <f t="shared" si="222"/>
        <v>0</v>
      </c>
      <c r="AD253" s="207">
        <f t="shared" si="222"/>
        <v>0</v>
      </c>
      <c r="AE253" s="207">
        <f t="shared" si="222"/>
        <v>0</v>
      </c>
      <c r="AF253" s="207">
        <f>AF251+AF252</f>
        <v>0</v>
      </c>
      <c r="AG253" s="207">
        <f t="shared" si="222"/>
        <v>0</v>
      </c>
      <c r="AH253" s="207">
        <f t="shared" si="222"/>
        <v>0</v>
      </c>
      <c r="AI253" s="207">
        <f t="shared" si="222"/>
        <v>0</v>
      </c>
      <c r="AJ253" s="128"/>
      <c r="AK253" s="243">
        <f>AK251+AK252</f>
        <v>0</v>
      </c>
      <c r="AL253" s="129"/>
      <c r="AM253" s="207">
        <f>AM251+AM252</f>
        <v>0</v>
      </c>
      <c r="AN253" s="207">
        <f t="shared" ref="AN253:AU253" si="223">AN251+AN252</f>
        <v>0</v>
      </c>
      <c r="AO253" s="207">
        <f t="shared" si="223"/>
        <v>0</v>
      </c>
      <c r="AP253" s="207">
        <f t="shared" si="223"/>
        <v>0</v>
      </c>
      <c r="AQ253" s="207">
        <f t="shared" si="223"/>
        <v>0</v>
      </c>
      <c r="AR253" s="207">
        <f>AR251+AR252</f>
        <v>0</v>
      </c>
      <c r="AS253" s="207">
        <f t="shared" si="223"/>
        <v>0</v>
      </c>
      <c r="AT253" s="207">
        <f t="shared" si="223"/>
        <v>0</v>
      </c>
      <c r="AU253" s="207">
        <f t="shared" si="223"/>
        <v>0</v>
      </c>
      <c r="AV253" s="128"/>
      <c r="AW253" s="243">
        <f>AW251+AW252</f>
        <v>0</v>
      </c>
      <c r="AX253" s="129"/>
      <c r="AY253" s="207">
        <f>AY251+AY252</f>
        <v>0</v>
      </c>
      <c r="AZ253" s="207">
        <f t="shared" ref="AZ253:BG253" si="224">AZ251+AZ252</f>
        <v>0</v>
      </c>
      <c r="BA253" s="207">
        <f t="shared" si="224"/>
        <v>0</v>
      </c>
      <c r="BB253" s="207">
        <f t="shared" si="224"/>
        <v>0</v>
      </c>
      <c r="BC253" s="207">
        <f t="shared" si="224"/>
        <v>0</v>
      </c>
      <c r="BD253" s="207">
        <f>BD251+BD252</f>
        <v>0</v>
      </c>
      <c r="BE253" s="207">
        <f t="shared" si="224"/>
        <v>0</v>
      </c>
      <c r="BF253" s="207">
        <f t="shared" si="224"/>
        <v>0</v>
      </c>
      <c r="BG253" s="207">
        <f t="shared" si="224"/>
        <v>0</v>
      </c>
      <c r="BH253" s="255"/>
    </row>
    <row r="254" spans="1:60" ht="18.75" x14ac:dyDescent="0.2">
      <c r="A254" s="648"/>
      <c r="B254" s="492" t="s">
        <v>315</v>
      </c>
      <c r="C254" s="739" t="s">
        <v>104</v>
      </c>
      <c r="D254" s="747"/>
      <c r="E254" s="236" t="s">
        <v>287</v>
      </c>
      <c r="F254" s="236"/>
      <c r="G254" s="236"/>
      <c r="H254" s="89"/>
      <c r="I254" s="236"/>
      <c r="J254" s="279"/>
      <c r="K254" s="236"/>
      <c r="L254" s="236"/>
      <c r="M254" s="279"/>
      <c r="N254" s="236"/>
      <c r="O254" s="236"/>
      <c r="P254" s="236"/>
      <c r="Q254" s="236"/>
      <c r="R254" s="236"/>
      <c r="S254" s="236"/>
      <c r="T254" s="236"/>
      <c r="U254" s="236"/>
      <c r="V254" s="236"/>
      <c r="W254" s="236"/>
      <c r="X254" s="236"/>
      <c r="Y254" s="279"/>
      <c r="Z254" s="236"/>
      <c r="AA254" s="236"/>
      <c r="AB254" s="236"/>
      <c r="AC254" s="236"/>
      <c r="AD254" s="236"/>
      <c r="AE254" s="236"/>
      <c r="AF254" s="236"/>
      <c r="AG254" s="236"/>
      <c r="AH254" s="236"/>
      <c r="AI254" s="236"/>
      <c r="AJ254" s="236"/>
      <c r="AK254" s="279"/>
      <c r="AL254" s="236"/>
      <c r="AM254" s="236"/>
      <c r="AN254" s="236"/>
      <c r="AO254" s="236"/>
      <c r="AP254" s="236"/>
      <c r="AQ254" s="236"/>
      <c r="AR254" s="236"/>
      <c r="AS254" s="236"/>
      <c r="AT254" s="236"/>
      <c r="AU254" s="236"/>
      <c r="AV254" s="236"/>
      <c r="AW254" s="279"/>
      <c r="AX254" s="236"/>
      <c r="AY254" s="236"/>
      <c r="AZ254" s="236"/>
      <c r="BA254" s="236"/>
      <c r="BB254" s="236"/>
      <c r="BC254" s="236"/>
      <c r="BD254" s="236"/>
      <c r="BE254" s="236"/>
      <c r="BF254" s="236"/>
      <c r="BG254" s="236"/>
      <c r="BH254" s="38"/>
    </row>
    <row r="255" spans="1:60" x14ac:dyDescent="0.2">
      <c r="A255" s="648"/>
      <c r="B255" s="492" t="s">
        <v>315</v>
      </c>
      <c r="C255" s="656" t="s">
        <v>113</v>
      </c>
      <c r="D255" s="750"/>
      <c r="E255" s="220" t="s">
        <v>258</v>
      </c>
      <c r="F255" s="220"/>
      <c r="G255" s="220"/>
      <c r="H255" s="242" t="s">
        <v>317</v>
      </c>
      <c r="I255" s="129"/>
      <c r="J255" s="243">
        <f>M255+Y255+AK255+AW255</f>
        <v>0</v>
      </c>
      <c r="K255" s="236"/>
      <c r="L255" s="236"/>
      <c r="M255" s="243">
        <f>M249+M253</f>
        <v>0</v>
      </c>
      <c r="N255" s="129"/>
      <c r="O255" s="207">
        <f>O249+O253</f>
        <v>0</v>
      </c>
      <c r="P255" s="207">
        <f t="shared" ref="P255:W255" si="225">P249+P253</f>
        <v>0</v>
      </c>
      <c r="Q255" s="207">
        <f t="shared" si="225"/>
        <v>0</v>
      </c>
      <c r="R255" s="207">
        <f t="shared" si="225"/>
        <v>0</v>
      </c>
      <c r="S255" s="207">
        <f t="shared" si="225"/>
        <v>0</v>
      </c>
      <c r="T255" s="207">
        <f>T249+T253</f>
        <v>0</v>
      </c>
      <c r="U255" s="207">
        <f t="shared" si="225"/>
        <v>0</v>
      </c>
      <c r="V255" s="207">
        <f t="shared" si="225"/>
        <v>0</v>
      </c>
      <c r="W255" s="207">
        <f t="shared" si="225"/>
        <v>0</v>
      </c>
      <c r="X255" s="128"/>
      <c r="Y255" s="243">
        <f>Y249+Y253</f>
        <v>0</v>
      </c>
      <c r="Z255" s="129"/>
      <c r="AA255" s="207">
        <f>AA249+AA253</f>
        <v>0</v>
      </c>
      <c r="AB255" s="207">
        <f t="shared" ref="AB255:AI255" si="226">AB249+AB253</f>
        <v>0</v>
      </c>
      <c r="AC255" s="207">
        <f t="shared" si="226"/>
        <v>0</v>
      </c>
      <c r="AD255" s="207">
        <f t="shared" si="226"/>
        <v>0</v>
      </c>
      <c r="AE255" s="207">
        <f t="shared" si="226"/>
        <v>0</v>
      </c>
      <c r="AF255" s="207">
        <f>AF249+AF253</f>
        <v>0</v>
      </c>
      <c r="AG255" s="207">
        <f t="shared" si="226"/>
        <v>0</v>
      </c>
      <c r="AH255" s="207">
        <f t="shared" si="226"/>
        <v>0</v>
      </c>
      <c r="AI255" s="207">
        <f t="shared" si="226"/>
        <v>0</v>
      </c>
      <c r="AJ255" s="128"/>
      <c r="AK255" s="243">
        <f>AK249+AK253</f>
        <v>0</v>
      </c>
      <c r="AL255" s="129"/>
      <c r="AM255" s="207">
        <f>AM249+AM253</f>
        <v>0</v>
      </c>
      <c r="AN255" s="207">
        <f t="shared" ref="AN255:AU255" si="227">AN249+AN253</f>
        <v>0</v>
      </c>
      <c r="AO255" s="207">
        <f t="shared" si="227"/>
        <v>0</v>
      </c>
      <c r="AP255" s="207">
        <f t="shared" si="227"/>
        <v>0</v>
      </c>
      <c r="AQ255" s="207">
        <f t="shared" si="227"/>
        <v>0</v>
      </c>
      <c r="AR255" s="207">
        <f>AR249+AR253</f>
        <v>0</v>
      </c>
      <c r="AS255" s="207">
        <f t="shared" si="227"/>
        <v>0</v>
      </c>
      <c r="AT255" s="207">
        <f t="shared" si="227"/>
        <v>0</v>
      </c>
      <c r="AU255" s="207">
        <f t="shared" si="227"/>
        <v>0</v>
      </c>
      <c r="AV255" s="128"/>
      <c r="AW255" s="243">
        <f>AW249+AW253</f>
        <v>0</v>
      </c>
      <c r="AX255" s="129"/>
      <c r="AY255" s="207">
        <f>AY249+AY253</f>
        <v>0</v>
      </c>
      <c r="AZ255" s="207">
        <f t="shared" ref="AZ255:BG255" si="228">AZ249+AZ253</f>
        <v>0</v>
      </c>
      <c r="BA255" s="207">
        <f t="shared" si="228"/>
        <v>0</v>
      </c>
      <c r="BB255" s="207">
        <f t="shared" si="228"/>
        <v>0</v>
      </c>
      <c r="BC255" s="207">
        <f t="shared" si="228"/>
        <v>0</v>
      </c>
      <c r="BD255" s="207">
        <f>BD249+BD253</f>
        <v>0</v>
      </c>
      <c r="BE255" s="207">
        <f t="shared" si="228"/>
        <v>0</v>
      </c>
      <c r="BF255" s="207">
        <f t="shared" si="228"/>
        <v>0</v>
      </c>
      <c r="BG255" s="207">
        <f t="shared" si="228"/>
        <v>0</v>
      </c>
      <c r="BH255" s="255"/>
    </row>
    <row r="256" spans="1:60" ht="18.75" x14ac:dyDescent="0.2">
      <c r="A256" s="648"/>
      <c r="B256" s="492" t="s">
        <v>315</v>
      </c>
      <c r="C256" s="739" t="s">
        <v>104</v>
      </c>
      <c r="D256" s="747"/>
      <c r="E256" s="236" t="s">
        <v>323</v>
      </c>
      <c r="F256" s="236"/>
      <c r="G256" s="236"/>
      <c r="H256" s="89"/>
      <c r="I256" s="236"/>
      <c r="J256" s="279"/>
      <c r="K256" s="236"/>
      <c r="L256" s="236"/>
      <c r="M256" s="279"/>
      <c r="N256" s="236"/>
      <c r="O256" s="236"/>
      <c r="P256" s="236"/>
      <c r="Q256" s="236"/>
      <c r="R256" s="236"/>
      <c r="S256" s="236"/>
      <c r="T256" s="236"/>
      <c r="U256" s="236"/>
      <c r="V256" s="236"/>
      <c r="W256" s="236"/>
      <c r="X256" s="236"/>
      <c r="Y256" s="279"/>
      <c r="Z256" s="236"/>
      <c r="AA256" s="236"/>
      <c r="AB256" s="236"/>
      <c r="AC256" s="236"/>
      <c r="AD256" s="236"/>
      <c r="AE256" s="236"/>
      <c r="AF256" s="236"/>
      <c r="AG256" s="236"/>
      <c r="AH256" s="236"/>
      <c r="AI256" s="236"/>
      <c r="AJ256" s="236"/>
      <c r="AK256" s="279"/>
      <c r="AL256" s="236"/>
      <c r="AM256" s="236"/>
      <c r="AN256" s="236"/>
      <c r="AO256" s="236"/>
      <c r="AP256" s="236"/>
      <c r="AQ256" s="236"/>
      <c r="AR256" s="236"/>
      <c r="AS256" s="236"/>
      <c r="AT256" s="236"/>
      <c r="AU256" s="236"/>
      <c r="AV256" s="236"/>
      <c r="AW256" s="279"/>
      <c r="AX256" s="236"/>
      <c r="AY256" s="236"/>
      <c r="AZ256" s="236"/>
      <c r="BA256" s="236"/>
      <c r="BB256" s="236"/>
      <c r="BC256" s="236"/>
      <c r="BD256" s="236"/>
      <c r="BE256" s="236"/>
      <c r="BF256" s="236"/>
      <c r="BG256" s="236"/>
      <c r="BH256" s="38"/>
    </row>
    <row r="257" spans="1:60" x14ac:dyDescent="0.2">
      <c r="A257" s="648"/>
      <c r="B257" s="492" t="s">
        <v>315</v>
      </c>
      <c r="C257" s="656" t="s">
        <v>113</v>
      </c>
      <c r="D257" s="750"/>
      <c r="E257" s="220" t="s">
        <v>258</v>
      </c>
      <c r="F257" s="220"/>
      <c r="G257" s="220"/>
      <c r="H257" s="242" t="s">
        <v>317</v>
      </c>
      <c r="I257" s="129"/>
      <c r="J257" s="243">
        <f>M257+Y257+AK257+AW257</f>
        <v>0</v>
      </c>
      <c r="K257" s="236"/>
      <c r="L257" s="236"/>
      <c r="M257" s="375">
        <f>SUMPRODUCT(N257:X257,N$24:X$24,N$31:X$31)/1000</f>
        <v>0</v>
      </c>
      <c r="N257" s="129"/>
      <c r="O257" s="207">
        <f t="shared" ref="O257:W257" si="229">O255+(O241+O251)*($M$53-1)</f>
        <v>0</v>
      </c>
      <c r="P257" s="207">
        <f t="shared" si="229"/>
        <v>0</v>
      </c>
      <c r="Q257" s="207">
        <f t="shared" si="229"/>
        <v>0</v>
      </c>
      <c r="R257" s="207">
        <f t="shared" si="229"/>
        <v>0</v>
      </c>
      <c r="S257" s="207">
        <f t="shared" si="229"/>
        <v>0</v>
      </c>
      <c r="T257" s="207">
        <f t="shared" si="229"/>
        <v>0</v>
      </c>
      <c r="U257" s="207">
        <f t="shared" si="229"/>
        <v>0</v>
      </c>
      <c r="V257" s="207">
        <f t="shared" si="229"/>
        <v>0</v>
      </c>
      <c r="W257" s="207">
        <f t="shared" si="229"/>
        <v>0</v>
      </c>
      <c r="X257" s="128"/>
      <c r="Y257" s="375">
        <f>SUMPRODUCT(Z257:AJ257,Z$24:AJ$24,Z$31:AJ$31)/1000</f>
        <v>0</v>
      </c>
      <c r="Z257" s="129"/>
      <c r="AA257" s="207">
        <f t="shared" ref="AA257:AI257" si="230">AA255+(AA241+AA251)*($Y$53-1)</f>
        <v>0</v>
      </c>
      <c r="AB257" s="207">
        <f t="shared" si="230"/>
        <v>0</v>
      </c>
      <c r="AC257" s="207">
        <f t="shared" si="230"/>
        <v>0</v>
      </c>
      <c r="AD257" s="207">
        <f t="shared" si="230"/>
        <v>0</v>
      </c>
      <c r="AE257" s="207">
        <f t="shared" si="230"/>
        <v>0</v>
      </c>
      <c r="AF257" s="207">
        <f t="shared" si="230"/>
        <v>0</v>
      </c>
      <c r="AG257" s="207">
        <f t="shared" si="230"/>
        <v>0</v>
      </c>
      <c r="AH257" s="207">
        <f t="shared" si="230"/>
        <v>0</v>
      </c>
      <c r="AI257" s="207">
        <f t="shared" si="230"/>
        <v>0</v>
      </c>
      <c r="AJ257" s="128"/>
      <c r="AK257" s="375">
        <f>SUMPRODUCT(AL257:AV257,AL$24:AV$24,AL$31:AV$31)/1000</f>
        <v>0</v>
      </c>
      <c r="AL257" s="129"/>
      <c r="AM257" s="207">
        <f t="shared" ref="AM257:AU257" si="231">AM255+(AM241+AM251)*($AK$53-1)</f>
        <v>0</v>
      </c>
      <c r="AN257" s="207">
        <f t="shared" si="231"/>
        <v>0</v>
      </c>
      <c r="AO257" s="207">
        <f t="shared" si="231"/>
        <v>0</v>
      </c>
      <c r="AP257" s="207">
        <f t="shared" si="231"/>
        <v>0</v>
      </c>
      <c r="AQ257" s="207">
        <f t="shared" si="231"/>
        <v>0</v>
      </c>
      <c r="AR257" s="207">
        <f t="shared" si="231"/>
        <v>0</v>
      </c>
      <c r="AS257" s="207">
        <f t="shared" si="231"/>
        <v>0</v>
      </c>
      <c r="AT257" s="207">
        <f t="shared" si="231"/>
        <v>0</v>
      </c>
      <c r="AU257" s="207">
        <f t="shared" si="231"/>
        <v>0</v>
      </c>
      <c r="AV257" s="128"/>
      <c r="AW257" s="375">
        <f>SUMPRODUCT(AX257:BH257,AX$24:BH$24,AX$31:BH$31)/1000</f>
        <v>0</v>
      </c>
      <c r="AX257" s="129"/>
      <c r="AY257" s="207">
        <f t="shared" ref="AY257:BG257" si="232">AY255+(AY241+AY251)*($AW$53-1)</f>
        <v>0</v>
      </c>
      <c r="AZ257" s="207">
        <f t="shared" si="232"/>
        <v>0</v>
      </c>
      <c r="BA257" s="207">
        <f t="shared" si="232"/>
        <v>0</v>
      </c>
      <c r="BB257" s="207">
        <f t="shared" si="232"/>
        <v>0</v>
      </c>
      <c r="BC257" s="207">
        <f t="shared" si="232"/>
        <v>0</v>
      </c>
      <c r="BD257" s="207">
        <f t="shared" si="232"/>
        <v>0</v>
      </c>
      <c r="BE257" s="207">
        <f t="shared" si="232"/>
        <v>0</v>
      </c>
      <c r="BF257" s="207">
        <f t="shared" si="232"/>
        <v>0</v>
      </c>
      <c r="BG257" s="207">
        <f t="shared" si="232"/>
        <v>0</v>
      </c>
      <c r="BH257" s="255"/>
    </row>
    <row r="258" spans="1:60" x14ac:dyDescent="0.2">
      <c r="A258" s="648"/>
      <c r="B258" s="492" t="s">
        <v>315</v>
      </c>
      <c r="C258" s="739" t="s">
        <v>104</v>
      </c>
      <c r="D258" s="747"/>
      <c r="E258" s="90"/>
      <c r="F258" s="90"/>
      <c r="G258" s="90"/>
      <c r="H258" s="96"/>
      <c r="I258" s="90"/>
      <c r="J258" s="93"/>
      <c r="K258" s="90"/>
      <c r="L258" s="90"/>
      <c r="M258" s="93"/>
      <c r="N258" s="90"/>
      <c r="O258" s="92"/>
      <c r="P258" s="93"/>
      <c r="Q258" s="93"/>
      <c r="R258" s="93"/>
      <c r="S258" s="93"/>
      <c r="T258" s="93"/>
      <c r="U258" s="93"/>
      <c r="V258" s="93"/>
      <c r="W258" s="93"/>
      <c r="X258" s="93"/>
      <c r="Y258" s="93"/>
      <c r="Z258" s="90"/>
      <c r="AA258" s="93"/>
      <c r="AB258" s="93"/>
      <c r="AC258" s="93"/>
      <c r="AD258" s="93"/>
      <c r="AE258" s="93"/>
      <c r="AF258" s="93"/>
      <c r="AG258" s="93"/>
      <c r="AH258" s="93"/>
      <c r="AI258" s="93"/>
      <c r="AJ258" s="93"/>
      <c r="AK258" s="128"/>
      <c r="AL258" s="90"/>
      <c r="AM258" s="93"/>
      <c r="AN258" s="93"/>
      <c r="AO258" s="93"/>
      <c r="AP258" s="93"/>
      <c r="AQ258" s="93"/>
      <c r="AR258" s="93"/>
      <c r="AS258" s="93"/>
      <c r="AT258" s="93"/>
      <c r="AU258" s="93"/>
      <c r="AV258" s="93"/>
      <c r="AW258" s="93"/>
      <c r="AX258" s="90"/>
      <c r="AY258" s="93"/>
      <c r="AZ258" s="93"/>
      <c r="BA258" s="93"/>
      <c r="BB258" s="93"/>
      <c r="BC258" s="93"/>
      <c r="BD258" s="93"/>
      <c r="BE258" s="93"/>
      <c r="BF258" s="93"/>
      <c r="BG258" s="93"/>
      <c r="BH258" s="1"/>
    </row>
    <row r="259" spans="1:60" x14ac:dyDescent="0.2">
      <c r="A259" s="648"/>
      <c r="B259" s="492" t="s">
        <v>324</v>
      </c>
      <c r="C259" s="656" t="s">
        <v>104</v>
      </c>
      <c r="D259" s="747"/>
      <c r="E259" s="90"/>
      <c r="F259" s="90"/>
      <c r="G259" s="90"/>
      <c r="H259" s="96"/>
      <c r="I259" s="90"/>
      <c r="J259" s="93"/>
      <c r="K259" s="90"/>
      <c r="L259" s="90"/>
      <c r="M259" s="93"/>
      <c r="N259" s="90"/>
      <c r="O259" s="93"/>
      <c r="P259" s="93"/>
      <c r="Q259" s="93"/>
      <c r="R259" s="93"/>
      <c r="S259" s="93"/>
      <c r="T259" s="93"/>
      <c r="U259" s="93"/>
      <c r="V259" s="93"/>
      <c r="W259" s="93"/>
      <c r="X259" s="93"/>
      <c r="Y259" s="93"/>
      <c r="Z259" s="90"/>
      <c r="AA259" s="93"/>
      <c r="AB259" s="128"/>
      <c r="AC259" s="93"/>
      <c r="AD259" s="93"/>
      <c r="AE259" s="93"/>
      <c r="AF259" s="93"/>
      <c r="AG259" s="93"/>
      <c r="AH259" s="93"/>
      <c r="AI259" s="93"/>
      <c r="AJ259" s="93"/>
      <c r="AK259" s="93"/>
      <c r="AL259" s="90"/>
      <c r="AM259" s="93"/>
      <c r="AN259" s="93"/>
      <c r="AO259" s="93"/>
      <c r="AP259" s="93"/>
      <c r="AQ259" s="93"/>
      <c r="AR259" s="93"/>
      <c r="AS259" s="93"/>
      <c r="AT259" s="93"/>
      <c r="AU259" s="93"/>
      <c r="AV259" s="93"/>
      <c r="AW259" s="93"/>
      <c r="AX259" s="90"/>
      <c r="AY259" s="93"/>
      <c r="AZ259" s="93"/>
      <c r="BA259" s="93"/>
      <c r="BB259" s="93"/>
      <c r="BC259" s="93"/>
      <c r="BD259" s="93"/>
      <c r="BE259" s="93"/>
      <c r="BF259" s="93"/>
      <c r="BG259" s="93"/>
      <c r="BH259" s="1"/>
    </row>
    <row r="260" spans="1:60" s="2" customFormat="1" ht="21" x14ac:dyDescent="0.2">
      <c r="A260" s="649"/>
      <c r="B260" s="492" t="s">
        <v>324</v>
      </c>
      <c r="C260" s="739" t="s">
        <v>104</v>
      </c>
      <c r="D260" s="750" t="s">
        <v>50</v>
      </c>
      <c r="E260" s="253" t="s">
        <v>325</v>
      </c>
      <c r="F260" s="253"/>
      <c r="G260" s="253"/>
      <c r="H260" s="253"/>
      <c r="I260" s="146"/>
      <c r="J260" s="318" t="str">
        <f>J$10&amp;" MWh"</f>
        <v>totaal MWh</v>
      </c>
      <c r="K260" s="142"/>
      <c r="L260" s="142"/>
      <c r="M260" s="318" t="str">
        <f>M$10&amp;" MWh"</f>
        <v>totaal MWh</v>
      </c>
      <c r="N260" s="222"/>
      <c r="O260" s="320" t="str">
        <f t="shared" ref="O260:W260" si="233">O$17</f>
        <v/>
      </c>
      <c r="P260" s="320" t="str">
        <f t="shared" si="233"/>
        <v/>
      </c>
      <c r="Q260" s="320" t="str">
        <f t="shared" si="233"/>
        <v/>
      </c>
      <c r="R260" s="320" t="str">
        <f t="shared" si="233"/>
        <v/>
      </c>
      <c r="S260" s="320" t="str">
        <f t="shared" si="233"/>
        <v/>
      </c>
      <c r="T260" s="320" t="str">
        <f t="shared" si="233"/>
        <v/>
      </c>
      <c r="U260" s="320" t="str">
        <f t="shared" si="233"/>
        <v/>
      </c>
      <c r="V260" s="320" t="str">
        <f t="shared" si="233"/>
        <v/>
      </c>
      <c r="W260" s="320" t="str">
        <f t="shared" si="233"/>
        <v/>
      </c>
      <c r="X260" s="214"/>
      <c r="Y260" s="318"/>
      <c r="Z260" s="222"/>
      <c r="AA260" s="320" t="str">
        <f t="shared" ref="AA260:AI260" si="234">AA$17</f>
        <v/>
      </c>
      <c r="AB260" s="320" t="str">
        <f t="shared" si="234"/>
        <v/>
      </c>
      <c r="AC260" s="320" t="str">
        <f t="shared" si="234"/>
        <v/>
      </c>
      <c r="AD260" s="320" t="str">
        <f t="shared" si="234"/>
        <v/>
      </c>
      <c r="AE260" s="320" t="str">
        <f t="shared" si="234"/>
        <v/>
      </c>
      <c r="AF260" s="320" t="str">
        <f t="shared" si="234"/>
        <v/>
      </c>
      <c r="AG260" s="320" t="str">
        <f t="shared" si="234"/>
        <v/>
      </c>
      <c r="AH260" s="320" t="str">
        <f t="shared" si="234"/>
        <v/>
      </c>
      <c r="AI260" s="320" t="str">
        <f t="shared" si="234"/>
        <v/>
      </c>
      <c r="AJ260" s="214"/>
      <c r="AK260" s="318"/>
      <c r="AL260" s="222"/>
      <c r="AM260" s="320" t="str">
        <f>AM$17</f>
        <v/>
      </c>
      <c r="AN260" s="320" t="str">
        <f t="shared" ref="AN260:AU260" si="235">AN$17</f>
        <v/>
      </c>
      <c r="AO260" s="320" t="str">
        <f t="shared" si="235"/>
        <v/>
      </c>
      <c r="AP260" s="320" t="str">
        <f t="shared" si="235"/>
        <v/>
      </c>
      <c r="AQ260" s="320" t="str">
        <f t="shared" si="235"/>
        <v/>
      </c>
      <c r="AR260" s="320" t="str">
        <f t="shared" si="235"/>
        <v/>
      </c>
      <c r="AS260" s="320" t="str">
        <f t="shared" si="235"/>
        <v/>
      </c>
      <c r="AT260" s="320" t="str">
        <f t="shared" si="235"/>
        <v/>
      </c>
      <c r="AU260" s="320" t="str">
        <f t="shared" si="235"/>
        <v/>
      </c>
      <c r="AV260" s="214"/>
      <c r="AW260" s="318"/>
      <c r="AX260" s="222"/>
      <c r="AY260" s="320" t="str">
        <f>AY$17</f>
        <v/>
      </c>
      <c r="AZ260" s="320" t="str">
        <f t="shared" ref="AZ260:BG260" si="236">AZ$17</f>
        <v/>
      </c>
      <c r="BA260" s="320" t="str">
        <f t="shared" si="236"/>
        <v/>
      </c>
      <c r="BB260" s="320" t="str">
        <f t="shared" si="236"/>
        <v/>
      </c>
      <c r="BC260" s="320" t="str">
        <f t="shared" si="236"/>
        <v/>
      </c>
      <c r="BD260" s="320" t="str">
        <f t="shared" si="236"/>
        <v/>
      </c>
      <c r="BE260" s="320" t="str">
        <f t="shared" si="236"/>
        <v/>
      </c>
      <c r="BF260" s="320" t="str">
        <f t="shared" si="236"/>
        <v/>
      </c>
      <c r="BG260" s="320" t="str">
        <f t="shared" si="236"/>
        <v/>
      </c>
      <c r="BH260" s="1"/>
    </row>
    <row r="261" spans="1:60" ht="18.75" x14ac:dyDescent="0.2">
      <c r="A261" s="648"/>
      <c r="B261" s="492" t="s">
        <v>324</v>
      </c>
      <c r="C261" s="739" t="s">
        <v>104</v>
      </c>
      <c r="D261" s="747"/>
      <c r="E261" s="236" t="s">
        <v>326</v>
      </c>
      <c r="F261" s="236"/>
      <c r="G261" s="236"/>
      <c r="H261" s="89"/>
      <c r="I261" s="236"/>
      <c r="J261" s="236"/>
      <c r="K261" s="236"/>
      <c r="L261" s="236"/>
      <c r="M261" s="236"/>
      <c r="N261" s="236"/>
      <c r="O261" s="236"/>
      <c r="P261" s="236"/>
      <c r="Q261" s="236"/>
      <c r="R261" s="236"/>
      <c r="S261" s="236"/>
      <c r="T261" s="236"/>
      <c r="U261" s="236"/>
      <c r="V261" s="236"/>
      <c r="W261" s="236"/>
      <c r="X261" s="236"/>
      <c r="Y261" s="236"/>
      <c r="Z261" s="236"/>
      <c r="AA261" s="236"/>
      <c r="AB261" s="279"/>
      <c r="AC261" s="236"/>
      <c r="AD261" s="236"/>
      <c r="AE261" s="236"/>
      <c r="AF261" s="236"/>
      <c r="AG261" s="236"/>
      <c r="AH261" s="236"/>
      <c r="AI261" s="236"/>
      <c r="AJ261" s="236"/>
      <c r="AK261" s="236"/>
      <c r="AL261" s="236"/>
      <c r="AM261" s="236"/>
      <c r="AN261" s="236"/>
      <c r="AO261" s="279"/>
      <c r="AP261" s="236"/>
      <c r="AQ261" s="236"/>
      <c r="AR261" s="236"/>
      <c r="AS261" s="236"/>
      <c r="AT261" s="236"/>
      <c r="AU261" s="236"/>
      <c r="AV261" s="236"/>
      <c r="AW261" s="236"/>
      <c r="AX261" s="236"/>
      <c r="AY261" s="236"/>
      <c r="AZ261" s="236"/>
      <c r="BA261" s="236"/>
      <c r="BB261" s="236"/>
      <c r="BC261" s="236"/>
      <c r="BD261" s="236"/>
      <c r="BE261" s="236"/>
      <c r="BF261" s="236"/>
      <c r="BG261" s="236"/>
      <c r="BH261" s="38"/>
    </row>
    <row r="262" spans="1:60" x14ac:dyDescent="0.2">
      <c r="A262" s="648"/>
      <c r="B262" s="492" t="s">
        <v>324</v>
      </c>
      <c r="C262" s="656" t="s">
        <v>113</v>
      </c>
      <c r="D262" s="750" t="s">
        <v>50</v>
      </c>
      <c r="E262" s="220" t="s">
        <v>327</v>
      </c>
      <c r="F262" s="220"/>
      <c r="G262" s="220"/>
      <c r="H262" s="242" t="s">
        <v>317</v>
      </c>
      <c r="I262" s="129"/>
      <c r="J262" s="243">
        <f>M262+Y262+AK262+AW262</f>
        <v>0</v>
      </c>
      <c r="K262" s="236"/>
      <c r="L262" s="236"/>
      <c r="M262" s="243">
        <f>SUMPRODUCT(N262:X262,N$32:X$32)/1000</f>
        <v>0</v>
      </c>
      <c r="N262" s="129"/>
      <c r="O262" s="207" t="str">
        <f t="shared" ref="O262:W262" si="237">IF(OR(O$19="",O$24=0,O$31=0),"",O$255-O$248-O$247-IF(OR(O$21=woning,O$21=woongebouw),O244,0))</f>
        <v/>
      </c>
      <c r="P262" s="207" t="str">
        <f t="shared" si="237"/>
        <v/>
      </c>
      <c r="Q262" s="207" t="str">
        <f t="shared" si="237"/>
        <v/>
      </c>
      <c r="R262" s="207" t="str">
        <f t="shared" si="237"/>
        <v/>
      </c>
      <c r="S262" s="207" t="str">
        <f t="shared" si="237"/>
        <v/>
      </c>
      <c r="T262" s="207" t="str">
        <f t="shared" si="237"/>
        <v/>
      </c>
      <c r="U262" s="207" t="str">
        <f t="shared" si="237"/>
        <v/>
      </c>
      <c r="V262" s="207" t="str">
        <f t="shared" si="237"/>
        <v/>
      </c>
      <c r="W262" s="207" t="str">
        <f t="shared" si="237"/>
        <v/>
      </c>
      <c r="X262" s="128"/>
      <c r="Y262" s="243">
        <f>SUMPRODUCT(Z262:AJ262,Z$32:AJ$32)/1000</f>
        <v>0</v>
      </c>
      <c r="Z262" s="129"/>
      <c r="AA262" s="207" t="str">
        <f t="shared" ref="AA262:AI262" si="238">IF(OR(AA$19="",AA$24=0,AA$31=0),"",AA$255-AA$248-AA$247-IF(OR(AA$21=woning,AA$21=woongebouw),AA244,0))</f>
        <v/>
      </c>
      <c r="AB262" s="207" t="str">
        <f t="shared" si="238"/>
        <v/>
      </c>
      <c r="AC262" s="207" t="str">
        <f t="shared" si="238"/>
        <v/>
      </c>
      <c r="AD262" s="207" t="str">
        <f t="shared" si="238"/>
        <v/>
      </c>
      <c r="AE262" s="207" t="str">
        <f t="shared" si="238"/>
        <v/>
      </c>
      <c r="AF262" s="207" t="str">
        <f t="shared" si="238"/>
        <v/>
      </c>
      <c r="AG262" s="207" t="str">
        <f t="shared" si="238"/>
        <v/>
      </c>
      <c r="AH262" s="207" t="str">
        <f t="shared" si="238"/>
        <v/>
      </c>
      <c r="AI262" s="207" t="str">
        <f t="shared" si="238"/>
        <v/>
      </c>
      <c r="AJ262" s="128"/>
      <c r="AK262" s="243">
        <f>SUMPRODUCT(AL262:AV262,AL$32:AV$32)/1000</f>
        <v>0</v>
      </c>
      <c r="AL262" s="129"/>
      <c r="AM262" s="207" t="str">
        <f t="shared" ref="AM262:AU262" si="239">IF(OR(AM$19="",AM$24=0,AM$31=0),"",AM$255-AM$248-AM$247-IF(OR(AM$21=woning,AM$21=woongebouw),AM244,0))</f>
        <v/>
      </c>
      <c r="AN262" s="207" t="str">
        <f t="shared" si="239"/>
        <v/>
      </c>
      <c r="AO262" s="207" t="str">
        <f t="shared" si="239"/>
        <v/>
      </c>
      <c r="AP262" s="207" t="str">
        <f t="shared" si="239"/>
        <v/>
      </c>
      <c r="AQ262" s="207" t="str">
        <f t="shared" si="239"/>
        <v/>
      </c>
      <c r="AR262" s="207" t="str">
        <f t="shared" si="239"/>
        <v/>
      </c>
      <c r="AS262" s="207" t="str">
        <f t="shared" si="239"/>
        <v/>
      </c>
      <c r="AT262" s="207" t="str">
        <f t="shared" si="239"/>
        <v/>
      </c>
      <c r="AU262" s="207" t="str">
        <f t="shared" si="239"/>
        <v/>
      </c>
      <c r="AV262" s="128"/>
      <c r="AW262" s="243">
        <f>SUMPRODUCT(AX262:BH262,AX$32:BH$32)/1000</f>
        <v>0</v>
      </c>
      <c r="AX262" s="129"/>
      <c r="AY262" s="207" t="str">
        <f t="shared" ref="AY262:BG262" si="240">IF(OR(AY$19="",AY$24=0,AY$31=0),"",AY$255-AY$248-AY$247-IF(OR(AY$21=woning,AY$21=woongebouw),AY244,0))</f>
        <v/>
      </c>
      <c r="AZ262" s="207" t="str">
        <f t="shared" si="240"/>
        <v/>
      </c>
      <c r="BA262" s="207" t="str">
        <f t="shared" si="240"/>
        <v/>
      </c>
      <c r="BB262" s="207" t="str">
        <f t="shared" si="240"/>
        <v/>
      </c>
      <c r="BC262" s="207" t="str">
        <f t="shared" si="240"/>
        <v/>
      </c>
      <c r="BD262" s="207" t="str">
        <f t="shared" si="240"/>
        <v/>
      </c>
      <c r="BE262" s="207" t="str">
        <f t="shared" si="240"/>
        <v/>
      </c>
      <c r="BF262" s="207" t="str">
        <f t="shared" si="240"/>
        <v/>
      </c>
      <c r="BG262" s="207" t="str">
        <f t="shared" si="240"/>
        <v/>
      </c>
      <c r="BH262" s="255"/>
    </row>
    <row r="263" spans="1:60" ht="18.75" x14ac:dyDescent="0.2">
      <c r="A263" s="648"/>
      <c r="B263" s="492" t="s">
        <v>324</v>
      </c>
      <c r="C263" s="739" t="s">
        <v>104</v>
      </c>
      <c r="D263" s="747"/>
      <c r="E263" s="236" t="s">
        <v>328</v>
      </c>
      <c r="F263" s="236"/>
      <c r="G263" s="236"/>
      <c r="H263" s="89"/>
      <c r="I263" s="236"/>
      <c r="J263" s="236"/>
      <c r="K263" s="236"/>
      <c r="L263" s="236"/>
      <c r="M263" s="236"/>
      <c r="N263" s="236"/>
      <c r="O263" s="236"/>
      <c r="P263" s="236"/>
      <c r="Q263" s="236"/>
      <c r="R263" s="236"/>
      <c r="S263" s="236"/>
      <c r="T263" s="236"/>
      <c r="U263" s="236"/>
      <c r="V263" s="236"/>
      <c r="W263" s="236"/>
      <c r="X263" s="236"/>
      <c r="Y263" s="236"/>
      <c r="Z263" s="236"/>
      <c r="AA263" s="236"/>
      <c r="AB263" s="236"/>
      <c r="AC263" s="236"/>
      <c r="AD263" s="236"/>
      <c r="AE263" s="236"/>
      <c r="AF263" s="236"/>
      <c r="AG263" s="236"/>
      <c r="AH263" s="236"/>
      <c r="AI263" s="236"/>
      <c r="AJ263" s="236"/>
      <c r="AK263" s="236"/>
      <c r="AL263" s="236"/>
      <c r="AM263" s="236"/>
      <c r="AN263" s="236"/>
      <c r="AO263" s="236"/>
      <c r="AP263" s="236"/>
      <c r="AQ263" s="236"/>
      <c r="AR263" s="236"/>
      <c r="AS263" s="236"/>
      <c r="AT263" s="236"/>
      <c r="AU263" s="236"/>
      <c r="AV263" s="236"/>
      <c r="AW263" s="236"/>
      <c r="AX263" s="236"/>
      <c r="AY263" s="236"/>
      <c r="AZ263" s="236"/>
      <c r="BA263" s="236"/>
      <c r="BB263" s="236"/>
      <c r="BC263" s="236"/>
      <c r="BD263" s="236"/>
      <c r="BE263" s="236"/>
      <c r="BF263" s="236"/>
      <c r="BG263" s="236"/>
      <c r="BH263" s="38"/>
    </row>
    <row r="264" spans="1:60" x14ac:dyDescent="0.2">
      <c r="A264" s="648"/>
      <c r="B264" s="492" t="s">
        <v>324</v>
      </c>
      <c r="C264" s="656" t="s">
        <v>113</v>
      </c>
      <c r="D264" s="750" t="s">
        <v>50</v>
      </c>
      <c r="E264" s="220" t="s">
        <v>329</v>
      </c>
      <c r="F264" s="220"/>
      <c r="G264" s="220"/>
      <c r="H264" s="242" t="s">
        <v>317</v>
      </c>
      <c r="I264" s="129"/>
      <c r="J264" s="243">
        <f t="shared" ref="J264:J269" si="241">M264+Y264+AK264+AW264</f>
        <v>0</v>
      </c>
      <c r="K264" s="236"/>
      <c r="L264" s="236"/>
      <c r="M264" s="243">
        <f t="shared" ref="M264:M269" si="242">SUMPRODUCT(N264:X264,N$32:X$32)/1000</f>
        <v>0</v>
      </c>
      <c r="N264" s="129"/>
      <c r="O264" s="207" t="str">
        <f t="shared" ref="O264:W264" si="243">IF(OR(O$19="",O$24=0,O$31=0),"",
(O$234*$O209+O$235*$P209+O$236*$Q209)*1000/(O$24*O$31))</f>
        <v/>
      </c>
      <c r="P264" s="207" t="str">
        <f t="shared" si="243"/>
        <v/>
      </c>
      <c r="Q264" s="207" t="str">
        <f t="shared" si="243"/>
        <v/>
      </c>
      <c r="R264" s="207" t="str">
        <f t="shared" si="243"/>
        <v/>
      </c>
      <c r="S264" s="207" t="str">
        <f t="shared" si="243"/>
        <v/>
      </c>
      <c r="T264" s="207" t="str">
        <f t="shared" si="243"/>
        <v/>
      </c>
      <c r="U264" s="207" t="str">
        <f t="shared" si="243"/>
        <v/>
      </c>
      <c r="V264" s="207" t="str">
        <f t="shared" si="243"/>
        <v/>
      </c>
      <c r="W264" s="207" t="str">
        <f t="shared" si="243"/>
        <v/>
      </c>
      <c r="X264" s="128"/>
      <c r="Y264" s="243">
        <f t="shared" ref="Y264:Y269" si="244">SUMPRODUCT(Z264:AJ264,Z$32:AJ$32)/1000</f>
        <v>0</v>
      </c>
      <c r="Z264" s="129"/>
      <c r="AA264" s="207" t="str">
        <f t="shared" ref="AA264:AI264" si="245">IF(OR(AA$19="",AA$24=0,AA$31=0),"",
(AA$234*$AA209+AA$235*$AB209+AA$236*$AC209)*1000/(AA$24*AA$31))</f>
        <v/>
      </c>
      <c r="AB264" s="207" t="str">
        <f t="shared" si="245"/>
        <v/>
      </c>
      <c r="AC264" s="207" t="str">
        <f t="shared" si="245"/>
        <v/>
      </c>
      <c r="AD264" s="207" t="str">
        <f t="shared" si="245"/>
        <v/>
      </c>
      <c r="AE264" s="207" t="str">
        <f t="shared" si="245"/>
        <v/>
      </c>
      <c r="AF264" s="207" t="str">
        <f t="shared" si="245"/>
        <v/>
      </c>
      <c r="AG264" s="207" t="str">
        <f t="shared" si="245"/>
        <v/>
      </c>
      <c r="AH264" s="207" t="str">
        <f t="shared" si="245"/>
        <v/>
      </c>
      <c r="AI264" s="207" t="str">
        <f t="shared" si="245"/>
        <v/>
      </c>
      <c r="AJ264" s="128"/>
      <c r="AK264" s="243">
        <f t="shared" ref="AK264:AK269" si="246">SUMPRODUCT(AL264:AV264,AL$32:AV$32)/1000</f>
        <v>0</v>
      </c>
      <c r="AL264" s="129"/>
      <c r="AM264" s="207" t="str">
        <f t="shared" ref="AM264:AU264" si="247">IF(OR(AM$19="",AM$24=0,AM$31=0),"",
(AM$234*$AM209+AM$235*$AN209+AM$236*$AO209)*1000/(AM$24*AM$31))</f>
        <v/>
      </c>
      <c r="AN264" s="207" t="str">
        <f t="shared" si="247"/>
        <v/>
      </c>
      <c r="AO264" s="207" t="str">
        <f t="shared" si="247"/>
        <v/>
      </c>
      <c r="AP264" s="207" t="str">
        <f t="shared" si="247"/>
        <v/>
      </c>
      <c r="AQ264" s="207" t="str">
        <f t="shared" si="247"/>
        <v/>
      </c>
      <c r="AR264" s="207" t="str">
        <f t="shared" si="247"/>
        <v/>
      </c>
      <c r="AS264" s="207" t="str">
        <f t="shared" si="247"/>
        <v/>
      </c>
      <c r="AT264" s="207" t="str">
        <f t="shared" si="247"/>
        <v/>
      </c>
      <c r="AU264" s="207" t="str">
        <f t="shared" si="247"/>
        <v/>
      </c>
      <c r="AV264" s="128"/>
      <c r="AW264" s="243">
        <f t="shared" ref="AW264:AW269" si="248">SUMPRODUCT(AX264:BH264,AX$32:BH$32)/1000</f>
        <v>0</v>
      </c>
      <c r="AX264" s="129"/>
      <c r="AY264" s="207" t="str">
        <f t="shared" ref="AY264:BG264" si="249">IF(OR(AY$19="",AY$24=0,AY$31=0),"",
(AY$234*$AY209+AY$235*$AZ209+AY$236*$BA209)*1000/(AY$24*AY$31))</f>
        <v/>
      </c>
      <c r="AZ264" s="207" t="str">
        <f t="shared" si="249"/>
        <v/>
      </c>
      <c r="BA264" s="207" t="str">
        <f t="shared" si="249"/>
        <v/>
      </c>
      <c r="BB264" s="207" t="str">
        <f t="shared" si="249"/>
        <v/>
      </c>
      <c r="BC264" s="207" t="str">
        <f t="shared" si="249"/>
        <v/>
      </c>
      <c r="BD264" s="207" t="str">
        <f t="shared" si="249"/>
        <v/>
      </c>
      <c r="BE264" s="207" t="str">
        <f t="shared" si="249"/>
        <v/>
      </c>
      <c r="BF264" s="207" t="str">
        <f t="shared" si="249"/>
        <v/>
      </c>
      <c r="BG264" s="207" t="str">
        <f t="shared" si="249"/>
        <v/>
      </c>
      <c r="BH264" s="255"/>
    </row>
    <row r="265" spans="1:60" x14ac:dyDescent="0.2">
      <c r="A265" s="648"/>
      <c r="B265" s="492" t="s">
        <v>324</v>
      </c>
      <c r="C265" s="656" t="s">
        <v>113</v>
      </c>
      <c r="D265" s="750" t="s">
        <v>50</v>
      </c>
      <c r="E265" s="220" t="s">
        <v>330</v>
      </c>
      <c r="F265" s="220"/>
      <c r="G265" s="220"/>
      <c r="H265" s="242" t="s">
        <v>317</v>
      </c>
      <c r="I265" s="129"/>
      <c r="J265" s="243">
        <f t="shared" si="241"/>
        <v>0</v>
      </c>
      <c r="K265" s="236"/>
      <c r="L265" s="236"/>
      <c r="M265" s="243">
        <f t="shared" si="242"/>
        <v>0</v>
      </c>
      <c r="N265" s="129"/>
      <c r="O265" s="207" t="str">
        <f t="shared" ref="O265:W265" si="250">IF(OR(O$19="",O$24=0,O$31=0),"",
(O$235*$P210)*1000/(O$24*O$31))</f>
        <v/>
      </c>
      <c r="P265" s="207" t="str">
        <f t="shared" si="250"/>
        <v/>
      </c>
      <c r="Q265" s="207" t="str">
        <f t="shared" si="250"/>
        <v/>
      </c>
      <c r="R265" s="207" t="str">
        <f t="shared" si="250"/>
        <v/>
      </c>
      <c r="S265" s="207" t="str">
        <f t="shared" si="250"/>
        <v/>
      </c>
      <c r="T265" s="207" t="str">
        <f t="shared" si="250"/>
        <v/>
      </c>
      <c r="U265" s="207" t="str">
        <f t="shared" si="250"/>
        <v/>
      </c>
      <c r="V265" s="207" t="str">
        <f t="shared" si="250"/>
        <v/>
      </c>
      <c r="W265" s="207" t="str">
        <f t="shared" si="250"/>
        <v/>
      </c>
      <c r="X265" s="128"/>
      <c r="Y265" s="243">
        <f t="shared" si="244"/>
        <v>0</v>
      </c>
      <c r="Z265" s="129"/>
      <c r="AA265" s="207" t="str">
        <f t="shared" ref="AA265:AI265" si="251">IF(OR(AA$19="",AA$24=0,AA$31=0),"",
(AA$235*$AB210)*1000/(AA$24*AA$31))</f>
        <v/>
      </c>
      <c r="AB265" s="207" t="str">
        <f t="shared" si="251"/>
        <v/>
      </c>
      <c r="AC265" s="207" t="str">
        <f t="shared" si="251"/>
        <v/>
      </c>
      <c r="AD265" s="207" t="str">
        <f t="shared" si="251"/>
        <v/>
      </c>
      <c r="AE265" s="207" t="str">
        <f t="shared" si="251"/>
        <v/>
      </c>
      <c r="AF265" s="207" t="str">
        <f t="shared" si="251"/>
        <v/>
      </c>
      <c r="AG265" s="207" t="str">
        <f t="shared" si="251"/>
        <v/>
      </c>
      <c r="AH265" s="207" t="str">
        <f t="shared" si="251"/>
        <v/>
      </c>
      <c r="AI265" s="207" t="str">
        <f t="shared" si="251"/>
        <v/>
      </c>
      <c r="AJ265" s="128"/>
      <c r="AK265" s="243">
        <f t="shared" si="246"/>
        <v>0</v>
      </c>
      <c r="AL265" s="129"/>
      <c r="AM265" s="207" t="str">
        <f t="shared" ref="AM265:AU265" si="252">IF(OR(AM$19="",AM$24=0,AM$31=0),"",
(AM$235*$AN210)*1000/(AM$24*AM$31))</f>
        <v/>
      </c>
      <c r="AN265" s="207" t="str">
        <f t="shared" si="252"/>
        <v/>
      </c>
      <c r="AO265" s="207" t="str">
        <f t="shared" si="252"/>
        <v/>
      </c>
      <c r="AP265" s="207" t="str">
        <f t="shared" si="252"/>
        <v/>
      </c>
      <c r="AQ265" s="207" t="str">
        <f t="shared" si="252"/>
        <v/>
      </c>
      <c r="AR265" s="207" t="str">
        <f t="shared" si="252"/>
        <v/>
      </c>
      <c r="AS265" s="207" t="str">
        <f t="shared" si="252"/>
        <v/>
      </c>
      <c r="AT265" s="207" t="str">
        <f t="shared" si="252"/>
        <v/>
      </c>
      <c r="AU265" s="207" t="str">
        <f t="shared" si="252"/>
        <v/>
      </c>
      <c r="AV265" s="128"/>
      <c r="AW265" s="243">
        <f t="shared" si="248"/>
        <v>0</v>
      </c>
      <c r="AX265" s="129"/>
      <c r="AY265" s="207" t="str">
        <f t="shared" ref="AY265:BG265" si="253">IF(OR(AY$19="",AY$24=0,AY$31=0),"",
(AY$235*$AZ210)*1000/(AY$24*AY$31))</f>
        <v/>
      </c>
      <c r="AZ265" s="207" t="str">
        <f t="shared" si="253"/>
        <v/>
      </c>
      <c r="BA265" s="207" t="str">
        <f t="shared" si="253"/>
        <v/>
      </c>
      <c r="BB265" s="207" t="str">
        <f t="shared" si="253"/>
        <v/>
      </c>
      <c r="BC265" s="207" t="str">
        <f t="shared" si="253"/>
        <v/>
      </c>
      <c r="BD265" s="207" t="str">
        <f t="shared" si="253"/>
        <v/>
      </c>
      <c r="BE265" s="207" t="str">
        <f t="shared" si="253"/>
        <v/>
      </c>
      <c r="BF265" s="207" t="str">
        <f t="shared" si="253"/>
        <v/>
      </c>
      <c r="BG265" s="207" t="str">
        <f t="shared" si="253"/>
        <v/>
      </c>
      <c r="BH265" s="255"/>
    </row>
    <row r="266" spans="1:60" x14ac:dyDescent="0.2">
      <c r="A266" s="648"/>
      <c r="B266" s="492" t="s">
        <v>324</v>
      </c>
      <c r="C266" s="656" t="s">
        <v>113</v>
      </c>
      <c r="D266" s="750" t="s">
        <v>50</v>
      </c>
      <c r="E266" s="220" t="s">
        <v>294</v>
      </c>
      <c r="F266" s="220"/>
      <c r="G266" s="220"/>
      <c r="H266" s="242" t="s">
        <v>317</v>
      </c>
      <c r="I266" s="129"/>
      <c r="J266" s="243">
        <f t="shared" si="241"/>
        <v>0</v>
      </c>
      <c r="K266" s="236"/>
      <c r="L266" s="236"/>
      <c r="M266" s="243">
        <f t="shared" si="242"/>
        <v>0</v>
      </c>
      <c r="N266" s="129"/>
      <c r="O266" s="207" t="str">
        <f t="shared" ref="O266:W266" si="254">IF(OR(O$19="",O$24=0,O$31=0),"",
(O$234*$O211+O$236*$Q211)*1000/(O$24*O$31))</f>
        <v/>
      </c>
      <c r="P266" s="207" t="str">
        <f t="shared" si="254"/>
        <v/>
      </c>
      <c r="Q266" s="207" t="str">
        <f t="shared" si="254"/>
        <v/>
      </c>
      <c r="R266" s="207" t="str">
        <f t="shared" si="254"/>
        <v/>
      </c>
      <c r="S266" s="207" t="str">
        <f t="shared" si="254"/>
        <v/>
      </c>
      <c r="T266" s="207" t="str">
        <f t="shared" si="254"/>
        <v/>
      </c>
      <c r="U266" s="207" t="str">
        <f t="shared" si="254"/>
        <v/>
      </c>
      <c r="V266" s="207" t="str">
        <f t="shared" si="254"/>
        <v/>
      </c>
      <c r="W266" s="207" t="str">
        <f t="shared" si="254"/>
        <v/>
      </c>
      <c r="X266" s="128"/>
      <c r="Y266" s="243">
        <f t="shared" si="244"/>
        <v>0</v>
      </c>
      <c r="Z266" s="129"/>
      <c r="AA266" s="207" t="str">
        <f t="shared" ref="AA266:AI266" si="255">IF(OR(AA$19="",AA$24=0,AA$31=0),"",
(AA$234*$AA211+AA$236*$AC211)*1000/(AA$24*AA$31))</f>
        <v/>
      </c>
      <c r="AB266" s="207" t="str">
        <f t="shared" si="255"/>
        <v/>
      </c>
      <c r="AC266" s="207" t="str">
        <f t="shared" si="255"/>
        <v/>
      </c>
      <c r="AD266" s="207" t="str">
        <f t="shared" si="255"/>
        <v/>
      </c>
      <c r="AE266" s="207" t="str">
        <f t="shared" si="255"/>
        <v/>
      </c>
      <c r="AF266" s="207" t="str">
        <f t="shared" si="255"/>
        <v/>
      </c>
      <c r="AG266" s="207" t="str">
        <f t="shared" si="255"/>
        <v/>
      </c>
      <c r="AH266" s="207" t="str">
        <f t="shared" si="255"/>
        <v/>
      </c>
      <c r="AI266" s="207" t="str">
        <f t="shared" si="255"/>
        <v/>
      </c>
      <c r="AJ266" s="128"/>
      <c r="AK266" s="243">
        <f t="shared" si="246"/>
        <v>0</v>
      </c>
      <c r="AL266" s="129"/>
      <c r="AM266" s="207" t="str">
        <f t="shared" ref="AM266:AU266" si="256">IF(OR(AM$19="",AM$24=0,AM$31=0),"",
(AM$234*$AM211+AM$236*$AO211)*1000/(AM$24*AM$31))</f>
        <v/>
      </c>
      <c r="AN266" s="207" t="str">
        <f t="shared" si="256"/>
        <v/>
      </c>
      <c r="AO266" s="207" t="str">
        <f t="shared" si="256"/>
        <v/>
      </c>
      <c r="AP266" s="207" t="str">
        <f t="shared" si="256"/>
        <v/>
      </c>
      <c r="AQ266" s="207" t="str">
        <f t="shared" si="256"/>
        <v/>
      </c>
      <c r="AR266" s="207" t="str">
        <f t="shared" si="256"/>
        <v/>
      </c>
      <c r="AS266" s="207" t="str">
        <f t="shared" si="256"/>
        <v/>
      </c>
      <c r="AT266" s="207" t="str">
        <f t="shared" si="256"/>
        <v/>
      </c>
      <c r="AU266" s="207" t="str">
        <f t="shared" si="256"/>
        <v/>
      </c>
      <c r="AV266" s="128"/>
      <c r="AW266" s="243">
        <f t="shared" si="248"/>
        <v>0</v>
      </c>
      <c r="AX266" s="129"/>
      <c r="AY266" s="207" t="str">
        <f t="shared" ref="AY266:BG266" si="257">IF(OR(AY$19="",AY$24=0,AY$31=0),"",
(AY$234*$AY211+AY$236*$BA211)*1000/(AY$24*AY$31))</f>
        <v/>
      </c>
      <c r="AZ266" s="207" t="str">
        <f t="shared" si="257"/>
        <v/>
      </c>
      <c r="BA266" s="207" t="str">
        <f t="shared" si="257"/>
        <v/>
      </c>
      <c r="BB266" s="207" t="str">
        <f t="shared" si="257"/>
        <v/>
      </c>
      <c r="BC266" s="207" t="str">
        <f t="shared" si="257"/>
        <v/>
      </c>
      <c r="BD266" s="207" t="str">
        <f t="shared" si="257"/>
        <v/>
      </c>
      <c r="BE266" s="207" t="str">
        <f t="shared" si="257"/>
        <v/>
      </c>
      <c r="BF266" s="207" t="str">
        <f t="shared" si="257"/>
        <v/>
      </c>
      <c r="BG266" s="207" t="str">
        <f t="shared" si="257"/>
        <v/>
      </c>
      <c r="BH266" s="255"/>
    </row>
    <row r="267" spans="1:60" x14ac:dyDescent="0.2">
      <c r="A267" s="648"/>
      <c r="B267" s="492" t="s">
        <v>324</v>
      </c>
      <c r="C267" s="656" t="s">
        <v>113</v>
      </c>
      <c r="D267" s="750" t="s">
        <v>50</v>
      </c>
      <c r="E267" s="220" t="s">
        <v>295</v>
      </c>
      <c r="F267" s="220"/>
      <c r="G267" s="220"/>
      <c r="H267" s="242" t="s">
        <v>317</v>
      </c>
      <c r="I267" s="129"/>
      <c r="J267" s="243">
        <f t="shared" si="241"/>
        <v>0</v>
      </c>
      <c r="K267" s="236"/>
      <c r="L267" s="236"/>
      <c r="M267" s="243">
        <f t="shared" si="242"/>
        <v>0</v>
      </c>
      <c r="N267" s="129"/>
      <c r="O267" s="207" t="str">
        <f t="shared" ref="O267:W267" si="258">IF(OR(O$19="",O$24=0,O$31=0),"",
(O$234*$O212+O$235*$P212+O$236*$Q212)*1000/(O$24*O$31))</f>
        <v/>
      </c>
      <c r="P267" s="207" t="str">
        <f t="shared" si="258"/>
        <v/>
      </c>
      <c r="Q267" s="207" t="str">
        <f t="shared" si="258"/>
        <v/>
      </c>
      <c r="R267" s="207" t="str">
        <f t="shared" si="258"/>
        <v/>
      </c>
      <c r="S267" s="207" t="str">
        <f t="shared" si="258"/>
        <v/>
      </c>
      <c r="T267" s="207" t="str">
        <f t="shared" si="258"/>
        <v/>
      </c>
      <c r="U267" s="207" t="str">
        <f t="shared" si="258"/>
        <v/>
      </c>
      <c r="V267" s="207" t="str">
        <f t="shared" si="258"/>
        <v/>
      </c>
      <c r="W267" s="207" t="str">
        <f t="shared" si="258"/>
        <v/>
      </c>
      <c r="X267" s="128"/>
      <c r="Y267" s="243">
        <f t="shared" si="244"/>
        <v>0</v>
      </c>
      <c r="Z267" s="129"/>
      <c r="AA267" s="207" t="str">
        <f t="shared" ref="AA267:AI267" si="259">IF(OR(AA$19="",AA$24=0,AA$31=0),"",
(AA$234*$AA212+AA$235*$AB212+AA$236*$AC212)*1000/(AA$24*AA$31))</f>
        <v/>
      </c>
      <c r="AB267" s="207" t="str">
        <f t="shared" si="259"/>
        <v/>
      </c>
      <c r="AC267" s="207" t="str">
        <f t="shared" si="259"/>
        <v/>
      </c>
      <c r="AD267" s="207" t="str">
        <f t="shared" si="259"/>
        <v/>
      </c>
      <c r="AE267" s="207" t="str">
        <f t="shared" si="259"/>
        <v/>
      </c>
      <c r="AF267" s="207" t="str">
        <f t="shared" si="259"/>
        <v/>
      </c>
      <c r="AG267" s="207" t="str">
        <f t="shared" si="259"/>
        <v/>
      </c>
      <c r="AH267" s="207" t="str">
        <f t="shared" si="259"/>
        <v/>
      </c>
      <c r="AI267" s="207" t="str">
        <f t="shared" si="259"/>
        <v/>
      </c>
      <c r="AJ267" s="128"/>
      <c r="AK267" s="243">
        <f t="shared" si="246"/>
        <v>0</v>
      </c>
      <c r="AL267" s="129"/>
      <c r="AM267" s="207" t="str">
        <f t="shared" ref="AM267:AU267" si="260">IF(OR(AM$19="",AM$24=0,AM$31=0),"",
(AM$234*$AM212+AM$235*$AN212+AM$236*$AO212)*1000/(AM$24*AM$31))</f>
        <v/>
      </c>
      <c r="AN267" s="207" t="str">
        <f t="shared" si="260"/>
        <v/>
      </c>
      <c r="AO267" s="207" t="str">
        <f t="shared" si="260"/>
        <v/>
      </c>
      <c r="AP267" s="207" t="str">
        <f t="shared" si="260"/>
        <v/>
      </c>
      <c r="AQ267" s="207" t="str">
        <f t="shared" si="260"/>
        <v/>
      </c>
      <c r="AR267" s="207" t="str">
        <f t="shared" si="260"/>
        <v/>
      </c>
      <c r="AS267" s="207" t="str">
        <f t="shared" si="260"/>
        <v/>
      </c>
      <c r="AT267" s="207" t="str">
        <f t="shared" si="260"/>
        <v/>
      </c>
      <c r="AU267" s="207" t="str">
        <f t="shared" si="260"/>
        <v/>
      </c>
      <c r="AV267" s="128"/>
      <c r="AW267" s="243">
        <f t="shared" si="248"/>
        <v>0</v>
      </c>
      <c r="AX267" s="129"/>
      <c r="AY267" s="207" t="str">
        <f t="shared" ref="AY267:BG267" si="261">IF(OR(AY$19="",AY$24=0,AY$31=0),"",
(AY$234*$AY212+AY$235*$AZ212+AY$236*$BA212)*1000/(AY$24*AY$31))</f>
        <v/>
      </c>
      <c r="AZ267" s="207" t="str">
        <f t="shared" si="261"/>
        <v/>
      </c>
      <c r="BA267" s="207" t="str">
        <f t="shared" si="261"/>
        <v/>
      </c>
      <c r="BB267" s="207" t="str">
        <f t="shared" si="261"/>
        <v/>
      </c>
      <c r="BC267" s="207" t="str">
        <f t="shared" si="261"/>
        <v/>
      </c>
      <c r="BD267" s="207" t="str">
        <f t="shared" si="261"/>
        <v/>
      </c>
      <c r="BE267" s="207" t="str">
        <f t="shared" si="261"/>
        <v/>
      </c>
      <c r="BF267" s="207" t="str">
        <f t="shared" si="261"/>
        <v/>
      </c>
      <c r="BG267" s="207" t="str">
        <f t="shared" si="261"/>
        <v/>
      </c>
      <c r="BH267" s="255"/>
    </row>
    <row r="268" spans="1:60" x14ac:dyDescent="0.2">
      <c r="A268" s="648"/>
      <c r="B268" s="492" t="s">
        <v>324</v>
      </c>
      <c r="C268" s="656" t="s">
        <v>113</v>
      </c>
      <c r="D268" s="750" t="s">
        <v>50</v>
      </c>
      <c r="E268" s="220" t="s">
        <v>296</v>
      </c>
      <c r="F268" s="220"/>
      <c r="G268" s="220"/>
      <c r="H268" s="242" t="s">
        <v>317</v>
      </c>
      <c r="I268" s="129"/>
      <c r="J268" s="243">
        <f t="shared" si="241"/>
        <v>0</v>
      </c>
      <c r="K268" s="236"/>
      <c r="L268" s="236"/>
      <c r="M268" s="243">
        <f t="shared" si="242"/>
        <v>0</v>
      </c>
      <c r="N268" s="129"/>
      <c r="O268" s="207" t="str">
        <f t="shared" ref="O268:W268" si="262">IF(OR(O$19="",O$24=0,O$31=0),"",
(O$235*$P213)*1000/(O$24*O$31))</f>
        <v/>
      </c>
      <c r="P268" s="207" t="str">
        <f t="shared" si="262"/>
        <v/>
      </c>
      <c r="Q268" s="207" t="str">
        <f t="shared" si="262"/>
        <v/>
      </c>
      <c r="R268" s="207" t="str">
        <f t="shared" si="262"/>
        <v/>
      </c>
      <c r="S268" s="207" t="str">
        <f t="shared" si="262"/>
        <v/>
      </c>
      <c r="T268" s="207" t="str">
        <f t="shared" si="262"/>
        <v/>
      </c>
      <c r="U268" s="207" t="str">
        <f t="shared" si="262"/>
        <v/>
      </c>
      <c r="V268" s="207" t="str">
        <f t="shared" si="262"/>
        <v/>
      </c>
      <c r="W268" s="207" t="str">
        <f t="shared" si="262"/>
        <v/>
      </c>
      <c r="X268" s="128"/>
      <c r="Y268" s="243">
        <f t="shared" si="244"/>
        <v>0</v>
      </c>
      <c r="Z268" s="129"/>
      <c r="AA268" s="207" t="str">
        <f t="shared" ref="AA268:AI268" si="263">IF(OR(AA$19="",AA$24=0,AA$31=0),"",
(AA$235*$AB213)*1000/(AA$24*AA$31))</f>
        <v/>
      </c>
      <c r="AB268" s="207" t="str">
        <f t="shared" si="263"/>
        <v/>
      </c>
      <c r="AC268" s="207" t="str">
        <f t="shared" si="263"/>
        <v/>
      </c>
      <c r="AD268" s="207" t="str">
        <f t="shared" si="263"/>
        <v/>
      </c>
      <c r="AE268" s="207" t="str">
        <f t="shared" si="263"/>
        <v/>
      </c>
      <c r="AF268" s="207" t="str">
        <f t="shared" si="263"/>
        <v/>
      </c>
      <c r="AG268" s="207" t="str">
        <f t="shared" si="263"/>
        <v/>
      </c>
      <c r="AH268" s="207" t="str">
        <f t="shared" si="263"/>
        <v/>
      </c>
      <c r="AI268" s="207" t="str">
        <f t="shared" si="263"/>
        <v/>
      </c>
      <c r="AJ268" s="128"/>
      <c r="AK268" s="243">
        <f t="shared" si="246"/>
        <v>0</v>
      </c>
      <c r="AL268" s="129"/>
      <c r="AM268" s="207" t="str">
        <f t="shared" ref="AM268:AU268" si="264">IF(OR(AM$19="",AM$24=0,AM$31=0),"",
(AM$235*$AN213)*1000/(AM$24*AM$31))</f>
        <v/>
      </c>
      <c r="AN268" s="207" t="str">
        <f t="shared" si="264"/>
        <v/>
      </c>
      <c r="AO268" s="207" t="str">
        <f t="shared" si="264"/>
        <v/>
      </c>
      <c r="AP268" s="207" t="str">
        <f t="shared" si="264"/>
        <v/>
      </c>
      <c r="AQ268" s="207" t="str">
        <f t="shared" si="264"/>
        <v/>
      </c>
      <c r="AR268" s="207" t="str">
        <f t="shared" si="264"/>
        <v/>
      </c>
      <c r="AS268" s="207" t="str">
        <f t="shared" si="264"/>
        <v/>
      </c>
      <c r="AT268" s="207" t="str">
        <f t="shared" si="264"/>
        <v/>
      </c>
      <c r="AU268" s="207" t="str">
        <f t="shared" si="264"/>
        <v/>
      </c>
      <c r="AV268" s="128"/>
      <c r="AW268" s="243">
        <f t="shared" si="248"/>
        <v>0</v>
      </c>
      <c r="AX268" s="129"/>
      <c r="AY268" s="207" t="str">
        <f t="shared" ref="AY268:BG268" si="265">IF(OR(AY$19="",AY$24=0,AY$31=0),"",
(AY$235*$AZ213)*1000/(AY$24*AY$31))</f>
        <v/>
      </c>
      <c r="AZ268" s="207" t="str">
        <f t="shared" si="265"/>
        <v/>
      </c>
      <c r="BA268" s="207" t="str">
        <f t="shared" si="265"/>
        <v/>
      </c>
      <c r="BB268" s="207" t="str">
        <f t="shared" si="265"/>
        <v/>
      </c>
      <c r="BC268" s="207" t="str">
        <f t="shared" si="265"/>
        <v/>
      </c>
      <c r="BD268" s="207" t="str">
        <f t="shared" si="265"/>
        <v/>
      </c>
      <c r="BE268" s="207" t="str">
        <f t="shared" si="265"/>
        <v/>
      </c>
      <c r="BF268" s="207" t="str">
        <f t="shared" si="265"/>
        <v/>
      </c>
      <c r="BG268" s="207" t="str">
        <f t="shared" si="265"/>
        <v/>
      </c>
      <c r="BH268" s="255"/>
    </row>
    <row r="269" spans="1:60" x14ac:dyDescent="0.2">
      <c r="A269" s="648"/>
      <c r="B269" s="492" t="s">
        <v>324</v>
      </c>
      <c r="C269" s="656" t="s">
        <v>113</v>
      </c>
      <c r="D269" s="750" t="s">
        <v>50</v>
      </c>
      <c r="E269" s="220" t="s">
        <v>297</v>
      </c>
      <c r="F269" s="220"/>
      <c r="G269" s="220"/>
      <c r="H269" s="242" t="s">
        <v>317</v>
      </c>
      <c r="I269" s="129"/>
      <c r="J269" s="243">
        <f t="shared" si="241"/>
        <v>0</v>
      </c>
      <c r="K269" s="236"/>
      <c r="L269" s="236"/>
      <c r="M269" s="243">
        <f t="shared" si="242"/>
        <v>0</v>
      </c>
      <c r="N269" s="129"/>
      <c r="O269" s="207" t="str">
        <f t="shared" ref="O269:W269" si="266">IF(OR(O$19="",O$24=0,O$31=0),"",
(O$234*$O214+O$236*$Q214)*1000/(O$24*O$31))</f>
        <v/>
      </c>
      <c r="P269" s="207" t="str">
        <f t="shared" si="266"/>
        <v/>
      </c>
      <c r="Q269" s="207" t="str">
        <f t="shared" si="266"/>
        <v/>
      </c>
      <c r="R269" s="207" t="str">
        <f t="shared" si="266"/>
        <v/>
      </c>
      <c r="S269" s="207" t="str">
        <f t="shared" si="266"/>
        <v/>
      </c>
      <c r="T269" s="207" t="str">
        <f t="shared" si="266"/>
        <v/>
      </c>
      <c r="U269" s="207" t="str">
        <f t="shared" si="266"/>
        <v/>
      </c>
      <c r="V269" s="207" t="str">
        <f t="shared" si="266"/>
        <v/>
      </c>
      <c r="W269" s="207" t="str">
        <f t="shared" si="266"/>
        <v/>
      </c>
      <c r="X269" s="122"/>
      <c r="Y269" s="243">
        <f t="shared" si="244"/>
        <v>0</v>
      </c>
      <c r="Z269" s="129"/>
      <c r="AA269" s="207" t="str">
        <f t="shared" ref="AA269:AI269" si="267">IF(OR(AA$19="",AA$24=0,AA$31=0),"",
(AA$234*$AA214+AA$236*$AC214)*1000/(AA$24*AA$31))</f>
        <v/>
      </c>
      <c r="AB269" s="207" t="str">
        <f t="shared" si="267"/>
        <v/>
      </c>
      <c r="AC269" s="207" t="str">
        <f t="shared" si="267"/>
        <v/>
      </c>
      <c r="AD269" s="207" t="str">
        <f t="shared" si="267"/>
        <v/>
      </c>
      <c r="AE269" s="207" t="str">
        <f t="shared" si="267"/>
        <v/>
      </c>
      <c r="AF269" s="207" t="str">
        <f t="shared" si="267"/>
        <v/>
      </c>
      <c r="AG269" s="207" t="str">
        <f t="shared" si="267"/>
        <v/>
      </c>
      <c r="AH269" s="207" t="str">
        <f t="shared" si="267"/>
        <v/>
      </c>
      <c r="AI269" s="207" t="str">
        <f t="shared" si="267"/>
        <v/>
      </c>
      <c r="AJ269" s="122"/>
      <c r="AK269" s="243">
        <f t="shared" si="246"/>
        <v>0</v>
      </c>
      <c r="AL269" s="129"/>
      <c r="AM269" s="207" t="str">
        <f t="shared" ref="AM269:AU269" si="268">IF(OR(AM$19="",AM$24=0,AM$31=0),"",
(AM$234*$AM214+AM$236*$AO214)*1000/(AM$24*AM$31))</f>
        <v/>
      </c>
      <c r="AN269" s="207" t="str">
        <f t="shared" si="268"/>
        <v/>
      </c>
      <c r="AO269" s="207" t="str">
        <f t="shared" si="268"/>
        <v/>
      </c>
      <c r="AP269" s="207" t="str">
        <f t="shared" si="268"/>
        <v/>
      </c>
      <c r="AQ269" s="207" t="str">
        <f t="shared" si="268"/>
        <v/>
      </c>
      <c r="AR269" s="207" t="str">
        <f t="shared" si="268"/>
        <v/>
      </c>
      <c r="AS269" s="207" t="str">
        <f t="shared" si="268"/>
        <v/>
      </c>
      <c r="AT269" s="207" t="str">
        <f t="shared" si="268"/>
        <v/>
      </c>
      <c r="AU269" s="207" t="str">
        <f t="shared" si="268"/>
        <v/>
      </c>
      <c r="AV269" s="122"/>
      <c r="AW269" s="243">
        <f t="shared" si="248"/>
        <v>0</v>
      </c>
      <c r="AX269" s="129"/>
      <c r="AY269" s="207" t="str">
        <f t="shared" ref="AY269:BG269" si="269">IF(OR(AY$19="",AY$24=0,AY$31=0),"",
(AY$234*$AY214+AY$236*$BA214)*1000/(AY$24*AY$31))</f>
        <v/>
      </c>
      <c r="AZ269" s="207" t="str">
        <f t="shared" si="269"/>
        <v/>
      </c>
      <c r="BA269" s="207" t="str">
        <f t="shared" si="269"/>
        <v/>
      </c>
      <c r="BB269" s="207" t="str">
        <f t="shared" si="269"/>
        <v/>
      </c>
      <c r="BC269" s="207" t="str">
        <f t="shared" si="269"/>
        <v/>
      </c>
      <c r="BD269" s="207" t="str">
        <f t="shared" si="269"/>
        <v/>
      </c>
      <c r="BE269" s="207" t="str">
        <f t="shared" si="269"/>
        <v/>
      </c>
      <c r="BF269" s="207" t="str">
        <f t="shared" si="269"/>
        <v/>
      </c>
      <c r="BG269" s="207" t="str">
        <f t="shared" si="269"/>
        <v/>
      </c>
      <c r="BH269" s="214"/>
    </row>
    <row r="270" spans="1:60" ht="18.75" x14ac:dyDescent="0.2">
      <c r="A270" s="648"/>
      <c r="B270" s="492" t="s">
        <v>324</v>
      </c>
      <c r="C270" s="739" t="s">
        <v>104</v>
      </c>
      <c r="D270" s="747"/>
      <c r="E270" s="236" t="s">
        <v>331</v>
      </c>
      <c r="F270" s="236"/>
      <c r="G270" s="236"/>
      <c r="H270" s="89"/>
      <c r="I270" s="236"/>
      <c r="J270" s="236"/>
      <c r="K270" s="236"/>
      <c r="L270" s="236"/>
      <c r="M270" s="236"/>
      <c r="N270" s="236"/>
      <c r="O270" s="236"/>
      <c r="P270" s="236"/>
      <c r="Q270" s="236"/>
      <c r="R270" s="236"/>
      <c r="S270" s="236"/>
      <c r="T270" s="236"/>
      <c r="U270" s="236"/>
      <c r="V270" s="236"/>
      <c r="W270" s="236"/>
      <c r="X270" s="236"/>
      <c r="Y270" s="236"/>
      <c r="Z270" s="236"/>
      <c r="AA270" s="236"/>
      <c r="AB270" s="236"/>
      <c r="AC270" s="236"/>
      <c r="AD270" s="236"/>
      <c r="AE270" s="236"/>
      <c r="AF270" s="236"/>
      <c r="AG270" s="236"/>
      <c r="AH270" s="236"/>
      <c r="AI270" s="236"/>
      <c r="AJ270" s="236"/>
      <c r="AK270" s="236"/>
      <c r="AL270" s="236"/>
      <c r="AM270" s="236"/>
      <c r="AN270" s="236"/>
      <c r="AO270" s="236"/>
      <c r="AP270" s="236"/>
      <c r="AQ270" s="236"/>
      <c r="AR270" s="236"/>
      <c r="AS270" s="236"/>
      <c r="AT270" s="236"/>
      <c r="AU270" s="236"/>
      <c r="AV270" s="236"/>
      <c r="AW270" s="236"/>
      <c r="AX270" s="236"/>
      <c r="AY270" s="236"/>
      <c r="AZ270" s="236"/>
      <c r="BA270" s="236"/>
      <c r="BB270" s="236"/>
      <c r="BC270" s="236"/>
      <c r="BD270" s="236"/>
      <c r="BE270" s="236"/>
      <c r="BF270" s="236"/>
      <c r="BG270" s="236"/>
      <c r="BH270" s="38"/>
    </row>
    <row r="271" spans="1:60" x14ac:dyDescent="0.2">
      <c r="A271" s="648"/>
      <c r="B271" s="492" t="s">
        <v>324</v>
      </c>
      <c r="C271" s="656" t="s">
        <v>113</v>
      </c>
      <c r="D271" s="750" t="s">
        <v>50</v>
      </c>
      <c r="E271" s="220" t="s">
        <v>298</v>
      </c>
      <c r="F271" s="220"/>
      <c r="G271" s="220"/>
      <c r="H271" s="242" t="s">
        <v>317</v>
      </c>
      <c r="I271" s="129"/>
      <c r="J271" s="243">
        <f>M271+Y271+AK271+AW271</f>
        <v>0</v>
      </c>
      <c r="K271" s="236"/>
      <c r="L271" s="236"/>
      <c r="M271" s="243">
        <f>SUMPRODUCT(N271:X271,N$32:X$32)/1000</f>
        <v>0</v>
      </c>
      <c r="N271" s="129"/>
      <c r="O271" s="207" t="str">
        <f t="shared" ref="O271:W271" si="270">IF(OR(O$19="",O$24=0,O$31=0),"",
O$70/O$31*f_P_renelect)</f>
        <v/>
      </c>
      <c r="P271" s="207" t="str">
        <f t="shared" si="270"/>
        <v/>
      </c>
      <c r="Q271" s="207" t="str">
        <f t="shared" si="270"/>
        <v/>
      </c>
      <c r="R271" s="207" t="str">
        <f t="shared" si="270"/>
        <v/>
      </c>
      <c r="S271" s="207" t="str">
        <f t="shared" si="270"/>
        <v/>
      </c>
      <c r="T271" s="207" t="str">
        <f t="shared" si="270"/>
        <v/>
      </c>
      <c r="U271" s="207" t="str">
        <f t="shared" si="270"/>
        <v/>
      </c>
      <c r="V271" s="207" t="str">
        <f t="shared" si="270"/>
        <v/>
      </c>
      <c r="W271" s="207" t="str">
        <f t="shared" si="270"/>
        <v/>
      </c>
      <c r="X271" s="128"/>
      <c r="Y271" s="243">
        <f>SUMPRODUCT(Z271:AJ271,Z$32:AJ$32)/1000</f>
        <v>0</v>
      </c>
      <c r="Z271" s="129"/>
      <c r="AA271" s="207" t="str">
        <f t="shared" ref="AA271:AI271" si="271">IF(OR(AA$19="",AA$24=0,AA$31=0),"",
AA$70/AA$31*f_P_renelect)</f>
        <v/>
      </c>
      <c r="AB271" s="207" t="str">
        <f t="shared" si="271"/>
        <v/>
      </c>
      <c r="AC271" s="207" t="str">
        <f t="shared" si="271"/>
        <v/>
      </c>
      <c r="AD271" s="207" t="str">
        <f t="shared" si="271"/>
        <v/>
      </c>
      <c r="AE271" s="207" t="str">
        <f t="shared" si="271"/>
        <v/>
      </c>
      <c r="AF271" s="207" t="str">
        <f t="shared" si="271"/>
        <v/>
      </c>
      <c r="AG271" s="207" t="str">
        <f t="shared" si="271"/>
        <v/>
      </c>
      <c r="AH271" s="207" t="str">
        <f t="shared" si="271"/>
        <v/>
      </c>
      <c r="AI271" s="207" t="str">
        <f t="shared" si="271"/>
        <v/>
      </c>
      <c r="AJ271" s="128"/>
      <c r="AK271" s="243">
        <f>SUMPRODUCT(AL271:AV271,AL$32:AV$32)/1000</f>
        <v>0</v>
      </c>
      <c r="AL271" s="129"/>
      <c r="AM271" s="207" t="str">
        <f t="shared" ref="AM271:AU271" si="272">IF(OR(AM$19="",AM$24=0,AM$31=0),"",
AM$70/AM$31*f_P_renelect)</f>
        <v/>
      </c>
      <c r="AN271" s="207" t="str">
        <f t="shared" si="272"/>
        <v/>
      </c>
      <c r="AO271" s="207" t="str">
        <f t="shared" si="272"/>
        <v/>
      </c>
      <c r="AP271" s="207" t="str">
        <f t="shared" si="272"/>
        <v/>
      </c>
      <c r="AQ271" s="207" t="str">
        <f t="shared" si="272"/>
        <v/>
      </c>
      <c r="AR271" s="207" t="str">
        <f t="shared" si="272"/>
        <v/>
      </c>
      <c r="AS271" s="207" t="str">
        <f t="shared" si="272"/>
        <v/>
      </c>
      <c r="AT271" s="207" t="str">
        <f t="shared" si="272"/>
        <v/>
      </c>
      <c r="AU271" s="207" t="str">
        <f t="shared" si="272"/>
        <v/>
      </c>
      <c r="AV271" s="128"/>
      <c r="AW271" s="243">
        <f>SUMPRODUCT(AX271:BH271,AX$32:BH$32)/1000</f>
        <v>0</v>
      </c>
      <c r="AX271" s="129"/>
      <c r="AY271" s="207" t="str">
        <f t="shared" ref="AY271:BG271" si="273">IF(OR(AY$19="",AY$24=0,AY$31=0),"",
AY$70/AY$31*f_P_renelect)</f>
        <v/>
      </c>
      <c r="AZ271" s="207" t="str">
        <f t="shared" si="273"/>
        <v/>
      </c>
      <c r="BA271" s="207" t="str">
        <f t="shared" si="273"/>
        <v/>
      </c>
      <c r="BB271" s="207" t="str">
        <f t="shared" si="273"/>
        <v/>
      </c>
      <c r="BC271" s="207" t="str">
        <f t="shared" si="273"/>
        <v/>
      </c>
      <c r="BD271" s="207" t="str">
        <f t="shared" si="273"/>
        <v/>
      </c>
      <c r="BE271" s="207" t="str">
        <f t="shared" si="273"/>
        <v/>
      </c>
      <c r="BF271" s="207" t="str">
        <f t="shared" si="273"/>
        <v/>
      </c>
      <c r="BG271" s="207" t="str">
        <f t="shared" si="273"/>
        <v/>
      </c>
      <c r="BH271" s="255"/>
    </row>
    <row r="272" spans="1:60" ht="18.75" x14ac:dyDescent="0.2">
      <c r="A272" s="648"/>
      <c r="B272" s="492" t="s">
        <v>324</v>
      </c>
      <c r="C272" s="739" t="s">
        <v>104</v>
      </c>
      <c r="D272" s="747"/>
      <c r="E272" s="236" t="s">
        <v>258</v>
      </c>
      <c r="F272" s="236"/>
      <c r="G272" s="236"/>
      <c r="H272" s="89"/>
      <c r="I272" s="236"/>
      <c r="J272" s="236"/>
      <c r="K272" s="236"/>
      <c r="L272" s="236"/>
      <c r="M272" s="236"/>
      <c r="N272" s="236"/>
      <c r="O272" s="236"/>
      <c r="P272" s="236"/>
      <c r="Q272" s="236"/>
      <c r="R272" s="236"/>
      <c r="S272" s="236"/>
      <c r="T272" s="236"/>
      <c r="U272" s="236"/>
      <c r="V272" s="236"/>
      <c r="W272" s="236"/>
      <c r="X272" s="236"/>
      <c r="Y272" s="236"/>
      <c r="Z272" s="236"/>
      <c r="AA272" s="236"/>
      <c r="AB272" s="279"/>
      <c r="AC272" s="236"/>
      <c r="AD272" s="236"/>
      <c r="AE272" s="236"/>
      <c r="AF272" s="236"/>
      <c r="AG272" s="236"/>
      <c r="AH272" s="236"/>
      <c r="AI272" s="236"/>
      <c r="AJ272" s="236"/>
      <c r="AK272" s="236"/>
      <c r="AL272" s="236"/>
      <c r="AM272" s="236"/>
      <c r="AN272" s="236"/>
      <c r="AO272" s="236"/>
      <c r="AP272" s="236"/>
      <c r="AQ272" s="236"/>
      <c r="AR272" s="236"/>
      <c r="AS272" s="236"/>
      <c r="AT272" s="236"/>
      <c r="AU272" s="236"/>
      <c r="AV272" s="236"/>
      <c r="AW272" s="236"/>
      <c r="AX272" s="236"/>
      <c r="AY272" s="236"/>
      <c r="AZ272" s="236"/>
      <c r="BA272" s="236"/>
      <c r="BB272" s="236"/>
      <c r="BC272" s="236"/>
      <c r="BD272" s="236"/>
      <c r="BE272" s="236"/>
      <c r="BF272" s="236"/>
      <c r="BG272" s="236"/>
      <c r="BH272" s="38"/>
    </row>
    <row r="273" spans="1:60" x14ac:dyDescent="0.2">
      <c r="A273" s="648"/>
      <c r="B273" s="492" t="s">
        <v>324</v>
      </c>
      <c r="C273" s="656" t="s">
        <v>113</v>
      </c>
      <c r="D273" s="750" t="s">
        <v>50</v>
      </c>
      <c r="E273" s="220" t="s">
        <v>332</v>
      </c>
      <c r="F273" s="220"/>
      <c r="G273" s="220"/>
      <c r="H273" s="242" t="s">
        <v>317</v>
      </c>
      <c r="I273" s="129"/>
      <c r="J273" s="243">
        <f>M273+Y273+AK273+AW273</f>
        <v>0</v>
      </c>
      <c r="K273" s="236"/>
      <c r="L273" s="236"/>
      <c r="M273" s="243">
        <f>SUMPRODUCT(N273:X273,N$32:X$32)/1000</f>
        <v>0</v>
      </c>
      <c r="N273" s="129"/>
      <c r="O273" s="207" t="str">
        <f t="shared" ref="O273:W273" si="274">IF(OR(O$19="",O$24=0,O$31=0),"",SUM(O264:O269)+O271)</f>
        <v/>
      </c>
      <c r="P273" s="207" t="str">
        <f t="shared" si="274"/>
        <v/>
      </c>
      <c r="Q273" s="207" t="str">
        <f t="shared" si="274"/>
        <v/>
      </c>
      <c r="R273" s="207" t="str">
        <f t="shared" si="274"/>
        <v/>
      </c>
      <c r="S273" s="207" t="str">
        <f t="shared" si="274"/>
        <v/>
      </c>
      <c r="T273" s="207" t="str">
        <f t="shared" si="274"/>
        <v/>
      </c>
      <c r="U273" s="207" t="str">
        <f t="shared" si="274"/>
        <v/>
      </c>
      <c r="V273" s="207" t="str">
        <f t="shared" si="274"/>
        <v/>
      </c>
      <c r="W273" s="207" t="str">
        <f t="shared" si="274"/>
        <v/>
      </c>
      <c r="X273" s="128"/>
      <c r="Y273" s="243">
        <f>SUMPRODUCT(Z273:AJ273,Z$32:AJ$32)/1000</f>
        <v>0</v>
      </c>
      <c r="Z273" s="129"/>
      <c r="AA273" s="207" t="str">
        <f t="shared" ref="AA273:AI273" si="275">IF(OR(AA$19="",AA$24=0,AA$31=0),"",SUM(AA264:AA269)+AA271)</f>
        <v/>
      </c>
      <c r="AB273" s="207" t="str">
        <f t="shared" si="275"/>
        <v/>
      </c>
      <c r="AC273" s="207" t="str">
        <f t="shared" si="275"/>
        <v/>
      </c>
      <c r="AD273" s="207" t="str">
        <f t="shared" si="275"/>
        <v/>
      </c>
      <c r="AE273" s="207" t="str">
        <f t="shared" si="275"/>
        <v/>
      </c>
      <c r="AF273" s="207" t="str">
        <f t="shared" si="275"/>
        <v/>
      </c>
      <c r="AG273" s="207" t="str">
        <f t="shared" si="275"/>
        <v/>
      </c>
      <c r="AH273" s="207" t="str">
        <f t="shared" si="275"/>
        <v/>
      </c>
      <c r="AI273" s="207" t="str">
        <f t="shared" si="275"/>
        <v/>
      </c>
      <c r="AJ273" s="128"/>
      <c r="AK273" s="243">
        <f>SUMPRODUCT(AL273:AV273,AL$32:AV$32)/1000</f>
        <v>0</v>
      </c>
      <c r="AL273" s="129"/>
      <c r="AM273" s="207" t="str">
        <f>IF(OR(AM$19="",AM$24=0,AM$31=0),"",SUM(AM264:AM269)+AM271)</f>
        <v/>
      </c>
      <c r="AN273" s="207" t="str">
        <f t="shared" ref="AN273:AU273" si="276">IF(OR(AN$19="",AN$24=0,AN$31=0),"",SUM(AN264:AN269)+AN271)</f>
        <v/>
      </c>
      <c r="AO273" s="207" t="str">
        <f t="shared" si="276"/>
        <v/>
      </c>
      <c r="AP273" s="207" t="str">
        <f t="shared" si="276"/>
        <v/>
      </c>
      <c r="AQ273" s="207" t="str">
        <f t="shared" si="276"/>
        <v/>
      </c>
      <c r="AR273" s="207" t="str">
        <f t="shared" si="276"/>
        <v/>
      </c>
      <c r="AS273" s="207" t="str">
        <f t="shared" si="276"/>
        <v/>
      </c>
      <c r="AT273" s="207" t="str">
        <f t="shared" si="276"/>
        <v/>
      </c>
      <c r="AU273" s="207" t="str">
        <f t="shared" si="276"/>
        <v/>
      </c>
      <c r="AV273" s="128"/>
      <c r="AW273" s="243">
        <f>SUMPRODUCT(AX273:BH273,AX$32:BH$32)/1000</f>
        <v>0</v>
      </c>
      <c r="AX273" s="129"/>
      <c r="AY273" s="207" t="str">
        <f>IF(OR(AY$19="",AY$24=0,AY$31=0),"",SUM(AY264:AY269)+AY271)</f>
        <v/>
      </c>
      <c r="AZ273" s="207" t="str">
        <f t="shared" ref="AZ273:BG273" si="277">IF(OR(AZ$19="",AZ$24=0,AZ$31=0),"",SUM(AZ264:AZ269)+AZ271)</f>
        <v/>
      </c>
      <c r="BA273" s="207" t="str">
        <f t="shared" si="277"/>
        <v/>
      </c>
      <c r="BB273" s="207" t="str">
        <f t="shared" si="277"/>
        <v/>
      </c>
      <c r="BC273" s="207" t="str">
        <f t="shared" si="277"/>
        <v/>
      </c>
      <c r="BD273" s="207" t="str">
        <f t="shared" si="277"/>
        <v/>
      </c>
      <c r="BE273" s="207" t="str">
        <f t="shared" si="277"/>
        <v/>
      </c>
      <c r="BF273" s="207" t="str">
        <f t="shared" si="277"/>
        <v/>
      </c>
      <c r="BG273" s="207" t="str">
        <f t="shared" si="277"/>
        <v/>
      </c>
      <c r="BH273" s="255"/>
    </row>
    <row r="274" spans="1:60" ht="18.75" x14ac:dyDescent="0.2">
      <c r="A274" s="648"/>
      <c r="B274" s="492" t="s">
        <v>324</v>
      </c>
      <c r="C274" s="739" t="s">
        <v>104</v>
      </c>
      <c r="D274" s="747"/>
      <c r="E274" s="236" t="s">
        <v>333</v>
      </c>
      <c r="F274" s="236"/>
      <c r="G274" s="236"/>
      <c r="H274" s="89"/>
      <c r="I274" s="236"/>
      <c r="J274" s="236"/>
      <c r="K274" s="236"/>
      <c r="L274" s="236"/>
      <c r="M274" s="236"/>
      <c r="N274" s="236"/>
      <c r="O274" s="236"/>
      <c r="P274" s="236"/>
      <c r="Q274" s="236"/>
      <c r="R274" s="236"/>
      <c r="S274" s="236"/>
      <c r="T274" s="236"/>
      <c r="U274" s="236"/>
      <c r="V274" s="236"/>
      <c r="W274" s="236"/>
      <c r="X274" s="236"/>
      <c r="Y274" s="236"/>
      <c r="Z274" s="236"/>
      <c r="AA274" s="236"/>
      <c r="AB274" s="236"/>
      <c r="AC274" s="236"/>
      <c r="AD274" s="236"/>
      <c r="AE274" s="236"/>
      <c r="AF274" s="236"/>
      <c r="AG274" s="236"/>
      <c r="AH274" s="236"/>
      <c r="AI274" s="236"/>
      <c r="AJ274" s="236"/>
      <c r="AK274" s="236"/>
      <c r="AL274" s="236"/>
      <c r="AM274" s="236"/>
      <c r="AN274" s="236"/>
      <c r="AO274" s="236"/>
      <c r="AP274" s="236"/>
      <c r="AQ274" s="236"/>
      <c r="AR274" s="236"/>
      <c r="AS274" s="236"/>
      <c r="AT274" s="236"/>
      <c r="AU274" s="236"/>
      <c r="AV274" s="236"/>
      <c r="AW274" s="236"/>
      <c r="AX274" s="236"/>
      <c r="AY274" s="236"/>
      <c r="AZ274" s="236"/>
      <c r="BA274" s="236"/>
      <c r="BB274" s="236"/>
      <c r="BC274" s="236"/>
      <c r="BD274" s="236"/>
      <c r="BE274" s="236"/>
      <c r="BF274" s="236"/>
      <c r="BG274" s="236"/>
      <c r="BH274" s="38"/>
    </row>
    <row r="275" spans="1:60" x14ac:dyDescent="0.2">
      <c r="A275" s="648"/>
      <c r="B275" s="492" t="s">
        <v>324</v>
      </c>
      <c r="C275" s="656" t="s">
        <v>113</v>
      </c>
      <c r="D275" s="750" t="s">
        <v>50</v>
      </c>
      <c r="E275" s="220" t="s">
        <v>334</v>
      </c>
      <c r="F275" s="220"/>
      <c r="G275" s="220"/>
      <c r="H275" s="242" t="s">
        <v>150</v>
      </c>
      <c r="I275" s="129"/>
      <c r="J275" s="244" t="str">
        <f>IF(J$24=0,"",
IF(J262+J273=0,0,J273/(J262+J273)))</f>
        <v/>
      </c>
      <c r="K275" s="236"/>
      <c r="L275" s="236"/>
      <c r="M275" s="244" t="str">
        <f>IF(M$24=0,"",
IF(M262+M273=0,0,M273/(M262+M273)))</f>
        <v/>
      </c>
      <c r="N275" s="129"/>
      <c r="O275" s="245" t="str">
        <f t="shared" ref="O275:W275" si="278">IF(OR(O$19="",O$24=0,O$31=0),"",
IF(O262+O273=0,0,O273/(O262+O273)))</f>
        <v/>
      </c>
      <c r="P275" s="245" t="str">
        <f t="shared" si="278"/>
        <v/>
      </c>
      <c r="Q275" s="245" t="str">
        <f t="shared" si="278"/>
        <v/>
      </c>
      <c r="R275" s="245" t="str">
        <f t="shared" si="278"/>
        <v/>
      </c>
      <c r="S275" s="245" t="str">
        <f t="shared" si="278"/>
        <v/>
      </c>
      <c r="T275" s="245" t="str">
        <f t="shared" si="278"/>
        <v/>
      </c>
      <c r="U275" s="245" t="str">
        <f t="shared" si="278"/>
        <v/>
      </c>
      <c r="V275" s="245" t="str">
        <f t="shared" si="278"/>
        <v/>
      </c>
      <c r="W275" s="245" t="str">
        <f t="shared" si="278"/>
        <v/>
      </c>
      <c r="X275" s="140"/>
      <c r="Y275" s="244" t="str">
        <f>IF(Y$24=0,"",
IF(Y262+Y273=0,0,Y273/(Y262+Y273)))</f>
        <v/>
      </c>
      <c r="Z275" s="129"/>
      <c r="AA275" s="245" t="str">
        <f t="shared" ref="AA275:AI275" si="279">IF(OR(AA$19="",AA$24=0,AA$31=0),"",
IF(AA262+AA273=0,0,AA273/(AA262+AA273)))</f>
        <v/>
      </c>
      <c r="AB275" s="245" t="str">
        <f t="shared" si="279"/>
        <v/>
      </c>
      <c r="AC275" s="245" t="str">
        <f t="shared" si="279"/>
        <v/>
      </c>
      <c r="AD275" s="245" t="str">
        <f t="shared" si="279"/>
        <v/>
      </c>
      <c r="AE275" s="245" t="str">
        <f t="shared" si="279"/>
        <v/>
      </c>
      <c r="AF275" s="245" t="str">
        <f t="shared" si="279"/>
        <v/>
      </c>
      <c r="AG275" s="245" t="str">
        <f t="shared" si="279"/>
        <v/>
      </c>
      <c r="AH275" s="245" t="str">
        <f t="shared" si="279"/>
        <v/>
      </c>
      <c r="AI275" s="245" t="str">
        <f t="shared" si="279"/>
        <v/>
      </c>
      <c r="AJ275" s="140"/>
      <c r="AK275" s="244" t="str">
        <f>IF(AK$24=0,"",
IF(AK262+AK273=0,0,AK273/(AK262+AK273)))</f>
        <v/>
      </c>
      <c r="AL275" s="129"/>
      <c r="AM275" s="245" t="str">
        <f>IF(OR(AM$19="",AM$24=0,AM$31=0),"",
IF(AM262+AM273=0,0,AM273/(AM262+AM273)))</f>
        <v/>
      </c>
      <c r="AN275" s="245" t="str">
        <f t="shared" ref="AN275:AU275" si="280">IF(OR(AN$19="",AN$24=0,AN$31=0),"",
IF(AN262+AN273=0,0,AN273/(AN262+AN273)))</f>
        <v/>
      </c>
      <c r="AO275" s="245" t="str">
        <f>IF(OR(AO$19="",AO$24=0,AO$31=0),"",
IF(AO262+AO273=0,0,AO273/(AO262+AO273)))</f>
        <v/>
      </c>
      <c r="AP275" s="245" t="str">
        <f t="shared" si="280"/>
        <v/>
      </c>
      <c r="AQ275" s="245" t="str">
        <f t="shared" si="280"/>
        <v/>
      </c>
      <c r="AR275" s="245" t="str">
        <f t="shared" si="280"/>
        <v/>
      </c>
      <c r="AS275" s="245" t="str">
        <f t="shared" si="280"/>
        <v/>
      </c>
      <c r="AT275" s="245" t="str">
        <f t="shared" si="280"/>
        <v/>
      </c>
      <c r="AU275" s="245" t="str">
        <f t="shared" si="280"/>
        <v/>
      </c>
      <c r="AV275" s="140"/>
      <c r="AW275" s="244" t="str">
        <f>IF(AW$24=0,"",
IF(AW262+AW273=0,0,AW273/(AW262+AW273)))</f>
        <v/>
      </c>
      <c r="AX275" s="129"/>
      <c r="AY275" s="245" t="str">
        <f>IF(OR(AY$19="",AY$24=0,AY$31=0),"",
IF(AY262+AY273=0,0,AY273/(AY262+AY273)))</f>
        <v/>
      </c>
      <c r="AZ275" s="245" t="str">
        <f t="shared" ref="AZ275:BG275" si="281">IF(OR(AZ$19="",AZ$24=0,AZ$31=0),"",
IF(AZ262+AZ273=0,0,AZ273/(AZ262+AZ273)))</f>
        <v/>
      </c>
      <c r="BA275" s="245" t="str">
        <f t="shared" si="281"/>
        <v/>
      </c>
      <c r="BB275" s="245" t="str">
        <f t="shared" si="281"/>
        <v/>
      </c>
      <c r="BC275" s="245" t="str">
        <f t="shared" si="281"/>
        <v/>
      </c>
      <c r="BD275" s="245" t="str">
        <f t="shared" si="281"/>
        <v/>
      </c>
      <c r="BE275" s="245" t="str">
        <f t="shared" si="281"/>
        <v/>
      </c>
      <c r="BF275" s="245" t="str">
        <f t="shared" si="281"/>
        <v/>
      </c>
      <c r="BG275" s="245" t="str">
        <f t="shared" si="281"/>
        <v/>
      </c>
      <c r="BH275" s="257"/>
    </row>
    <row r="276" spans="1:60" x14ac:dyDescent="0.2">
      <c r="A276" s="648"/>
      <c r="B276" s="492" t="s">
        <v>324</v>
      </c>
      <c r="C276" s="739" t="s">
        <v>104</v>
      </c>
      <c r="D276" s="747"/>
      <c r="E276" s="90"/>
      <c r="F276" s="90"/>
      <c r="G276" s="90"/>
      <c r="H276" s="96"/>
      <c r="I276" s="90"/>
      <c r="J276" s="93"/>
      <c r="K276" s="236"/>
      <c r="L276" s="236"/>
      <c r="M276" s="93"/>
      <c r="N276" s="90"/>
      <c r="O276" s="122"/>
      <c r="P276" s="122"/>
      <c r="Q276" s="122"/>
      <c r="R276" s="122"/>
      <c r="S276" s="122"/>
      <c r="T276" s="122"/>
      <c r="U276" s="122"/>
      <c r="V276" s="122"/>
      <c r="W276" s="122"/>
      <c r="X276" s="93"/>
      <c r="Y276" s="93"/>
      <c r="Z276" s="90"/>
      <c r="AA276" s="122"/>
      <c r="AB276" s="122"/>
      <c r="AC276" s="122"/>
      <c r="AD276" s="122"/>
      <c r="AE276" s="122"/>
      <c r="AF276" s="122"/>
      <c r="AG276" s="122"/>
      <c r="AH276" s="122"/>
      <c r="AI276" s="122"/>
      <c r="AJ276" s="93"/>
      <c r="AK276" s="93"/>
      <c r="AL276" s="90"/>
      <c r="AM276" s="122"/>
      <c r="AN276" s="122"/>
      <c r="AO276" s="122"/>
      <c r="AP276" s="122"/>
      <c r="AQ276" s="122"/>
      <c r="AR276" s="122"/>
      <c r="AS276" s="122"/>
      <c r="AT276" s="122"/>
      <c r="AU276" s="122"/>
      <c r="AV276" s="93"/>
      <c r="AW276" s="93"/>
      <c r="AX276" s="90"/>
      <c r="AY276" s="122"/>
      <c r="AZ276" s="122"/>
      <c r="BA276" s="122"/>
      <c r="BB276" s="122"/>
      <c r="BC276" s="122"/>
      <c r="BD276" s="122"/>
      <c r="BE276" s="122"/>
      <c r="BF276" s="122"/>
      <c r="BG276" s="122"/>
      <c r="BH276" s="1"/>
    </row>
    <row r="277" spans="1:60" x14ac:dyDescent="0.2">
      <c r="A277" s="648"/>
      <c r="B277" s="492" t="s">
        <v>335</v>
      </c>
      <c r="C277" s="656" t="s">
        <v>104</v>
      </c>
      <c r="D277" s="747"/>
      <c r="E277" s="90"/>
      <c r="F277" s="90"/>
      <c r="G277" s="90"/>
      <c r="H277" s="96"/>
      <c r="I277" s="90"/>
      <c r="J277" s="93"/>
      <c r="K277" s="90"/>
      <c r="L277" s="90"/>
      <c r="M277" s="93"/>
      <c r="N277" s="90"/>
      <c r="O277" s="93"/>
      <c r="P277" s="93"/>
      <c r="Q277" s="93"/>
      <c r="R277" s="93"/>
      <c r="S277" s="93"/>
      <c r="T277" s="93"/>
      <c r="U277" s="93"/>
      <c r="V277" s="93"/>
      <c r="W277" s="93"/>
      <c r="X277" s="93"/>
      <c r="Y277" s="93"/>
      <c r="Z277" s="90"/>
      <c r="AA277" s="93"/>
      <c r="AB277" s="93"/>
      <c r="AC277" s="93"/>
      <c r="AD277" s="93"/>
      <c r="AE277" s="93"/>
      <c r="AF277" s="93"/>
      <c r="AG277" s="93"/>
      <c r="AH277" s="93"/>
      <c r="AI277" s="93"/>
      <c r="AJ277" s="93"/>
      <c r="AK277" s="93"/>
      <c r="AL277" s="90"/>
      <c r="AM277" s="93"/>
      <c r="AN277" s="93"/>
      <c r="AO277" s="93"/>
      <c r="AP277" s="93"/>
      <c r="AQ277" s="93"/>
      <c r="AR277" s="93"/>
      <c r="AS277" s="93"/>
      <c r="AT277" s="93"/>
      <c r="AU277" s="93"/>
      <c r="AV277" s="93"/>
      <c r="AW277" s="93"/>
      <c r="AX277" s="90"/>
      <c r="AY277" s="93"/>
      <c r="AZ277" s="93"/>
      <c r="BA277" s="93"/>
      <c r="BB277" s="93"/>
      <c r="BC277" s="93"/>
      <c r="BD277" s="93"/>
      <c r="BE277" s="93"/>
      <c r="BF277" s="93"/>
      <c r="BG277" s="93"/>
      <c r="BH277" s="1"/>
    </row>
    <row r="278" spans="1:60" s="2" customFormat="1" ht="21" x14ac:dyDescent="0.2">
      <c r="A278" s="649"/>
      <c r="B278" s="492" t="s">
        <v>335</v>
      </c>
      <c r="C278" s="739" t="s">
        <v>104</v>
      </c>
      <c r="D278" s="749" t="s">
        <v>50</v>
      </c>
      <c r="E278" s="253" t="str">
        <f>"energieprestatie indicatoren"&amp;IF($G$6=TRUE," niet correct: warmtebehoefte RV gecorrigeerd","")</f>
        <v>energieprestatie indicatoren</v>
      </c>
      <c r="F278" s="253"/>
      <c r="G278" s="253"/>
      <c r="H278" s="253"/>
      <c r="I278" s="146"/>
      <c r="J278" s="318"/>
      <c r="K278" s="142"/>
      <c r="L278" s="142"/>
      <c r="M278" s="318"/>
      <c r="N278" s="222"/>
      <c r="O278" s="320" t="str">
        <f t="shared" ref="O278:W278" si="282">O$17</f>
        <v/>
      </c>
      <c r="P278" s="320" t="str">
        <f t="shared" si="282"/>
        <v/>
      </c>
      <c r="Q278" s="320" t="str">
        <f t="shared" si="282"/>
        <v/>
      </c>
      <c r="R278" s="320" t="str">
        <f t="shared" si="282"/>
        <v/>
      </c>
      <c r="S278" s="320" t="str">
        <f t="shared" si="282"/>
        <v/>
      </c>
      <c r="T278" s="320" t="str">
        <f t="shared" si="282"/>
        <v/>
      </c>
      <c r="U278" s="320" t="str">
        <f t="shared" si="282"/>
        <v/>
      </c>
      <c r="V278" s="320" t="str">
        <f t="shared" si="282"/>
        <v/>
      </c>
      <c r="W278" s="320" t="str">
        <f t="shared" si="282"/>
        <v/>
      </c>
      <c r="X278" s="214"/>
      <c r="Y278" s="318"/>
      <c r="Z278" s="222"/>
      <c r="AA278" s="320" t="str">
        <f t="shared" ref="AA278:AI278" si="283">AA$17</f>
        <v/>
      </c>
      <c r="AB278" s="320" t="str">
        <f t="shared" si="283"/>
        <v/>
      </c>
      <c r="AC278" s="320" t="str">
        <f t="shared" si="283"/>
        <v/>
      </c>
      <c r="AD278" s="320" t="str">
        <f t="shared" si="283"/>
        <v/>
      </c>
      <c r="AE278" s="320" t="str">
        <f t="shared" si="283"/>
        <v/>
      </c>
      <c r="AF278" s="320" t="str">
        <f t="shared" si="283"/>
        <v/>
      </c>
      <c r="AG278" s="320" t="str">
        <f t="shared" si="283"/>
        <v/>
      </c>
      <c r="AH278" s="320" t="str">
        <f t="shared" si="283"/>
        <v/>
      </c>
      <c r="AI278" s="320" t="str">
        <f t="shared" si="283"/>
        <v/>
      </c>
      <c r="AJ278" s="214"/>
      <c r="AK278" s="318"/>
      <c r="AL278" s="222"/>
      <c r="AM278" s="320" t="str">
        <f>AM$17</f>
        <v/>
      </c>
      <c r="AN278" s="320" t="str">
        <f t="shared" ref="AN278:AU278" si="284">AN$17</f>
        <v/>
      </c>
      <c r="AO278" s="320" t="str">
        <f t="shared" si="284"/>
        <v/>
      </c>
      <c r="AP278" s="320" t="str">
        <f t="shared" si="284"/>
        <v/>
      </c>
      <c r="AQ278" s="320" t="str">
        <f t="shared" si="284"/>
        <v/>
      </c>
      <c r="AR278" s="320" t="str">
        <f t="shared" si="284"/>
        <v/>
      </c>
      <c r="AS278" s="320" t="str">
        <f t="shared" si="284"/>
        <v/>
      </c>
      <c r="AT278" s="320" t="str">
        <f t="shared" si="284"/>
        <v/>
      </c>
      <c r="AU278" s="320" t="str">
        <f t="shared" si="284"/>
        <v/>
      </c>
      <c r="AV278" s="214"/>
      <c r="AW278" s="318"/>
      <c r="AX278" s="222"/>
      <c r="AY278" s="320" t="str">
        <f>AY$17</f>
        <v/>
      </c>
      <c r="AZ278" s="320" t="str">
        <f t="shared" ref="AZ278:BG278" si="285">AZ$17</f>
        <v/>
      </c>
      <c r="BA278" s="320" t="str">
        <f t="shared" si="285"/>
        <v/>
      </c>
      <c r="BB278" s="320" t="str">
        <f t="shared" si="285"/>
        <v/>
      </c>
      <c r="BC278" s="320" t="str">
        <f t="shared" si="285"/>
        <v/>
      </c>
      <c r="BD278" s="320" t="str">
        <f t="shared" si="285"/>
        <v/>
      </c>
      <c r="BE278" s="320" t="str">
        <f t="shared" si="285"/>
        <v/>
      </c>
      <c r="BF278" s="320" t="str">
        <f t="shared" si="285"/>
        <v/>
      </c>
      <c r="BG278" s="320" t="str">
        <f t="shared" si="285"/>
        <v/>
      </c>
      <c r="BH278" s="1"/>
    </row>
    <row r="279" spans="1:60" ht="18.75" hidden="1" x14ac:dyDescent="0.2">
      <c r="A279" s="648"/>
      <c r="B279" s="492" t="s">
        <v>335</v>
      </c>
      <c r="C279" s="739" t="s">
        <v>309</v>
      </c>
      <c r="D279" s="750"/>
      <c r="E279" s="236" t="s">
        <v>336</v>
      </c>
      <c r="F279" s="236"/>
      <c r="G279" s="236"/>
      <c r="H279" s="89"/>
      <c r="I279" s="236"/>
      <c r="J279" s="236"/>
      <c r="K279" s="236"/>
      <c r="L279" s="236"/>
      <c r="M279" s="236"/>
      <c r="N279" s="236"/>
      <c r="O279" s="236"/>
      <c r="P279" s="236"/>
      <c r="Q279" s="236"/>
      <c r="R279" s="236"/>
      <c r="S279" s="236"/>
      <c r="T279" s="236"/>
      <c r="U279" s="236"/>
      <c r="V279" s="236"/>
      <c r="W279" s="236"/>
      <c r="X279" s="236"/>
      <c r="Y279" s="236"/>
      <c r="Z279" s="236"/>
      <c r="AA279" s="236"/>
      <c r="AB279" s="236"/>
      <c r="AC279" s="236"/>
      <c r="AD279" s="236"/>
      <c r="AE279" s="236"/>
      <c r="AF279" s="236"/>
      <c r="AG279" s="236"/>
      <c r="AH279" s="236"/>
      <c r="AI279" s="236"/>
      <c r="AJ279" s="236"/>
      <c r="AK279" s="236"/>
      <c r="AL279" s="236"/>
      <c r="AM279" s="236"/>
      <c r="AN279" s="236"/>
      <c r="AO279" s="236"/>
      <c r="AP279" s="236"/>
      <c r="AQ279" s="236"/>
      <c r="AR279" s="236"/>
      <c r="AS279" s="236"/>
      <c r="AT279" s="236"/>
      <c r="AU279" s="236"/>
      <c r="AV279" s="236"/>
      <c r="AW279" s="236"/>
      <c r="AX279" s="236"/>
      <c r="AY279" s="236"/>
      <c r="AZ279" s="236"/>
      <c r="BA279" s="236"/>
      <c r="BB279" s="236"/>
      <c r="BC279" s="236"/>
      <c r="BD279" s="236"/>
      <c r="BE279" s="236"/>
      <c r="BF279" s="236"/>
      <c r="BG279" s="236"/>
      <c r="BH279" s="38"/>
    </row>
    <row r="280" spans="1:60" hidden="1" x14ac:dyDescent="0.2">
      <c r="A280" s="648"/>
      <c r="B280" s="492" t="s">
        <v>335</v>
      </c>
      <c r="C280" s="739" t="s">
        <v>309</v>
      </c>
      <c r="D280" s="750"/>
      <c r="E280" s="246" t="s">
        <v>337</v>
      </c>
      <c r="F280" s="246"/>
      <c r="G280" s="246"/>
      <c r="H280" s="247" t="s">
        <v>70</v>
      </c>
      <c r="I280" s="248"/>
      <c r="J280" s="249"/>
      <c r="K280" s="90"/>
      <c r="L280" s="90"/>
      <c r="M280" s="249"/>
      <c r="N280" s="248"/>
      <c r="O280" s="250" t="str">
        <f t="shared" ref="O280:W280" si="286">IF(OR(O$19="",O$24=0,O$31=0),"",MATCH(O$21,BENG_gebruiksfuncties,0))</f>
        <v/>
      </c>
      <c r="P280" s="250" t="str">
        <f t="shared" si="286"/>
        <v/>
      </c>
      <c r="Q280" s="250" t="str">
        <f t="shared" si="286"/>
        <v/>
      </c>
      <c r="R280" s="250" t="str">
        <f t="shared" si="286"/>
        <v/>
      </c>
      <c r="S280" s="250" t="str">
        <f t="shared" si="286"/>
        <v/>
      </c>
      <c r="T280" s="250" t="str">
        <f t="shared" si="286"/>
        <v/>
      </c>
      <c r="U280" s="250" t="str">
        <f t="shared" si="286"/>
        <v/>
      </c>
      <c r="V280" s="250" t="str">
        <f t="shared" si="286"/>
        <v/>
      </c>
      <c r="W280" s="250" t="str">
        <f t="shared" si="286"/>
        <v/>
      </c>
      <c r="X280" s="122"/>
      <c r="Y280" s="249"/>
      <c r="Z280" s="248"/>
      <c r="AA280" s="250" t="str">
        <f t="shared" ref="AA280:AI280" si="287">IF(OR(AA$19="",AA$24=0,AA$31=0),"",MATCH(AA$21,BENG_gebruiksfuncties,0))</f>
        <v/>
      </c>
      <c r="AB280" s="250" t="str">
        <f t="shared" si="287"/>
        <v/>
      </c>
      <c r="AC280" s="250" t="str">
        <f t="shared" si="287"/>
        <v/>
      </c>
      <c r="AD280" s="250" t="str">
        <f t="shared" si="287"/>
        <v/>
      </c>
      <c r="AE280" s="250" t="str">
        <f t="shared" si="287"/>
        <v/>
      </c>
      <c r="AF280" s="250" t="str">
        <f t="shared" si="287"/>
        <v/>
      </c>
      <c r="AG280" s="250" t="str">
        <f t="shared" si="287"/>
        <v/>
      </c>
      <c r="AH280" s="250" t="str">
        <f t="shared" si="287"/>
        <v/>
      </c>
      <c r="AI280" s="250" t="str">
        <f t="shared" si="287"/>
        <v/>
      </c>
      <c r="AJ280" s="122"/>
      <c r="AK280" s="249"/>
      <c r="AL280" s="248"/>
      <c r="AM280" s="250" t="str">
        <f>IF(OR(AM$19="",AM$24=0,AM$31=0),"",MATCH(AM$21,BENG_gebruiksfuncties,0))</f>
        <v/>
      </c>
      <c r="AN280" s="250" t="str">
        <f t="shared" ref="AN280:AU280" si="288">IF(OR(AN$19="",AN$24=0,AN$31=0),"",MATCH(AN$21,BENG_gebruiksfuncties,0))</f>
        <v/>
      </c>
      <c r="AO280" s="250" t="str">
        <f t="shared" si="288"/>
        <v/>
      </c>
      <c r="AP280" s="250" t="str">
        <f t="shared" si="288"/>
        <v/>
      </c>
      <c r="AQ280" s="250" t="str">
        <f t="shared" si="288"/>
        <v/>
      </c>
      <c r="AR280" s="250" t="str">
        <f t="shared" si="288"/>
        <v/>
      </c>
      <c r="AS280" s="250" t="str">
        <f t="shared" si="288"/>
        <v/>
      </c>
      <c r="AT280" s="250" t="str">
        <f t="shared" si="288"/>
        <v/>
      </c>
      <c r="AU280" s="250" t="str">
        <f t="shared" si="288"/>
        <v/>
      </c>
      <c r="AV280" s="122"/>
      <c r="AW280" s="249"/>
      <c r="AX280" s="248"/>
      <c r="AY280" s="250" t="str">
        <f t="shared" ref="AY280:BG280" si="289">IF(OR(AY$19="",AY$24=0,AY$31=0),"",MATCH(AY$21,BENG_gebruiksfuncties,0))</f>
        <v/>
      </c>
      <c r="AZ280" s="250" t="str">
        <f t="shared" si="289"/>
        <v/>
      </c>
      <c r="BA280" s="250" t="str">
        <f t="shared" si="289"/>
        <v/>
      </c>
      <c r="BB280" s="250" t="str">
        <f t="shared" si="289"/>
        <v/>
      </c>
      <c r="BC280" s="250" t="str">
        <f t="shared" si="289"/>
        <v/>
      </c>
      <c r="BD280" s="250" t="str">
        <f t="shared" si="289"/>
        <v/>
      </c>
      <c r="BE280" s="250" t="str">
        <f t="shared" si="289"/>
        <v/>
      </c>
      <c r="BF280" s="250" t="str">
        <f t="shared" si="289"/>
        <v/>
      </c>
      <c r="BG280" s="250" t="str">
        <f t="shared" si="289"/>
        <v/>
      </c>
      <c r="BH280" s="255"/>
    </row>
    <row r="281" spans="1:60" ht="18.75" x14ac:dyDescent="0.2">
      <c r="A281" s="648"/>
      <c r="B281" s="492" t="s">
        <v>335</v>
      </c>
      <c r="C281" s="739" t="s">
        <v>104</v>
      </c>
      <c r="D281" s="749" t="s">
        <v>50</v>
      </c>
      <c r="E281" s="236" t="s">
        <v>338</v>
      </c>
      <c r="F281" s="236"/>
      <c r="G281" s="236"/>
      <c r="H281" s="89"/>
      <c r="I281" s="236"/>
      <c r="J281" s="236"/>
      <c r="K281" s="236"/>
      <c r="L281" s="236"/>
      <c r="M281" s="236"/>
      <c r="N281" s="236"/>
      <c r="O281" s="236"/>
      <c r="P281" s="236"/>
      <c r="Q281" s="236"/>
      <c r="R281" s="236"/>
      <c r="S281" s="236"/>
      <c r="T281" s="236"/>
      <c r="U281" s="236"/>
      <c r="V281" s="236"/>
      <c r="W281" s="236"/>
      <c r="X281" s="236"/>
      <c r="Y281" s="236"/>
      <c r="Z281" s="236"/>
      <c r="AA281" s="236"/>
      <c r="AB281" s="236"/>
      <c r="AC281" s="236"/>
      <c r="AD281" s="236"/>
      <c r="AE281" s="236"/>
      <c r="AF281" s="236"/>
      <c r="AG281" s="236"/>
      <c r="AH281" s="236"/>
      <c r="AI281" s="236"/>
      <c r="AJ281" s="236"/>
      <c r="AK281" s="236"/>
      <c r="AL281" s="236"/>
      <c r="AM281" s="236"/>
      <c r="AN281" s="236"/>
      <c r="AO281" s="236"/>
      <c r="AP281" s="236"/>
      <c r="AQ281" s="236"/>
      <c r="AR281" s="236"/>
      <c r="AS281" s="236"/>
      <c r="AT281" s="236"/>
      <c r="AU281" s="236"/>
      <c r="AV281" s="236"/>
      <c r="AW281" s="236"/>
      <c r="AX281" s="236"/>
      <c r="AY281" s="236"/>
      <c r="AZ281" s="236"/>
      <c r="BA281" s="236"/>
      <c r="BB281" s="236"/>
      <c r="BC281" s="236"/>
      <c r="BD281" s="236"/>
      <c r="BE281" s="236"/>
      <c r="BF281" s="236"/>
      <c r="BG281" s="236"/>
      <c r="BH281" s="38"/>
    </row>
    <row r="282" spans="1:60" x14ac:dyDescent="0.2">
      <c r="A282" s="648"/>
      <c r="B282" s="492" t="s">
        <v>335</v>
      </c>
      <c r="C282" s="656" t="s">
        <v>113</v>
      </c>
      <c r="D282" s="750"/>
      <c r="E282" s="246" t="s">
        <v>339</v>
      </c>
      <c r="F282" s="246"/>
      <c r="G282" s="246"/>
      <c r="H282" s="247" t="s">
        <v>169</v>
      </c>
      <c r="I282" s="248"/>
      <c r="J282" s="249"/>
      <c r="K282" s="90"/>
      <c r="L282" s="90"/>
      <c r="M282" s="249"/>
      <c r="N282" s="248"/>
      <c r="O282" s="251" t="str" cm="1">
        <f t="array" ref="O282">IF(OR(O$19="",O$40="",O$42="",O$280=""),"",
IF(O$34&lt;=INDEX(BENG1_eis_grenswaarde_1,O$280),
      INDEX(BENG1_eis_Als_deeldoor_Ag_kleiner_dan_grenswaarde_1,O$280),
IF(O$34&lt;=INDEX(BENG1_eis_grenswaarde_2,O$280),
      INDEX(BENG1_eis_C1,O$280) + INDEX(BENG1_eis_C2,O$280) * (O$34 - INDEX(BENG1_eis_C3,O$280) ),
      INDEX(BENG1_eis_C4,O$280)  + INDEX(BENG1_eis_C5,O$280) * (O$34 - INDEX(BENG1_eis_C6,O$280) ))))</f>
        <v/>
      </c>
      <c r="P282" s="251" t="str" cm="1">
        <f t="array" ref="P282">IF(OR(P$19="",P$40="",P$42="",P$280=""),"",
IF(P$34&lt;=INDEX(BENG1_eis_grenswaarde_1,P$280),
      INDEX(BENG1_eis_Als_deeldoor_Ag_kleiner_dan_grenswaarde_1,P$280),
IF(P$34&lt;=INDEX(BENG1_eis_grenswaarde_2,P$280),
      INDEX(BENG1_eis_C1,P$280) + INDEX(BENG1_eis_C2,P$280) * (P$34 - INDEX(BENG1_eis_C3,P$280) ),
      INDEX(BENG1_eis_C4,P$280)  + INDEX(BENG1_eis_C5,P$280) * (P$34 - INDEX(BENG1_eis_C6,P$280) ))))</f>
        <v/>
      </c>
      <c r="Q282" s="251" t="str" cm="1">
        <f t="array" ref="Q282">IF(OR(Q$19="",Q$40="",Q$42="",Q$280=""),"",
IF(Q$34&lt;=INDEX(BENG1_eis_grenswaarde_1,Q$280),
      INDEX(BENG1_eis_Als_deeldoor_Ag_kleiner_dan_grenswaarde_1,Q$280),
IF(Q$34&lt;=INDEX(BENG1_eis_grenswaarde_2,Q$280),
      INDEX(BENG1_eis_C1,Q$280) + INDEX(BENG1_eis_C2,Q$280) * (Q$34 - INDEX(BENG1_eis_C3,Q$280) ),
      INDEX(BENG1_eis_C4,Q$280)  + INDEX(BENG1_eis_C5,Q$280) * (Q$34 - INDEX(BENG1_eis_C6,Q$280) ))))</f>
        <v/>
      </c>
      <c r="R282" s="251" t="str" cm="1">
        <f t="array" ref="R282">IF(OR(R$19="",R$40="",R$42="",R$280=""),"",
IF(R$34&lt;=INDEX(BENG1_eis_grenswaarde_1,R$280),
      INDEX(BENG1_eis_Als_deeldoor_Ag_kleiner_dan_grenswaarde_1,R$280),
IF(R$34&lt;=INDEX(BENG1_eis_grenswaarde_2,R$280),
      INDEX(BENG1_eis_C1,R$280) + INDEX(BENG1_eis_C2,R$280) * (R$34 - INDEX(BENG1_eis_C3,R$280) ),
      INDEX(BENG1_eis_C4,R$280)  + INDEX(BENG1_eis_C5,R$280) * (R$34 - INDEX(BENG1_eis_C6,R$280) ))))</f>
        <v/>
      </c>
      <c r="S282" s="251" t="str" cm="1">
        <f t="array" ref="S282">IF(OR(S$19="",S$40="",S$42="",S$280=""),"",
IF(S$34&lt;=INDEX(BENG1_eis_grenswaarde_1,S$280),
      INDEX(BENG1_eis_Als_deeldoor_Ag_kleiner_dan_grenswaarde_1,S$280),
IF(S$34&lt;=INDEX(BENG1_eis_grenswaarde_2,S$280),
      INDEX(BENG1_eis_C1,S$280) + INDEX(BENG1_eis_C2,S$280) * (S$34 - INDEX(BENG1_eis_C3,S$280) ),
      INDEX(BENG1_eis_C4,S$280)  + INDEX(BENG1_eis_C5,S$280) * (S$34 - INDEX(BENG1_eis_C6,S$280) ))))</f>
        <v/>
      </c>
      <c r="T282" s="251" t="str" cm="1">
        <f t="array" ref="T282">IF(OR(T$19="",T$40="",T$42="",T$280=""),"",
IF(T$34&lt;=INDEX(BENG1_eis_grenswaarde_1,T$280),
      INDEX(BENG1_eis_Als_deeldoor_Ag_kleiner_dan_grenswaarde_1,T$280),
IF(T$34&lt;=INDEX(BENG1_eis_grenswaarde_2,T$280),
      INDEX(BENG1_eis_C1,T$280) + INDEX(BENG1_eis_C2,T$280) * (T$34 - INDEX(BENG1_eis_C3,T$280) ),
      INDEX(BENG1_eis_C4,T$280)  + INDEX(BENG1_eis_C5,T$280) * (T$34 - INDEX(BENG1_eis_C6,T$280) ))))</f>
        <v/>
      </c>
      <c r="U282" s="251" t="str" cm="1">
        <f t="array" ref="U282">IF(OR(U$19="",U$40="",U$42="",U$280=""),"",
IF(U$34&lt;=INDEX(BENG1_eis_grenswaarde_1,U$280),
      INDEX(BENG1_eis_Als_deeldoor_Ag_kleiner_dan_grenswaarde_1,U$280),
IF(U$34&lt;=INDEX(BENG1_eis_grenswaarde_2,U$280),
      INDEX(BENG1_eis_C1,U$280) + INDEX(BENG1_eis_C2,U$280) * (U$34 - INDEX(BENG1_eis_C3,U$280) ),
      INDEX(BENG1_eis_C4,U$280)  + INDEX(BENG1_eis_C5,U$280) * (U$34 - INDEX(BENG1_eis_C6,U$280) ))))</f>
        <v/>
      </c>
      <c r="V282" s="251" t="str" cm="1">
        <f t="array" ref="V282">IF(OR(V$19="",V$40="",V$42="",V$280=""),"",
IF(V$34&lt;=INDEX(BENG1_eis_grenswaarde_1,V$280),
      INDEX(BENG1_eis_Als_deeldoor_Ag_kleiner_dan_grenswaarde_1,V$280),
IF(V$34&lt;=INDEX(BENG1_eis_grenswaarde_2,V$280),
      INDEX(BENG1_eis_C1,V$280) + INDEX(BENG1_eis_C2,V$280) * (V$34 - INDEX(BENG1_eis_C3,V$280) ),
      INDEX(BENG1_eis_C4,V$280)  + INDEX(BENG1_eis_C5,V$280) * (V$34 - INDEX(BENG1_eis_C6,V$280) ))))</f>
        <v/>
      </c>
      <c r="W282" s="251" t="str" cm="1">
        <f t="array" ref="W282">IF(OR(W$19="",W$40="",W$42="",W$280=""),"",
IF(W$34&lt;=INDEX(BENG1_eis_grenswaarde_1,W$280),
      INDEX(BENG1_eis_Als_deeldoor_Ag_kleiner_dan_grenswaarde_1,W$280),
IF(W$34&lt;=INDEX(BENG1_eis_grenswaarde_2,W$280),
      INDEX(BENG1_eis_C1,W$280) + INDEX(BENG1_eis_C2,W$280) * (W$34 - INDEX(BENG1_eis_C3,W$280) ),
      INDEX(BENG1_eis_C4,W$280)  + INDEX(BENG1_eis_C5,W$280) * (W$34 - INDEX(BENG1_eis_C6,W$280) ))))</f>
        <v/>
      </c>
      <c r="X282" s="122"/>
      <c r="Y282" s="249"/>
      <c r="Z282" s="248"/>
      <c r="AA282" s="251" t="str" cm="1">
        <f t="array" ref="AA282">IF(OR(AA$19="",AA$40="",AA$42="",AA$280=""),"",
IF(AA$34&lt;=INDEX(BENG1_eis_grenswaarde_1,AA$280),
      INDEX(BENG1_eis_Als_deeldoor_Ag_kleiner_dan_grenswaarde_1,AA$280),
IF(AA$34&lt;=INDEX(BENG1_eis_grenswaarde_2,AA$280),
      INDEX(BENG1_eis_C1,AA$280) + INDEX(BENG1_eis_C2,AA$280) * (AA$34 - INDEX(BENG1_eis_C3,AA$280) ),
      INDEX(BENG1_eis_C4,AA$280)  + INDEX(BENG1_eis_C5,AA$280) * (AA$34 - INDEX(BENG1_eis_C6,AA$280) ))))</f>
        <v/>
      </c>
      <c r="AB282" s="251" t="str" cm="1">
        <f t="array" ref="AB282">IF(OR(AB$19="",AB$40="",AB$42="",AB$280=""),"",
IF(AB$34&lt;=INDEX(BENG1_eis_grenswaarde_1,AB$280),
      INDEX(BENG1_eis_Als_deeldoor_Ag_kleiner_dan_grenswaarde_1,AB$280),
IF(AB$34&lt;=INDEX(BENG1_eis_grenswaarde_2,AB$280),
      INDEX(BENG1_eis_C1,AB$280) + INDEX(BENG1_eis_C2,AB$280) * (AB$34 - INDEX(BENG1_eis_C3,AB$280) ),
      INDEX(BENG1_eis_C4,AB$280)  + INDEX(BENG1_eis_C5,AB$280) * (AB$34 - INDEX(BENG1_eis_C6,AB$280) ))))</f>
        <v/>
      </c>
      <c r="AC282" s="251" t="str" cm="1">
        <f t="array" ref="AC282">IF(OR(AC$19="",AC$40="",AC$42="",AC$280=""),"",
IF(AC$34&lt;=INDEX(BENG1_eis_grenswaarde_1,AC$280),
      INDEX(BENG1_eis_Als_deeldoor_Ag_kleiner_dan_grenswaarde_1,AC$280),
IF(AC$34&lt;=INDEX(BENG1_eis_grenswaarde_2,AC$280),
      INDEX(BENG1_eis_C1,AC$280) + INDEX(BENG1_eis_C2,AC$280) * (AC$34 - INDEX(BENG1_eis_C3,AC$280) ),
      INDEX(BENG1_eis_C4,AC$280)  + INDEX(BENG1_eis_C5,AC$280) * (AC$34 - INDEX(BENG1_eis_C6,AC$280) ))))</f>
        <v/>
      </c>
      <c r="AD282" s="251" t="str" cm="1">
        <f t="array" ref="AD282">IF(OR(AD$19="",AD$40="",AD$42="",AD$280=""),"",
IF(AD$34&lt;=INDEX(BENG1_eis_grenswaarde_1,AD$280),
      INDEX(BENG1_eis_Als_deeldoor_Ag_kleiner_dan_grenswaarde_1,AD$280),
IF(AD$34&lt;=INDEX(BENG1_eis_grenswaarde_2,AD$280),
      INDEX(BENG1_eis_C1,AD$280) + INDEX(BENG1_eis_C2,AD$280) * (AD$34 - INDEX(BENG1_eis_C3,AD$280) ),
      INDEX(BENG1_eis_C4,AD$280)  + INDEX(BENG1_eis_C5,AD$280) * (AD$34 - INDEX(BENG1_eis_C6,AD$280) ))))</f>
        <v/>
      </c>
      <c r="AE282" s="251" t="str" cm="1">
        <f t="array" ref="AE282">IF(OR(AE$19="",AE$40="",AE$42="",AE$280=""),"",
IF(AE$34&lt;=INDEX(BENG1_eis_grenswaarde_1,AE$280),
      INDEX(BENG1_eis_Als_deeldoor_Ag_kleiner_dan_grenswaarde_1,AE$280),
IF(AE$34&lt;=INDEX(BENG1_eis_grenswaarde_2,AE$280),
      INDEX(BENG1_eis_C1,AE$280) + INDEX(BENG1_eis_C2,AE$280) * (AE$34 - INDEX(BENG1_eis_C3,AE$280) ),
      INDEX(BENG1_eis_C4,AE$280)  + INDEX(BENG1_eis_C5,AE$280) * (AE$34 - INDEX(BENG1_eis_C6,AE$280) ))))</f>
        <v/>
      </c>
      <c r="AF282" s="251" t="str" cm="1">
        <f t="array" ref="AF282">IF(OR(AF$19="",AF$40="",AF$42="",AF$280=""),"",
IF(AF$34&lt;=INDEX(BENG1_eis_grenswaarde_1,AF$280),
      INDEX(BENG1_eis_Als_deeldoor_Ag_kleiner_dan_grenswaarde_1,AF$280),
IF(AF$34&lt;=INDEX(BENG1_eis_grenswaarde_2,AF$280),
      INDEX(BENG1_eis_C1,AF$280) + INDEX(BENG1_eis_C2,AF$280) * (AF$34 - INDEX(BENG1_eis_C3,AF$280) ),
      INDEX(BENG1_eis_C4,AF$280)  + INDEX(BENG1_eis_C5,AF$280) * (AF$34 - INDEX(BENG1_eis_C6,AF$280) ))))</f>
        <v/>
      </c>
      <c r="AG282" s="251" t="str" cm="1">
        <f t="array" ref="AG282">IF(OR(AG$19="",AG$40="",AG$42="",AG$280=""),"",
IF(AG$34&lt;=INDEX(BENG1_eis_grenswaarde_1,AG$280),
      INDEX(BENG1_eis_Als_deeldoor_Ag_kleiner_dan_grenswaarde_1,AG$280),
IF(AG$34&lt;=INDEX(BENG1_eis_grenswaarde_2,AG$280),
      INDEX(BENG1_eis_C1,AG$280) + INDEX(BENG1_eis_C2,AG$280) * (AG$34 - INDEX(BENG1_eis_C3,AG$280) ),
      INDEX(BENG1_eis_C4,AG$280)  + INDEX(BENG1_eis_C5,AG$280) * (AG$34 - INDEX(BENG1_eis_C6,AG$280) ))))</f>
        <v/>
      </c>
      <c r="AH282" s="251" t="str" cm="1">
        <f t="array" ref="AH282">IF(OR(AH$19="",AH$40="",AH$42="",AH$280=""),"",
IF(AH$34&lt;=INDEX(BENG1_eis_grenswaarde_1,AH$280),
      INDEX(BENG1_eis_Als_deeldoor_Ag_kleiner_dan_grenswaarde_1,AH$280),
IF(AH$34&lt;=INDEX(BENG1_eis_grenswaarde_2,AH$280),
      INDEX(BENG1_eis_C1,AH$280) + INDEX(BENG1_eis_C2,AH$280) * (AH$34 - INDEX(BENG1_eis_C3,AH$280) ),
      INDEX(BENG1_eis_C4,AH$280)  + INDEX(BENG1_eis_C5,AH$280) * (AH$34 - INDEX(BENG1_eis_C6,AH$280) ))))</f>
        <v/>
      </c>
      <c r="AI282" s="251" t="str" cm="1">
        <f t="array" ref="AI282">IF(OR(AI$19="",AI$40="",AI$42="",AI$280=""),"",
IF(AI$34&lt;=INDEX(BENG1_eis_grenswaarde_1,AI$280),
      INDEX(BENG1_eis_Als_deeldoor_Ag_kleiner_dan_grenswaarde_1,AI$280),
IF(AI$34&lt;=INDEX(BENG1_eis_grenswaarde_2,AI$280),
      INDEX(BENG1_eis_C1,AI$280) + INDEX(BENG1_eis_C2,AI$280) * (AI$34 - INDEX(BENG1_eis_C3,AI$280) ),
      INDEX(BENG1_eis_C4,AI$280)  + INDEX(BENG1_eis_C5,AI$280) * (AI$34 - INDEX(BENG1_eis_C6,AI$280) ))))</f>
        <v/>
      </c>
      <c r="AJ282" s="122"/>
      <c r="AK282" s="249"/>
      <c r="AL282" s="248"/>
      <c r="AM282" s="251" t="str" cm="1">
        <f t="array" ref="AM282">IF(OR(AM$19="",AM$40="",AM$42="",AM$280=""),"",
IF(AM$34&lt;=INDEX(BENG1_eis_grenswaarde_1,AM$280),
      INDEX(BENG1_eis_Als_deeldoor_Ag_kleiner_dan_grenswaarde_1,AM$280),
IF(AM$34&lt;=INDEX(BENG1_eis_grenswaarde_2,AM$280),
      INDEX(BENG1_eis_C1,AM$280) + INDEX(BENG1_eis_C2,AM$280) * (AM$34 - INDEX(BENG1_eis_C3,AM$280) ),
      INDEX(BENG1_eis_C4,AM$280)  + INDEX(BENG1_eis_C5,AM$280) * (AM$34 - INDEX(BENG1_eis_C6,AM$280) ))))</f>
        <v/>
      </c>
      <c r="AN282" s="251" t="str" cm="1">
        <f t="array" ref="AN282">IF(OR(AN$19="",AN$40="",AN$42="",AN$280=""),"",
IF(AN$34&lt;=INDEX(BENG1_eis_grenswaarde_1,AN$280),
      INDEX(BENG1_eis_Als_deeldoor_Ag_kleiner_dan_grenswaarde_1,AN$280),
IF(AN$34&lt;=INDEX(BENG1_eis_grenswaarde_2,AN$280),
      INDEX(BENG1_eis_C1,AN$280) + INDEX(BENG1_eis_C2,AN$280) * (AN$34 - INDEX(BENG1_eis_C3,AN$280) ),
      INDEX(BENG1_eis_C4,AN$280)  + INDEX(BENG1_eis_C5,AN$280) * (AN$34 - INDEX(BENG1_eis_C6,AN$280) ))))</f>
        <v/>
      </c>
      <c r="AO282" s="251" t="str" cm="1">
        <f t="array" ref="AO282">IF(OR(AO$19="",AO$40="",AO$42="",AO$280=""),"",
IF(AO$34&lt;=INDEX(BENG1_eis_grenswaarde_1,AO$280),
      INDEX(BENG1_eis_Als_deeldoor_Ag_kleiner_dan_grenswaarde_1,AO$280),
IF(AO$34&lt;=INDEX(BENG1_eis_grenswaarde_2,AO$280),
      INDEX(BENG1_eis_C1,AO$280) + INDEX(BENG1_eis_C2,AO$280) * (AO$34 - INDEX(BENG1_eis_C3,AO$280) ),
      INDEX(BENG1_eis_C4,AO$280)  + INDEX(BENG1_eis_C5,AO$280) * (AO$34 - INDEX(BENG1_eis_C6,AO$280) ))))</f>
        <v/>
      </c>
      <c r="AP282" s="251" t="str" cm="1">
        <f t="array" ref="AP282">IF(OR(AP$19="",AP$40="",AP$42="",AP$280=""),"",
IF(AP$34&lt;=INDEX(BENG1_eis_grenswaarde_1,AP$280),
      INDEX(BENG1_eis_Als_deeldoor_Ag_kleiner_dan_grenswaarde_1,AP$280),
IF(AP$34&lt;=INDEX(BENG1_eis_grenswaarde_2,AP$280),
      INDEX(BENG1_eis_C1,AP$280) + INDEX(BENG1_eis_C2,AP$280) * (AP$34 - INDEX(BENG1_eis_C3,AP$280) ),
      INDEX(BENG1_eis_C4,AP$280)  + INDEX(BENG1_eis_C5,AP$280) * (AP$34 - INDEX(BENG1_eis_C6,AP$280) ))))</f>
        <v/>
      </c>
      <c r="AQ282" s="251" t="str" cm="1">
        <f t="array" ref="AQ282">IF(OR(AQ$19="",AQ$40="",AQ$42="",AQ$280=""),"",
IF(AQ$34&lt;=INDEX(BENG1_eis_grenswaarde_1,AQ$280),
      INDEX(BENG1_eis_Als_deeldoor_Ag_kleiner_dan_grenswaarde_1,AQ$280),
IF(AQ$34&lt;=INDEX(BENG1_eis_grenswaarde_2,AQ$280),
      INDEX(BENG1_eis_C1,AQ$280) + INDEX(BENG1_eis_C2,AQ$280) * (AQ$34 - INDEX(BENG1_eis_C3,AQ$280) ),
      INDEX(BENG1_eis_C4,AQ$280)  + INDEX(BENG1_eis_C5,AQ$280) * (AQ$34 - INDEX(BENG1_eis_C6,AQ$280) ))))</f>
        <v/>
      </c>
      <c r="AR282" s="251" t="str" cm="1">
        <f t="array" ref="AR282">IF(OR(AR$19="",AR$40="",AR$42="",AR$280=""),"",
IF(AR$34&lt;=INDEX(BENG1_eis_grenswaarde_1,AR$280),
      INDEX(BENG1_eis_Als_deeldoor_Ag_kleiner_dan_grenswaarde_1,AR$280),
IF(AR$34&lt;=INDEX(BENG1_eis_grenswaarde_2,AR$280),
      INDEX(BENG1_eis_C1,AR$280) + INDEX(BENG1_eis_C2,AR$280) * (AR$34 - INDEX(BENG1_eis_C3,AR$280) ),
      INDEX(BENG1_eis_C4,AR$280)  + INDEX(BENG1_eis_C5,AR$280) * (AR$34 - INDEX(BENG1_eis_C6,AR$280) ))))</f>
        <v/>
      </c>
      <c r="AS282" s="251" t="str" cm="1">
        <f t="array" ref="AS282">IF(OR(AS$19="",AS$40="",AS$42="",AS$280=""),"",
IF(AS$34&lt;=INDEX(BENG1_eis_grenswaarde_1,AS$280),
      INDEX(BENG1_eis_Als_deeldoor_Ag_kleiner_dan_grenswaarde_1,AS$280),
IF(AS$34&lt;=INDEX(BENG1_eis_grenswaarde_2,AS$280),
      INDEX(BENG1_eis_C1,AS$280) + INDEX(BENG1_eis_C2,AS$280) * (AS$34 - INDEX(BENG1_eis_C3,AS$280) ),
      INDEX(BENG1_eis_C4,AS$280)  + INDEX(BENG1_eis_C5,AS$280) * (AS$34 - INDEX(BENG1_eis_C6,AS$280) ))))</f>
        <v/>
      </c>
      <c r="AT282" s="251" t="str" cm="1">
        <f t="array" ref="AT282">IF(OR(AT$19="",AT$40="",AT$42="",AT$280=""),"",
IF(AT$34&lt;=INDEX(BENG1_eis_grenswaarde_1,AT$280),
      INDEX(BENG1_eis_Als_deeldoor_Ag_kleiner_dan_grenswaarde_1,AT$280),
IF(AT$34&lt;=INDEX(BENG1_eis_grenswaarde_2,AT$280),
      INDEX(BENG1_eis_C1,AT$280) + INDEX(BENG1_eis_C2,AT$280) * (AT$34 - INDEX(BENG1_eis_C3,AT$280) ),
      INDEX(BENG1_eis_C4,AT$280)  + INDEX(BENG1_eis_C5,AT$280) * (AT$34 - INDEX(BENG1_eis_C6,AT$280) ))))</f>
        <v/>
      </c>
      <c r="AU282" s="251" t="str" cm="1">
        <f t="array" ref="AU282">IF(OR(AU$19="",AU$40="",AU$42="",AU$280=""),"",
IF(AU$34&lt;=INDEX(BENG1_eis_grenswaarde_1,AU$280),
      INDEX(BENG1_eis_Als_deeldoor_Ag_kleiner_dan_grenswaarde_1,AU$280),
IF(AU$34&lt;=INDEX(BENG1_eis_grenswaarde_2,AU$280),
      INDEX(BENG1_eis_C1,AU$280) + INDEX(BENG1_eis_C2,AU$280) * (AU$34 - INDEX(BENG1_eis_C3,AU$280) ),
      INDEX(BENG1_eis_C4,AU$280)  + INDEX(BENG1_eis_C5,AU$280) * (AU$34 - INDEX(BENG1_eis_C6,AU$280) ))))</f>
        <v/>
      </c>
      <c r="AV282" s="122"/>
      <c r="AW282" s="249"/>
      <c r="AX282" s="248"/>
      <c r="AY282" s="251" t="str" cm="1">
        <f t="array" ref="AY282">IF(OR(AY$19="",AY$40="",AY$42="",AY$280=""),"",
IF(AY$34&lt;=INDEX(BENG1_eis_grenswaarde_1,AY$280),
      INDEX(BENG1_eis_Als_deeldoor_Ag_kleiner_dan_grenswaarde_1,AY$280),
IF(AY$34&lt;=INDEX(BENG1_eis_grenswaarde_2,AY$280),
      INDEX(BENG1_eis_C1,AY$280) + INDEX(BENG1_eis_C2,AY$280) * (AY$34 - INDEX(BENG1_eis_C3,AY$280) ),
      INDEX(BENG1_eis_C4,AY$280)  + INDEX(BENG1_eis_C5,AY$280) * (AY$34 - INDEX(BENG1_eis_C6,AY$280) ))))</f>
        <v/>
      </c>
      <c r="AZ282" s="251" t="str" cm="1">
        <f t="array" ref="AZ282">IF(OR(AZ$19="",AZ$40="",AZ$42="",AZ$280=""),"",
IF(AZ$34&lt;=INDEX(BENG1_eis_grenswaarde_1,AZ$280),
      INDEX(BENG1_eis_Als_deeldoor_Ag_kleiner_dan_grenswaarde_1,AZ$280),
IF(AZ$34&lt;=INDEX(BENG1_eis_grenswaarde_2,AZ$280),
      INDEX(BENG1_eis_C1,AZ$280) + INDEX(BENG1_eis_C2,AZ$280) * (AZ$34 - INDEX(BENG1_eis_C3,AZ$280) ),
      INDEX(BENG1_eis_C4,AZ$280)  + INDEX(BENG1_eis_C5,AZ$280) * (AZ$34 - INDEX(BENG1_eis_C6,AZ$280) ))))</f>
        <v/>
      </c>
      <c r="BA282" s="251" t="str" cm="1">
        <f t="array" ref="BA282">IF(OR(BA$19="",BA$40="",BA$42="",BA$280=""),"",
IF(BA$34&lt;=INDEX(BENG1_eis_grenswaarde_1,BA$280),
      INDEX(BENG1_eis_Als_deeldoor_Ag_kleiner_dan_grenswaarde_1,BA$280),
IF(BA$34&lt;=INDEX(BENG1_eis_grenswaarde_2,BA$280),
      INDEX(BENG1_eis_C1,BA$280) + INDEX(BENG1_eis_C2,BA$280) * (BA$34 - INDEX(BENG1_eis_C3,BA$280) ),
      INDEX(BENG1_eis_C4,BA$280)  + INDEX(BENG1_eis_C5,BA$280) * (BA$34 - INDEX(BENG1_eis_C6,BA$280) ))))</f>
        <v/>
      </c>
      <c r="BB282" s="251" t="str" cm="1">
        <f t="array" ref="BB282">IF(OR(BB$19="",BB$40="",BB$42="",BB$280=""),"",
IF(BB$34&lt;=INDEX(BENG1_eis_grenswaarde_1,BB$280),
      INDEX(BENG1_eis_Als_deeldoor_Ag_kleiner_dan_grenswaarde_1,BB$280),
IF(BB$34&lt;=INDEX(BENG1_eis_grenswaarde_2,BB$280),
      INDEX(BENG1_eis_C1,BB$280) + INDEX(BENG1_eis_C2,BB$280) * (BB$34 - INDEX(BENG1_eis_C3,BB$280) ),
      INDEX(BENG1_eis_C4,BB$280)  + INDEX(BENG1_eis_C5,BB$280) * (BB$34 - INDEX(BENG1_eis_C6,BB$280) ))))</f>
        <v/>
      </c>
      <c r="BC282" s="251" t="str" cm="1">
        <f t="array" ref="BC282">IF(OR(BC$19="",BC$40="",BC$42="",BC$280=""),"",
IF(BC$34&lt;=INDEX(BENG1_eis_grenswaarde_1,BC$280),
      INDEX(BENG1_eis_Als_deeldoor_Ag_kleiner_dan_grenswaarde_1,BC$280),
IF(BC$34&lt;=INDEX(BENG1_eis_grenswaarde_2,BC$280),
      INDEX(BENG1_eis_C1,BC$280) + INDEX(BENG1_eis_C2,BC$280) * (BC$34 - INDEX(BENG1_eis_C3,BC$280) ),
      INDEX(BENG1_eis_C4,BC$280)  + INDEX(BENG1_eis_C5,BC$280) * (BC$34 - INDEX(BENG1_eis_C6,BC$280) ))))</f>
        <v/>
      </c>
      <c r="BD282" s="251" t="str" cm="1">
        <f t="array" ref="BD282">IF(OR(BD$19="",BD$40="",BD$42="",BD$280=""),"",
IF(BD$34&lt;=INDEX(BENG1_eis_grenswaarde_1,BD$280),
      INDEX(BENG1_eis_Als_deeldoor_Ag_kleiner_dan_grenswaarde_1,BD$280),
IF(BD$34&lt;=INDEX(BENG1_eis_grenswaarde_2,BD$280),
      INDEX(BENG1_eis_C1,BD$280) + INDEX(BENG1_eis_C2,BD$280) * (BD$34 - INDEX(BENG1_eis_C3,BD$280) ),
      INDEX(BENG1_eis_C4,BD$280)  + INDEX(BENG1_eis_C5,BD$280) * (BD$34 - INDEX(BENG1_eis_C6,BD$280) ))))</f>
        <v/>
      </c>
      <c r="BE282" s="251" t="str" cm="1">
        <f t="array" ref="BE282">IF(OR(BE$19="",BE$40="",BE$42="",BE$280=""),"",
IF(BE$34&lt;=INDEX(BENG1_eis_grenswaarde_1,BE$280),
      INDEX(BENG1_eis_Als_deeldoor_Ag_kleiner_dan_grenswaarde_1,BE$280),
IF(BE$34&lt;=INDEX(BENG1_eis_grenswaarde_2,BE$280),
      INDEX(BENG1_eis_C1,BE$280) + INDEX(BENG1_eis_C2,BE$280) * (BE$34 - INDEX(BENG1_eis_C3,BE$280) ),
      INDEX(BENG1_eis_C4,BE$280)  + INDEX(BENG1_eis_C5,BE$280) * (BE$34 - INDEX(BENG1_eis_C6,BE$280) ))))</f>
        <v/>
      </c>
      <c r="BF282" s="251" t="str" cm="1">
        <f t="array" ref="BF282">IF(OR(BF$19="",BF$40="",BF$42="",BF$280=""),"",
IF(BF$34&lt;=INDEX(BENG1_eis_grenswaarde_1,BF$280),
      INDEX(BENG1_eis_Als_deeldoor_Ag_kleiner_dan_grenswaarde_1,BF$280),
IF(BF$34&lt;=INDEX(BENG1_eis_grenswaarde_2,BF$280),
      INDEX(BENG1_eis_C1,BF$280) + INDEX(BENG1_eis_C2,BF$280) * (BF$34 - INDEX(BENG1_eis_C3,BF$280) ),
      INDEX(BENG1_eis_C4,BF$280)  + INDEX(BENG1_eis_C5,BF$280) * (BF$34 - INDEX(BENG1_eis_C6,BF$280) ))))</f>
        <v/>
      </c>
      <c r="BG282" s="251" t="str" cm="1">
        <f t="array" ref="BG282">IF(OR(BG$19="",BG$40="",BG$42="",BG$280=""),"",
IF(BG$34&lt;=INDEX(BENG1_eis_grenswaarde_1,BG$280),
      INDEX(BENG1_eis_Als_deeldoor_Ag_kleiner_dan_grenswaarde_1,BG$280),
IF(BG$34&lt;=INDEX(BENG1_eis_grenswaarde_2,BG$280),
      INDEX(BENG1_eis_C1,BG$280) + INDEX(BENG1_eis_C2,BG$280) * (BG$34 - INDEX(BENG1_eis_C3,BG$280) ),
      INDEX(BENG1_eis_C4,BG$280)  + INDEX(BENG1_eis_C5,BG$280) * (BG$34 - INDEX(BENG1_eis_C6,BG$280) ))))</f>
        <v/>
      </c>
      <c r="BH282" s="255"/>
    </row>
    <row r="283" spans="1:60" x14ac:dyDescent="0.2">
      <c r="A283" s="648"/>
      <c r="B283" s="492" t="s">
        <v>335</v>
      </c>
      <c r="C283" s="656" t="s">
        <v>113</v>
      </c>
      <c r="D283" s="750"/>
      <c r="E283" s="246" t="s">
        <v>340</v>
      </c>
      <c r="F283" s="246"/>
      <c r="G283" s="246"/>
      <c r="H283" s="247" t="s">
        <v>317</v>
      </c>
      <c r="I283" s="248"/>
      <c r="J283" s="249"/>
      <c r="K283" s="90"/>
      <c r="L283" s="90"/>
      <c r="M283" s="249"/>
      <c r="N283" s="248"/>
      <c r="O283" s="251" t="str" cm="1">
        <f t="array" ref="O283">IF(O$280="","",INDEX(BENG2_eis,O$280))</f>
        <v/>
      </c>
      <c r="P283" s="251" t="str" cm="1">
        <f t="array" ref="P283">IF(P$280="","",INDEX(BENG2_eis,P$280))</f>
        <v/>
      </c>
      <c r="Q283" s="251" t="str" cm="1">
        <f t="array" ref="Q283">IF(Q$280="","",INDEX(BENG2_eis,Q$280))</f>
        <v/>
      </c>
      <c r="R283" s="251" t="str" cm="1">
        <f t="array" ref="R283">IF(R$280="","",INDEX(BENG2_eis,R$280))</f>
        <v/>
      </c>
      <c r="S283" s="251" t="str" cm="1">
        <f t="array" ref="S283">IF(S$280="","",INDEX(BENG2_eis,S$280))</f>
        <v/>
      </c>
      <c r="T283" s="251" t="str" cm="1">
        <f t="array" ref="T283">IF(T$280="","",INDEX(BENG2_eis,T$280))</f>
        <v/>
      </c>
      <c r="U283" s="251" t="str" cm="1">
        <f t="array" ref="U283">IF(U$280="","",INDEX(BENG2_eis,U$280))</f>
        <v/>
      </c>
      <c r="V283" s="251" t="str" cm="1">
        <f t="array" ref="V283">IF(V$280="","",INDEX(BENG2_eis,V$280))</f>
        <v/>
      </c>
      <c r="W283" s="251" t="str" cm="1">
        <f t="array" ref="W283">IF(W$280="","",INDEX(BENG2_eis,W$280))</f>
        <v/>
      </c>
      <c r="X283" s="122"/>
      <c r="Y283" s="249"/>
      <c r="Z283" s="248"/>
      <c r="AA283" s="251" t="str" cm="1">
        <f t="array" ref="AA283">IF(AA$280="","",INDEX(BENG2_eis,AA$280))</f>
        <v/>
      </c>
      <c r="AB283" s="251" t="str" cm="1">
        <f t="array" ref="AB283">IF(AB$280="","",INDEX(BENG2_eis,AB$280))</f>
        <v/>
      </c>
      <c r="AC283" s="251" t="str" cm="1">
        <f t="array" ref="AC283">IF(AC$280="","",INDEX(BENG2_eis,AC$280))</f>
        <v/>
      </c>
      <c r="AD283" s="251" t="str" cm="1">
        <f t="array" ref="AD283">IF(AD$280="","",INDEX(BENG2_eis,AD$280))</f>
        <v/>
      </c>
      <c r="AE283" s="251" t="str" cm="1">
        <f t="array" ref="AE283">IF(AE$280="","",INDEX(BENG2_eis,AE$280))</f>
        <v/>
      </c>
      <c r="AF283" s="251" t="str" cm="1">
        <f t="array" ref="AF283">IF(AF$280="","",INDEX(BENG2_eis,AF$280))</f>
        <v/>
      </c>
      <c r="AG283" s="251" t="str" cm="1">
        <f t="array" ref="AG283">IF(AG$280="","",INDEX(BENG2_eis,AG$280))</f>
        <v/>
      </c>
      <c r="AH283" s="251" t="str" cm="1">
        <f t="array" ref="AH283">IF(AH$280="","",INDEX(BENG2_eis,AH$280))</f>
        <v/>
      </c>
      <c r="AI283" s="251" t="str" cm="1">
        <f t="array" ref="AI283">IF(AI$280="","",INDEX(BENG2_eis,AI$280))</f>
        <v/>
      </c>
      <c r="AJ283" s="122"/>
      <c r="AK283" s="249"/>
      <c r="AL283" s="248"/>
      <c r="AM283" s="251" t="str" cm="1">
        <f t="array" ref="AM283">IF(AM$280="","",INDEX(BENG2_eis,AM$280))</f>
        <v/>
      </c>
      <c r="AN283" s="251" t="str" cm="1">
        <f t="array" ref="AN283">IF(AN$280="","",INDEX(BENG2_eis,AN$280))</f>
        <v/>
      </c>
      <c r="AO283" s="251" t="str" cm="1">
        <f t="array" ref="AO283">IF(AO$280="","",INDEX(BENG2_eis,AO$280))</f>
        <v/>
      </c>
      <c r="AP283" s="251" t="str" cm="1">
        <f t="array" ref="AP283">IF(AP$280="","",INDEX(BENG2_eis,AP$280))</f>
        <v/>
      </c>
      <c r="AQ283" s="251" t="str" cm="1">
        <f t="array" ref="AQ283">IF(AQ$280="","",INDEX(BENG2_eis,AQ$280))</f>
        <v/>
      </c>
      <c r="AR283" s="251" t="str" cm="1">
        <f t="array" ref="AR283">IF(AR$280="","",INDEX(BENG2_eis,AR$280))</f>
        <v/>
      </c>
      <c r="AS283" s="251" t="str" cm="1">
        <f t="array" ref="AS283">IF(AS$280="","",INDEX(BENG2_eis,AS$280))</f>
        <v/>
      </c>
      <c r="AT283" s="251" t="str" cm="1">
        <f t="array" ref="AT283">IF(AT$280="","",INDEX(BENG2_eis,AT$280))</f>
        <v/>
      </c>
      <c r="AU283" s="251" t="str" cm="1">
        <f t="array" ref="AU283">IF(AU$280="","",INDEX(BENG2_eis,AU$280))</f>
        <v/>
      </c>
      <c r="AV283" s="122"/>
      <c r="AW283" s="249"/>
      <c r="AX283" s="248"/>
      <c r="AY283" s="251" t="str" cm="1">
        <f t="array" ref="AY283">IF(AY$280="","",INDEX(BENG2_eis,AY$280))</f>
        <v/>
      </c>
      <c r="AZ283" s="251" t="str" cm="1">
        <f t="array" ref="AZ283">IF(AZ$280="","",INDEX(BENG2_eis,AZ$280))</f>
        <v/>
      </c>
      <c r="BA283" s="251" t="str" cm="1">
        <f t="array" ref="BA283">IF(BA$280="","",INDEX(BENG2_eis,BA$280))</f>
        <v/>
      </c>
      <c r="BB283" s="251" t="str" cm="1">
        <f t="array" ref="BB283">IF(BB$280="","",INDEX(BENG2_eis,BB$280))</f>
        <v/>
      </c>
      <c r="BC283" s="251" t="str" cm="1">
        <f t="array" ref="BC283">IF(BC$280="","",INDEX(BENG2_eis,BC$280))</f>
        <v/>
      </c>
      <c r="BD283" s="251" t="str" cm="1">
        <f t="array" ref="BD283">IF(BD$280="","",INDEX(BENG2_eis,BD$280))</f>
        <v/>
      </c>
      <c r="BE283" s="251" t="str" cm="1">
        <f t="array" ref="BE283">IF(BE$280="","",INDEX(BENG2_eis,BE$280))</f>
        <v/>
      </c>
      <c r="BF283" s="251" t="str" cm="1">
        <f t="array" ref="BF283">IF(BF$280="","",INDEX(BENG2_eis,BF$280))</f>
        <v/>
      </c>
      <c r="BG283" s="251" t="str" cm="1">
        <f t="array" ref="BG283">IF(BG$280="","",INDEX(BENG2_eis,BG$280))</f>
        <v/>
      </c>
      <c r="BH283" s="255"/>
    </row>
    <row r="284" spans="1:60" x14ac:dyDescent="0.2">
      <c r="A284" s="648"/>
      <c r="B284" s="492" t="s">
        <v>335</v>
      </c>
      <c r="C284" s="656" t="s">
        <v>113</v>
      </c>
      <c r="D284" s="750"/>
      <c r="E284" s="246" t="s">
        <v>341</v>
      </c>
      <c r="F284" s="246"/>
      <c r="G284" s="246"/>
      <c r="H284" s="247" t="s">
        <v>150</v>
      </c>
      <c r="I284" s="248"/>
      <c r="J284" s="249"/>
      <c r="K284" s="90"/>
      <c r="L284" s="90"/>
      <c r="M284" s="249"/>
      <c r="N284" s="248"/>
      <c r="O284" s="252" t="str" cm="1">
        <f t="array" ref="O284">IF(O$280="","",INDEX(BENG3_eis,O$280))</f>
        <v/>
      </c>
      <c r="P284" s="252" t="str" cm="1">
        <f t="array" ref="P284">IF(P$280="","",INDEX(BENG3_eis,P$280))</f>
        <v/>
      </c>
      <c r="Q284" s="252" t="str" cm="1">
        <f t="array" ref="Q284">IF(Q$280="","",INDEX(BENG3_eis,Q$280))</f>
        <v/>
      </c>
      <c r="R284" s="252" t="str" cm="1">
        <f t="array" ref="R284">IF(R$280="","",INDEX(BENG3_eis,R$280))</f>
        <v/>
      </c>
      <c r="S284" s="252" t="str" cm="1">
        <f t="array" ref="S284">IF(S$280="","",INDEX(BENG3_eis,S$280))</f>
        <v/>
      </c>
      <c r="T284" s="252" t="str" cm="1">
        <f t="array" ref="T284">IF(T$280="","",INDEX(BENG3_eis,T$280))</f>
        <v/>
      </c>
      <c r="U284" s="252" t="str" cm="1">
        <f t="array" ref="U284">IF(U$280="","",INDEX(BENG3_eis,U$280))</f>
        <v/>
      </c>
      <c r="V284" s="252" t="str" cm="1">
        <f t="array" ref="V284">IF(V$280="","",INDEX(BENG3_eis,V$280))</f>
        <v/>
      </c>
      <c r="W284" s="252" t="str" cm="1">
        <f t="array" ref="W284">IF(W$280="","",INDEX(BENG3_eis,W$280))</f>
        <v/>
      </c>
      <c r="X284" s="122"/>
      <c r="Y284" s="249"/>
      <c r="Z284" s="248"/>
      <c r="AA284" s="252" t="str" cm="1">
        <f t="array" ref="AA284">IF(AA$280="","",INDEX(BENG3_eis,AA$280))</f>
        <v/>
      </c>
      <c r="AB284" s="252" t="str" cm="1">
        <f t="array" ref="AB284">IF(AB$280="","",INDEX(BENG3_eis,AB$280))</f>
        <v/>
      </c>
      <c r="AC284" s="252" t="str" cm="1">
        <f t="array" ref="AC284">IF(AC$280="","",INDEX(BENG3_eis,AC$280))</f>
        <v/>
      </c>
      <c r="AD284" s="252" t="str" cm="1">
        <f t="array" ref="AD284">IF(AD$280="","",INDEX(BENG3_eis,AD$280))</f>
        <v/>
      </c>
      <c r="AE284" s="252" t="str" cm="1">
        <f t="array" ref="AE284">IF(AE$280="","",INDEX(BENG3_eis,AE$280))</f>
        <v/>
      </c>
      <c r="AF284" s="252" t="str" cm="1">
        <f t="array" ref="AF284">IF(AF$280="","",INDEX(BENG3_eis,AF$280))</f>
        <v/>
      </c>
      <c r="AG284" s="252" t="str" cm="1">
        <f t="array" ref="AG284">IF(AG$280="","",INDEX(BENG3_eis,AG$280))</f>
        <v/>
      </c>
      <c r="AH284" s="252" t="str" cm="1">
        <f t="array" ref="AH284">IF(AH$280="","",INDEX(BENG3_eis,AH$280))</f>
        <v/>
      </c>
      <c r="AI284" s="252" t="str" cm="1">
        <f t="array" ref="AI284">IF(AI$280="","",INDEX(BENG3_eis,AI$280))</f>
        <v/>
      </c>
      <c r="AJ284" s="122"/>
      <c r="AK284" s="249"/>
      <c r="AL284" s="248"/>
      <c r="AM284" s="252" t="str" cm="1">
        <f t="array" ref="AM284">IF(AM$280="","",INDEX(BENG3_eis,AM$280))</f>
        <v/>
      </c>
      <c r="AN284" s="252" t="str" cm="1">
        <f t="array" ref="AN284">IF(AN$280="","",INDEX(BENG3_eis,AN$280))</f>
        <v/>
      </c>
      <c r="AO284" s="252" t="str" cm="1">
        <f t="array" ref="AO284">IF(AO$280="","",INDEX(BENG3_eis,AO$280))</f>
        <v/>
      </c>
      <c r="AP284" s="252" t="str" cm="1">
        <f t="array" ref="AP284">IF(AP$280="","",INDEX(BENG3_eis,AP$280))</f>
        <v/>
      </c>
      <c r="AQ284" s="252" t="str" cm="1">
        <f t="array" ref="AQ284">IF(AQ$280="","",INDEX(BENG3_eis,AQ$280))</f>
        <v/>
      </c>
      <c r="AR284" s="252" t="str" cm="1">
        <f t="array" ref="AR284">IF(AR$280="","",INDEX(BENG3_eis,AR$280))</f>
        <v/>
      </c>
      <c r="AS284" s="252" t="str" cm="1">
        <f t="array" ref="AS284">IF(AS$280="","",INDEX(BENG3_eis,AS$280))</f>
        <v/>
      </c>
      <c r="AT284" s="252" t="str" cm="1">
        <f t="array" ref="AT284">IF(AT$280="","",INDEX(BENG3_eis,AT$280))</f>
        <v/>
      </c>
      <c r="AU284" s="252" t="str" cm="1">
        <f t="array" ref="AU284">IF(AU$280="","",INDEX(BENG3_eis,AU$280))</f>
        <v/>
      </c>
      <c r="AV284" s="122"/>
      <c r="AW284" s="249"/>
      <c r="AX284" s="248"/>
      <c r="AY284" s="252" t="str" cm="1">
        <f t="array" ref="AY284">IF(AY$280="","",INDEX(BENG3_eis,AY$280))</f>
        <v/>
      </c>
      <c r="AZ284" s="252" t="str" cm="1">
        <f t="array" ref="AZ284">IF(AZ$280="","",INDEX(BENG3_eis,AZ$280))</f>
        <v/>
      </c>
      <c r="BA284" s="252" t="str" cm="1">
        <f t="array" ref="BA284">IF(BA$280="","",INDEX(BENG3_eis,BA$280))</f>
        <v/>
      </c>
      <c r="BB284" s="252" t="str" cm="1">
        <f t="array" ref="BB284">IF(BB$280="","",INDEX(BENG3_eis,BB$280))</f>
        <v/>
      </c>
      <c r="BC284" s="252" t="str" cm="1">
        <f t="array" ref="BC284">IF(BC$280="","",INDEX(BENG3_eis,BC$280))</f>
        <v/>
      </c>
      <c r="BD284" s="252" t="str" cm="1">
        <f t="array" ref="BD284">IF(BD$280="","",INDEX(BENG3_eis,BD$280))</f>
        <v/>
      </c>
      <c r="BE284" s="252" t="str" cm="1">
        <f t="array" ref="BE284">IF(BE$280="","",INDEX(BENG3_eis,BE$280))</f>
        <v/>
      </c>
      <c r="BF284" s="252" t="str" cm="1">
        <f t="array" ref="BF284">IF(BF$280="","",INDEX(BENG3_eis,BF$280))</f>
        <v/>
      </c>
      <c r="BG284" s="252" t="str" cm="1">
        <f t="array" ref="BG284">IF(BG$280="","",INDEX(BENG3_eis,BG$280))</f>
        <v/>
      </c>
      <c r="BH284" s="255"/>
    </row>
    <row r="285" spans="1:60" ht="18.75" x14ac:dyDescent="0.2">
      <c r="A285" s="648"/>
      <c r="B285" s="492" t="s">
        <v>335</v>
      </c>
      <c r="C285" s="739" t="s">
        <v>104</v>
      </c>
      <c r="D285" s="749" t="s">
        <v>50</v>
      </c>
      <c r="E285" s="236" t="s">
        <v>342</v>
      </c>
      <c r="F285" s="236"/>
      <c r="G285" s="236"/>
      <c r="H285" s="89"/>
      <c r="I285" s="236"/>
      <c r="J285" s="236"/>
      <c r="K285" s="236"/>
      <c r="L285" s="236"/>
      <c r="M285" s="236"/>
      <c r="N285" s="236"/>
      <c r="O285" s="236"/>
      <c r="P285" s="236"/>
      <c r="Q285" s="236"/>
      <c r="R285" s="236"/>
      <c r="S285" s="236"/>
      <c r="T285" s="236"/>
      <c r="U285" s="236"/>
      <c r="V285" s="236"/>
      <c r="W285" s="236"/>
      <c r="X285" s="236"/>
      <c r="Y285" s="236"/>
      <c r="Z285" s="236"/>
      <c r="AA285" s="236"/>
      <c r="AB285" s="236"/>
      <c r="AC285" s="236"/>
      <c r="AD285" s="236"/>
      <c r="AE285" s="236"/>
      <c r="AF285" s="236"/>
      <c r="AG285" s="236"/>
      <c r="AH285" s="236"/>
      <c r="AI285" s="236"/>
      <c r="AJ285" s="236"/>
      <c r="AK285" s="236"/>
      <c r="AL285" s="236"/>
      <c r="AM285" s="236"/>
      <c r="AN285" s="236"/>
      <c r="AO285" s="236"/>
      <c r="AP285" s="236"/>
      <c r="AQ285" s="236"/>
      <c r="AR285" s="236"/>
      <c r="AS285" s="236"/>
      <c r="AT285" s="236"/>
      <c r="AU285" s="236"/>
      <c r="AV285" s="236"/>
      <c r="AW285" s="236"/>
      <c r="AX285" s="236"/>
      <c r="AY285" s="236"/>
      <c r="AZ285" s="236"/>
      <c r="BA285" s="236"/>
      <c r="BB285" s="236"/>
      <c r="BC285" s="236"/>
      <c r="BD285" s="236"/>
      <c r="BE285" s="236"/>
      <c r="BF285" s="236"/>
      <c r="BG285" s="236"/>
      <c r="BH285" s="38"/>
    </row>
    <row r="286" spans="1:60" x14ac:dyDescent="0.2">
      <c r="A286" s="648"/>
      <c r="B286" s="492" t="s">
        <v>335</v>
      </c>
      <c r="C286" s="656" t="s">
        <v>113</v>
      </c>
      <c r="D286" s="749" t="s">
        <v>50</v>
      </c>
      <c r="E286" s="246" t="s">
        <v>343</v>
      </c>
      <c r="F286" s="246"/>
      <c r="G286" s="246"/>
      <c r="H286" s="247" t="s">
        <v>169</v>
      </c>
      <c r="I286" s="248"/>
      <c r="J286" s="249"/>
      <c r="K286" s="90"/>
      <c r="L286" s="90"/>
      <c r="M286" s="249"/>
      <c r="N286" s="248"/>
      <c r="O286" s="302" t="str" cm="1">
        <f t="array" ref="O286">IF(OR(O$19="",O$24=0,O$31=0),"",
      INDEX(warmtebehoefte_plus_koudebehoefte_ventsysC1_EP1_snijpunt,O$280)
   + INDEX(warmtebehoefte_plus_koudebehoefte_ventsysC1_EP1_C,O$280)*O$52*O$34^INDEX(warmtebehoefte_plus_koudebehoefte_ventsysC1_EP1_n,O$280))</f>
        <v/>
      </c>
      <c r="P286" s="302" t="str" cm="1">
        <f t="array" ref="P286">IF(OR(P$19="",P$24=0,P$31=0),"",
      INDEX(warmtebehoefte_plus_koudebehoefte_ventsysC1_EP1_snijpunt,P$280)
   + INDEX(warmtebehoefte_plus_koudebehoefte_ventsysC1_EP1_C,P$280)*P$52*P$34^INDEX(warmtebehoefte_plus_koudebehoefte_ventsysC1_EP1_n,P$280))</f>
        <v/>
      </c>
      <c r="Q286" s="302" t="str" cm="1">
        <f t="array" ref="Q286">IF(OR(Q$19="",Q$24=0,Q$31=0),"",
      INDEX(warmtebehoefte_plus_koudebehoefte_ventsysC1_EP1_snijpunt,Q$280)
   + INDEX(warmtebehoefte_plus_koudebehoefte_ventsysC1_EP1_C,Q$280)*Q$52*Q$34^INDEX(warmtebehoefte_plus_koudebehoefte_ventsysC1_EP1_n,Q$280))</f>
        <v/>
      </c>
      <c r="R286" s="302" t="str" cm="1">
        <f t="array" ref="R286">IF(OR(R$19="",R$24=0,R$31=0),"",
      INDEX(warmtebehoefte_plus_koudebehoefte_ventsysC1_EP1_snijpunt,R$280)
   + INDEX(warmtebehoefte_plus_koudebehoefte_ventsysC1_EP1_C,R$280)*R$52*R$34^INDEX(warmtebehoefte_plus_koudebehoefte_ventsysC1_EP1_n,R$280))</f>
        <v/>
      </c>
      <c r="S286" s="302" t="str" cm="1">
        <f t="array" ref="S286">IF(OR(S$19="",S$24=0,S$31=0),"",
      INDEX(warmtebehoefte_plus_koudebehoefte_ventsysC1_EP1_snijpunt,S$280)
   + INDEX(warmtebehoefte_plus_koudebehoefte_ventsysC1_EP1_C,S$280)*S$52*S$34^INDEX(warmtebehoefte_plus_koudebehoefte_ventsysC1_EP1_n,S$280))</f>
        <v/>
      </c>
      <c r="T286" s="302" t="str" cm="1">
        <f t="array" ref="T286">IF(OR(T$19="",T$24=0,T$31=0),"",
      INDEX(warmtebehoefte_plus_koudebehoefte_ventsysC1_EP1_snijpunt,T$280)
   + INDEX(warmtebehoefte_plus_koudebehoefte_ventsysC1_EP1_C,T$280)*T$52*T$34^INDEX(warmtebehoefte_plus_koudebehoefte_ventsysC1_EP1_n,T$280))</f>
        <v/>
      </c>
      <c r="U286" s="302" t="str" cm="1">
        <f t="array" ref="U286">IF(OR(U$19="",U$24=0,U$31=0),"",
      INDEX(warmtebehoefte_plus_koudebehoefte_ventsysC1_EP1_snijpunt,U$280)
   + INDEX(warmtebehoefte_plus_koudebehoefte_ventsysC1_EP1_C,U$280)*U$52*U$34^INDEX(warmtebehoefte_plus_koudebehoefte_ventsysC1_EP1_n,U$280))</f>
        <v/>
      </c>
      <c r="V286" s="302" t="str" cm="1">
        <f t="array" ref="V286">IF(OR(V$19="",V$24=0,V$31=0),"",
      INDEX(warmtebehoefte_plus_koudebehoefte_ventsysC1_EP1_snijpunt,V$280)
   + INDEX(warmtebehoefte_plus_koudebehoefte_ventsysC1_EP1_C,V$280)*V$52*V$34^INDEX(warmtebehoefte_plus_koudebehoefte_ventsysC1_EP1_n,V$280))</f>
        <v/>
      </c>
      <c r="W286" s="302" t="str" cm="1">
        <f t="array" ref="W286">IF(OR(W$19="",W$24=0,W$31=0),"",
      INDEX(warmtebehoefte_plus_koudebehoefte_ventsysC1_EP1_snijpunt,W$280)
   + INDEX(warmtebehoefte_plus_koudebehoefte_ventsysC1_EP1_C,W$280)*W$52*W$34^INDEX(warmtebehoefte_plus_koudebehoefte_ventsysC1_EP1_n,W$280))</f>
        <v/>
      </c>
      <c r="X286" s="122"/>
      <c r="Y286" s="249"/>
      <c r="Z286" s="248"/>
      <c r="AA286" s="302" t="str" cm="1">
        <f t="array" ref="AA286">IF(OR(AA$19="",AA$24=0,AA$31=0),"",
      INDEX(warmtebehoefte_plus_koudebehoefte_ventsysC1_EP1_snijpunt,AA$280)
   + INDEX(warmtebehoefte_plus_koudebehoefte_ventsysC1_EP1_C,AA$280)*AA$52*AA$34^INDEX(warmtebehoefte_plus_koudebehoefte_ventsysC1_EP1_n,AA$280))</f>
        <v/>
      </c>
      <c r="AB286" s="302" t="str" cm="1">
        <f t="array" ref="AB286">IF(OR(AB$19="",AB$24=0,AB$31=0),"",
      INDEX(warmtebehoefte_plus_koudebehoefte_ventsysC1_EP1_snijpunt,AB$280)
   + INDEX(warmtebehoefte_plus_koudebehoefte_ventsysC1_EP1_C,AB$280)*AB$52*AB$34^INDEX(warmtebehoefte_plus_koudebehoefte_ventsysC1_EP1_n,AB$280))</f>
        <v/>
      </c>
      <c r="AC286" s="302" t="str" cm="1">
        <f t="array" ref="AC286">IF(OR(AC$19="",AC$24=0,AC$31=0),"",
      INDEX(warmtebehoefte_plus_koudebehoefte_ventsysC1_EP1_snijpunt,AC$280)
   + INDEX(warmtebehoefte_plus_koudebehoefte_ventsysC1_EP1_C,AC$280)*AC$52*AC$34^INDEX(warmtebehoefte_plus_koudebehoefte_ventsysC1_EP1_n,AC$280))</f>
        <v/>
      </c>
      <c r="AD286" s="302" t="str" cm="1">
        <f t="array" ref="AD286">IF(OR(AD$19="",AD$24=0,AD$31=0),"",
      INDEX(warmtebehoefte_plus_koudebehoefte_ventsysC1_EP1_snijpunt,AD$280)
   + INDEX(warmtebehoefte_plus_koudebehoefte_ventsysC1_EP1_C,AD$280)*AD$52*AD$34^INDEX(warmtebehoefte_plus_koudebehoefte_ventsysC1_EP1_n,AD$280))</f>
        <v/>
      </c>
      <c r="AE286" s="302" t="str" cm="1">
        <f t="array" ref="AE286">IF(OR(AE$19="",AE$24=0,AE$31=0),"",
      INDEX(warmtebehoefte_plus_koudebehoefte_ventsysC1_EP1_snijpunt,AE$280)
   + INDEX(warmtebehoefte_plus_koudebehoefte_ventsysC1_EP1_C,AE$280)*AE$52*AE$34^INDEX(warmtebehoefte_plus_koudebehoefte_ventsysC1_EP1_n,AE$280))</f>
        <v/>
      </c>
      <c r="AF286" s="302" t="str" cm="1">
        <f t="array" ref="AF286">IF(OR(AF$19="",AF$24=0,AF$31=0),"",
      INDEX(warmtebehoefte_plus_koudebehoefte_ventsysC1_EP1_snijpunt,AF$280)
   + INDEX(warmtebehoefte_plus_koudebehoefte_ventsysC1_EP1_C,AF$280)*AF$52*AF$34^INDEX(warmtebehoefte_plus_koudebehoefte_ventsysC1_EP1_n,AF$280))</f>
        <v/>
      </c>
      <c r="AG286" s="302" t="str" cm="1">
        <f t="array" ref="AG286">IF(OR(AG$19="",AG$24=0,AG$31=0),"",
      INDEX(warmtebehoefte_plus_koudebehoefte_ventsysC1_EP1_snijpunt,AG$280)
   + INDEX(warmtebehoefte_plus_koudebehoefte_ventsysC1_EP1_C,AG$280)*AG$52*AG$34^INDEX(warmtebehoefte_plus_koudebehoefte_ventsysC1_EP1_n,AG$280))</f>
        <v/>
      </c>
      <c r="AH286" s="302" t="str" cm="1">
        <f t="array" ref="AH286">IF(OR(AH$19="",AH$24=0,AH$31=0),"",
      INDEX(warmtebehoefte_plus_koudebehoefte_ventsysC1_EP1_snijpunt,AH$280)
   + INDEX(warmtebehoefte_plus_koudebehoefte_ventsysC1_EP1_C,AH$280)*AH$52*AH$34^INDEX(warmtebehoefte_plus_koudebehoefte_ventsysC1_EP1_n,AH$280))</f>
        <v/>
      </c>
      <c r="AI286" s="302" t="str" cm="1">
        <f t="array" ref="AI286">IF(OR(AI$19="",AI$24=0,AI$31=0),"",
      INDEX(warmtebehoefte_plus_koudebehoefte_ventsysC1_EP1_snijpunt,AI$280)
   + INDEX(warmtebehoefte_plus_koudebehoefte_ventsysC1_EP1_C,AI$280)*AI$52*AI$34^INDEX(warmtebehoefte_plus_koudebehoefte_ventsysC1_EP1_n,AI$280))</f>
        <v/>
      </c>
      <c r="AJ286" s="122"/>
      <c r="AK286" s="249"/>
      <c r="AL286" s="248"/>
      <c r="AM286" s="302" t="str" cm="1">
        <f t="array" ref="AM286">IF(OR(AM$19="",AM$24=0,AM$31=0),"",
      INDEX(warmtebehoefte_plus_koudebehoefte_ventsysC1_EP1_snijpunt,AM$280)
   + INDEX(warmtebehoefte_plus_koudebehoefte_ventsysC1_EP1_C,AM$280)*AM$52*AM$34^INDEX(warmtebehoefte_plus_koudebehoefte_ventsysC1_EP1_n,AM$280))</f>
        <v/>
      </c>
      <c r="AN286" s="302" t="str" cm="1">
        <f t="array" ref="AN286">IF(OR(AN$19="",AN$24=0,AN$31=0),"",
      INDEX(warmtebehoefte_plus_koudebehoefte_ventsysC1_EP1_snijpunt,AN$280)
   + INDEX(warmtebehoefte_plus_koudebehoefte_ventsysC1_EP1_C,AN$280)*AN$52*AN$34^INDEX(warmtebehoefte_plus_koudebehoefte_ventsysC1_EP1_n,AN$280))</f>
        <v/>
      </c>
      <c r="AO286" s="302" t="str" cm="1">
        <f t="array" ref="AO286">IF(OR(AO$19="",AO$24=0,AO$31=0),"",
      INDEX(warmtebehoefte_plus_koudebehoefte_ventsysC1_EP1_snijpunt,AO$280)
   + INDEX(warmtebehoefte_plus_koudebehoefte_ventsysC1_EP1_C,AO$280)*AO$52*AO$34^INDEX(warmtebehoefte_plus_koudebehoefte_ventsysC1_EP1_n,AO$280))</f>
        <v/>
      </c>
      <c r="AP286" s="302" t="str" cm="1">
        <f t="array" ref="AP286">IF(OR(AP$19="",AP$24=0,AP$31=0),"",
      INDEX(warmtebehoefte_plus_koudebehoefte_ventsysC1_EP1_snijpunt,AP$280)
   + INDEX(warmtebehoefte_plus_koudebehoefte_ventsysC1_EP1_C,AP$280)*AP$52*AP$34^INDEX(warmtebehoefte_plus_koudebehoefte_ventsysC1_EP1_n,AP$280))</f>
        <v/>
      </c>
      <c r="AQ286" s="302" t="str" cm="1">
        <f t="array" ref="AQ286">IF(OR(AQ$19="",AQ$24=0,AQ$31=0),"",
      INDEX(warmtebehoefte_plus_koudebehoefte_ventsysC1_EP1_snijpunt,AQ$280)
   + INDEX(warmtebehoefte_plus_koudebehoefte_ventsysC1_EP1_C,AQ$280)*AQ$52*AQ$34^INDEX(warmtebehoefte_plus_koudebehoefte_ventsysC1_EP1_n,AQ$280))</f>
        <v/>
      </c>
      <c r="AR286" s="302" t="str" cm="1">
        <f t="array" ref="AR286">IF(OR(AR$19="",AR$24=0,AR$31=0),"",
      INDEX(warmtebehoefte_plus_koudebehoefte_ventsysC1_EP1_snijpunt,AR$280)
   + INDEX(warmtebehoefte_plus_koudebehoefte_ventsysC1_EP1_C,AR$280)*AR$52*AR$34^INDEX(warmtebehoefte_plus_koudebehoefte_ventsysC1_EP1_n,AR$280))</f>
        <v/>
      </c>
      <c r="AS286" s="302" t="str" cm="1">
        <f t="array" ref="AS286">IF(OR(AS$19="",AS$24=0,AS$31=0),"",
      INDEX(warmtebehoefte_plus_koudebehoefte_ventsysC1_EP1_snijpunt,AS$280)
   + INDEX(warmtebehoefte_plus_koudebehoefte_ventsysC1_EP1_C,AS$280)*AS$52*AS$34^INDEX(warmtebehoefte_plus_koudebehoefte_ventsysC1_EP1_n,AS$280))</f>
        <v/>
      </c>
      <c r="AT286" s="302" t="str" cm="1">
        <f t="array" ref="AT286">IF(OR(AT$19="",AT$24=0,AT$31=0),"",
      INDEX(warmtebehoefte_plus_koudebehoefte_ventsysC1_EP1_snijpunt,AT$280)
   + INDEX(warmtebehoefte_plus_koudebehoefte_ventsysC1_EP1_C,AT$280)*AT$52*AT$34^INDEX(warmtebehoefte_plus_koudebehoefte_ventsysC1_EP1_n,AT$280))</f>
        <v/>
      </c>
      <c r="AU286" s="302" t="str" cm="1">
        <f t="array" ref="AU286">IF(OR(AU$19="",AU$24=0,AU$31=0),"",
      INDEX(warmtebehoefte_plus_koudebehoefte_ventsysC1_EP1_snijpunt,AU$280)
   + INDEX(warmtebehoefte_plus_koudebehoefte_ventsysC1_EP1_C,AU$280)*AU$52*AU$34^INDEX(warmtebehoefte_plus_koudebehoefte_ventsysC1_EP1_n,AU$280))</f>
        <v/>
      </c>
      <c r="AV286" s="122"/>
      <c r="AW286" s="249"/>
      <c r="AX286" s="248"/>
      <c r="AY286" s="302" t="str" cm="1">
        <f t="array" ref="AY286">IF(OR(AY$19="",AY$24=0,AY$31=0),"",
      INDEX(warmtebehoefte_plus_koudebehoefte_ventsysC1_EP1_snijpunt,AY$280)
   + INDEX(warmtebehoefte_plus_koudebehoefte_ventsysC1_EP1_C,AY$280)*AY$52*AY$34^INDEX(warmtebehoefte_plus_koudebehoefte_ventsysC1_EP1_n,AY$280))</f>
        <v/>
      </c>
      <c r="AZ286" s="302" t="str" cm="1">
        <f t="array" ref="AZ286">IF(OR(AZ$19="",AZ$24=0,AZ$31=0),"",
      INDEX(warmtebehoefte_plus_koudebehoefte_ventsysC1_EP1_snijpunt,AZ$280)
   + INDEX(warmtebehoefte_plus_koudebehoefte_ventsysC1_EP1_C,AZ$280)*AZ$52*AZ$34^INDEX(warmtebehoefte_plus_koudebehoefte_ventsysC1_EP1_n,AZ$280))</f>
        <v/>
      </c>
      <c r="BA286" s="302" t="str" cm="1">
        <f t="array" ref="BA286">IF(OR(BA$19="",BA$24=0,BA$31=0),"",
      INDEX(warmtebehoefte_plus_koudebehoefte_ventsysC1_EP1_snijpunt,BA$280)
   + INDEX(warmtebehoefte_plus_koudebehoefte_ventsysC1_EP1_C,BA$280)*BA$52*BA$34^INDEX(warmtebehoefte_plus_koudebehoefte_ventsysC1_EP1_n,BA$280))</f>
        <v/>
      </c>
      <c r="BB286" s="302" t="str" cm="1">
        <f t="array" ref="BB286">IF(OR(BB$19="",BB$24=0,BB$31=0),"",
      INDEX(warmtebehoefte_plus_koudebehoefte_ventsysC1_EP1_snijpunt,BB$280)
   + INDEX(warmtebehoefte_plus_koudebehoefte_ventsysC1_EP1_C,BB$280)*BB$52*BB$34^INDEX(warmtebehoefte_plus_koudebehoefte_ventsysC1_EP1_n,BB$280))</f>
        <v/>
      </c>
      <c r="BC286" s="302" t="str" cm="1">
        <f t="array" ref="BC286">IF(OR(BC$19="",BC$24=0,BC$31=0),"",
      INDEX(warmtebehoefte_plus_koudebehoefte_ventsysC1_EP1_snijpunt,BC$280)
   + INDEX(warmtebehoefte_plus_koudebehoefte_ventsysC1_EP1_C,BC$280)*BC$52*BC$34^INDEX(warmtebehoefte_plus_koudebehoefte_ventsysC1_EP1_n,BC$280))</f>
        <v/>
      </c>
      <c r="BD286" s="302" t="str" cm="1">
        <f t="array" ref="BD286">IF(OR(BD$19="",BD$24=0,BD$31=0),"",
      INDEX(warmtebehoefte_plus_koudebehoefte_ventsysC1_EP1_snijpunt,BD$280)
   + INDEX(warmtebehoefte_plus_koudebehoefte_ventsysC1_EP1_C,BD$280)*BD$52*BD$34^INDEX(warmtebehoefte_plus_koudebehoefte_ventsysC1_EP1_n,BD$280))</f>
        <v/>
      </c>
      <c r="BE286" s="302" t="str" cm="1">
        <f t="array" ref="BE286">IF(OR(BE$19="",BE$24=0,BE$31=0),"",
      INDEX(warmtebehoefte_plus_koudebehoefte_ventsysC1_EP1_snijpunt,BE$280)
   + INDEX(warmtebehoefte_plus_koudebehoefte_ventsysC1_EP1_C,BE$280)*BE$52*BE$34^INDEX(warmtebehoefte_plus_koudebehoefte_ventsysC1_EP1_n,BE$280))</f>
        <v/>
      </c>
      <c r="BF286" s="302" t="str" cm="1">
        <f t="array" ref="BF286">IF(OR(BF$19="",BF$24=0,BF$31=0),"",
      INDEX(warmtebehoefte_plus_koudebehoefte_ventsysC1_EP1_snijpunt,BF$280)
   + INDEX(warmtebehoefte_plus_koudebehoefte_ventsysC1_EP1_C,BF$280)*BF$52*BF$34^INDEX(warmtebehoefte_plus_koudebehoefte_ventsysC1_EP1_n,BF$280))</f>
        <v/>
      </c>
      <c r="BG286" s="302" t="str" cm="1">
        <f t="array" ref="BG286">IF(OR(BG$19="",BG$24=0,BG$31=0),"",
      INDEX(warmtebehoefte_plus_koudebehoefte_ventsysC1_EP1_snijpunt,BG$280)
   + INDEX(warmtebehoefte_plus_koudebehoefte_ventsysC1_EP1_C,BG$280)*BG$52*BG$34^INDEX(warmtebehoefte_plus_koudebehoefte_ventsysC1_EP1_n,BG$280))</f>
        <v/>
      </c>
      <c r="BH286" s="255"/>
    </row>
    <row r="287" spans="1:60" x14ac:dyDescent="0.2">
      <c r="A287" s="648"/>
      <c r="B287" s="492" t="s">
        <v>335</v>
      </c>
      <c r="C287" s="656" t="s">
        <v>113</v>
      </c>
      <c r="D287" s="749" t="s">
        <v>50</v>
      </c>
      <c r="E287" s="246" t="s">
        <v>344</v>
      </c>
      <c r="F287" s="246"/>
      <c r="G287" s="246"/>
      <c r="H287" s="247" t="s">
        <v>317</v>
      </c>
      <c r="I287" s="248"/>
      <c r="J287" s="249"/>
      <c r="K287" s="90"/>
      <c r="L287" s="90"/>
      <c r="M287" s="249"/>
      <c r="N287" s="248"/>
      <c r="O287" s="302" t="str">
        <f t="shared" ref="O287:W287" si="290">IF(OR(O$19="",O$24=0,O$31=0),"",ROUNDUP(O$255-O$246-O$247-O$248-IF(OR(O$21=woning,O$21=woongebouw),O244,0),2))</f>
        <v/>
      </c>
      <c r="P287" s="302" t="str">
        <f t="shared" si="290"/>
        <v/>
      </c>
      <c r="Q287" s="302" t="str">
        <f t="shared" si="290"/>
        <v/>
      </c>
      <c r="R287" s="302" t="str">
        <f t="shared" si="290"/>
        <v/>
      </c>
      <c r="S287" s="302" t="str">
        <f t="shared" si="290"/>
        <v/>
      </c>
      <c r="T287" s="302" t="str">
        <f t="shared" si="290"/>
        <v/>
      </c>
      <c r="U287" s="302" t="str">
        <f t="shared" si="290"/>
        <v/>
      </c>
      <c r="V287" s="302" t="str">
        <f t="shared" si="290"/>
        <v/>
      </c>
      <c r="W287" s="302" t="str">
        <f t="shared" si="290"/>
        <v/>
      </c>
      <c r="X287" s="122"/>
      <c r="Y287" s="249"/>
      <c r="Z287" s="248"/>
      <c r="AA287" s="302" t="str">
        <f t="shared" ref="AA287:AI287" si="291">IF(OR(AA$19="",AA$24=0,AA$31=0),"",ROUNDUP(AA$255-AA$246-AA$247-AA$248-IF(OR(AA$21=woning,AA$21=woongebouw),AA244,0),2))</f>
        <v/>
      </c>
      <c r="AB287" s="302" t="str">
        <f t="shared" si="291"/>
        <v/>
      </c>
      <c r="AC287" s="302" t="str">
        <f t="shared" si="291"/>
        <v/>
      </c>
      <c r="AD287" s="302" t="str">
        <f t="shared" si="291"/>
        <v/>
      </c>
      <c r="AE287" s="302" t="str">
        <f t="shared" si="291"/>
        <v/>
      </c>
      <c r="AF287" s="302" t="str">
        <f t="shared" si="291"/>
        <v/>
      </c>
      <c r="AG287" s="302" t="str">
        <f t="shared" si="291"/>
        <v/>
      </c>
      <c r="AH287" s="302" t="str">
        <f t="shared" si="291"/>
        <v/>
      </c>
      <c r="AI287" s="302" t="str">
        <f t="shared" si="291"/>
        <v/>
      </c>
      <c r="AJ287" s="122"/>
      <c r="AK287" s="249"/>
      <c r="AL287" s="248"/>
      <c r="AM287" s="302" t="str">
        <f t="shared" ref="AM287:AU287" si="292">IF(OR(AM$19="",AM$24=0,AM$31=0),"",ROUNDUP(AM$255-AM$246-AM$247-AM$248-IF(OR(AM$21=woning,AM$21=woongebouw),AM244,0),2))</f>
        <v/>
      </c>
      <c r="AN287" s="302" t="str">
        <f t="shared" si="292"/>
        <v/>
      </c>
      <c r="AO287" s="302" t="str">
        <f t="shared" si="292"/>
        <v/>
      </c>
      <c r="AP287" s="302" t="str">
        <f t="shared" si="292"/>
        <v/>
      </c>
      <c r="AQ287" s="302" t="str">
        <f t="shared" si="292"/>
        <v/>
      </c>
      <c r="AR287" s="302" t="str">
        <f t="shared" si="292"/>
        <v/>
      </c>
      <c r="AS287" s="302" t="str">
        <f t="shared" si="292"/>
        <v/>
      </c>
      <c r="AT287" s="302" t="str">
        <f t="shared" si="292"/>
        <v/>
      </c>
      <c r="AU287" s="302" t="str">
        <f t="shared" si="292"/>
        <v/>
      </c>
      <c r="AV287" s="122"/>
      <c r="AW287" s="249"/>
      <c r="AX287" s="248"/>
      <c r="AY287" s="302" t="str">
        <f t="shared" ref="AY287:BG287" si="293">IF(OR(AY$19="",AY$24=0,AY$31=0),"",ROUNDUP(AY$255-AY$246-AY$247-AY$248-IF(OR(AY$21=woning,AY$21=woongebouw),AY244,0),2))</f>
        <v/>
      </c>
      <c r="AZ287" s="302" t="str">
        <f t="shared" si="293"/>
        <v/>
      </c>
      <c r="BA287" s="302" t="str">
        <f t="shared" si="293"/>
        <v/>
      </c>
      <c r="BB287" s="302" t="str">
        <f t="shared" si="293"/>
        <v/>
      </c>
      <c r="BC287" s="302" t="str">
        <f t="shared" si="293"/>
        <v/>
      </c>
      <c r="BD287" s="302" t="str">
        <f t="shared" si="293"/>
        <v/>
      </c>
      <c r="BE287" s="302" t="str">
        <f t="shared" si="293"/>
        <v/>
      </c>
      <c r="BF287" s="302" t="str">
        <f t="shared" si="293"/>
        <v/>
      </c>
      <c r="BG287" s="302" t="str">
        <f t="shared" si="293"/>
        <v/>
      </c>
      <c r="BH287" s="255"/>
    </row>
    <row r="288" spans="1:60" x14ac:dyDescent="0.2">
      <c r="A288" s="648"/>
      <c r="B288" s="492" t="s">
        <v>335</v>
      </c>
      <c r="C288" s="656" t="s">
        <v>113</v>
      </c>
      <c r="D288" s="750" t="s">
        <v>50</v>
      </c>
      <c r="E288" s="246" t="s">
        <v>345</v>
      </c>
      <c r="F288" s="246"/>
      <c r="G288" s="246"/>
      <c r="H288" s="247" t="s">
        <v>150</v>
      </c>
      <c r="I288" s="248"/>
      <c r="J288" s="249"/>
      <c r="K288" s="90"/>
      <c r="L288" s="90"/>
      <c r="M288" s="249"/>
      <c r="N288" s="248"/>
      <c r="O288" s="689" t="str">
        <f t="shared" ref="O288:W288" si="294">IF(O$280="","",O275)</f>
        <v/>
      </c>
      <c r="P288" s="689" t="str">
        <f t="shared" si="294"/>
        <v/>
      </c>
      <c r="Q288" s="689" t="str">
        <f t="shared" si="294"/>
        <v/>
      </c>
      <c r="R288" s="689" t="str">
        <f t="shared" si="294"/>
        <v/>
      </c>
      <c r="S288" s="689" t="str">
        <f t="shared" si="294"/>
        <v/>
      </c>
      <c r="T288" s="689" t="str">
        <f t="shared" si="294"/>
        <v/>
      </c>
      <c r="U288" s="689" t="str">
        <f t="shared" si="294"/>
        <v/>
      </c>
      <c r="V288" s="689" t="str">
        <f t="shared" si="294"/>
        <v/>
      </c>
      <c r="W288" s="689" t="str">
        <f t="shared" si="294"/>
        <v/>
      </c>
      <c r="X288" s="690"/>
      <c r="Y288" s="691"/>
      <c r="Z288" s="692"/>
      <c r="AA288" s="689" t="str">
        <f t="shared" ref="AA288:AI288" si="295">IF(AA$280="","",AA275)</f>
        <v/>
      </c>
      <c r="AB288" s="689" t="str">
        <f t="shared" si="295"/>
        <v/>
      </c>
      <c r="AC288" s="689" t="str">
        <f t="shared" si="295"/>
        <v/>
      </c>
      <c r="AD288" s="689" t="str">
        <f t="shared" si="295"/>
        <v/>
      </c>
      <c r="AE288" s="689" t="str">
        <f t="shared" si="295"/>
        <v/>
      </c>
      <c r="AF288" s="689" t="str">
        <f t="shared" si="295"/>
        <v/>
      </c>
      <c r="AG288" s="689" t="str">
        <f t="shared" si="295"/>
        <v/>
      </c>
      <c r="AH288" s="689" t="str">
        <f t="shared" si="295"/>
        <v/>
      </c>
      <c r="AI288" s="689" t="str">
        <f t="shared" si="295"/>
        <v/>
      </c>
      <c r="AJ288" s="690"/>
      <c r="AK288" s="691"/>
      <c r="AL288" s="692"/>
      <c r="AM288" s="689" t="str">
        <f>IF(AM$280="","",AM275)</f>
        <v/>
      </c>
      <c r="AN288" s="689" t="str">
        <f t="shared" ref="AN288:AU288" si="296">IF(AN$280="","",AN275)</f>
        <v/>
      </c>
      <c r="AO288" s="689" t="str">
        <f t="shared" si="296"/>
        <v/>
      </c>
      <c r="AP288" s="689" t="str">
        <f t="shared" si="296"/>
        <v/>
      </c>
      <c r="AQ288" s="689" t="str">
        <f t="shared" si="296"/>
        <v/>
      </c>
      <c r="AR288" s="689" t="str">
        <f t="shared" si="296"/>
        <v/>
      </c>
      <c r="AS288" s="689" t="str">
        <f t="shared" si="296"/>
        <v/>
      </c>
      <c r="AT288" s="689" t="str">
        <f t="shared" si="296"/>
        <v/>
      </c>
      <c r="AU288" s="689" t="str">
        <f t="shared" si="296"/>
        <v/>
      </c>
      <c r="AV288" s="690"/>
      <c r="AW288" s="691"/>
      <c r="AX288" s="692"/>
      <c r="AY288" s="689" t="str">
        <f>IF(AY$280="","",AY275)</f>
        <v/>
      </c>
      <c r="AZ288" s="689" t="str">
        <f t="shared" ref="AZ288:BG288" si="297">IF(AZ$280="","",AZ275)</f>
        <v/>
      </c>
      <c r="BA288" s="689" t="str">
        <f t="shared" si="297"/>
        <v/>
      </c>
      <c r="BB288" s="689" t="str">
        <f t="shared" si="297"/>
        <v/>
      </c>
      <c r="BC288" s="689" t="str">
        <f t="shared" si="297"/>
        <v/>
      </c>
      <c r="BD288" s="689" t="str">
        <f t="shared" si="297"/>
        <v/>
      </c>
      <c r="BE288" s="689" t="str">
        <f t="shared" si="297"/>
        <v/>
      </c>
      <c r="BF288" s="689" t="str">
        <f t="shared" si="297"/>
        <v/>
      </c>
      <c r="BG288" s="689" t="str">
        <f t="shared" si="297"/>
        <v/>
      </c>
      <c r="BH288" s="255"/>
    </row>
    <row r="289" spans="1:60" ht="18.75" x14ac:dyDescent="0.2">
      <c r="A289" s="648"/>
      <c r="B289" s="492" t="s">
        <v>335</v>
      </c>
      <c r="C289" s="739" t="s">
        <v>104</v>
      </c>
      <c r="D289" s="747"/>
      <c r="E289" s="236" t="s">
        <v>346</v>
      </c>
      <c r="F289" s="236"/>
      <c r="G289" s="236"/>
      <c r="H289" s="89"/>
      <c r="I289" s="236"/>
      <c r="J289" s="236"/>
      <c r="K289" s="236"/>
      <c r="L289" s="236"/>
      <c r="M289" s="236"/>
      <c r="N289" s="236"/>
      <c r="O289" s="236"/>
      <c r="P289" s="236"/>
      <c r="Q289" s="236"/>
      <c r="R289" s="236"/>
      <c r="S289" s="236"/>
      <c r="T289" s="236"/>
      <c r="U289" s="236"/>
      <c r="V289" s="236"/>
      <c r="W289" s="236"/>
      <c r="X289" s="236"/>
      <c r="Y289" s="236"/>
      <c r="Z289" s="236"/>
      <c r="AA289" s="236"/>
      <c r="AB289" s="236"/>
      <c r="AC289" s="236"/>
      <c r="AD289" s="236"/>
      <c r="AE289" s="236"/>
      <c r="AF289" s="236"/>
      <c r="AG289" s="236"/>
      <c r="AH289" s="236"/>
      <c r="AI289" s="236"/>
      <c r="AJ289" s="236"/>
      <c r="AK289" s="236"/>
      <c r="AL289" s="236"/>
      <c r="AM289" s="236"/>
      <c r="AN289" s="236"/>
      <c r="AO289" s="236"/>
      <c r="AP289" s="236"/>
      <c r="AQ289" s="236"/>
      <c r="AR289" s="236"/>
      <c r="AS289" s="236"/>
      <c r="AT289" s="236"/>
      <c r="AU289" s="236"/>
      <c r="AV289" s="236"/>
      <c r="AW289" s="236"/>
      <c r="AX289" s="236"/>
      <c r="AY289" s="236"/>
      <c r="AZ289" s="236"/>
      <c r="BA289" s="236"/>
      <c r="BB289" s="236"/>
      <c r="BC289" s="236"/>
      <c r="BD289" s="236"/>
      <c r="BE289" s="236"/>
      <c r="BF289" s="236"/>
      <c r="BG289" s="236"/>
      <c r="BH289" s="38"/>
    </row>
    <row r="290" spans="1:60" x14ac:dyDescent="0.2">
      <c r="A290" s="648"/>
      <c r="B290" s="492" t="s">
        <v>335</v>
      </c>
      <c r="C290" s="656" t="s">
        <v>113</v>
      </c>
      <c r="D290" s="749" t="s">
        <v>50</v>
      </c>
      <c r="E290" s="246" t="s">
        <v>346</v>
      </c>
      <c r="F290" s="246"/>
      <c r="G290" s="246"/>
      <c r="H290" s="247" t="s">
        <v>70</v>
      </c>
      <c r="I290" s="129"/>
      <c r="J290" s="243"/>
      <c r="K290" s="236"/>
      <c r="L290" s="236"/>
      <c r="M290" s="243"/>
      <c r="N290" s="129"/>
      <c r="O290" s="207" t="str">
        <f ca="1">IF(OR(O$24=0,$O$75=0),"",
INDEX(energielabels_labelnamen,MATCH(O287,OFFSET(bibliotheek!$H$510,0,MATCH(O$21,gebruiksfuncties_namen,0),ROWS(energielabels_labelnamen),1),-1)))</f>
        <v/>
      </c>
      <c r="P290" s="207" t="str">
        <f ca="1">IF(OR(P$24=0,$O$75=0),"",
INDEX(energielabels_labelnamen,MATCH(P287,OFFSET(bibliotheek!$H$510,0,MATCH(P$21,gebruiksfuncties_namen,0),ROWS(energielabels_labelnamen),1),-1)))</f>
        <v/>
      </c>
      <c r="Q290" s="207" t="str">
        <f ca="1">IF(OR(Q$24=0,$O$75=0),"",
INDEX(energielabels_labelnamen,MATCH(Q287,OFFSET(bibliotheek!$H$510,0,MATCH(Q$21,gebruiksfuncties_namen,0),ROWS(energielabels_labelnamen),1),-1)))</f>
        <v/>
      </c>
      <c r="R290" s="207" t="str">
        <f ca="1">IF(OR(R$24=0,$O$75=0),"",
INDEX(energielabels_labelnamen,MATCH(R287,OFFSET(bibliotheek!$H$510,0,MATCH(R$21,gebruiksfuncties_namen,0),ROWS(energielabels_labelnamen),1),-1)))</f>
        <v/>
      </c>
      <c r="S290" s="207" t="str">
        <f ca="1">IF(OR(S$24=0,$O$75=0),"",
INDEX(energielabels_labelnamen,MATCH(S287,OFFSET(bibliotheek!$H$510,0,MATCH(S$21,gebruiksfuncties_namen,0),ROWS(energielabels_labelnamen),1),-1)))</f>
        <v/>
      </c>
      <c r="T290" s="207" t="str">
        <f ca="1">IF(OR(T$24=0,$O$75=0),"",
INDEX(energielabels_labelnamen,MATCH(T287,OFFSET(bibliotheek!$H$510,0,MATCH(T$21,gebruiksfuncties_namen,0),ROWS(energielabels_labelnamen),1),-1)))</f>
        <v/>
      </c>
      <c r="U290" s="207" t="str">
        <f ca="1">IF(OR(U$24=0,$O$75=0),"",
INDEX(energielabels_labelnamen,MATCH(U287,OFFSET(bibliotheek!$H$510,0,MATCH(U$21,gebruiksfuncties_namen,0),ROWS(energielabels_labelnamen),1),-1)))</f>
        <v/>
      </c>
      <c r="V290" s="207" t="str">
        <f ca="1">IF(OR(V$24=0,$O$75=0),"",
INDEX(energielabels_labelnamen,MATCH(V287,OFFSET(bibliotheek!$H$510,0,MATCH(V$21,gebruiksfuncties_namen,0),ROWS(energielabels_labelnamen),1),-1)))</f>
        <v/>
      </c>
      <c r="W290" s="207" t="str">
        <f ca="1">IF(OR(W$24=0,$O$75=0),"",
INDEX(energielabels_labelnamen,MATCH(W287,OFFSET(bibliotheek!$H$510,0,MATCH(W$21,gebruiksfuncties_namen,0),ROWS(energielabels_labelnamen),1),-1)))</f>
        <v/>
      </c>
      <c r="X290" s="128"/>
      <c r="Y290" s="243"/>
      <c r="Z290" s="129"/>
      <c r="AA290" s="207" t="str">
        <f ca="1">IF(OR(AA$24=0,$O$75=0),"",
INDEX(energielabels_labelnamen,MATCH(AA287,OFFSET(bibliotheek!$H$510,0,MATCH(AA$21,gebruiksfuncties_namen,0),ROWS(energielabels_labelnamen),1),-1)))</f>
        <v/>
      </c>
      <c r="AB290" s="207" t="str">
        <f ca="1">IF(OR(AB$24=0,$O$75=0),"",
INDEX(energielabels_labelnamen,MATCH(AB287,OFFSET(bibliotheek!$H$510,0,MATCH(AB$21,gebruiksfuncties_namen,0),ROWS(energielabels_labelnamen),1),-1)))</f>
        <v/>
      </c>
      <c r="AC290" s="207" t="str">
        <f ca="1">IF(OR(AC$24=0,$O$75=0),"",
INDEX(energielabels_labelnamen,MATCH(AC287,OFFSET(bibliotheek!$H$510,0,MATCH(AC$21,gebruiksfuncties_namen,0),ROWS(energielabels_labelnamen),1),-1)))</f>
        <v/>
      </c>
      <c r="AD290" s="207" t="str">
        <f ca="1">IF(OR(AD$24=0,$O$75=0),"",
INDEX(energielabels_labelnamen,MATCH(AD287,OFFSET(bibliotheek!$H$510,0,MATCH(AD$21,gebruiksfuncties_namen,0),ROWS(energielabels_labelnamen),1),-1)))</f>
        <v/>
      </c>
      <c r="AE290" s="207" t="str">
        <f ca="1">IF(OR(AE$24=0,$O$75=0),"",
INDEX(energielabels_labelnamen,MATCH(AE287,OFFSET(bibliotheek!$H$510,0,MATCH(AE$21,gebruiksfuncties_namen,0),ROWS(energielabels_labelnamen),1),-1)))</f>
        <v/>
      </c>
      <c r="AF290" s="207" t="str">
        <f ca="1">IF(OR(AF$24=0,$O$75=0),"",
INDEX(energielabels_labelnamen,MATCH(AF287,OFFSET(bibliotheek!$H$510,0,MATCH(AF$21,gebruiksfuncties_namen,0),ROWS(energielabels_labelnamen),1),-1)))</f>
        <v/>
      </c>
      <c r="AG290" s="207" t="str">
        <f ca="1">IF(OR(AG$24=0,$O$75=0),"",
INDEX(energielabels_labelnamen,MATCH(AG287,OFFSET(bibliotheek!$H$510,0,MATCH(AG$21,gebruiksfuncties_namen,0),ROWS(energielabels_labelnamen),1),-1)))</f>
        <v/>
      </c>
      <c r="AH290" s="207" t="str">
        <f ca="1">IF(OR(AH$24=0,$O$75=0),"",
INDEX(energielabels_labelnamen,MATCH(AH287,OFFSET(bibliotheek!$H$510,0,MATCH(AH$21,gebruiksfuncties_namen,0),ROWS(energielabels_labelnamen),1),-1)))</f>
        <v/>
      </c>
      <c r="AI290" s="207" t="str">
        <f ca="1">IF(OR(AI$24=0,$O$75=0),"",
INDEX(energielabels_labelnamen,MATCH(AI287,OFFSET(bibliotheek!$H$510,0,MATCH(AI$21,gebruiksfuncties_namen,0),ROWS(energielabels_labelnamen),1),-1)))</f>
        <v/>
      </c>
      <c r="AJ290" s="128"/>
      <c r="AK290" s="243"/>
      <c r="AL290" s="129"/>
      <c r="AM290" s="207" t="str">
        <f ca="1">IF(OR(AM$24=0,$O$75=0),"",
INDEX(energielabels_labelnamen,MATCH(AM287,OFFSET(bibliotheek!$H$510,0,MATCH(AM$21,gebruiksfuncties_namen,0),ROWS(energielabels_labelnamen),1),-1)))</f>
        <v/>
      </c>
      <c r="AN290" s="207" t="str">
        <f ca="1">IF(OR(AN$24=0,$O$75=0),"",
INDEX(energielabels_labelnamen,MATCH(AN287,OFFSET(bibliotheek!$H$510,0,MATCH(AN$21,gebruiksfuncties_namen,0),ROWS(energielabels_labelnamen),1),-1)))</f>
        <v/>
      </c>
      <c r="AO290" s="207" t="str">
        <f ca="1">IF(OR(AO$24=0,$O$75=0),"",
INDEX(energielabels_labelnamen,MATCH(AO287,OFFSET(bibliotheek!$H$510,0,MATCH(AO$21,gebruiksfuncties_namen,0),ROWS(energielabels_labelnamen),1),-1)))</f>
        <v/>
      </c>
      <c r="AP290" s="207" t="str">
        <f ca="1">IF(OR(AP$24=0,$O$75=0),"",
INDEX(energielabels_labelnamen,MATCH(AP287,OFFSET(bibliotheek!$H$510,0,MATCH(AP$21,gebruiksfuncties_namen,0),ROWS(energielabels_labelnamen),1),-1)))</f>
        <v/>
      </c>
      <c r="AQ290" s="207" t="str">
        <f ca="1">IF(OR(AQ$24=0,$O$75=0),"",
INDEX(energielabels_labelnamen,MATCH(AQ287,OFFSET(bibliotheek!$H$510,0,MATCH(AQ$21,gebruiksfuncties_namen,0),ROWS(energielabels_labelnamen),1),-1)))</f>
        <v/>
      </c>
      <c r="AR290" s="207" t="str">
        <f ca="1">IF(OR(AR$24=0,$O$75=0),"",
INDEX(energielabels_labelnamen,MATCH(AR287,OFFSET(bibliotheek!$H$510,0,MATCH(AR$21,gebruiksfuncties_namen,0),ROWS(energielabels_labelnamen),1),-1)))</f>
        <v/>
      </c>
      <c r="AS290" s="207" t="str">
        <f ca="1">IF(OR(AS$24=0,$O$75=0),"",
INDEX(energielabels_labelnamen,MATCH(AS287,OFFSET(bibliotheek!$H$510,0,MATCH(AS$21,gebruiksfuncties_namen,0),ROWS(energielabels_labelnamen),1),-1)))</f>
        <v/>
      </c>
      <c r="AT290" s="207" t="str">
        <f ca="1">IF(OR(AT$24=0,$O$75=0),"",
INDEX(energielabels_labelnamen,MATCH(AT287,OFFSET(bibliotheek!$H$510,0,MATCH(AT$21,gebruiksfuncties_namen,0),ROWS(energielabels_labelnamen),1),-1)))</f>
        <v/>
      </c>
      <c r="AU290" s="207" t="str">
        <f ca="1">IF(OR(AU$24=0,$O$75=0),"",
INDEX(energielabels_labelnamen,MATCH(AU287,OFFSET(bibliotheek!$H$510,0,MATCH(AU$21,gebruiksfuncties_namen,0),ROWS(energielabels_labelnamen),1),-1)))</f>
        <v/>
      </c>
      <c r="AV290" s="128"/>
      <c r="AW290" s="243"/>
      <c r="AX290" s="129"/>
      <c r="AY290" s="207" t="str">
        <f ca="1">IF(OR(AY$24=0,$O$75=0),"",
INDEX(energielabels_labelnamen,MATCH(AY287,OFFSET(bibliotheek!$H$510,0,MATCH(AY$21,gebruiksfuncties_namen,0),ROWS(energielabels_labelnamen),1),-1)))</f>
        <v/>
      </c>
      <c r="AZ290" s="207" t="str">
        <f ca="1">IF(OR(AZ$24=0,$O$75=0),"",
INDEX(energielabels_labelnamen,MATCH(AZ287,OFFSET(bibliotheek!$H$510,0,MATCH(AZ$21,gebruiksfuncties_namen,0),ROWS(energielabels_labelnamen),1),-1)))</f>
        <v/>
      </c>
      <c r="BA290" s="207" t="str">
        <f ca="1">IF(OR(BA$24=0,$O$75=0),"",
INDEX(energielabels_labelnamen,MATCH(BA287,OFFSET(bibliotheek!$H$510,0,MATCH(BA$21,gebruiksfuncties_namen,0),ROWS(energielabels_labelnamen),1),-1)))</f>
        <v/>
      </c>
      <c r="BB290" s="207" t="str">
        <f ca="1">IF(OR(BB$24=0,$O$75=0),"",
INDEX(energielabels_labelnamen,MATCH(BB287,OFFSET(bibliotheek!$H$510,0,MATCH(BB$21,gebruiksfuncties_namen,0),ROWS(energielabels_labelnamen),1),-1)))</f>
        <v/>
      </c>
      <c r="BC290" s="207" t="str">
        <f ca="1">IF(OR(BC$24=0,$O$75=0),"",
INDEX(energielabels_labelnamen,MATCH(BC287,OFFSET(bibliotheek!$H$510,0,MATCH(BC$21,gebruiksfuncties_namen,0),ROWS(energielabels_labelnamen),1),-1)))</f>
        <v/>
      </c>
      <c r="BD290" s="207" t="str">
        <f ca="1">IF(OR(BD$24=0,$O$75=0),"",
INDEX(energielabels_labelnamen,MATCH(BD287,OFFSET(bibliotheek!$H$510,0,MATCH(BD$21,gebruiksfuncties_namen,0),ROWS(energielabels_labelnamen),1),-1)))</f>
        <v/>
      </c>
      <c r="BE290" s="207" t="str">
        <f ca="1">IF(OR(BE$24=0,$O$75=0),"",
INDEX(energielabels_labelnamen,MATCH(BE287,OFFSET(bibliotheek!$H$510,0,MATCH(BE$21,gebruiksfuncties_namen,0),ROWS(energielabels_labelnamen),1),-1)))</f>
        <v/>
      </c>
      <c r="BF290" s="207" t="str">
        <f ca="1">IF(OR(BF$24=0,$O$75=0),"",
INDEX(energielabels_labelnamen,MATCH(BF287,OFFSET(bibliotheek!$H$510,0,MATCH(BF$21,gebruiksfuncties_namen,0),ROWS(energielabels_labelnamen),1),-1)))</f>
        <v/>
      </c>
      <c r="BG290" s="207" t="str">
        <f ca="1">IF(OR(BG$24=0,$O$75=0),"",
INDEX(energielabels_labelnamen,MATCH(BG287,OFFSET(bibliotheek!$H$510,0,MATCH(BG$21,gebruiksfuncties_namen,0),ROWS(energielabels_labelnamen),1),-1)))</f>
        <v/>
      </c>
      <c r="BH290" s="255"/>
    </row>
    <row r="291" spans="1:60" x14ac:dyDescent="0.2">
      <c r="A291" s="648"/>
      <c r="B291" s="492" t="s">
        <v>335</v>
      </c>
      <c r="C291" s="656" t="s">
        <v>113</v>
      </c>
      <c r="D291" s="749" t="s">
        <v>50</v>
      </c>
      <c r="E291" s="246" t="s">
        <v>1198</v>
      </c>
      <c r="F291" s="1041"/>
      <c r="G291" s="1041"/>
      <c r="H291" s="247" t="s">
        <v>70</v>
      </c>
      <c r="I291" s="129"/>
      <c r="J291" s="243"/>
      <c r="K291" s="236"/>
      <c r="L291" s="236"/>
      <c r="M291" s="243"/>
      <c r="N291" s="129"/>
      <c r="O291" s="207" t="str">
        <f t="shared" ref="O291:W291" si="298">IF(O$28=0,"",INDEX(eindnorm_utiliteit_energielabel,MATCH(O$21,gebruiksfuncties_namen,0)))</f>
        <v/>
      </c>
      <c r="P291" s="207" t="str">
        <f>IF(P$28=0,"",INDEX(eindnorm_utiliteit_energielabel,1,MATCH(P$21,gebruiksfuncties_namen,0)))</f>
        <v/>
      </c>
      <c r="Q291" s="207" t="str">
        <f t="shared" si="298"/>
        <v/>
      </c>
      <c r="R291" s="207" t="str">
        <f t="shared" si="298"/>
        <v/>
      </c>
      <c r="S291" s="207" t="str">
        <f t="shared" si="298"/>
        <v/>
      </c>
      <c r="T291" s="207" t="str">
        <f t="shared" si="298"/>
        <v/>
      </c>
      <c r="U291" s="207" t="str">
        <f t="shared" si="298"/>
        <v/>
      </c>
      <c r="V291" s="207" t="str">
        <f t="shared" si="298"/>
        <v/>
      </c>
      <c r="W291" s="207" t="str">
        <f t="shared" si="298"/>
        <v/>
      </c>
      <c r="X291" s="128"/>
      <c r="Y291" s="243"/>
      <c r="Z291" s="129"/>
      <c r="AA291" s="207" t="str">
        <f t="shared" ref="AA291:AI291" si="299">IF(AA$28=0,"",INDEX(eindnorm_utiliteit_energielabel,MATCH(AA$21,gebruiksfuncties_namen,0)))</f>
        <v/>
      </c>
      <c r="AB291" s="207" t="str">
        <f t="shared" si="299"/>
        <v/>
      </c>
      <c r="AC291" s="207" t="str">
        <f t="shared" si="299"/>
        <v/>
      </c>
      <c r="AD291" s="207" t="str">
        <f t="shared" si="299"/>
        <v/>
      </c>
      <c r="AE291" s="207" t="str">
        <f t="shared" si="299"/>
        <v/>
      </c>
      <c r="AF291" s="207" t="str">
        <f t="shared" si="299"/>
        <v/>
      </c>
      <c r="AG291" s="207" t="str">
        <f t="shared" si="299"/>
        <v/>
      </c>
      <c r="AH291" s="207" t="str">
        <f t="shared" si="299"/>
        <v/>
      </c>
      <c r="AI291" s="207" t="str">
        <f t="shared" si="299"/>
        <v/>
      </c>
      <c r="AJ291" s="128"/>
      <c r="AK291" s="243"/>
      <c r="AL291" s="129"/>
      <c r="AM291" s="207" t="str">
        <f t="shared" ref="AM291:AU291" si="300">IF(AM$28=0,"",INDEX(eindnorm_utiliteit_energielabel,MATCH(AM$21,gebruiksfuncties_namen,0)))</f>
        <v/>
      </c>
      <c r="AN291" s="207" t="str">
        <f t="shared" si="300"/>
        <v/>
      </c>
      <c r="AO291" s="207" t="str">
        <f t="shared" si="300"/>
        <v/>
      </c>
      <c r="AP291" s="207" t="str">
        <f t="shared" si="300"/>
        <v/>
      </c>
      <c r="AQ291" s="207" t="str">
        <f t="shared" si="300"/>
        <v/>
      </c>
      <c r="AR291" s="207" t="str">
        <f t="shared" si="300"/>
        <v/>
      </c>
      <c r="AS291" s="207" t="str">
        <f t="shared" si="300"/>
        <v/>
      </c>
      <c r="AT291" s="207" t="str">
        <f t="shared" si="300"/>
        <v/>
      </c>
      <c r="AU291" s="207" t="str">
        <f t="shared" si="300"/>
        <v/>
      </c>
      <c r="AV291" s="128"/>
      <c r="AW291" s="243"/>
      <c r="AX291" s="129"/>
      <c r="AY291" s="207" t="str">
        <f t="shared" ref="AY291:BG291" si="301">IF(AY$28=0,"",INDEX(eindnorm_utiliteit_energielabel,MATCH(AY$21,gebruiksfuncties_namen,0)))</f>
        <v/>
      </c>
      <c r="AZ291" s="207" t="str">
        <f t="shared" si="301"/>
        <v/>
      </c>
      <c r="BA291" s="207" t="str">
        <f t="shared" si="301"/>
        <v/>
      </c>
      <c r="BB291" s="207" t="str">
        <f t="shared" si="301"/>
        <v/>
      </c>
      <c r="BC291" s="207" t="str">
        <f t="shared" si="301"/>
        <v/>
      </c>
      <c r="BD291" s="207" t="str">
        <f t="shared" si="301"/>
        <v/>
      </c>
      <c r="BE291" s="207" t="str">
        <f t="shared" si="301"/>
        <v/>
      </c>
      <c r="BF291" s="207" t="str">
        <f t="shared" si="301"/>
        <v/>
      </c>
      <c r="BG291" s="207" t="str">
        <f t="shared" si="301"/>
        <v/>
      </c>
      <c r="BH291" s="255"/>
    </row>
    <row r="292" spans="1:60" ht="18.75" x14ac:dyDescent="0.2">
      <c r="A292" s="648"/>
      <c r="B292" s="492" t="s">
        <v>335</v>
      </c>
      <c r="C292" s="739" t="s">
        <v>104</v>
      </c>
      <c r="D292" s="749" t="s">
        <v>50</v>
      </c>
      <c r="E292" s="236" t="s">
        <v>347</v>
      </c>
      <c r="F292" s="236"/>
      <c r="G292" s="236"/>
      <c r="H292" s="89"/>
      <c r="I292" s="236"/>
      <c r="J292" s="236"/>
      <c r="K292" s="236"/>
      <c r="L292" s="236"/>
      <c r="M292" s="236"/>
      <c r="N292" s="236"/>
      <c r="O292" s="236"/>
      <c r="P292" s="236"/>
      <c r="Q292" s="236"/>
      <c r="R292" s="236"/>
      <c r="S292" s="236"/>
      <c r="T292" s="236"/>
      <c r="U292" s="236"/>
      <c r="V292" s="236"/>
      <c r="W292" s="236"/>
      <c r="X292" s="236"/>
      <c r="Y292" s="236"/>
      <c r="Z292" s="236"/>
      <c r="AA292" s="236"/>
      <c r="AB292" s="236"/>
      <c r="AC292" s="236"/>
      <c r="AD292" s="236"/>
      <c r="AE292" s="236"/>
      <c r="AF292" s="236"/>
      <c r="AG292" s="236"/>
      <c r="AH292" s="236"/>
      <c r="AI292" s="236"/>
      <c r="AJ292" s="236"/>
      <c r="AK292" s="236"/>
      <c r="AL292" s="236"/>
      <c r="AM292" s="236"/>
      <c r="AN292" s="236"/>
      <c r="AO292" s="236"/>
      <c r="AP292" s="236"/>
      <c r="AQ292" s="236"/>
      <c r="AR292" s="236"/>
      <c r="AS292" s="236"/>
      <c r="AT292" s="236"/>
      <c r="AU292" s="236"/>
      <c r="AV292" s="236"/>
      <c r="AW292" s="236"/>
      <c r="AX292" s="236"/>
      <c r="AY292" s="236"/>
      <c r="AZ292" s="236"/>
      <c r="BA292" s="236"/>
      <c r="BB292" s="236"/>
      <c r="BC292" s="236"/>
      <c r="BD292" s="236"/>
      <c r="BE292" s="236"/>
      <c r="BF292" s="236"/>
      <c r="BG292" s="236"/>
      <c r="BH292" s="38"/>
    </row>
    <row r="293" spans="1:60" x14ac:dyDescent="0.2">
      <c r="A293" s="648"/>
      <c r="B293" s="492" t="s">
        <v>335</v>
      </c>
      <c r="C293" s="656" t="s">
        <v>113</v>
      </c>
      <c r="D293" s="750"/>
      <c r="E293" s="246" t="s">
        <v>348</v>
      </c>
      <c r="F293" s="246"/>
      <c r="G293" s="246"/>
      <c r="H293" s="247" t="s">
        <v>169</v>
      </c>
      <c r="I293" s="248"/>
      <c r="J293" s="249"/>
      <c r="K293" s="90"/>
      <c r="L293" s="90"/>
      <c r="M293" s="249"/>
      <c r="N293" s="248"/>
      <c r="O293" s="251" t="str">
        <f t="shared" ref="O293:W293" si="302">IF(O$294="","",IF(O$294="nvt","nvt",
INDEX(standaardwaarde_basis,MATCH(O$21,standaardwaarden_gebruiksfuncties,0))+
MAX(0,O$34-1)*INDEX(standaardwaarde_extra_vraag_boven_grenswaarde_vormfactor,MATCH(O$21,standaardwaarden_gebruiksfuncties,0))))</f>
        <v/>
      </c>
      <c r="P293" s="251" t="str">
        <f t="shared" si="302"/>
        <v/>
      </c>
      <c r="Q293" s="251" t="str">
        <f t="shared" si="302"/>
        <v/>
      </c>
      <c r="R293" s="251" t="str">
        <f t="shared" si="302"/>
        <v/>
      </c>
      <c r="S293" s="251" t="str">
        <f t="shared" si="302"/>
        <v/>
      </c>
      <c r="T293" s="251" t="str">
        <f t="shared" si="302"/>
        <v/>
      </c>
      <c r="U293" s="251" t="str">
        <f t="shared" si="302"/>
        <v/>
      </c>
      <c r="V293" s="251" t="str">
        <f t="shared" si="302"/>
        <v/>
      </c>
      <c r="W293" s="251" t="str">
        <f t="shared" si="302"/>
        <v/>
      </c>
      <c r="X293" s="128"/>
      <c r="Y293" s="249"/>
      <c r="Z293" s="248"/>
      <c r="AA293" s="251" t="str">
        <f t="shared" ref="AA293:AI293" si="303">IF(AA$294="","",IF(AA$294="nvt","nvt",
INDEX(standaardwaarde_basis,MATCH(AA$21,standaardwaarden_gebruiksfuncties,0))+
MAX(0,AA$34-1)*INDEX(standaardwaarde_extra_vraag_boven_grenswaarde_vormfactor,MATCH(AA$21,standaardwaarden_gebruiksfuncties,0))))</f>
        <v/>
      </c>
      <c r="AB293" s="251" t="str">
        <f t="shared" si="303"/>
        <v/>
      </c>
      <c r="AC293" s="251" t="str">
        <f t="shared" si="303"/>
        <v/>
      </c>
      <c r="AD293" s="251" t="str">
        <f t="shared" si="303"/>
        <v/>
      </c>
      <c r="AE293" s="251" t="str">
        <f t="shared" si="303"/>
        <v/>
      </c>
      <c r="AF293" s="251" t="str">
        <f t="shared" si="303"/>
        <v/>
      </c>
      <c r="AG293" s="251" t="str">
        <f t="shared" si="303"/>
        <v/>
      </c>
      <c r="AH293" s="251" t="str">
        <f t="shared" si="303"/>
        <v/>
      </c>
      <c r="AI293" s="251" t="str">
        <f t="shared" si="303"/>
        <v/>
      </c>
      <c r="AJ293" s="128"/>
      <c r="AK293" s="249"/>
      <c r="AL293" s="248"/>
      <c r="AM293" s="251" t="str">
        <f t="shared" ref="AM293:AU293" si="304">IF(AM$294="","",IF(AM$294="nvt","nvt",
INDEX(standaardwaarde_basis,MATCH(AM$21,standaardwaarden_gebruiksfuncties,0))+
MAX(0,AM$34-1)*INDEX(standaardwaarde_extra_vraag_boven_grenswaarde_vormfactor,MATCH(AM$21,standaardwaarden_gebruiksfuncties,0))))</f>
        <v/>
      </c>
      <c r="AN293" s="251" t="str">
        <f t="shared" si="304"/>
        <v/>
      </c>
      <c r="AO293" s="251" t="str">
        <f t="shared" si="304"/>
        <v/>
      </c>
      <c r="AP293" s="251" t="str">
        <f t="shared" si="304"/>
        <v/>
      </c>
      <c r="AQ293" s="251" t="str">
        <f t="shared" si="304"/>
        <v/>
      </c>
      <c r="AR293" s="251" t="str">
        <f t="shared" si="304"/>
        <v/>
      </c>
      <c r="AS293" s="251" t="str">
        <f t="shared" si="304"/>
        <v/>
      </c>
      <c r="AT293" s="251" t="str">
        <f t="shared" si="304"/>
        <v/>
      </c>
      <c r="AU293" s="251" t="str">
        <f t="shared" si="304"/>
        <v/>
      </c>
      <c r="AV293" s="128"/>
      <c r="AW293" s="249"/>
      <c r="AX293" s="248"/>
      <c r="AY293" s="251" t="str">
        <f t="shared" ref="AY293:BG293" si="305">IF(AY$294="","",IF(AY$294="nvt","nvt",
INDEX(standaardwaarde_basis,MATCH(AY$21,standaardwaarden_gebruiksfuncties,0))+
MAX(0,AY$34-1)*INDEX(standaardwaarde_extra_vraag_boven_grenswaarde_vormfactor,MATCH(AY$21,standaardwaarden_gebruiksfuncties,0))))</f>
        <v/>
      </c>
      <c r="AZ293" s="251" t="str">
        <f t="shared" si="305"/>
        <v/>
      </c>
      <c r="BA293" s="251" t="str">
        <f t="shared" si="305"/>
        <v/>
      </c>
      <c r="BB293" s="251" t="str">
        <f t="shared" si="305"/>
        <v/>
      </c>
      <c r="BC293" s="251" t="str">
        <f t="shared" si="305"/>
        <v/>
      </c>
      <c r="BD293" s="251" t="str">
        <f t="shared" si="305"/>
        <v/>
      </c>
      <c r="BE293" s="251" t="str">
        <f t="shared" si="305"/>
        <v/>
      </c>
      <c r="BF293" s="251" t="str">
        <f t="shared" si="305"/>
        <v/>
      </c>
      <c r="BG293" s="251" t="str">
        <f t="shared" si="305"/>
        <v/>
      </c>
      <c r="BH293" s="255"/>
    </row>
    <row r="294" spans="1:60" x14ac:dyDescent="0.2">
      <c r="A294" s="648"/>
      <c r="B294" s="492" t="s">
        <v>335</v>
      </c>
      <c r="C294" s="656" t="s">
        <v>113</v>
      </c>
      <c r="D294" s="750"/>
      <c r="E294" s="246" t="s">
        <v>349</v>
      </c>
      <c r="F294" s="246"/>
      <c r="G294" s="246"/>
      <c r="H294" s="247" t="s">
        <v>169</v>
      </c>
      <c r="I294" s="248"/>
      <c r="J294" s="249"/>
      <c r="K294" s="90"/>
      <c r="L294" s="90"/>
      <c r="M294" s="249"/>
      <c r="N294" s="248"/>
      <c r="O294" s="251" t="str">
        <f t="shared" ref="O294:W294" si="306">IF(OR(O$19="",O$40="",O$42="",O$280=""),"",IF(OR(O$21=woning,O$21=woongebouw),O$227,"nvt"))</f>
        <v/>
      </c>
      <c r="P294" s="251" t="str">
        <f t="shared" si="306"/>
        <v/>
      </c>
      <c r="Q294" s="251" t="str">
        <f t="shared" si="306"/>
        <v/>
      </c>
      <c r="R294" s="251" t="str">
        <f t="shared" si="306"/>
        <v/>
      </c>
      <c r="S294" s="251" t="str">
        <f t="shared" si="306"/>
        <v/>
      </c>
      <c r="T294" s="251" t="str">
        <f t="shared" si="306"/>
        <v/>
      </c>
      <c r="U294" s="251" t="str">
        <f t="shared" si="306"/>
        <v/>
      </c>
      <c r="V294" s="251" t="str">
        <f t="shared" si="306"/>
        <v/>
      </c>
      <c r="W294" s="251" t="str">
        <f t="shared" si="306"/>
        <v/>
      </c>
      <c r="X294" s="128"/>
      <c r="Y294" s="249"/>
      <c r="Z294" s="248"/>
      <c r="AA294" s="251" t="str">
        <f t="shared" ref="AA294:AI294" si="307">IF(OR(AA$19="",AA$40="",AA$42="",AA$280=""),"",IF(OR(AA$21=woning,AA$21=woongebouw),AA$227,"nvt"))</f>
        <v/>
      </c>
      <c r="AB294" s="251" t="str">
        <f t="shared" si="307"/>
        <v/>
      </c>
      <c r="AC294" s="251" t="str">
        <f t="shared" si="307"/>
        <v/>
      </c>
      <c r="AD294" s="251" t="str">
        <f t="shared" si="307"/>
        <v/>
      </c>
      <c r="AE294" s="251" t="str">
        <f t="shared" si="307"/>
        <v/>
      </c>
      <c r="AF294" s="251" t="str">
        <f t="shared" si="307"/>
        <v/>
      </c>
      <c r="AG294" s="251" t="str">
        <f t="shared" si="307"/>
        <v/>
      </c>
      <c r="AH294" s="251" t="str">
        <f t="shared" si="307"/>
        <v/>
      </c>
      <c r="AI294" s="251" t="str">
        <f t="shared" si="307"/>
        <v/>
      </c>
      <c r="AJ294" s="128"/>
      <c r="AK294" s="249"/>
      <c r="AL294" s="248"/>
      <c r="AM294" s="251" t="str">
        <f t="shared" ref="AM294:AU294" si="308">IF(OR(AM$19="",AM$40="",AM$42="",AM$280=""),"",IF(OR(AM$21=woning,AM$21=woongebouw),AM$227,"nvt"))</f>
        <v/>
      </c>
      <c r="AN294" s="251" t="str">
        <f t="shared" si="308"/>
        <v/>
      </c>
      <c r="AO294" s="251" t="str">
        <f t="shared" si="308"/>
        <v/>
      </c>
      <c r="AP294" s="251" t="str">
        <f t="shared" si="308"/>
        <v/>
      </c>
      <c r="AQ294" s="251" t="str">
        <f t="shared" si="308"/>
        <v/>
      </c>
      <c r="AR294" s="251" t="str">
        <f t="shared" si="308"/>
        <v/>
      </c>
      <c r="AS294" s="251" t="str">
        <f t="shared" si="308"/>
        <v/>
      </c>
      <c r="AT294" s="251" t="str">
        <f t="shared" si="308"/>
        <v/>
      </c>
      <c r="AU294" s="251" t="str">
        <f t="shared" si="308"/>
        <v/>
      </c>
      <c r="AV294" s="128"/>
      <c r="AW294" s="249"/>
      <c r="AX294" s="248"/>
      <c r="AY294" s="251" t="str">
        <f t="shared" ref="AY294:BG294" si="309">IF(OR(AY$19="",AY$40="",AY$42="",AY$280=""),"",IF(OR(AY$21=woning,AY$21=woongebouw),AY$227,"nvt"))</f>
        <v/>
      </c>
      <c r="AZ294" s="251" t="str">
        <f t="shared" si="309"/>
        <v/>
      </c>
      <c r="BA294" s="251" t="str">
        <f t="shared" si="309"/>
        <v/>
      </c>
      <c r="BB294" s="251" t="str">
        <f t="shared" si="309"/>
        <v/>
      </c>
      <c r="BC294" s="251" t="str">
        <f t="shared" si="309"/>
        <v/>
      </c>
      <c r="BD294" s="251" t="str">
        <f t="shared" si="309"/>
        <v/>
      </c>
      <c r="BE294" s="251" t="str">
        <f t="shared" si="309"/>
        <v/>
      </c>
      <c r="BF294" s="251" t="str">
        <f t="shared" si="309"/>
        <v/>
      </c>
      <c r="BG294" s="251" t="str">
        <f t="shared" si="309"/>
        <v/>
      </c>
      <c r="BH294" s="255"/>
    </row>
    <row r="295" spans="1:60" ht="18.75" x14ac:dyDescent="0.2">
      <c r="A295" s="648"/>
      <c r="B295" s="492" t="s">
        <v>335</v>
      </c>
      <c r="C295" s="739" t="s">
        <v>104</v>
      </c>
      <c r="D295" s="747"/>
      <c r="E295" s="236" t="s">
        <v>350</v>
      </c>
      <c r="F295" s="236"/>
      <c r="G295" s="236"/>
      <c r="H295" s="89"/>
      <c r="I295" s="236"/>
      <c r="J295" s="236"/>
      <c r="K295" s="236"/>
      <c r="L295" s="236"/>
      <c r="M295" s="236"/>
      <c r="N295" s="236"/>
      <c r="O295" s="236"/>
      <c r="P295" s="236"/>
      <c r="Q295" s="236"/>
      <c r="R295" s="236"/>
      <c r="S295" s="236"/>
      <c r="T295" s="236"/>
      <c r="U295" s="236"/>
      <c r="V295" s="236"/>
      <c r="W295" s="236"/>
      <c r="X295" s="236"/>
      <c r="Y295" s="236"/>
      <c r="Z295" s="236"/>
      <c r="AA295" s="236"/>
      <c r="AB295" s="236"/>
      <c r="AC295" s="236"/>
      <c r="AD295" s="236"/>
      <c r="AE295" s="236"/>
      <c r="AF295" s="236"/>
      <c r="AG295" s="236"/>
      <c r="AH295" s="236"/>
      <c r="AI295" s="236"/>
      <c r="AJ295" s="236"/>
      <c r="AK295" s="236"/>
      <c r="AL295" s="236"/>
      <c r="AM295" s="236"/>
      <c r="AN295" s="236"/>
      <c r="AO295" s="236"/>
      <c r="AP295" s="236"/>
      <c r="AQ295" s="236"/>
      <c r="AR295" s="236"/>
      <c r="AS295" s="236"/>
      <c r="AT295" s="236"/>
      <c r="AU295" s="236"/>
      <c r="AV295" s="236"/>
      <c r="AW295" s="236"/>
      <c r="AX295" s="236"/>
      <c r="AY295" s="236"/>
      <c r="AZ295" s="236"/>
      <c r="BA295" s="236"/>
      <c r="BB295" s="236"/>
      <c r="BC295" s="236"/>
      <c r="BD295" s="236"/>
      <c r="BE295" s="236"/>
      <c r="BF295" s="236"/>
      <c r="BG295" s="236"/>
      <c r="BH295" s="38"/>
    </row>
    <row r="296" spans="1:60" x14ac:dyDescent="0.2">
      <c r="A296" s="648"/>
      <c r="B296" s="492" t="s">
        <v>335</v>
      </c>
      <c r="C296" s="656" t="s">
        <v>113</v>
      </c>
      <c r="D296" s="750"/>
      <c r="E296" s="246" t="s">
        <v>351</v>
      </c>
      <c r="F296" s="246"/>
      <c r="G296" s="246"/>
      <c r="H296" s="247" t="s">
        <v>169</v>
      </c>
      <c r="I296" s="248"/>
      <c r="J296" s="249"/>
      <c r="K296" s="90"/>
      <c r="L296" s="90"/>
      <c r="M296" s="249"/>
      <c r="N296" s="248"/>
      <c r="O296" s="251" t="str" cm="1">
        <f t="array" ref="O296">IF(O$294="","",IF(O$294="nvt","nvt",
INDEX(standaardwaarde_basis,MATCH(O$21,standaardwaarden_gebruiksfuncties,0)+1)+
MAX(0,O$34-1)*INDEX(standaardwaarde_extra_vraag_boven_grenswaarde_vormfactor,MATCH(O$21,standaardwaarden_gebruiksfuncties,0)+1)))</f>
        <v/>
      </c>
      <c r="P296" s="251" t="str" cm="1">
        <f t="array" ref="P296">IF(P$294="","",IF(P$294="nvt","nvt",
INDEX(standaardwaarde_basis,MATCH(P$21,standaardwaarden_gebruiksfuncties,0)+1)+
MAX(0,P$34-1)*INDEX(standaardwaarde_extra_vraag_boven_grenswaarde_vormfactor,MATCH(P$21,standaardwaarden_gebruiksfuncties,0)+1)))</f>
        <v/>
      </c>
      <c r="Q296" s="251" t="str" cm="1">
        <f t="array" ref="Q296">IF(Q$294="","",IF(Q$294="nvt","nvt",
INDEX(standaardwaarde_basis,MATCH(Q$21,standaardwaarden_gebruiksfuncties,0)+1)+
MAX(0,Q$34-1)*INDEX(standaardwaarde_extra_vraag_boven_grenswaarde_vormfactor,MATCH(Q$21,standaardwaarden_gebruiksfuncties,0)+1)))</f>
        <v/>
      </c>
      <c r="R296" s="251" t="str" cm="1">
        <f t="array" ref="R296">IF(R$294="","",IF(R$294="nvt","nvt",
INDEX(standaardwaarde_basis,MATCH(R$21,standaardwaarden_gebruiksfuncties,0)+1)+
MAX(0,R$34-1)*INDEX(standaardwaarde_extra_vraag_boven_grenswaarde_vormfactor,MATCH(R$21,standaardwaarden_gebruiksfuncties,0)+1)))</f>
        <v/>
      </c>
      <c r="S296" s="251" t="str" cm="1">
        <f t="array" ref="S296">IF(S$294="","",IF(S$294="nvt","nvt",
INDEX(standaardwaarde_basis,MATCH(S$21,standaardwaarden_gebruiksfuncties,0)+1)+
MAX(0,S$34-1)*INDEX(standaardwaarde_extra_vraag_boven_grenswaarde_vormfactor,MATCH(S$21,standaardwaarden_gebruiksfuncties,0)+1)))</f>
        <v/>
      </c>
      <c r="T296" s="251" t="str" cm="1">
        <f t="array" ref="T296">IF(T$294="","",IF(T$294="nvt","nvt",
INDEX(standaardwaarde_basis,MATCH(T$21,standaardwaarden_gebruiksfuncties,0)+1)+
MAX(0,T$34-1)*INDEX(standaardwaarde_extra_vraag_boven_grenswaarde_vormfactor,MATCH(T$21,standaardwaarden_gebruiksfuncties,0)+1)))</f>
        <v/>
      </c>
      <c r="U296" s="251" t="str" cm="1">
        <f t="array" ref="U296">IF(U$294="","",IF(U$294="nvt","nvt",
INDEX(standaardwaarde_basis,MATCH(U$21,standaardwaarden_gebruiksfuncties,0)+1)+
MAX(0,U$34-1)*INDEX(standaardwaarde_extra_vraag_boven_grenswaarde_vormfactor,MATCH(U$21,standaardwaarden_gebruiksfuncties,0)+1)))</f>
        <v/>
      </c>
      <c r="V296" s="251" t="str" cm="1">
        <f t="array" ref="V296">IF(V$294="","",IF(V$294="nvt","nvt",
INDEX(standaardwaarde_basis,MATCH(V$21,standaardwaarden_gebruiksfuncties,0)+1)+
MAX(0,V$34-1)*INDEX(standaardwaarde_extra_vraag_boven_grenswaarde_vormfactor,MATCH(V$21,standaardwaarden_gebruiksfuncties,0)+1)))</f>
        <v/>
      </c>
      <c r="W296" s="251" t="str" cm="1">
        <f t="array" ref="W296">IF(W$294="","",IF(W$294="nvt","nvt",
INDEX(standaardwaarde_basis,MATCH(W$21,standaardwaarden_gebruiksfuncties,0)+1)+
MAX(0,W$34-1)*INDEX(standaardwaarde_extra_vraag_boven_grenswaarde_vormfactor,MATCH(W$21,standaardwaarden_gebruiksfuncties,0)+1)))</f>
        <v/>
      </c>
      <c r="X296" s="128"/>
      <c r="Y296" s="249"/>
      <c r="Z296" s="248"/>
      <c r="AA296" s="251" t="str" cm="1">
        <f t="array" ref="AA296">IF(AA$294="","",IF(AA$294="nvt","nvt",
INDEX(standaardwaarde_basis,MATCH(AA$21,standaardwaarden_gebruiksfuncties,0)+1)+
MAX(0,AA$34-1)*INDEX(standaardwaarde_extra_vraag_boven_grenswaarde_vormfactor,MATCH(AA$21,standaardwaarden_gebruiksfuncties,0)+1)))</f>
        <v/>
      </c>
      <c r="AB296" s="251" t="str" cm="1">
        <f t="array" ref="AB296">IF(AB$294="","",IF(AB$294="nvt","nvt",
INDEX(standaardwaarde_basis,MATCH(AB$21,standaardwaarden_gebruiksfuncties,0)+1)+
MAX(0,AB$34-1)*INDEX(standaardwaarde_extra_vraag_boven_grenswaarde_vormfactor,MATCH(AB$21,standaardwaarden_gebruiksfuncties,0)+1)))</f>
        <v/>
      </c>
      <c r="AC296" s="251" t="str" cm="1">
        <f t="array" ref="AC296">IF(AC$294="","",IF(AC$294="nvt","nvt",
INDEX(standaardwaarde_basis,MATCH(AC$21,standaardwaarden_gebruiksfuncties,0)+1)+
MAX(0,AC$34-1)*INDEX(standaardwaarde_extra_vraag_boven_grenswaarde_vormfactor,MATCH(AC$21,standaardwaarden_gebruiksfuncties,0)+1)))</f>
        <v/>
      </c>
      <c r="AD296" s="251" t="str" cm="1">
        <f t="array" ref="AD296">IF(AD$294="","",IF(AD$294="nvt","nvt",
INDEX(standaardwaarde_basis,MATCH(AD$21,standaardwaarden_gebruiksfuncties,0)+1)+
MAX(0,AD$34-1)*INDEX(standaardwaarde_extra_vraag_boven_grenswaarde_vormfactor,MATCH(AD$21,standaardwaarden_gebruiksfuncties,0)+1)))</f>
        <v/>
      </c>
      <c r="AE296" s="251" t="str" cm="1">
        <f t="array" ref="AE296">IF(AE$294="","",IF(AE$294="nvt","nvt",
INDEX(standaardwaarde_basis,MATCH(AE$21,standaardwaarden_gebruiksfuncties,0)+1)+
MAX(0,AE$34-1)*INDEX(standaardwaarde_extra_vraag_boven_grenswaarde_vormfactor,MATCH(AE$21,standaardwaarden_gebruiksfuncties,0)+1)))</f>
        <v/>
      </c>
      <c r="AF296" s="251" t="str" cm="1">
        <f t="array" ref="AF296">IF(AF$294="","",IF(AF$294="nvt","nvt",
INDEX(standaardwaarde_basis,MATCH(AF$21,standaardwaarden_gebruiksfuncties,0)+1)+
MAX(0,AF$34-1)*INDEX(standaardwaarde_extra_vraag_boven_grenswaarde_vormfactor,MATCH(AF$21,standaardwaarden_gebruiksfuncties,0)+1)))</f>
        <v/>
      </c>
      <c r="AG296" s="251" t="str" cm="1">
        <f t="array" ref="AG296">IF(AG$294="","",IF(AG$294="nvt","nvt",
INDEX(standaardwaarde_basis,MATCH(AG$21,standaardwaarden_gebruiksfuncties,0)+1)+
MAX(0,AG$34-1)*INDEX(standaardwaarde_extra_vraag_boven_grenswaarde_vormfactor,MATCH(AG$21,standaardwaarden_gebruiksfuncties,0)+1)))</f>
        <v/>
      </c>
      <c r="AH296" s="251" t="str" cm="1">
        <f t="array" ref="AH296">IF(AH$294="","",IF(AH$294="nvt","nvt",
INDEX(standaardwaarde_basis,MATCH(AH$21,standaardwaarden_gebruiksfuncties,0)+1)+
MAX(0,AH$34-1)*INDEX(standaardwaarde_extra_vraag_boven_grenswaarde_vormfactor,MATCH(AH$21,standaardwaarden_gebruiksfuncties,0)+1)))</f>
        <v/>
      </c>
      <c r="AI296" s="251" t="str" cm="1">
        <f t="array" ref="AI296">IF(AI$294="","",IF(AI$294="nvt","nvt",
INDEX(standaardwaarde_basis,MATCH(AI$21,standaardwaarden_gebruiksfuncties,0)+1)+
MAX(0,AI$34-1)*INDEX(standaardwaarde_extra_vraag_boven_grenswaarde_vormfactor,MATCH(AI$21,standaardwaarden_gebruiksfuncties,0)+1)))</f>
        <v/>
      </c>
      <c r="AJ296" s="128"/>
      <c r="AK296" s="249"/>
      <c r="AL296" s="248"/>
      <c r="AM296" s="251" t="str" cm="1">
        <f t="array" ref="AM296">IF(AM$294="","",IF(AM$294="nvt","nvt",
INDEX(standaardwaarde_basis,MATCH(AM$21,standaardwaarden_gebruiksfuncties,0)+1)+
MAX(0,AM$34-1)*INDEX(standaardwaarde_extra_vraag_boven_grenswaarde_vormfactor,MATCH(AM$21,standaardwaarden_gebruiksfuncties,0)+1)))</f>
        <v/>
      </c>
      <c r="AN296" s="251" t="str" cm="1">
        <f t="array" ref="AN296">IF(AN$294="","",IF(AN$294="nvt","nvt",
INDEX(standaardwaarde_basis,MATCH(AN$21,standaardwaarden_gebruiksfuncties,0)+1)+
MAX(0,AN$34-1)*INDEX(standaardwaarde_extra_vraag_boven_grenswaarde_vormfactor,MATCH(AN$21,standaardwaarden_gebruiksfuncties,0)+1)))</f>
        <v/>
      </c>
      <c r="AO296" s="251" t="str" cm="1">
        <f t="array" ref="AO296">IF(AO$294="","",IF(AO$294="nvt","nvt",
INDEX(standaardwaarde_basis,MATCH(AO$21,standaardwaarden_gebruiksfuncties,0)+1)+
MAX(0,AO$34-1)*INDEX(standaardwaarde_extra_vraag_boven_grenswaarde_vormfactor,MATCH(AO$21,standaardwaarden_gebruiksfuncties,0)+1)))</f>
        <v/>
      </c>
      <c r="AP296" s="251" t="str" cm="1">
        <f t="array" ref="AP296">IF(AP$294="","",IF(AP$294="nvt","nvt",
INDEX(standaardwaarde_basis,MATCH(AP$21,standaardwaarden_gebruiksfuncties,0)+1)+
MAX(0,AP$34-1)*INDEX(standaardwaarde_extra_vraag_boven_grenswaarde_vormfactor,MATCH(AP$21,standaardwaarden_gebruiksfuncties,0)+1)))</f>
        <v/>
      </c>
      <c r="AQ296" s="251" t="str" cm="1">
        <f t="array" ref="AQ296">IF(AQ$294="","",IF(AQ$294="nvt","nvt",
INDEX(standaardwaarde_basis,MATCH(AQ$21,standaardwaarden_gebruiksfuncties,0)+1)+
MAX(0,AQ$34-1)*INDEX(standaardwaarde_extra_vraag_boven_grenswaarde_vormfactor,MATCH(AQ$21,standaardwaarden_gebruiksfuncties,0)+1)))</f>
        <v/>
      </c>
      <c r="AR296" s="251" t="str" cm="1">
        <f t="array" ref="AR296">IF(AR$294="","",IF(AR$294="nvt","nvt",
INDEX(standaardwaarde_basis,MATCH(AR$21,standaardwaarden_gebruiksfuncties,0)+1)+
MAX(0,AR$34-1)*INDEX(standaardwaarde_extra_vraag_boven_grenswaarde_vormfactor,MATCH(AR$21,standaardwaarden_gebruiksfuncties,0)+1)))</f>
        <v/>
      </c>
      <c r="AS296" s="251" t="str" cm="1">
        <f t="array" ref="AS296">IF(AS$294="","",IF(AS$294="nvt","nvt",
INDEX(standaardwaarde_basis,MATCH(AS$21,standaardwaarden_gebruiksfuncties,0)+1)+
MAX(0,AS$34-1)*INDEX(standaardwaarde_extra_vraag_boven_grenswaarde_vormfactor,MATCH(AS$21,standaardwaarden_gebruiksfuncties,0)+1)))</f>
        <v/>
      </c>
      <c r="AT296" s="251" t="str" cm="1">
        <f t="array" ref="AT296">IF(AT$294="","",IF(AT$294="nvt","nvt",
INDEX(standaardwaarde_basis,MATCH(AT$21,standaardwaarden_gebruiksfuncties,0)+1)+
MAX(0,AT$34-1)*INDEX(standaardwaarde_extra_vraag_boven_grenswaarde_vormfactor,MATCH(AT$21,standaardwaarden_gebruiksfuncties,0)+1)))</f>
        <v/>
      </c>
      <c r="AU296" s="251" t="str" cm="1">
        <f t="array" ref="AU296">IF(AU$294="","",IF(AU$294="nvt","nvt",
INDEX(standaardwaarde_basis,MATCH(AU$21,standaardwaarden_gebruiksfuncties,0)+1)+
MAX(0,AU$34-1)*INDEX(standaardwaarde_extra_vraag_boven_grenswaarde_vormfactor,MATCH(AU$21,standaardwaarden_gebruiksfuncties,0)+1)))</f>
        <v/>
      </c>
      <c r="AV296" s="128"/>
      <c r="AW296" s="249"/>
      <c r="AX296" s="248"/>
      <c r="AY296" s="251" t="str" cm="1">
        <f t="array" ref="AY296">IF(AY$294="","",IF(AY$294="nvt","nvt",
INDEX(standaardwaarde_basis,MATCH(AY$21,standaardwaarden_gebruiksfuncties,0)+1)+
MAX(0,AY$34-1)*INDEX(standaardwaarde_extra_vraag_boven_grenswaarde_vormfactor,MATCH(AY$21,standaardwaarden_gebruiksfuncties,0)+1)))</f>
        <v/>
      </c>
      <c r="AZ296" s="251" t="str" cm="1">
        <f t="array" ref="AZ296">IF(AZ$294="","",IF(AZ$294="nvt","nvt",
INDEX(standaardwaarde_basis,MATCH(AZ$21,standaardwaarden_gebruiksfuncties,0)+1)+
MAX(0,AZ$34-1)*INDEX(standaardwaarde_extra_vraag_boven_grenswaarde_vormfactor,MATCH(AZ$21,standaardwaarden_gebruiksfuncties,0)+1)))</f>
        <v/>
      </c>
      <c r="BA296" s="251" t="str" cm="1">
        <f t="array" ref="BA296">IF(BA$294="","",IF(BA$294="nvt","nvt",
INDEX(standaardwaarde_basis,MATCH(BA$21,standaardwaarden_gebruiksfuncties,0)+1)+
MAX(0,BA$34-1)*INDEX(standaardwaarde_extra_vraag_boven_grenswaarde_vormfactor,MATCH(BA$21,standaardwaarden_gebruiksfuncties,0)+1)))</f>
        <v/>
      </c>
      <c r="BB296" s="251" t="str" cm="1">
        <f t="array" ref="BB296">IF(BB$294="","",IF(BB$294="nvt","nvt",
INDEX(standaardwaarde_basis,MATCH(BB$21,standaardwaarden_gebruiksfuncties,0)+1)+
MAX(0,BB$34-1)*INDEX(standaardwaarde_extra_vraag_boven_grenswaarde_vormfactor,MATCH(BB$21,standaardwaarden_gebruiksfuncties,0)+1)))</f>
        <v/>
      </c>
      <c r="BC296" s="251" t="str" cm="1">
        <f t="array" ref="BC296">IF(BC$294="","",IF(BC$294="nvt","nvt",
INDEX(standaardwaarde_basis,MATCH(BC$21,standaardwaarden_gebruiksfuncties,0)+1)+
MAX(0,BC$34-1)*INDEX(standaardwaarde_extra_vraag_boven_grenswaarde_vormfactor,MATCH(BC$21,standaardwaarden_gebruiksfuncties,0)+1)))</f>
        <v/>
      </c>
      <c r="BD296" s="251" t="str" cm="1">
        <f t="array" ref="BD296">IF(BD$294="","",IF(BD$294="nvt","nvt",
INDEX(standaardwaarde_basis,MATCH(BD$21,standaardwaarden_gebruiksfuncties,0)+1)+
MAX(0,BD$34-1)*INDEX(standaardwaarde_extra_vraag_boven_grenswaarde_vormfactor,MATCH(BD$21,standaardwaarden_gebruiksfuncties,0)+1)))</f>
        <v/>
      </c>
      <c r="BE296" s="251" t="str" cm="1">
        <f t="array" ref="BE296">IF(BE$294="","",IF(BE$294="nvt","nvt",
INDEX(standaardwaarde_basis,MATCH(BE$21,standaardwaarden_gebruiksfuncties,0)+1)+
MAX(0,BE$34-1)*INDEX(standaardwaarde_extra_vraag_boven_grenswaarde_vormfactor,MATCH(BE$21,standaardwaarden_gebruiksfuncties,0)+1)))</f>
        <v/>
      </c>
      <c r="BF296" s="251" t="str" cm="1">
        <f t="array" ref="BF296">IF(BF$294="","",IF(BF$294="nvt","nvt",
INDEX(standaardwaarde_basis,MATCH(BF$21,standaardwaarden_gebruiksfuncties,0)+1)+
MAX(0,BF$34-1)*INDEX(standaardwaarde_extra_vraag_boven_grenswaarde_vormfactor,MATCH(BF$21,standaardwaarden_gebruiksfuncties,0)+1)))</f>
        <v/>
      </c>
      <c r="BG296" s="251" t="str" cm="1">
        <f t="array" ref="BG296">IF(BG$294="","",IF(BG$294="nvt","nvt",
INDEX(standaardwaarde_basis,MATCH(BG$21,standaardwaarden_gebruiksfuncties,0)+1)+
MAX(0,BG$34-1)*INDEX(standaardwaarde_extra_vraag_boven_grenswaarde_vormfactor,MATCH(BG$21,standaardwaarden_gebruiksfuncties,0)+1)))</f>
        <v/>
      </c>
      <c r="BH296" s="255"/>
    </row>
    <row r="297" spans="1:60" x14ac:dyDescent="0.2">
      <c r="A297" s="648"/>
      <c r="B297" s="492" t="s">
        <v>335</v>
      </c>
      <c r="C297" s="656" t="s">
        <v>113</v>
      </c>
      <c r="D297" s="750"/>
      <c r="E297" s="246" t="s">
        <v>349</v>
      </c>
      <c r="F297" s="246"/>
      <c r="G297" s="246"/>
      <c r="H297" s="247" t="s">
        <v>169</v>
      </c>
      <c r="I297" s="248"/>
      <c r="J297" s="249"/>
      <c r="K297" s="90"/>
      <c r="L297" s="90"/>
      <c r="M297" s="249"/>
      <c r="N297" s="248"/>
      <c r="O297" s="251" t="str">
        <f t="shared" ref="O297:W297" si="310">IF(OR(O$19="",O$40="",O$42="",O$280=""),"",IF(OR(O$21=woning,O$21=woongebouw),O$227,"nvt"))</f>
        <v/>
      </c>
      <c r="P297" s="251" t="str">
        <f t="shared" si="310"/>
        <v/>
      </c>
      <c r="Q297" s="251" t="str">
        <f t="shared" si="310"/>
        <v/>
      </c>
      <c r="R297" s="251" t="str">
        <f t="shared" si="310"/>
        <v/>
      </c>
      <c r="S297" s="251" t="str">
        <f t="shared" si="310"/>
        <v/>
      </c>
      <c r="T297" s="251" t="str">
        <f t="shared" si="310"/>
        <v/>
      </c>
      <c r="U297" s="251" t="str">
        <f t="shared" si="310"/>
        <v/>
      </c>
      <c r="V297" s="251" t="str">
        <f t="shared" si="310"/>
        <v/>
      </c>
      <c r="W297" s="251" t="str">
        <f t="shared" si="310"/>
        <v/>
      </c>
      <c r="X297" s="128"/>
      <c r="Y297" s="249"/>
      <c r="Z297" s="248"/>
      <c r="AA297" s="251" t="str">
        <f t="shared" ref="AA297:AI297" si="311">IF(OR(AA$19="",AA$40="",AA$42="",AA$280=""),"",IF(OR(AA$21=woning,AA$21=woongebouw),AA$227,"nvt"))</f>
        <v/>
      </c>
      <c r="AB297" s="251" t="str">
        <f t="shared" si="311"/>
        <v/>
      </c>
      <c r="AC297" s="251" t="str">
        <f t="shared" si="311"/>
        <v/>
      </c>
      <c r="AD297" s="251" t="str">
        <f t="shared" si="311"/>
        <v/>
      </c>
      <c r="AE297" s="251" t="str">
        <f t="shared" si="311"/>
        <v/>
      </c>
      <c r="AF297" s="251" t="str">
        <f t="shared" si="311"/>
        <v/>
      </c>
      <c r="AG297" s="251" t="str">
        <f t="shared" si="311"/>
        <v/>
      </c>
      <c r="AH297" s="251" t="str">
        <f t="shared" si="311"/>
        <v/>
      </c>
      <c r="AI297" s="251" t="str">
        <f t="shared" si="311"/>
        <v/>
      </c>
      <c r="AJ297" s="128"/>
      <c r="AK297" s="249"/>
      <c r="AL297" s="248"/>
      <c r="AM297" s="251" t="str">
        <f t="shared" ref="AM297:AU297" si="312">IF(OR(AM$19="",AM$40="",AM$42="",AM$280=""),"",IF(OR(AM$21=woning,AM$21=woongebouw),AM$227,"nvt"))</f>
        <v/>
      </c>
      <c r="AN297" s="251" t="str">
        <f t="shared" si="312"/>
        <v/>
      </c>
      <c r="AO297" s="251" t="str">
        <f t="shared" si="312"/>
        <v/>
      </c>
      <c r="AP297" s="251" t="str">
        <f t="shared" si="312"/>
        <v/>
      </c>
      <c r="AQ297" s="251" t="str">
        <f t="shared" si="312"/>
        <v/>
      </c>
      <c r="AR297" s="251" t="str">
        <f t="shared" si="312"/>
        <v/>
      </c>
      <c r="AS297" s="251" t="str">
        <f t="shared" si="312"/>
        <v/>
      </c>
      <c r="AT297" s="251" t="str">
        <f t="shared" si="312"/>
        <v/>
      </c>
      <c r="AU297" s="251" t="str">
        <f t="shared" si="312"/>
        <v/>
      </c>
      <c r="AV297" s="128"/>
      <c r="AW297" s="249"/>
      <c r="AX297" s="248"/>
      <c r="AY297" s="251" t="str">
        <f t="shared" ref="AY297:BG297" si="313">IF(OR(AY$19="",AY$40="",AY$42="",AY$280=""),"",IF(OR(AY$21=woning,AY$21=woongebouw),AY$227,"nvt"))</f>
        <v/>
      </c>
      <c r="AZ297" s="251" t="str">
        <f t="shared" si="313"/>
        <v/>
      </c>
      <c r="BA297" s="251" t="str">
        <f t="shared" si="313"/>
        <v/>
      </c>
      <c r="BB297" s="251" t="str">
        <f t="shared" si="313"/>
        <v/>
      </c>
      <c r="BC297" s="251" t="str">
        <f t="shared" si="313"/>
        <v/>
      </c>
      <c r="BD297" s="251" t="str">
        <f t="shared" si="313"/>
        <v/>
      </c>
      <c r="BE297" s="251" t="str">
        <f t="shared" si="313"/>
        <v/>
      </c>
      <c r="BF297" s="251" t="str">
        <f t="shared" si="313"/>
        <v/>
      </c>
      <c r="BG297" s="251" t="str">
        <f t="shared" si="313"/>
        <v/>
      </c>
      <c r="BH297" s="255"/>
    </row>
    <row r="298" spans="1:60" x14ac:dyDescent="0.2">
      <c r="A298" s="648"/>
      <c r="B298" s="492" t="s">
        <v>335</v>
      </c>
      <c r="C298" s="739" t="s">
        <v>104</v>
      </c>
      <c r="D298" s="747"/>
      <c r="E298" s="90"/>
      <c r="F298" s="90"/>
      <c r="G298" s="90"/>
      <c r="H298" s="96"/>
      <c r="I298" s="90"/>
      <c r="J298" s="93"/>
      <c r="K298" s="90"/>
      <c r="L298" s="90"/>
      <c r="M298" s="93"/>
      <c r="N298" s="90"/>
      <c r="O298" s="122"/>
      <c r="P298" s="122"/>
      <c r="Q298" s="122"/>
      <c r="R298" s="122"/>
      <c r="S298" s="122"/>
      <c r="T298" s="122"/>
      <c r="U298" s="122"/>
      <c r="V298" s="122"/>
      <c r="W298" s="122"/>
      <c r="X298" s="93"/>
      <c r="Y298" s="93"/>
      <c r="Z298" s="90"/>
      <c r="AA298" s="122"/>
      <c r="AB298" s="122"/>
      <c r="AC298" s="122"/>
      <c r="AD298" s="122"/>
      <c r="AE298" s="122"/>
      <c r="AF298" s="122"/>
      <c r="AG298" s="122"/>
      <c r="AH298" s="122"/>
      <c r="AI298" s="122"/>
      <c r="AJ298" s="93"/>
      <c r="AK298" s="93"/>
      <c r="AL298" s="90"/>
      <c r="AM298" s="122"/>
      <c r="AN298" s="122"/>
      <c r="AO298" s="122"/>
      <c r="AP298" s="122"/>
      <c r="AQ298" s="122"/>
      <c r="AR298" s="122"/>
      <c r="AS298" s="122"/>
      <c r="AT298" s="122"/>
      <c r="AU298" s="122"/>
      <c r="AV298" s="93"/>
      <c r="AW298" s="93"/>
      <c r="AX298" s="90"/>
      <c r="AY298" s="122"/>
      <c r="AZ298" s="122"/>
      <c r="BA298" s="122"/>
      <c r="BB298" s="122"/>
      <c r="BC298" s="122"/>
      <c r="BD298" s="122"/>
      <c r="BE298" s="122"/>
      <c r="BF298" s="122"/>
      <c r="BG298" s="122"/>
      <c r="BH298" s="1"/>
    </row>
    <row r="299" spans="1:60" x14ac:dyDescent="0.2">
      <c r="A299" s="648"/>
      <c r="B299" s="492" t="s">
        <v>352</v>
      </c>
      <c r="C299" s="656" t="s">
        <v>104</v>
      </c>
      <c r="D299" s="747"/>
      <c r="E299" s="90"/>
      <c r="F299" s="90"/>
      <c r="G299" s="90"/>
      <c r="H299" s="96"/>
      <c r="I299" s="90"/>
      <c r="J299" s="93"/>
      <c r="K299" s="90"/>
      <c r="L299" s="90"/>
      <c r="M299" s="93"/>
      <c r="N299" s="90"/>
      <c r="O299" s="93"/>
      <c r="P299" s="93"/>
      <c r="Q299" s="93"/>
      <c r="R299" s="93"/>
      <c r="S299" s="93"/>
      <c r="T299" s="93"/>
      <c r="U299" s="93"/>
      <c r="V299" s="93"/>
      <c r="W299" s="93"/>
      <c r="X299" s="93"/>
      <c r="Y299" s="93"/>
      <c r="Z299" s="90"/>
      <c r="AA299" s="93"/>
      <c r="AB299" s="93"/>
      <c r="AC299" s="93"/>
      <c r="AD299" s="93"/>
      <c r="AE299" s="93"/>
      <c r="AF299" s="93"/>
      <c r="AG299" s="93"/>
      <c r="AH299" s="93"/>
      <c r="AI299" s="93"/>
      <c r="AJ299" s="93"/>
      <c r="AK299" s="93"/>
      <c r="AL299" s="90"/>
      <c r="AM299" s="93"/>
      <c r="AN299" s="93"/>
      <c r="AO299" s="93"/>
      <c r="AP299" s="93"/>
      <c r="AQ299" s="93"/>
      <c r="AR299" s="93"/>
      <c r="AS299" s="93"/>
      <c r="AT299" s="93"/>
      <c r="AU299" s="93"/>
      <c r="AV299" s="93"/>
      <c r="AW299" s="93"/>
      <c r="AX299" s="90"/>
      <c r="AY299" s="93"/>
      <c r="AZ299" s="93"/>
      <c r="BA299" s="93"/>
      <c r="BB299" s="93"/>
      <c r="BC299" s="93"/>
      <c r="BD299" s="93"/>
      <c r="BE299" s="93"/>
      <c r="BF299" s="93"/>
      <c r="BG299" s="93"/>
      <c r="BH299" s="1"/>
    </row>
    <row r="300" spans="1:60" s="2" customFormat="1" ht="21" x14ac:dyDescent="0.2">
      <c r="A300" s="649"/>
      <c r="B300" s="492" t="s">
        <v>352</v>
      </c>
      <c r="C300" s="739" t="s">
        <v>104</v>
      </c>
      <c r="D300" s="749" t="s">
        <v>50</v>
      </c>
      <c r="E300" s="253" t="s">
        <v>353</v>
      </c>
      <c r="F300" s="253"/>
      <c r="G300" s="253"/>
      <c r="H300" s="253"/>
      <c r="I300" s="146"/>
      <c r="J300" s="318" t="str">
        <f>J$10&amp;" ton CO2"</f>
        <v>totaal ton CO2</v>
      </c>
      <c r="K300" s="142"/>
      <c r="L300" s="142"/>
      <c r="M300" s="318" t="str">
        <f>M$10&amp;" ton CO2"</f>
        <v>totaal ton CO2</v>
      </c>
      <c r="N300" s="222"/>
      <c r="O300" s="320" t="str">
        <f t="shared" ref="O300:W300" si="314">O$17</f>
        <v/>
      </c>
      <c r="P300" s="320" t="str">
        <f t="shared" si="314"/>
        <v/>
      </c>
      <c r="Q300" s="320" t="str">
        <f t="shared" si="314"/>
        <v/>
      </c>
      <c r="R300" s="320" t="str">
        <f t="shared" si="314"/>
        <v/>
      </c>
      <c r="S300" s="320" t="str">
        <f t="shared" si="314"/>
        <v/>
      </c>
      <c r="T300" s="320" t="str">
        <f t="shared" si="314"/>
        <v/>
      </c>
      <c r="U300" s="320" t="str">
        <f t="shared" si="314"/>
        <v/>
      </c>
      <c r="V300" s="320" t="str">
        <f t="shared" si="314"/>
        <v/>
      </c>
      <c r="W300" s="320" t="str">
        <f t="shared" si="314"/>
        <v/>
      </c>
      <c r="X300" s="214"/>
      <c r="Y300" s="318" t="str">
        <f>Y$10&amp;" ton CO2"</f>
        <v>totaal ton CO2</v>
      </c>
      <c r="Z300" s="222"/>
      <c r="AA300" s="320" t="str">
        <f t="shared" ref="AA300:AI300" si="315">AA$17</f>
        <v/>
      </c>
      <c r="AB300" s="320" t="str">
        <f t="shared" si="315"/>
        <v/>
      </c>
      <c r="AC300" s="320" t="str">
        <f t="shared" si="315"/>
        <v/>
      </c>
      <c r="AD300" s="320" t="str">
        <f t="shared" si="315"/>
        <v/>
      </c>
      <c r="AE300" s="320" t="str">
        <f t="shared" si="315"/>
        <v/>
      </c>
      <c r="AF300" s="320" t="str">
        <f t="shared" si="315"/>
        <v/>
      </c>
      <c r="AG300" s="320" t="str">
        <f t="shared" si="315"/>
        <v/>
      </c>
      <c r="AH300" s="320" t="str">
        <f t="shared" si="315"/>
        <v/>
      </c>
      <c r="AI300" s="320" t="str">
        <f t="shared" si="315"/>
        <v/>
      </c>
      <c r="AJ300" s="214"/>
      <c r="AK300" s="318" t="str">
        <f>AK$10&amp;" ton CO2"</f>
        <v>totaal ton CO2</v>
      </c>
      <c r="AL300" s="222"/>
      <c r="AM300" s="320" t="str">
        <f>AM$17</f>
        <v/>
      </c>
      <c r="AN300" s="320" t="str">
        <f t="shared" ref="AN300:AU300" si="316">AN$17</f>
        <v/>
      </c>
      <c r="AO300" s="320" t="str">
        <f t="shared" si="316"/>
        <v/>
      </c>
      <c r="AP300" s="320" t="str">
        <f t="shared" si="316"/>
        <v/>
      </c>
      <c r="AQ300" s="320" t="str">
        <f t="shared" si="316"/>
        <v/>
      </c>
      <c r="AR300" s="320" t="str">
        <f t="shared" si="316"/>
        <v/>
      </c>
      <c r="AS300" s="320" t="str">
        <f t="shared" si="316"/>
        <v/>
      </c>
      <c r="AT300" s="320" t="str">
        <f t="shared" si="316"/>
        <v/>
      </c>
      <c r="AU300" s="320" t="str">
        <f t="shared" si="316"/>
        <v/>
      </c>
      <c r="AV300" s="214"/>
      <c r="AW300" s="318" t="str">
        <f>AW$10&amp;" ton CO2"</f>
        <v>totaal ton CO2</v>
      </c>
      <c r="AX300" s="222"/>
      <c r="AY300" s="320" t="str">
        <f>AY$17</f>
        <v/>
      </c>
      <c r="AZ300" s="320" t="str">
        <f t="shared" ref="AZ300:BG300" si="317">AZ$17</f>
        <v/>
      </c>
      <c r="BA300" s="320" t="str">
        <f t="shared" si="317"/>
        <v/>
      </c>
      <c r="BB300" s="320" t="str">
        <f t="shared" si="317"/>
        <v/>
      </c>
      <c r="BC300" s="320" t="str">
        <f t="shared" si="317"/>
        <v/>
      </c>
      <c r="BD300" s="320" t="str">
        <f t="shared" si="317"/>
        <v/>
      </c>
      <c r="BE300" s="320" t="str">
        <f t="shared" si="317"/>
        <v/>
      </c>
      <c r="BF300" s="320" t="str">
        <f t="shared" si="317"/>
        <v/>
      </c>
      <c r="BG300" s="320" t="str">
        <f t="shared" si="317"/>
        <v/>
      </c>
      <c r="BH300" s="1"/>
    </row>
    <row r="301" spans="1:60" ht="18.75" x14ac:dyDescent="0.2">
      <c r="A301" s="648"/>
      <c r="B301" s="492" t="s">
        <v>352</v>
      </c>
      <c r="C301" s="739" t="s">
        <v>104</v>
      </c>
      <c r="D301" s="747"/>
      <c r="E301" s="236" t="s">
        <v>354</v>
      </c>
      <c r="F301" s="236"/>
      <c r="G301" s="236"/>
      <c r="H301" s="89"/>
      <c r="I301" s="236"/>
      <c r="J301" s="236"/>
      <c r="K301" s="236"/>
      <c r="L301" s="236"/>
      <c r="M301" s="236"/>
      <c r="N301" s="236"/>
      <c r="O301" s="236"/>
      <c r="P301" s="236"/>
      <c r="Q301" s="236"/>
      <c r="R301" s="236"/>
      <c r="S301" s="236"/>
      <c r="T301" s="236"/>
      <c r="U301" s="236"/>
      <c r="V301" s="236"/>
      <c r="W301" s="236"/>
      <c r="X301" s="236"/>
      <c r="Y301" s="236"/>
      <c r="Z301" s="236"/>
      <c r="AA301" s="236"/>
      <c r="AB301" s="236"/>
      <c r="AC301" s="236"/>
      <c r="AD301" s="236"/>
      <c r="AE301" s="236"/>
      <c r="AF301" s="236"/>
      <c r="AG301" s="236"/>
      <c r="AH301" s="236"/>
      <c r="AI301" s="236"/>
      <c r="AJ301" s="236"/>
      <c r="AK301" s="236"/>
      <c r="AL301" s="236"/>
      <c r="AM301" s="236"/>
      <c r="AN301" s="236"/>
      <c r="AO301" s="236"/>
      <c r="AP301" s="236"/>
      <c r="AQ301" s="236"/>
      <c r="AR301" s="236"/>
      <c r="AS301" s="236"/>
      <c r="AT301" s="236"/>
      <c r="AU301" s="236"/>
      <c r="AV301" s="236"/>
      <c r="AW301" s="236"/>
      <c r="AX301" s="236"/>
      <c r="AY301" s="236"/>
      <c r="AZ301" s="236"/>
      <c r="BA301" s="236"/>
      <c r="BB301" s="236"/>
      <c r="BC301" s="236"/>
      <c r="BD301" s="236"/>
      <c r="BE301" s="236"/>
      <c r="BF301" s="236"/>
      <c r="BG301" s="236"/>
      <c r="BH301" s="38"/>
    </row>
    <row r="302" spans="1:60" x14ac:dyDescent="0.2">
      <c r="A302" s="648"/>
      <c r="B302" s="492" t="s">
        <v>352</v>
      </c>
      <c r="C302" s="656" t="s">
        <v>113</v>
      </c>
      <c r="D302" s="750"/>
      <c r="E302" s="367" t="str">
        <f>$O$73</f>
        <v>verwarming</v>
      </c>
      <c r="F302" s="246"/>
      <c r="G302" s="246"/>
      <c r="H302" s="247" t="s">
        <v>355</v>
      </c>
      <c r="I302" s="248"/>
      <c r="J302" s="375">
        <f t="shared" ref="J302:J310" si="318">M302+Y302+AK302+AW302</f>
        <v>0</v>
      </c>
      <c r="K302" s="376"/>
      <c r="L302" s="376"/>
      <c r="M302" s="375">
        <f t="shared" ref="M302:M309" si="319">SUMPRODUCT(N302:X302,N$24:X$24,N$31:X$31)/1000</f>
        <v>0</v>
      </c>
      <c r="N302" s="376"/>
      <c r="O302" s="254">
        <f t="shared" ref="O302:W302" si="320">IF($O$75=0,0,
($O$121+$O$146+$O$162)/$O$75*O60)</f>
        <v>0</v>
      </c>
      <c r="P302" s="254">
        <f t="shared" si="320"/>
        <v>0</v>
      </c>
      <c r="Q302" s="254">
        <f t="shared" si="320"/>
        <v>0</v>
      </c>
      <c r="R302" s="254">
        <f t="shared" si="320"/>
        <v>0</v>
      </c>
      <c r="S302" s="254">
        <f t="shared" si="320"/>
        <v>0</v>
      </c>
      <c r="T302" s="254">
        <f t="shared" si="320"/>
        <v>0</v>
      </c>
      <c r="U302" s="254">
        <f t="shared" si="320"/>
        <v>0</v>
      </c>
      <c r="V302" s="254">
        <f t="shared" si="320"/>
        <v>0</v>
      </c>
      <c r="W302" s="254">
        <f t="shared" si="320"/>
        <v>0</v>
      </c>
      <c r="X302" s="255"/>
      <c r="Y302" s="375">
        <f t="shared" ref="Y302:Y309" si="321">SUMPRODUCT(Z302:AJ302,Z$24:AJ$24,Z$31:AJ$31)/1000</f>
        <v>0</v>
      </c>
      <c r="Z302" s="376"/>
      <c r="AA302" s="254">
        <f t="shared" ref="AA302:AI302" si="322">IF($AA$75=0,0,
($AA$121+$AA$146+$AA$162)/$AA$75*AA60)</f>
        <v>0</v>
      </c>
      <c r="AB302" s="254">
        <f t="shared" si="322"/>
        <v>0</v>
      </c>
      <c r="AC302" s="254">
        <f t="shared" si="322"/>
        <v>0</v>
      </c>
      <c r="AD302" s="254">
        <f t="shared" si="322"/>
        <v>0</v>
      </c>
      <c r="AE302" s="254">
        <f t="shared" si="322"/>
        <v>0</v>
      </c>
      <c r="AF302" s="254">
        <f t="shared" si="322"/>
        <v>0</v>
      </c>
      <c r="AG302" s="254">
        <f t="shared" si="322"/>
        <v>0</v>
      </c>
      <c r="AH302" s="254">
        <f t="shared" si="322"/>
        <v>0</v>
      </c>
      <c r="AI302" s="254">
        <f t="shared" si="322"/>
        <v>0</v>
      </c>
      <c r="AJ302" s="255"/>
      <c r="AK302" s="375">
        <f t="shared" ref="AK302:AK309" si="323">SUMPRODUCT(AL302:AV302,AL$24:AV$24,AL$31:AV$31)/1000</f>
        <v>0</v>
      </c>
      <c r="AL302" s="213"/>
      <c r="AM302" s="254">
        <f t="shared" ref="AM302:AU302" si="324">IF($AM$75=0,0,
($AM$121+$AM$146+$AM$162)/$AM$75*AM60)</f>
        <v>0</v>
      </c>
      <c r="AN302" s="254">
        <f t="shared" si="324"/>
        <v>0</v>
      </c>
      <c r="AO302" s="254">
        <f t="shared" si="324"/>
        <v>0</v>
      </c>
      <c r="AP302" s="254">
        <f t="shared" si="324"/>
        <v>0</v>
      </c>
      <c r="AQ302" s="254">
        <f t="shared" si="324"/>
        <v>0</v>
      </c>
      <c r="AR302" s="254">
        <f t="shared" si="324"/>
        <v>0</v>
      </c>
      <c r="AS302" s="254">
        <f t="shared" si="324"/>
        <v>0</v>
      </c>
      <c r="AT302" s="254">
        <f t="shared" si="324"/>
        <v>0</v>
      </c>
      <c r="AU302" s="254">
        <f t="shared" si="324"/>
        <v>0</v>
      </c>
      <c r="AV302" s="255"/>
      <c r="AW302" s="375">
        <f t="shared" ref="AW302:AW309" si="325">SUMPRODUCT(AX302:BH302,AX$24:BH$24,AX$31:BH$31)/1000</f>
        <v>0</v>
      </c>
      <c r="AX302" s="213"/>
      <c r="AY302" s="254">
        <f t="shared" ref="AY302:BG302" si="326">IF($AY$75=0,0,
($AY$121+$AY$146+$AY$162)/$AY$75*AY60)</f>
        <v>0</v>
      </c>
      <c r="AZ302" s="254">
        <f t="shared" si="326"/>
        <v>0</v>
      </c>
      <c r="BA302" s="254">
        <f t="shared" si="326"/>
        <v>0</v>
      </c>
      <c r="BB302" s="254">
        <f t="shared" si="326"/>
        <v>0</v>
      </c>
      <c r="BC302" s="254">
        <f t="shared" si="326"/>
        <v>0</v>
      </c>
      <c r="BD302" s="254">
        <f t="shared" si="326"/>
        <v>0</v>
      </c>
      <c r="BE302" s="254">
        <f t="shared" si="326"/>
        <v>0</v>
      </c>
      <c r="BF302" s="254">
        <f t="shared" si="326"/>
        <v>0</v>
      </c>
      <c r="BG302" s="254">
        <f t="shared" si="326"/>
        <v>0</v>
      </c>
      <c r="BH302" s="255"/>
    </row>
    <row r="303" spans="1:60" x14ac:dyDescent="0.2">
      <c r="A303" s="648"/>
      <c r="B303" s="492" t="s">
        <v>352</v>
      </c>
      <c r="C303" s="656" t="s">
        <v>113</v>
      </c>
      <c r="D303" s="750"/>
      <c r="E303" s="367" t="str">
        <f>$P$73</f>
        <v>koeling</v>
      </c>
      <c r="F303" s="246"/>
      <c r="G303" s="246"/>
      <c r="H303" s="247" t="s">
        <v>355</v>
      </c>
      <c r="I303" s="248"/>
      <c r="J303" s="375">
        <f t="shared" si="318"/>
        <v>0</v>
      </c>
      <c r="K303" s="376"/>
      <c r="L303" s="376"/>
      <c r="M303" s="375">
        <f t="shared" si="319"/>
        <v>0</v>
      </c>
      <c r="N303" s="376"/>
      <c r="O303" s="254">
        <f t="shared" ref="O303:W303" si="327">IF($P$75=0,0,
($P$121+$P$146+$P$162)/$P$75*O61)</f>
        <v>0</v>
      </c>
      <c r="P303" s="254">
        <f t="shared" si="327"/>
        <v>0</v>
      </c>
      <c r="Q303" s="254">
        <f t="shared" si="327"/>
        <v>0</v>
      </c>
      <c r="R303" s="254">
        <f t="shared" si="327"/>
        <v>0</v>
      </c>
      <c r="S303" s="254">
        <f t="shared" si="327"/>
        <v>0</v>
      </c>
      <c r="T303" s="254">
        <f t="shared" si="327"/>
        <v>0</v>
      </c>
      <c r="U303" s="254">
        <f t="shared" si="327"/>
        <v>0</v>
      </c>
      <c r="V303" s="254">
        <f t="shared" si="327"/>
        <v>0</v>
      </c>
      <c r="W303" s="254">
        <f t="shared" si="327"/>
        <v>0</v>
      </c>
      <c r="X303" s="255"/>
      <c r="Y303" s="375">
        <f t="shared" si="321"/>
        <v>0</v>
      </c>
      <c r="Z303" s="376"/>
      <c r="AA303" s="254">
        <f t="shared" ref="AA303:AI303" si="328">IF($AB$75=0,0,
($AB$121+$AB$146+$AB$162)/$AB$75*AA61)</f>
        <v>0</v>
      </c>
      <c r="AB303" s="254">
        <f t="shared" si="328"/>
        <v>0</v>
      </c>
      <c r="AC303" s="254">
        <f t="shared" si="328"/>
        <v>0</v>
      </c>
      <c r="AD303" s="254">
        <f t="shared" si="328"/>
        <v>0</v>
      </c>
      <c r="AE303" s="254">
        <f t="shared" si="328"/>
        <v>0</v>
      </c>
      <c r="AF303" s="254">
        <f t="shared" si="328"/>
        <v>0</v>
      </c>
      <c r="AG303" s="254">
        <f t="shared" si="328"/>
        <v>0</v>
      </c>
      <c r="AH303" s="254">
        <f t="shared" si="328"/>
        <v>0</v>
      </c>
      <c r="AI303" s="254">
        <f t="shared" si="328"/>
        <v>0</v>
      </c>
      <c r="AJ303" s="255"/>
      <c r="AK303" s="375">
        <f t="shared" si="323"/>
        <v>0</v>
      </c>
      <c r="AL303" s="213"/>
      <c r="AM303" s="254">
        <f t="shared" ref="AM303:AU303" si="329">IF($AN$75=0,0,
($AN$121+$AN$146+$AN$162)/$AN$75*AM61)</f>
        <v>0</v>
      </c>
      <c r="AN303" s="254">
        <f t="shared" si="329"/>
        <v>0</v>
      </c>
      <c r="AO303" s="254">
        <f t="shared" si="329"/>
        <v>0</v>
      </c>
      <c r="AP303" s="254">
        <f t="shared" si="329"/>
        <v>0</v>
      </c>
      <c r="AQ303" s="254">
        <f t="shared" si="329"/>
        <v>0</v>
      </c>
      <c r="AR303" s="254">
        <f t="shared" si="329"/>
        <v>0</v>
      </c>
      <c r="AS303" s="254">
        <f t="shared" si="329"/>
        <v>0</v>
      </c>
      <c r="AT303" s="254">
        <f t="shared" si="329"/>
        <v>0</v>
      </c>
      <c r="AU303" s="254">
        <f t="shared" si="329"/>
        <v>0</v>
      </c>
      <c r="AV303" s="255"/>
      <c r="AW303" s="375">
        <f t="shared" si="325"/>
        <v>0</v>
      </c>
      <c r="AX303" s="213"/>
      <c r="AY303" s="254">
        <f t="shared" ref="AY303:BG303" si="330">IF($AZ$75=0,0,
($AZ$121+$AZ$146+$AZ$162)/$AZ$75*AY61)</f>
        <v>0</v>
      </c>
      <c r="AZ303" s="254">
        <f t="shared" si="330"/>
        <v>0</v>
      </c>
      <c r="BA303" s="254">
        <f t="shared" si="330"/>
        <v>0</v>
      </c>
      <c r="BB303" s="254">
        <f t="shared" si="330"/>
        <v>0</v>
      </c>
      <c r="BC303" s="254">
        <f t="shared" si="330"/>
        <v>0</v>
      </c>
      <c r="BD303" s="254">
        <f t="shared" si="330"/>
        <v>0</v>
      </c>
      <c r="BE303" s="254">
        <f t="shared" si="330"/>
        <v>0</v>
      </c>
      <c r="BF303" s="254">
        <f t="shared" si="330"/>
        <v>0</v>
      </c>
      <c r="BG303" s="254">
        <f t="shared" si="330"/>
        <v>0</v>
      </c>
      <c r="BH303" s="255"/>
    </row>
    <row r="304" spans="1:60" x14ac:dyDescent="0.2">
      <c r="A304" s="648"/>
      <c r="B304" s="492" t="s">
        <v>352</v>
      </c>
      <c r="C304" s="656" t="s">
        <v>113</v>
      </c>
      <c r="D304" s="750"/>
      <c r="E304" s="367" t="str">
        <f>$Q$73</f>
        <v>tapwater</v>
      </c>
      <c r="F304" s="246"/>
      <c r="G304" s="246"/>
      <c r="H304" s="247" t="s">
        <v>355</v>
      </c>
      <c r="I304" s="248"/>
      <c r="J304" s="375">
        <f t="shared" si="318"/>
        <v>0</v>
      </c>
      <c r="K304" s="376"/>
      <c r="L304" s="376"/>
      <c r="M304" s="375">
        <f t="shared" si="319"/>
        <v>0</v>
      </c>
      <c r="N304" s="376"/>
      <c r="O304" s="254">
        <f t="shared" ref="O304:W304" si="331">IF($Q$75=0,0,
($Q$121+$Q$146+$Q$162)/$Q$75*O62)</f>
        <v>0</v>
      </c>
      <c r="P304" s="254">
        <f t="shared" si="331"/>
        <v>0</v>
      </c>
      <c r="Q304" s="254">
        <f t="shared" si="331"/>
        <v>0</v>
      </c>
      <c r="R304" s="254">
        <f t="shared" si="331"/>
        <v>0</v>
      </c>
      <c r="S304" s="254">
        <f t="shared" si="331"/>
        <v>0</v>
      </c>
      <c r="T304" s="254">
        <f t="shared" si="331"/>
        <v>0</v>
      </c>
      <c r="U304" s="254">
        <f t="shared" si="331"/>
        <v>0</v>
      </c>
      <c r="V304" s="254">
        <f t="shared" si="331"/>
        <v>0</v>
      </c>
      <c r="W304" s="254">
        <f t="shared" si="331"/>
        <v>0</v>
      </c>
      <c r="X304" s="255"/>
      <c r="Y304" s="375">
        <f t="shared" si="321"/>
        <v>0</v>
      </c>
      <c r="Z304" s="376"/>
      <c r="AA304" s="254">
        <f t="shared" ref="AA304:AI304" si="332">IF($AC$75=0,0,
($AC$121+$AC$146+$AC$162)/$AC$75*AA62)</f>
        <v>0</v>
      </c>
      <c r="AB304" s="254">
        <f t="shared" si="332"/>
        <v>0</v>
      </c>
      <c r="AC304" s="254">
        <f t="shared" si="332"/>
        <v>0</v>
      </c>
      <c r="AD304" s="254">
        <f t="shared" si="332"/>
        <v>0</v>
      </c>
      <c r="AE304" s="254">
        <f t="shared" si="332"/>
        <v>0</v>
      </c>
      <c r="AF304" s="254">
        <f t="shared" si="332"/>
        <v>0</v>
      </c>
      <c r="AG304" s="254">
        <f t="shared" si="332"/>
        <v>0</v>
      </c>
      <c r="AH304" s="254">
        <f t="shared" si="332"/>
        <v>0</v>
      </c>
      <c r="AI304" s="254">
        <f t="shared" si="332"/>
        <v>0</v>
      </c>
      <c r="AJ304" s="255"/>
      <c r="AK304" s="375">
        <f t="shared" si="323"/>
        <v>0</v>
      </c>
      <c r="AL304" s="213"/>
      <c r="AM304" s="254">
        <f t="shared" ref="AM304:AU304" si="333">IF($AO$75=0,0,
($AO$121+$AO$146+$AO$162)/$AO$75*AM62)</f>
        <v>0</v>
      </c>
      <c r="AN304" s="254">
        <f t="shared" si="333"/>
        <v>0</v>
      </c>
      <c r="AO304" s="254">
        <f t="shared" si="333"/>
        <v>0</v>
      </c>
      <c r="AP304" s="254">
        <f t="shared" si="333"/>
        <v>0</v>
      </c>
      <c r="AQ304" s="254">
        <f t="shared" si="333"/>
        <v>0</v>
      </c>
      <c r="AR304" s="254">
        <f t="shared" si="333"/>
        <v>0</v>
      </c>
      <c r="AS304" s="254">
        <f t="shared" si="333"/>
        <v>0</v>
      </c>
      <c r="AT304" s="254">
        <f t="shared" si="333"/>
        <v>0</v>
      </c>
      <c r="AU304" s="254">
        <f t="shared" si="333"/>
        <v>0</v>
      </c>
      <c r="AV304" s="255"/>
      <c r="AW304" s="375">
        <f t="shared" si="325"/>
        <v>0</v>
      </c>
      <c r="AX304" s="213"/>
      <c r="AY304" s="254">
        <f t="shared" ref="AY304:BG304" si="334">IF($BA$75=0,0,
($BA$121+$BA$146+$BA$162)/$BA$75*AY62)</f>
        <v>0</v>
      </c>
      <c r="AZ304" s="254">
        <f t="shared" si="334"/>
        <v>0</v>
      </c>
      <c r="BA304" s="254">
        <f t="shared" si="334"/>
        <v>0</v>
      </c>
      <c r="BB304" s="254">
        <f t="shared" si="334"/>
        <v>0</v>
      </c>
      <c r="BC304" s="254">
        <f t="shared" si="334"/>
        <v>0</v>
      </c>
      <c r="BD304" s="254">
        <f t="shared" si="334"/>
        <v>0</v>
      </c>
      <c r="BE304" s="254">
        <f t="shared" si="334"/>
        <v>0</v>
      </c>
      <c r="BF304" s="254">
        <f t="shared" si="334"/>
        <v>0</v>
      </c>
      <c r="BG304" s="254">
        <f t="shared" si="334"/>
        <v>0</v>
      </c>
      <c r="BH304" s="255"/>
    </row>
    <row r="305" spans="1:60" x14ac:dyDescent="0.2">
      <c r="A305" s="648"/>
      <c r="B305" s="492" t="s">
        <v>352</v>
      </c>
      <c r="C305" s="656" t="s">
        <v>113</v>
      </c>
      <c r="D305" s="750"/>
      <c r="E305" s="367" t="str">
        <f>$R$73</f>
        <v>verlichting</v>
      </c>
      <c r="F305" s="246"/>
      <c r="G305" s="246"/>
      <c r="H305" s="247" t="s">
        <v>355</v>
      </c>
      <c r="I305" s="248"/>
      <c r="J305" s="375">
        <f t="shared" si="318"/>
        <v>0</v>
      </c>
      <c r="K305" s="376"/>
      <c r="L305" s="376"/>
      <c r="M305" s="375">
        <f t="shared" si="319"/>
        <v>0</v>
      </c>
      <c r="N305" s="376"/>
      <c r="O305" s="254">
        <f t="shared" ref="O305:W305" si="335">IF($R$75=0,0,$R$162/$R$75*O63)</f>
        <v>0</v>
      </c>
      <c r="P305" s="254">
        <f t="shared" si="335"/>
        <v>0</v>
      </c>
      <c r="Q305" s="254">
        <f t="shared" si="335"/>
        <v>0</v>
      </c>
      <c r="R305" s="254">
        <f t="shared" si="335"/>
        <v>0</v>
      </c>
      <c r="S305" s="254">
        <f t="shared" si="335"/>
        <v>0</v>
      </c>
      <c r="T305" s="254">
        <f t="shared" si="335"/>
        <v>0</v>
      </c>
      <c r="U305" s="254">
        <f t="shared" si="335"/>
        <v>0</v>
      </c>
      <c r="V305" s="254">
        <f t="shared" si="335"/>
        <v>0</v>
      </c>
      <c r="W305" s="254">
        <f t="shared" si="335"/>
        <v>0</v>
      </c>
      <c r="X305" s="255"/>
      <c r="Y305" s="375">
        <f t="shared" si="321"/>
        <v>0</v>
      </c>
      <c r="Z305" s="376"/>
      <c r="AA305" s="254">
        <f t="shared" ref="AA305:AI305" si="336">IF($AD$75=0,0,$AD$162/$AD$75*AA63)</f>
        <v>0</v>
      </c>
      <c r="AB305" s="254">
        <f t="shared" si="336"/>
        <v>0</v>
      </c>
      <c r="AC305" s="254">
        <f t="shared" si="336"/>
        <v>0</v>
      </c>
      <c r="AD305" s="254">
        <f t="shared" si="336"/>
        <v>0</v>
      </c>
      <c r="AE305" s="254">
        <f t="shared" si="336"/>
        <v>0</v>
      </c>
      <c r="AF305" s="254">
        <f t="shared" si="336"/>
        <v>0</v>
      </c>
      <c r="AG305" s="254">
        <f t="shared" si="336"/>
        <v>0</v>
      </c>
      <c r="AH305" s="254">
        <f t="shared" si="336"/>
        <v>0</v>
      </c>
      <c r="AI305" s="254">
        <f t="shared" si="336"/>
        <v>0</v>
      </c>
      <c r="AJ305" s="255"/>
      <c r="AK305" s="375">
        <f t="shared" si="323"/>
        <v>0</v>
      </c>
      <c r="AL305" s="213"/>
      <c r="AM305" s="254">
        <f t="shared" ref="AM305:AU305" si="337">IF($AP$75=0,0,$AP$162/$AP$75*AM63)</f>
        <v>0</v>
      </c>
      <c r="AN305" s="254">
        <f t="shared" si="337"/>
        <v>0</v>
      </c>
      <c r="AO305" s="254">
        <f t="shared" si="337"/>
        <v>0</v>
      </c>
      <c r="AP305" s="254">
        <f t="shared" si="337"/>
        <v>0</v>
      </c>
      <c r="AQ305" s="254">
        <f t="shared" si="337"/>
        <v>0</v>
      </c>
      <c r="AR305" s="254">
        <f t="shared" si="337"/>
        <v>0</v>
      </c>
      <c r="AS305" s="254">
        <f t="shared" si="337"/>
        <v>0</v>
      </c>
      <c r="AT305" s="254">
        <f t="shared" si="337"/>
        <v>0</v>
      </c>
      <c r="AU305" s="254">
        <f t="shared" si="337"/>
        <v>0</v>
      </c>
      <c r="AV305" s="255"/>
      <c r="AW305" s="375">
        <f t="shared" si="325"/>
        <v>0</v>
      </c>
      <c r="AX305" s="213"/>
      <c r="AY305" s="254">
        <f t="shared" ref="AY305:BG305" si="338">IF($BB$75=0,0,$BB$162/$BB$75*AY63)</f>
        <v>0</v>
      </c>
      <c r="AZ305" s="254">
        <f t="shared" si="338"/>
        <v>0</v>
      </c>
      <c r="BA305" s="254">
        <f t="shared" si="338"/>
        <v>0</v>
      </c>
      <c r="BB305" s="254">
        <f t="shared" si="338"/>
        <v>0</v>
      </c>
      <c r="BC305" s="254">
        <f t="shared" si="338"/>
        <v>0</v>
      </c>
      <c r="BD305" s="254">
        <f t="shared" si="338"/>
        <v>0</v>
      </c>
      <c r="BE305" s="254">
        <f t="shared" si="338"/>
        <v>0</v>
      </c>
      <c r="BF305" s="254">
        <f t="shared" si="338"/>
        <v>0</v>
      </c>
      <c r="BG305" s="254">
        <f t="shared" si="338"/>
        <v>0</v>
      </c>
      <c r="BH305" s="255"/>
    </row>
    <row r="306" spans="1:60" x14ac:dyDescent="0.2">
      <c r="A306" s="648"/>
      <c r="B306" s="492" t="s">
        <v>352</v>
      </c>
      <c r="C306" s="656" t="s">
        <v>113</v>
      </c>
      <c r="D306" s="750"/>
      <c r="E306" s="367" t="str">
        <f>$S$73</f>
        <v>ventilatoren</v>
      </c>
      <c r="F306" s="246"/>
      <c r="G306" s="246"/>
      <c r="H306" s="247" t="s">
        <v>355</v>
      </c>
      <c r="I306" s="248"/>
      <c r="J306" s="375">
        <f t="shared" si="318"/>
        <v>0</v>
      </c>
      <c r="K306" s="376"/>
      <c r="L306" s="376"/>
      <c r="M306" s="375">
        <f t="shared" si="319"/>
        <v>0</v>
      </c>
      <c r="N306" s="376"/>
      <c r="O306" s="254">
        <f t="shared" ref="O306:W306" si="339">IF($S$75=0,0,$S$162/$S$75*O64)</f>
        <v>0</v>
      </c>
      <c r="P306" s="254">
        <f t="shared" si="339"/>
        <v>0</v>
      </c>
      <c r="Q306" s="254">
        <f t="shared" si="339"/>
        <v>0</v>
      </c>
      <c r="R306" s="254">
        <f t="shared" si="339"/>
        <v>0</v>
      </c>
      <c r="S306" s="254">
        <f t="shared" si="339"/>
        <v>0</v>
      </c>
      <c r="T306" s="254">
        <f t="shared" si="339"/>
        <v>0</v>
      </c>
      <c r="U306" s="254">
        <f t="shared" si="339"/>
        <v>0</v>
      </c>
      <c r="V306" s="254">
        <f t="shared" si="339"/>
        <v>0</v>
      </c>
      <c r="W306" s="254">
        <f t="shared" si="339"/>
        <v>0</v>
      </c>
      <c r="X306" s="255"/>
      <c r="Y306" s="375">
        <f t="shared" si="321"/>
        <v>0</v>
      </c>
      <c r="Z306" s="376"/>
      <c r="AA306" s="254">
        <f t="shared" ref="AA306:AI306" si="340">IF($AE$75=0,0,$AE$162/$AE$75*AA64)</f>
        <v>0</v>
      </c>
      <c r="AB306" s="254">
        <f t="shared" si="340"/>
        <v>0</v>
      </c>
      <c r="AC306" s="254">
        <f t="shared" si="340"/>
        <v>0</v>
      </c>
      <c r="AD306" s="254">
        <f t="shared" si="340"/>
        <v>0</v>
      </c>
      <c r="AE306" s="254">
        <f t="shared" si="340"/>
        <v>0</v>
      </c>
      <c r="AF306" s="254">
        <f t="shared" si="340"/>
        <v>0</v>
      </c>
      <c r="AG306" s="254">
        <f t="shared" si="340"/>
        <v>0</v>
      </c>
      <c r="AH306" s="254">
        <f t="shared" si="340"/>
        <v>0</v>
      </c>
      <c r="AI306" s="254">
        <f t="shared" si="340"/>
        <v>0</v>
      </c>
      <c r="AJ306" s="255"/>
      <c r="AK306" s="375">
        <f t="shared" si="323"/>
        <v>0</v>
      </c>
      <c r="AL306" s="213"/>
      <c r="AM306" s="254">
        <f t="shared" ref="AM306:AU306" si="341">IF($AQ$75=0,0,$AQ$162/$AQ$75*AM64)</f>
        <v>0</v>
      </c>
      <c r="AN306" s="254">
        <f t="shared" si="341"/>
        <v>0</v>
      </c>
      <c r="AO306" s="254">
        <f t="shared" si="341"/>
        <v>0</v>
      </c>
      <c r="AP306" s="254">
        <f t="shared" si="341"/>
        <v>0</v>
      </c>
      <c r="AQ306" s="254">
        <f t="shared" si="341"/>
        <v>0</v>
      </c>
      <c r="AR306" s="254">
        <f t="shared" si="341"/>
        <v>0</v>
      </c>
      <c r="AS306" s="254">
        <f t="shared" si="341"/>
        <v>0</v>
      </c>
      <c r="AT306" s="254">
        <f t="shared" si="341"/>
        <v>0</v>
      </c>
      <c r="AU306" s="254">
        <f t="shared" si="341"/>
        <v>0</v>
      </c>
      <c r="AV306" s="255"/>
      <c r="AW306" s="375">
        <f t="shared" si="325"/>
        <v>0</v>
      </c>
      <c r="AX306" s="213"/>
      <c r="AY306" s="254">
        <f t="shared" ref="AY306:BG306" si="342">IF($BC$75=0,0,$BC$162/$BC$75*AY64)</f>
        <v>0</v>
      </c>
      <c r="AZ306" s="254">
        <f t="shared" si="342"/>
        <v>0</v>
      </c>
      <c r="BA306" s="254">
        <f t="shared" si="342"/>
        <v>0</v>
      </c>
      <c r="BB306" s="254">
        <f t="shared" si="342"/>
        <v>0</v>
      </c>
      <c r="BC306" s="254">
        <f t="shared" si="342"/>
        <v>0</v>
      </c>
      <c r="BD306" s="254">
        <f t="shared" si="342"/>
        <v>0</v>
      </c>
      <c r="BE306" s="254">
        <f t="shared" si="342"/>
        <v>0</v>
      </c>
      <c r="BF306" s="254">
        <f t="shared" si="342"/>
        <v>0</v>
      </c>
      <c r="BG306" s="254">
        <f t="shared" si="342"/>
        <v>0</v>
      </c>
      <c r="BH306" s="255"/>
    </row>
    <row r="307" spans="1:60" x14ac:dyDescent="0.2">
      <c r="A307" s="648"/>
      <c r="B307" s="492" t="s">
        <v>352</v>
      </c>
      <c r="C307" s="656" t="s">
        <v>113</v>
      </c>
      <c r="D307" s="750"/>
      <c r="E307" s="367" t="str">
        <f>$T$73</f>
        <v>kookgas</v>
      </c>
      <c r="F307" s="246"/>
      <c r="G307" s="246"/>
      <c r="H307" s="247" t="s">
        <v>355</v>
      </c>
      <c r="I307" s="248"/>
      <c r="J307" s="375">
        <f t="shared" si="318"/>
        <v>0</v>
      </c>
      <c r="K307" s="376"/>
      <c r="L307" s="376"/>
      <c r="M307" s="375">
        <f t="shared" si="319"/>
        <v>0</v>
      </c>
      <c r="N307" s="376"/>
      <c r="O307" s="254">
        <f t="shared" ref="O307:W307" si="343">IF($T$75=0,0,$T$162/$T$75*O65)</f>
        <v>0</v>
      </c>
      <c r="P307" s="254">
        <f t="shared" si="343"/>
        <v>0</v>
      </c>
      <c r="Q307" s="254">
        <f t="shared" si="343"/>
        <v>0</v>
      </c>
      <c r="R307" s="254">
        <f t="shared" si="343"/>
        <v>0</v>
      </c>
      <c r="S307" s="254">
        <f t="shared" si="343"/>
        <v>0</v>
      </c>
      <c r="T307" s="254">
        <f t="shared" si="343"/>
        <v>0</v>
      </c>
      <c r="U307" s="254">
        <f t="shared" si="343"/>
        <v>0</v>
      </c>
      <c r="V307" s="254">
        <f t="shared" si="343"/>
        <v>0</v>
      </c>
      <c r="W307" s="254">
        <f t="shared" si="343"/>
        <v>0</v>
      </c>
      <c r="X307" s="255"/>
      <c r="Y307" s="375">
        <f t="shared" si="321"/>
        <v>0</v>
      </c>
      <c r="Z307" s="376"/>
      <c r="AA307" s="254">
        <f t="shared" ref="AA307:AI307" si="344">IF($AF$75=0,0,$AF$162/$AF$75*AA65)</f>
        <v>0</v>
      </c>
      <c r="AB307" s="254">
        <f t="shared" si="344"/>
        <v>0</v>
      </c>
      <c r="AC307" s="254">
        <f t="shared" si="344"/>
        <v>0</v>
      </c>
      <c r="AD307" s="254">
        <f t="shared" si="344"/>
        <v>0</v>
      </c>
      <c r="AE307" s="254">
        <f t="shared" si="344"/>
        <v>0</v>
      </c>
      <c r="AF307" s="254">
        <f t="shared" si="344"/>
        <v>0</v>
      </c>
      <c r="AG307" s="254">
        <f t="shared" si="344"/>
        <v>0</v>
      </c>
      <c r="AH307" s="254">
        <f t="shared" si="344"/>
        <v>0</v>
      </c>
      <c r="AI307" s="254">
        <f t="shared" si="344"/>
        <v>0</v>
      </c>
      <c r="AJ307" s="255"/>
      <c r="AK307" s="375">
        <f t="shared" si="323"/>
        <v>0</v>
      </c>
      <c r="AL307" s="213"/>
      <c r="AM307" s="254">
        <f t="shared" ref="AM307:AU307" si="345">IF($AR$75=0,0,$AR$162/$AR$75*AM65)</f>
        <v>0</v>
      </c>
      <c r="AN307" s="254">
        <f t="shared" si="345"/>
        <v>0</v>
      </c>
      <c r="AO307" s="254">
        <f t="shared" si="345"/>
        <v>0</v>
      </c>
      <c r="AP307" s="254">
        <f t="shared" si="345"/>
        <v>0</v>
      </c>
      <c r="AQ307" s="254">
        <f t="shared" si="345"/>
        <v>0</v>
      </c>
      <c r="AR307" s="254">
        <f t="shared" si="345"/>
        <v>0</v>
      </c>
      <c r="AS307" s="254">
        <f t="shared" si="345"/>
        <v>0</v>
      </c>
      <c r="AT307" s="254">
        <f t="shared" si="345"/>
        <v>0</v>
      </c>
      <c r="AU307" s="254">
        <f t="shared" si="345"/>
        <v>0</v>
      </c>
      <c r="AV307" s="255"/>
      <c r="AW307" s="375">
        <f t="shared" si="325"/>
        <v>0</v>
      </c>
      <c r="AX307" s="213"/>
      <c r="AY307" s="254">
        <f t="shared" ref="AY307:BG307" si="346">IF($BD$75=0,0,$BD$162/$BD$75*AY65)</f>
        <v>0</v>
      </c>
      <c r="AZ307" s="254">
        <f t="shared" si="346"/>
        <v>0</v>
      </c>
      <c r="BA307" s="254">
        <f t="shared" si="346"/>
        <v>0</v>
      </c>
      <c r="BB307" s="254">
        <f t="shared" si="346"/>
        <v>0</v>
      </c>
      <c r="BC307" s="254">
        <f t="shared" si="346"/>
        <v>0</v>
      </c>
      <c r="BD307" s="254">
        <f t="shared" si="346"/>
        <v>0</v>
      </c>
      <c r="BE307" s="254">
        <f t="shared" si="346"/>
        <v>0</v>
      </c>
      <c r="BF307" s="254">
        <f t="shared" si="346"/>
        <v>0</v>
      </c>
      <c r="BG307" s="254">
        <f t="shared" si="346"/>
        <v>0</v>
      </c>
      <c r="BH307" s="255"/>
    </row>
    <row r="308" spans="1:60" x14ac:dyDescent="0.2">
      <c r="A308" s="648"/>
      <c r="B308" s="492" t="s">
        <v>352</v>
      </c>
      <c r="C308" s="656" t="s">
        <v>113</v>
      </c>
      <c r="D308" s="750"/>
      <c r="E308" s="367" t="str">
        <f>$U$73</f>
        <v>overig elektra</v>
      </c>
      <c r="F308" s="246"/>
      <c r="G308" s="246"/>
      <c r="H308" s="247" t="s">
        <v>355</v>
      </c>
      <c r="I308" s="248"/>
      <c r="J308" s="375">
        <f t="shared" si="318"/>
        <v>0</v>
      </c>
      <c r="K308" s="376"/>
      <c r="L308" s="376"/>
      <c r="M308" s="375">
        <f t="shared" si="319"/>
        <v>0</v>
      </c>
      <c r="N308" s="376"/>
      <c r="O308" s="254">
        <f t="shared" ref="O308:W308" si="347">IF($U$75=0,0,$U$162/$U$75*O66)</f>
        <v>0</v>
      </c>
      <c r="P308" s="254">
        <f t="shared" si="347"/>
        <v>0</v>
      </c>
      <c r="Q308" s="254">
        <f t="shared" si="347"/>
        <v>0</v>
      </c>
      <c r="R308" s="254">
        <f t="shared" si="347"/>
        <v>0</v>
      </c>
      <c r="S308" s="254">
        <f t="shared" si="347"/>
        <v>0</v>
      </c>
      <c r="T308" s="254">
        <f t="shared" si="347"/>
        <v>0</v>
      </c>
      <c r="U308" s="254">
        <f t="shared" si="347"/>
        <v>0</v>
      </c>
      <c r="V308" s="254">
        <f t="shared" si="347"/>
        <v>0</v>
      </c>
      <c r="W308" s="254">
        <f t="shared" si="347"/>
        <v>0</v>
      </c>
      <c r="X308" s="255"/>
      <c r="Y308" s="375">
        <f t="shared" si="321"/>
        <v>0</v>
      </c>
      <c r="Z308" s="376"/>
      <c r="AA308" s="254">
        <f t="shared" ref="AA308:AI308" si="348">IF($AG$75=0,0,$AG$162/$AG$75*AA66)</f>
        <v>0</v>
      </c>
      <c r="AB308" s="254">
        <f t="shared" si="348"/>
        <v>0</v>
      </c>
      <c r="AC308" s="254">
        <f t="shared" si="348"/>
        <v>0</v>
      </c>
      <c r="AD308" s="254">
        <f t="shared" si="348"/>
        <v>0</v>
      </c>
      <c r="AE308" s="254">
        <f t="shared" si="348"/>
        <v>0</v>
      </c>
      <c r="AF308" s="254">
        <f t="shared" si="348"/>
        <v>0</v>
      </c>
      <c r="AG308" s="254">
        <f t="shared" si="348"/>
        <v>0</v>
      </c>
      <c r="AH308" s="254">
        <f t="shared" si="348"/>
        <v>0</v>
      </c>
      <c r="AI308" s="254">
        <f t="shared" si="348"/>
        <v>0</v>
      </c>
      <c r="AJ308" s="255"/>
      <c r="AK308" s="375">
        <f t="shared" si="323"/>
        <v>0</v>
      </c>
      <c r="AL308" s="213"/>
      <c r="AM308" s="254">
        <f t="shared" ref="AM308:AU308" si="349">IF($AS$75=0,0,$AS$162/$AS$75*AM66)</f>
        <v>0</v>
      </c>
      <c r="AN308" s="254">
        <f t="shared" si="349"/>
        <v>0</v>
      </c>
      <c r="AO308" s="254">
        <f t="shared" si="349"/>
        <v>0</v>
      </c>
      <c r="AP308" s="254">
        <f t="shared" si="349"/>
        <v>0</v>
      </c>
      <c r="AQ308" s="254">
        <f t="shared" si="349"/>
        <v>0</v>
      </c>
      <c r="AR308" s="254">
        <f t="shared" si="349"/>
        <v>0</v>
      </c>
      <c r="AS308" s="254">
        <f t="shared" si="349"/>
        <v>0</v>
      </c>
      <c r="AT308" s="254">
        <f t="shared" si="349"/>
        <v>0</v>
      </c>
      <c r="AU308" s="254">
        <f t="shared" si="349"/>
        <v>0</v>
      </c>
      <c r="AV308" s="255"/>
      <c r="AW308" s="375">
        <f t="shared" si="325"/>
        <v>0</v>
      </c>
      <c r="AX308" s="213"/>
      <c r="AY308" s="254">
        <f t="shared" ref="AY308:BG308" si="350">IF($BE$75=0,0,$BE$162/$BE$75*AY66)</f>
        <v>0</v>
      </c>
      <c r="AZ308" s="254">
        <f t="shared" si="350"/>
        <v>0</v>
      </c>
      <c r="BA308" s="254">
        <f t="shared" si="350"/>
        <v>0</v>
      </c>
      <c r="BB308" s="254">
        <f t="shared" si="350"/>
        <v>0</v>
      </c>
      <c r="BC308" s="254">
        <f t="shared" si="350"/>
        <v>0</v>
      </c>
      <c r="BD308" s="254">
        <f t="shared" si="350"/>
        <v>0</v>
      </c>
      <c r="BE308" s="254">
        <f t="shared" si="350"/>
        <v>0</v>
      </c>
      <c r="BF308" s="254">
        <f t="shared" si="350"/>
        <v>0</v>
      </c>
      <c r="BG308" s="254">
        <f t="shared" si="350"/>
        <v>0</v>
      </c>
      <c r="BH308" s="255"/>
    </row>
    <row r="309" spans="1:60" x14ac:dyDescent="0.2">
      <c r="A309" s="648"/>
      <c r="B309" s="492" t="s">
        <v>352</v>
      </c>
      <c r="C309" s="656" t="s">
        <v>113</v>
      </c>
      <c r="D309" s="750"/>
      <c r="E309" s="367" t="str">
        <f>$V$73</f>
        <v>mobiliteit</v>
      </c>
      <c r="F309" s="246"/>
      <c r="G309" s="246"/>
      <c r="H309" s="247" t="s">
        <v>355</v>
      </c>
      <c r="I309" s="248"/>
      <c r="J309" s="375">
        <f t="shared" si="318"/>
        <v>0</v>
      </c>
      <c r="K309" s="376"/>
      <c r="L309" s="376"/>
      <c r="M309" s="375">
        <f t="shared" si="319"/>
        <v>0</v>
      </c>
      <c r="N309" s="376"/>
      <c r="O309" s="254">
        <f t="shared" ref="O309:W309" si="351">IF(OR($V$154=0,O$31=0),0,$V$162/$V$154*O$68/O$31)</f>
        <v>0</v>
      </c>
      <c r="P309" s="254">
        <f t="shared" si="351"/>
        <v>0</v>
      </c>
      <c r="Q309" s="254">
        <f t="shared" si="351"/>
        <v>0</v>
      </c>
      <c r="R309" s="254">
        <f t="shared" si="351"/>
        <v>0</v>
      </c>
      <c r="S309" s="254">
        <f t="shared" si="351"/>
        <v>0</v>
      </c>
      <c r="T309" s="254">
        <f t="shared" si="351"/>
        <v>0</v>
      </c>
      <c r="U309" s="254">
        <f t="shared" si="351"/>
        <v>0</v>
      </c>
      <c r="V309" s="254">
        <f t="shared" si="351"/>
        <v>0</v>
      </c>
      <c r="W309" s="254">
        <f t="shared" si="351"/>
        <v>0</v>
      </c>
      <c r="X309" s="255"/>
      <c r="Y309" s="375">
        <f t="shared" si="321"/>
        <v>0</v>
      </c>
      <c r="Z309" s="376"/>
      <c r="AA309" s="254">
        <f t="shared" ref="AA309:AI309" si="352">IF(OR($AH$154=0,AA$31=0),0,$AH$162/$AH$154*AA$68/AA$31)</f>
        <v>0</v>
      </c>
      <c r="AB309" s="254">
        <f t="shared" si="352"/>
        <v>0</v>
      </c>
      <c r="AC309" s="254">
        <f t="shared" si="352"/>
        <v>0</v>
      </c>
      <c r="AD309" s="254">
        <f t="shared" si="352"/>
        <v>0</v>
      </c>
      <c r="AE309" s="254">
        <f t="shared" si="352"/>
        <v>0</v>
      </c>
      <c r="AF309" s="254">
        <f t="shared" si="352"/>
        <v>0</v>
      </c>
      <c r="AG309" s="254">
        <f t="shared" si="352"/>
        <v>0</v>
      </c>
      <c r="AH309" s="254">
        <f t="shared" si="352"/>
        <v>0</v>
      </c>
      <c r="AI309" s="254">
        <f t="shared" si="352"/>
        <v>0</v>
      </c>
      <c r="AJ309" s="255"/>
      <c r="AK309" s="375">
        <f t="shared" si="323"/>
        <v>0</v>
      </c>
      <c r="AL309" s="213"/>
      <c r="AM309" s="254">
        <f t="shared" ref="AM309:AU309" si="353">IF(OR($AT$154=0,AM$31=0),0,$AT$162/$AT$154*AM$68/AM$31)</f>
        <v>0</v>
      </c>
      <c r="AN309" s="254">
        <f t="shared" si="353"/>
        <v>0</v>
      </c>
      <c r="AO309" s="254">
        <f t="shared" si="353"/>
        <v>0</v>
      </c>
      <c r="AP309" s="254">
        <f t="shared" si="353"/>
        <v>0</v>
      </c>
      <c r="AQ309" s="254">
        <f t="shared" si="353"/>
        <v>0</v>
      </c>
      <c r="AR309" s="254">
        <f t="shared" si="353"/>
        <v>0</v>
      </c>
      <c r="AS309" s="254">
        <f t="shared" si="353"/>
        <v>0</v>
      </c>
      <c r="AT309" s="254">
        <f t="shared" si="353"/>
        <v>0</v>
      </c>
      <c r="AU309" s="254">
        <f t="shared" si="353"/>
        <v>0</v>
      </c>
      <c r="AV309" s="255"/>
      <c r="AW309" s="375">
        <f t="shared" si="325"/>
        <v>0</v>
      </c>
      <c r="AX309" s="213"/>
      <c r="AY309" s="254">
        <f t="shared" ref="AY309:BG309" si="354">IF(OR($BF$154=0,AY$31=0),0,$BF$162/$BF$154*AY$68/AY$31)</f>
        <v>0</v>
      </c>
      <c r="AZ309" s="254">
        <f t="shared" si="354"/>
        <v>0</v>
      </c>
      <c r="BA309" s="254">
        <f t="shared" si="354"/>
        <v>0</v>
      </c>
      <c r="BB309" s="254">
        <f t="shared" si="354"/>
        <v>0</v>
      </c>
      <c r="BC309" s="254">
        <f t="shared" si="354"/>
        <v>0</v>
      </c>
      <c r="BD309" s="254">
        <f t="shared" si="354"/>
        <v>0</v>
      </c>
      <c r="BE309" s="254">
        <f t="shared" si="354"/>
        <v>0</v>
      </c>
      <c r="BF309" s="254">
        <f t="shared" si="354"/>
        <v>0</v>
      </c>
      <c r="BG309" s="254">
        <f t="shared" si="354"/>
        <v>0</v>
      </c>
      <c r="BH309" s="255"/>
    </row>
    <row r="310" spans="1:60" x14ac:dyDescent="0.2">
      <c r="A310" s="648"/>
      <c r="B310" s="492" t="s">
        <v>352</v>
      </c>
      <c r="C310" s="656" t="s">
        <v>113</v>
      </c>
      <c r="D310" s="750"/>
      <c r="E310" s="246" t="s">
        <v>356</v>
      </c>
      <c r="F310" s="246"/>
      <c r="G310" s="246"/>
      <c r="H310" s="247" t="s">
        <v>355</v>
      </c>
      <c r="I310" s="248"/>
      <c r="J310" s="375">
        <f t="shared" si="318"/>
        <v>0</v>
      </c>
      <c r="K310" s="376"/>
      <c r="L310" s="376"/>
      <c r="M310" s="375">
        <f>SUM(M302:M309)</f>
        <v>0</v>
      </c>
      <c r="N310" s="376"/>
      <c r="O310" s="254">
        <f t="shared" ref="O310:W310" si="355">SUM(O302:O309)</f>
        <v>0</v>
      </c>
      <c r="P310" s="254">
        <f t="shared" si="355"/>
        <v>0</v>
      </c>
      <c r="Q310" s="254">
        <f t="shared" si="355"/>
        <v>0</v>
      </c>
      <c r="R310" s="254">
        <f t="shared" si="355"/>
        <v>0</v>
      </c>
      <c r="S310" s="254">
        <f t="shared" si="355"/>
        <v>0</v>
      </c>
      <c r="T310" s="254">
        <f>SUM(T302:T309)</f>
        <v>0</v>
      </c>
      <c r="U310" s="254">
        <f t="shared" si="355"/>
        <v>0</v>
      </c>
      <c r="V310" s="254">
        <f t="shared" si="355"/>
        <v>0</v>
      </c>
      <c r="W310" s="254">
        <f t="shared" si="355"/>
        <v>0</v>
      </c>
      <c r="X310" s="255"/>
      <c r="Y310" s="375">
        <f>SUM(Y302:Y309)</f>
        <v>0</v>
      </c>
      <c r="Z310" s="376"/>
      <c r="AA310" s="254">
        <f t="shared" ref="AA310:AI310" si="356">SUM(AA302:AA309)</f>
        <v>0</v>
      </c>
      <c r="AB310" s="254">
        <f t="shared" si="356"/>
        <v>0</v>
      </c>
      <c r="AC310" s="254">
        <f t="shared" si="356"/>
        <v>0</v>
      </c>
      <c r="AD310" s="254">
        <f t="shared" si="356"/>
        <v>0</v>
      </c>
      <c r="AE310" s="254">
        <f t="shared" si="356"/>
        <v>0</v>
      </c>
      <c r="AF310" s="254">
        <f>SUM(AF302:AF309)</f>
        <v>0</v>
      </c>
      <c r="AG310" s="254">
        <f t="shared" si="356"/>
        <v>0</v>
      </c>
      <c r="AH310" s="254">
        <f t="shared" si="356"/>
        <v>0</v>
      </c>
      <c r="AI310" s="254">
        <f t="shared" si="356"/>
        <v>0</v>
      </c>
      <c r="AJ310" s="255"/>
      <c r="AK310" s="375">
        <f>SUM(AK302:AK309)</f>
        <v>0</v>
      </c>
      <c r="AL310" s="213"/>
      <c r="AM310" s="254">
        <f t="shared" ref="AM310:AU310" si="357">SUM(AM302:AM309)</f>
        <v>0</v>
      </c>
      <c r="AN310" s="254">
        <f t="shared" si="357"/>
        <v>0</v>
      </c>
      <c r="AO310" s="254">
        <f t="shared" si="357"/>
        <v>0</v>
      </c>
      <c r="AP310" s="254">
        <f t="shared" si="357"/>
        <v>0</v>
      </c>
      <c r="AQ310" s="254">
        <f t="shared" si="357"/>
        <v>0</v>
      </c>
      <c r="AR310" s="254">
        <f>SUM(AR302:AR309)</f>
        <v>0</v>
      </c>
      <c r="AS310" s="254">
        <f t="shared" si="357"/>
        <v>0</v>
      </c>
      <c r="AT310" s="254">
        <f t="shared" si="357"/>
        <v>0</v>
      </c>
      <c r="AU310" s="254">
        <f t="shared" si="357"/>
        <v>0</v>
      </c>
      <c r="AV310" s="255"/>
      <c r="AW310" s="375">
        <f>SUM(AW302:AW309)</f>
        <v>0</v>
      </c>
      <c r="AX310" s="213"/>
      <c r="AY310" s="254">
        <f t="shared" ref="AY310:BG310" si="358">SUM(AY302:AY309)</f>
        <v>0</v>
      </c>
      <c r="AZ310" s="254">
        <f t="shared" si="358"/>
        <v>0</v>
      </c>
      <c r="BA310" s="254">
        <f t="shared" si="358"/>
        <v>0</v>
      </c>
      <c r="BB310" s="254">
        <f t="shared" si="358"/>
        <v>0</v>
      </c>
      <c r="BC310" s="254">
        <f t="shared" si="358"/>
        <v>0</v>
      </c>
      <c r="BD310" s="254">
        <f>SUM(BD302:BD309)</f>
        <v>0</v>
      </c>
      <c r="BE310" s="254">
        <f t="shared" si="358"/>
        <v>0</v>
      </c>
      <c r="BF310" s="254">
        <f t="shared" si="358"/>
        <v>0</v>
      </c>
      <c r="BG310" s="254">
        <f t="shared" si="358"/>
        <v>0</v>
      </c>
      <c r="BH310" s="255"/>
    </row>
    <row r="311" spans="1:60" ht="18.75" x14ac:dyDescent="0.2">
      <c r="A311" s="648"/>
      <c r="B311" s="492" t="s">
        <v>352</v>
      </c>
      <c r="C311" s="739" t="s">
        <v>104</v>
      </c>
      <c r="D311" s="747"/>
      <c r="E311" s="236" t="s">
        <v>357</v>
      </c>
      <c r="F311" s="236"/>
      <c r="G311" s="236"/>
      <c r="H311" s="89"/>
      <c r="I311" s="236"/>
      <c r="J311" s="279"/>
      <c r="K311" s="279"/>
      <c r="L311" s="279"/>
      <c r="M311" s="279"/>
      <c r="N311" s="279"/>
      <c r="O311" s="279"/>
      <c r="P311" s="279"/>
      <c r="Q311" s="279"/>
      <c r="R311" s="279"/>
      <c r="S311" s="279"/>
      <c r="T311" s="279"/>
      <c r="U311" s="279"/>
      <c r="V311" s="279"/>
      <c r="W311" s="279"/>
      <c r="X311" s="279"/>
      <c r="Y311" s="279"/>
      <c r="Z311" s="279"/>
      <c r="AA311" s="279"/>
      <c r="AB311" s="279"/>
      <c r="AC311" s="279"/>
      <c r="AD311" s="279"/>
      <c r="AE311" s="279"/>
      <c r="AF311" s="279"/>
      <c r="AG311" s="279"/>
      <c r="AH311" s="279"/>
      <c r="AI311" s="279"/>
      <c r="AJ311" s="279"/>
      <c r="AK311" s="279"/>
      <c r="AL311" s="279"/>
      <c r="AM311" s="279"/>
      <c r="AN311" s="279"/>
      <c r="AO311" s="279"/>
      <c r="AP311" s="279"/>
      <c r="AQ311" s="279"/>
      <c r="AR311" s="279"/>
      <c r="AS311" s="279"/>
      <c r="AT311" s="279"/>
      <c r="AU311" s="279"/>
      <c r="AV311" s="279"/>
      <c r="AW311" s="279"/>
      <c r="AX311" s="279"/>
      <c r="AY311" s="279"/>
      <c r="AZ311" s="279"/>
      <c r="BA311" s="279"/>
      <c r="BB311" s="279"/>
      <c r="BC311" s="279"/>
      <c r="BD311" s="279"/>
      <c r="BE311" s="279"/>
      <c r="BF311" s="279"/>
      <c r="BG311" s="279"/>
      <c r="BH311" s="38"/>
    </row>
    <row r="312" spans="1:60" x14ac:dyDescent="0.2">
      <c r="A312" s="648"/>
      <c r="B312" s="492" t="s">
        <v>352</v>
      </c>
      <c r="C312" s="656" t="s">
        <v>113</v>
      </c>
      <c r="D312" s="750"/>
      <c r="E312" s="220" t="s">
        <v>358</v>
      </c>
      <c r="F312" s="246"/>
      <c r="G312" s="246"/>
      <c r="H312" s="247" t="s">
        <v>355</v>
      </c>
      <c r="I312" s="248"/>
      <c r="J312" s="375">
        <f>M312+Y312+AK312+AW312</f>
        <v>0</v>
      </c>
      <c r="K312" s="376"/>
      <c r="L312" s="376"/>
      <c r="M312" s="375">
        <f>SUMPRODUCT(N312:X312,N$24:X$24,N$31:X$31)/1000</f>
        <v>0</v>
      </c>
      <c r="N312" s="376"/>
      <c r="O312" s="254">
        <f t="shared" ref="O312:W312" si="359">IF(OR(O$24=0,O$31=0,($M$167+$M$168)=0),0,
-(O234*$M$167/($M$167+$M$168)*$M$181*1000)/(O24*O31))</f>
        <v>0</v>
      </c>
      <c r="P312" s="254">
        <f t="shared" si="359"/>
        <v>0</v>
      </c>
      <c r="Q312" s="254">
        <f t="shared" si="359"/>
        <v>0</v>
      </c>
      <c r="R312" s="254">
        <f t="shared" si="359"/>
        <v>0</v>
      </c>
      <c r="S312" s="254">
        <f t="shared" si="359"/>
        <v>0</v>
      </c>
      <c r="T312" s="254">
        <f t="shared" si="359"/>
        <v>0</v>
      </c>
      <c r="U312" s="254">
        <f t="shared" si="359"/>
        <v>0</v>
      </c>
      <c r="V312" s="254">
        <f t="shared" si="359"/>
        <v>0</v>
      </c>
      <c r="W312" s="254">
        <f t="shared" si="359"/>
        <v>0</v>
      </c>
      <c r="X312" s="255"/>
      <c r="Y312" s="375">
        <f>SUMPRODUCT(Z312:AJ312,Z$24:AJ$24,Z$31:AJ$31)/1000</f>
        <v>0</v>
      </c>
      <c r="Z312" s="376"/>
      <c r="AA312" s="254">
        <f t="shared" ref="AA312:AI312" si="360">IF(OR(AA$24=0,AA$31=0,($Y$167+$Y$168)=0),0,
-(AA234*$Y$167/($Y$167+$Y$168)*$Y$181*1000)/(AA24*AA31))</f>
        <v>0</v>
      </c>
      <c r="AB312" s="254">
        <f t="shared" si="360"/>
        <v>0</v>
      </c>
      <c r="AC312" s="254">
        <f t="shared" si="360"/>
        <v>0</v>
      </c>
      <c r="AD312" s="254">
        <f t="shared" si="360"/>
        <v>0</v>
      </c>
      <c r="AE312" s="254">
        <f t="shared" si="360"/>
        <v>0</v>
      </c>
      <c r="AF312" s="254">
        <f t="shared" si="360"/>
        <v>0</v>
      </c>
      <c r="AG312" s="254">
        <f t="shared" si="360"/>
        <v>0</v>
      </c>
      <c r="AH312" s="254">
        <f t="shared" si="360"/>
        <v>0</v>
      </c>
      <c r="AI312" s="254">
        <f t="shared" si="360"/>
        <v>0</v>
      </c>
      <c r="AJ312" s="255"/>
      <c r="AK312" s="375">
        <f>SUMPRODUCT(AL312:AV312,AL$24:AV$24,AL$31:AV$31)/1000</f>
        <v>0</v>
      </c>
      <c r="AL312" s="213"/>
      <c r="AM312" s="254">
        <f t="shared" ref="AM312:AU312" si="361">IF(OR(AM$24=0,AM$31=0,($AK$167+$AK$168)=0),0,
-(AM234*$AK$167/($AK$167+$AK$168)*$AK$181*1000)/(AM24*AM31))</f>
        <v>0</v>
      </c>
      <c r="AN312" s="254">
        <f t="shared" si="361"/>
        <v>0</v>
      </c>
      <c r="AO312" s="254">
        <f t="shared" si="361"/>
        <v>0</v>
      </c>
      <c r="AP312" s="254">
        <f t="shared" si="361"/>
        <v>0</v>
      </c>
      <c r="AQ312" s="254">
        <f t="shared" si="361"/>
        <v>0</v>
      </c>
      <c r="AR312" s="254">
        <f t="shared" si="361"/>
        <v>0</v>
      </c>
      <c r="AS312" s="254">
        <f t="shared" si="361"/>
        <v>0</v>
      </c>
      <c r="AT312" s="254">
        <f t="shared" si="361"/>
        <v>0</v>
      </c>
      <c r="AU312" s="254">
        <f t="shared" si="361"/>
        <v>0</v>
      </c>
      <c r="AV312" s="255"/>
      <c r="AW312" s="375">
        <f>SUMPRODUCT(AX312:BH312,AX$24:BH$24,AX$31:BH$31)/1000</f>
        <v>0</v>
      </c>
      <c r="AX312" s="213"/>
      <c r="AY312" s="254">
        <f t="shared" ref="AY312:BG312" si="362">IF(OR(AY$24=0,AY$31=0,($AW$167+$AW$168)=0),0,
-(AY234*$AW$167/($AW$167+$AW$168)*$AW$181*1000)/(AY24*AY31))</f>
        <v>0</v>
      </c>
      <c r="AZ312" s="254">
        <f t="shared" si="362"/>
        <v>0</v>
      </c>
      <c r="BA312" s="254">
        <f t="shared" si="362"/>
        <v>0</v>
      </c>
      <c r="BB312" s="254">
        <f t="shared" si="362"/>
        <v>0</v>
      </c>
      <c r="BC312" s="254">
        <f t="shared" si="362"/>
        <v>0</v>
      </c>
      <c r="BD312" s="254">
        <f t="shared" si="362"/>
        <v>0</v>
      </c>
      <c r="BE312" s="254">
        <f t="shared" si="362"/>
        <v>0</v>
      </c>
      <c r="BF312" s="254">
        <f t="shared" si="362"/>
        <v>0</v>
      </c>
      <c r="BG312" s="254">
        <f t="shared" si="362"/>
        <v>0</v>
      </c>
      <c r="BH312" s="255"/>
    </row>
    <row r="313" spans="1:60" x14ac:dyDescent="0.2">
      <c r="A313" s="648"/>
      <c r="B313" s="492" t="s">
        <v>352</v>
      </c>
      <c r="C313" s="656" t="s">
        <v>113</v>
      </c>
      <c r="D313" s="750"/>
      <c r="E313" s="220" t="s">
        <v>359</v>
      </c>
      <c r="F313" s="246"/>
      <c r="G313" s="246"/>
      <c r="H313" s="247" t="s">
        <v>355</v>
      </c>
      <c r="I313" s="248"/>
      <c r="J313" s="375">
        <f>M313+Y313+AK313+AW313</f>
        <v>0</v>
      </c>
      <c r="K313" s="376"/>
      <c r="L313" s="376"/>
      <c r="M313" s="375">
        <f>SUMPRODUCT(N313:X313,N$24:X$24,N$31:X$31)/1000</f>
        <v>0</v>
      </c>
      <c r="N313" s="376"/>
      <c r="O313" s="254">
        <f t="shared" ref="O313:W313" si="363">IF(OR(O$24=0,O$31=0,($M$167+$M$168)=0),0,
-O70*$M$181/($M$167+$M$168)/O31)</f>
        <v>0</v>
      </c>
      <c r="P313" s="254">
        <f t="shared" si="363"/>
        <v>0</v>
      </c>
      <c r="Q313" s="254">
        <f t="shared" si="363"/>
        <v>0</v>
      </c>
      <c r="R313" s="254">
        <f t="shared" si="363"/>
        <v>0</v>
      </c>
      <c r="S313" s="254">
        <f t="shared" si="363"/>
        <v>0</v>
      </c>
      <c r="T313" s="254">
        <f t="shared" si="363"/>
        <v>0</v>
      </c>
      <c r="U313" s="254">
        <f t="shared" si="363"/>
        <v>0</v>
      </c>
      <c r="V313" s="254">
        <f t="shared" si="363"/>
        <v>0</v>
      </c>
      <c r="W313" s="254">
        <f t="shared" si="363"/>
        <v>0</v>
      </c>
      <c r="X313" s="255"/>
      <c r="Y313" s="375">
        <f>SUMPRODUCT(Z313:AJ313,Z$24:AJ$24,Z$31:AJ$31)/1000</f>
        <v>0</v>
      </c>
      <c r="Z313" s="376"/>
      <c r="AA313" s="254">
        <f t="shared" ref="AA313:AI313" si="364">IF(OR(AA$24=0,AA$31=0,($Y$167+$Y$168)=0),0,
-AA70*$Y$181/($Y$167+$Y$168)/AA31)</f>
        <v>0</v>
      </c>
      <c r="AB313" s="254">
        <f t="shared" si="364"/>
        <v>0</v>
      </c>
      <c r="AC313" s="254">
        <f t="shared" si="364"/>
        <v>0</v>
      </c>
      <c r="AD313" s="254">
        <f t="shared" si="364"/>
        <v>0</v>
      </c>
      <c r="AE313" s="254">
        <f t="shared" si="364"/>
        <v>0</v>
      </c>
      <c r="AF313" s="254">
        <f t="shared" si="364"/>
        <v>0</v>
      </c>
      <c r="AG313" s="254">
        <f t="shared" si="364"/>
        <v>0</v>
      </c>
      <c r="AH313" s="254">
        <f t="shared" si="364"/>
        <v>0</v>
      </c>
      <c r="AI313" s="254">
        <f t="shared" si="364"/>
        <v>0</v>
      </c>
      <c r="AJ313" s="255"/>
      <c r="AK313" s="375">
        <f>SUMPRODUCT(AL313:AV313,AL$24:AV$24,AL$31:AV$31)/1000</f>
        <v>0</v>
      </c>
      <c r="AL313" s="213"/>
      <c r="AM313" s="254">
        <f t="shared" ref="AM313:AU313" si="365">IF(OR(AM$24=0,AM$31=0,($AK$167+$AK$168)=0),0,
-AM70*$AK$181/($AK$167+$AK$168)/AM31)</f>
        <v>0</v>
      </c>
      <c r="AN313" s="254">
        <f t="shared" si="365"/>
        <v>0</v>
      </c>
      <c r="AO313" s="254">
        <f t="shared" si="365"/>
        <v>0</v>
      </c>
      <c r="AP313" s="254">
        <f t="shared" si="365"/>
        <v>0</v>
      </c>
      <c r="AQ313" s="254">
        <f t="shared" si="365"/>
        <v>0</v>
      </c>
      <c r="AR313" s="254">
        <f t="shared" si="365"/>
        <v>0</v>
      </c>
      <c r="AS313" s="254">
        <f t="shared" si="365"/>
        <v>0</v>
      </c>
      <c r="AT313" s="254">
        <f t="shared" si="365"/>
        <v>0</v>
      </c>
      <c r="AU313" s="254">
        <f t="shared" si="365"/>
        <v>0</v>
      </c>
      <c r="AV313" s="255"/>
      <c r="AW313" s="375">
        <f>SUMPRODUCT(AX313:BH313,AX$24:BH$24,AX$31:BH$31)/1000</f>
        <v>0</v>
      </c>
      <c r="AX313" s="213"/>
      <c r="AY313" s="254">
        <f t="shared" ref="AY313:BG313" si="366">IF(OR(AY$24=0,AY$31=0,($AW$167+$AW$168)=0),0,
-AY70*$AW$181/($AW$167+$AW$168)/AY31)</f>
        <v>0</v>
      </c>
      <c r="AZ313" s="254">
        <f t="shared" si="366"/>
        <v>0</v>
      </c>
      <c r="BA313" s="254">
        <f t="shared" si="366"/>
        <v>0</v>
      </c>
      <c r="BB313" s="254">
        <f t="shared" si="366"/>
        <v>0</v>
      </c>
      <c r="BC313" s="254">
        <f t="shared" si="366"/>
        <v>0</v>
      </c>
      <c r="BD313" s="254">
        <f t="shared" si="366"/>
        <v>0</v>
      </c>
      <c r="BE313" s="254">
        <f t="shared" si="366"/>
        <v>0</v>
      </c>
      <c r="BF313" s="254">
        <f t="shared" si="366"/>
        <v>0</v>
      </c>
      <c r="BG313" s="254">
        <f t="shared" si="366"/>
        <v>0</v>
      </c>
      <c r="BH313" s="255"/>
    </row>
    <row r="314" spans="1:60" x14ac:dyDescent="0.2">
      <c r="A314" s="648"/>
      <c r="B314" s="492" t="s">
        <v>352</v>
      </c>
      <c r="C314" s="656" t="s">
        <v>113</v>
      </c>
      <c r="D314" s="750"/>
      <c r="E314" s="246" t="s">
        <v>360</v>
      </c>
      <c r="F314" s="246"/>
      <c r="G314" s="246"/>
      <c r="H314" s="247" t="s">
        <v>355</v>
      </c>
      <c r="I314" s="248"/>
      <c r="J314" s="375">
        <f>M314+Y314+AK314+AW314</f>
        <v>0</v>
      </c>
      <c r="K314" s="376"/>
      <c r="L314" s="376"/>
      <c r="M314" s="375">
        <f>M312+M313</f>
        <v>0</v>
      </c>
      <c r="N314" s="376"/>
      <c r="O314" s="254">
        <f t="shared" ref="O314:W314" si="367">O312+O313</f>
        <v>0</v>
      </c>
      <c r="P314" s="254">
        <f t="shared" si="367"/>
        <v>0</v>
      </c>
      <c r="Q314" s="254">
        <f t="shared" si="367"/>
        <v>0</v>
      </c>
      <c r="R314" s="254">
        <f t="shared" si="367"/>
        <v>0</v>
      </c>
      <c r="S314" s="254">
        <f t="shared" si="367"/>
        <v>0</v>
      </c>
      <c r="T314" s="254">
        <f>T312+T313</f>
        <v>0</v>
      </c>
      <c r="U314" s="254">
        <f t="shared" si="367"/>
        <v>0</v>
      </c>
      <c r="V314" s="254">
        <f t="shared" si="367"/>
        <v>0</v>
      </c>
      <c r="W314" s="254">
        <f t="shared" si="367"/>
        <v>0</v>
      </c>
      <c r="X314" s="255"/>
      <c r="Y314" s="375">
        <f>Y312+Y313</f>
        <v>0</v>
      </c>
      <c r="Z314" s="376"/>
      <c r="AA314" s="254">
        <f t="shared" ref="AA314:AI314" si="368">AA312+AA313</f>
        <v>0</v>
      </c>
      <c r="AB314" s="254">
        <f t="shared" si="368"/>
        <v>0</v>
      </c>
      <c r="AC314" s="254">
        <f t="shared" si="368"/>
        <v>0</v>
      </c>
      <c r="AD314" s="254">
        <f t="shared" si="368"/>
        <v>0</v>
      </c>
      <c r="AE314" s="254">
        <f t="shared" si="368"/>
        <v>0</v>
      </c>
      <c r="AF314" s="254">
        <f>AF312+AF313</f>
        <v>0</v>
      </c>
      <c r="AG314" s="254">
        <f t="shared" si="368"/>
        <v>0</v>
      </c>
      <c r="AH314" s="254">
        <f t="shared" si="368"/>
        <v>0</v>
      </c>
      <c r="AI314" s="254">
        <f t="shared" si="368"/>
        <v>0</v>
      </c>
      <c r="AJ314" s="255"/>
      <c r="AK314" s="375">
        <f>AK312+AK313</f>
        <v>0</v>
      </c>
      <c r="AL314" s="213"/>
      <c r="AM314" s="254">
        <f t="shared" ref="AM314:AU314" si="369">AM312+AM313</f>
        <v>0</v>
      </c>
      <c r="AN314" s="254">
        <f t="shared" si="369"/>
        <v>0</v>
      </c>
      <c r="AO314" s="254">
        <f t="shared" si="369"/>
        <v>0</v>
      </c>
      <c r="AP314" s="254">
        <f t="shared" si="369"/>
        <v>0</v>
      </c>
      <c r="AQ314" s="254">
        <f t="shared" si="369"/>
        <v>0</v>
      </c>
      <c r="AR314" s="254">
        <f>AR312+AR313</f>
        <v>0</v>
      </c>
      <c r="AS314" s="254">
        <f t="shared" si="369"/>
        <v>0</v>
      </c>
      <c r="AT314" s="254">
        <f t="shared" si="369"/>
        <v>0</v>
      </c>
      <c r="AU314" s="254">
        <f t="shared" si="369"/>
        <v>0</v>
      </c>
      <c r="AV314" s="255"/>
      <c r="AW314" s="375">
        <f>AW312+AW313</f>
        <v>0</v>
      </c>
      <c r="AX314" s="213"/>
      <c r="AY314" s="254">
        <f t="shared" ref="AY314:BG314" si="370">AY312+AY313</f>
        <v>0</v>
      </c>
      <c r="AZ314" s="254">
        <f t="shared" si="370"/>
        <v>0</v>
      </c>
      <c r="BA314" s="254">
        <f t="shared" si="370"/>
        <v>0</v>
      </c>
      <c r="BB314" s="254">
        <f t="shared" si="370"/>
        <v>0</v>
      </c>
      <c r="BC314" s="254">
        <f t="shared" si="370"/>
        <v>0</v>
      </c>
      <c r="BD314" s="254">
        <f>BD312+BD313</f>
        <v>0</v>
      </c>
      <c r="BE314" s="254">
        <f t="shared" si="370"/>
        <v>0</v>
      </c>
      <c r="BF314" s="254">
        <f t="shared" si="370"/>
        <v>0</v>
      </c>
      <c r="BG314" s="254">
        <f t="shared" si="370"/>
        <v>0</v>
      </c>
      <c r="BH314" s="255"/>
    </row>
    <row r="315" spans="1:60" ht="18.75" x14ac:dyDescent="0.2">
      <c r="A315" s="648"/>
      <c r="B315" s="492" t="s">
        <v>352</v>
      </c>
      <c r="C315" s="739" t="s">
        <v>104</v>
      </c>
      <c r="D315" s="747"/>
      <c r="E315" s="236" t="s">
        <v>361</v>
      </c>
      <c r="F315" s="236"/>
      <c r="G315" s="236"/>
      <c r="H315" s="89"/>
      <c r="I315" s="236"/>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279"/>
      <c r="AF315" s="279"/>
      <c r="AG315" s="279"/>
      <c r="AH315" s="279"/>
      <c r="AI315" s="279"/>
      <c r="AJ315" s="279"/>
      <c r="AK315" s="279"/>
      <c r="AL315" s="279"/>
      <c r="AM315" s="279"/>
      <c r="AN315" s="279"/>
      <c r="AO315" s="279"/>
      <c r="AP315" s="279"/>
      <c r="AQ315" s="279"/>
      <c r="AR315" s="279"/>
      <c r="AS315" s="279"/>
      <c r="AT315" s="279"/>
      <c r="AU315" s="279"/>
      <c r="AV315" s="279"/>
      <c r="AW315" s="279"/>
      <c r="AX315" s="279"/>
      <c r="AY315" s="279"/>
      <c r="AZ315" s="279"/>
      <c r="BA315" s="279"/>
      <c r="BB315" s="279"/>
      <c r="BC315" s="279"/>
      <c r="BD315" s="279"/>
      <c r="BE315" s="279"/>
      <c r="BF315" s="279"/>
      <c r="BG315" s="279"/>
      <c r="BH315" s="38"/>
    </row>
    <row r="316" spans="1:60" x14ac:dyDescent="0.2">
      <c r="A316" s="648"/>
      <c r="B316" s="492" t="s">
        <v>352</v>
      </c>
      <c r="C316" s="656" t="s">
        <v>113</v>
      </c>
      <c r="D316" s="750"/>
      <c r="E316" s="246" t="s">
        <v>362</v>
      </c>
      <c r="F316" s="246"/>
      <c r="G316" s="246"/>
      <c r="H316" s="247" t="s">
        <v>355</v>
      </c>
      <c r="I316" s="248"/>
      <c r="J316" s="375">
        <f>M316+Y316+AK316+AW316</f>
        <v>0</v>
      </c>
      <c r="K316" s="376"/>
      <c r="L316" s="376"/>
      <c r="M316" s="375">
        <f>M310+M314</f>
        <v>0</v>
      </c>
      <c r="N316" s="376"/>
      <c r="O316" s="254">
        <f t="shared" ref="O316:W316" si="371">O310+O314</f>
        <v>0</v>
      </c>
      <c r="P316" s="254">
        <f t="shared" si="371"/>
        <v>0</v>
      </c>
      <c r="Q316" s="254">
        <f t="shared" si="371"/>
        <v>0</v>
      </c>
      <c r="R316" s="254">
        <f t="shared" si="371"/>
        <v>0</v>
      </c>
      <c r="S316" s="254">
        <f t="shared" si="371"/>
        <v>0</v>
      </c>
      <c r="T316" s="254">
        <f>T310+T314</f>
        <v>0</v>
      </c>
      <c r="U316" s="254">
        <f t="shared" si="371"/>
        <v>0</v>
      </c>
      <c r="V316" s="254">
        <f t="shared" si="371"/>
        <v>0</v>
      </c>
      <c r="W316" s="254">
        <f t="shared" si="371"/>
        <v>0</v>
      </c>
      <c r="X316" s="255"/>
      <c r="Y316" s="375">
        <f>Y310+Y314</f>
        <v>0</v>
      </c>
      <c r="Z316" s="376"/>
      <c r="AA316" s="254">
        <f t="shared" ref="AA316:AI316" si="372">AA310+AA314</f>
        <v>0</v>
      </c>
      <c r="AB316" s="254">
        <f t="shared" si="372"/>
        <v>0</v>
      </c>
      <c r="AC316" s="254">
        <f t="shared" si="372"/>
        <v>0</v>
      </c>
      <c r="AD316" s="254">
        <f t="shared" si="372"/>
        <v>0</v>
      </c>
      <c r="AE316" s="254">
        <f t="shared" si="372"/>
        <v>0</v>
      </c>
      <c r="AF316" s="254">
        <f>AF310+AF314</f>
        <v>0</v>
      </c>
      <c r="AG316" s="254">
        <f t="shared" si="372"/>
        <v>0</v>
      </c>
      <c r="AH316" s="254">
        <f t="shared" si="372"/>
        <v>0</v>
      </c>
      <c r="AI316" s="254">
        <f t="shared" si="372"/>
        <v>0</v>
      </c>
      <c r="AJ316" s="255"/>
      <c r="AK316" s="375">
        <f>AK310+AK314</f>
        <v>0</v>
      </c>
      <c r="AL316" s="213"/>
      <c r="AM316" s="254">
        <f t="shared" ref="AM316:AU316" si="373">AM310+AM314</f>
        <v>0</v>
      </c>
      <c r="AN316" s="254">
        <f t="shared" si="373"/>
        <v>0</v>
      </c>
      <c r="AO316" s="254">
        <f t="shared" si="373"/>
        <v>0</v>
      </c>
      <c r="AP316" s="254">
        <f t="shared" si="373"/>
        <v>0</v>
      </c>
      <c r="AQ316" s="254">
        <f t="shared" si="373"/>
        <v>0</v>
      </c>
      <c r="AR316" s="254">
        <f>AR310+AR314</f>
        <v>0</v>
      </c>
      <c r="AS316" s="254">
        <f t="shared" si="373"/>
        <v>0</v>
      </c>
      <c r="AT316" s="254">
        <f t="shared" si="373"/>
        <v>0</v>
      </c>
      <c r="AU316" s="254">
        <f t="shared" si="373"/>
        <v>0</v>
      </c>
      <c r="AV316" s="255"/>
      <c r="AW316" s="375">
        <f>AW310+AW314</f>
        <v>0</v>
      </c>
      <c r="AX316" s="213"/>
      <c r="AY316" s="254">
        <f t="shared" ref="AY316:BG316" si="374">AY310+AY314</f>
        <v>0</v>
      </c>
      <c r="AZ316" s="254">
        <f t="shared" si="374"/>
        <v>0</v>
      </c>
      <c r="BA316" s="254">
        <f t="shared" si="374"/>
        <v>0</v>
      </c>
      <c r="BB316" s="254">
        <f t="shared" si="374"/>
        <v>0</v>
      </c>
      <c r="BC316" s="254">
        <f t="shared" si="374"/>
        <v>0</v>
      </c>
      <c r="BD316" s="254">
        <f>BD310+BD314</f>
        <v>0</v>
      </c>
      <c r="BE316" s="254">
        <f t="shared" si="374"/>
        <v>0</v>
      </c>
      <c r="BF316" s="254">
        <f t="shared" si="374"/>
        <v>0</v>
      </c>
      <c r="BG316" s="254">
        <f t="shared" si="374"/>
        <v>0</v>
      </c>
      <c r="BH316" s="255"/>
    </row>
    <row r="317" spans="1:60" ht="18.75" x14ac:dyDescent="0.2">
      <c r="A317" s="648"/>
      <c r="B317" s="492" t="s">
        <v>352</v>
      </c>
      <c r="C317" s="739" t="s">
        <v>104</v>
      </c>
      <c r="D317" s="747"/>
      <c r="E317" s="236" t="s">
        <v>363</v>
      </c>
      <c r="F317" s="236"/>
      <c r="G317" s="236"/>
      <c r="H317" s="89"/>
      <c r="I317" s="236"/>
      <c r="J317" s="279"/>
      <c r="K317" s="236"/>
      <c r="L317" s="236"/>
      <c r="M317" s="279"/>
      <c r="N317" s="236"/>
      <c r="O317" s="236"/>
      <c r="P317" s="236"/>
      <c r="Q317" s="236"/>
      <c r="R317" s="236"/>
      <c r="S317" s="236"/>
      <c r="T317" s="236"/>
      <c r="U317" s="236"/>
      <c r="V317" s="236"/>
      <c r="W317" s="236"/>
      <c r="X317" s="236"/>
      <c r="Y317" s="279"/>
      <c r="Z317" s="236"/>
      <c r="AA317" s="236"/>
      <c r="AB317" s="236"/>
      <c r="AC317" s="236"/>
      <c r="AD317" s="236"/>
      <c r="AE317" s="236"/>
      <c r="AF317" s="236"/>
      <c r="AG317" s="236"/>
      <c r="AH317" s="236"/>
      <c r="AI317" s="236"/>
      <c r="AJ317" s="236"/>
      <c r="AK317" s="279"/>
      <c r="AL317" s="236"/>
      <c r="AM317" s="236"/>
      <c r="AN317" s="236"/>
      <c r="AO317" s="236"/>
      <c r="AP317" s="236"/>
      <c r="AQ317" s="236"/>
      <c r="AR317" s="236"/>
      <c r="AS317" s="236"/>
      <c r="AT317" s="236"/>
      <c r="AU317" s="236"/>
      <c r="AV317" s="236"/>
      <c r="AW317" s="279"/>
      <c r="AX317" s="236"/>
      <c r="AY317" s="236"/>
      <c r="AZ317" s="236"/>
      <c r="BA317" s="236"/>
      <c r="BB317" s="236"/>
      <c r="BC317" s="236"/>
      <c r="BD317" s="236"/>
      <c r="BE317" s="236"/>
      <c r="BF317" s="236"/>
      <c r="BG317" s="236"/>
      <c r="BH317" s="38"/>
    </row>
    <row r="318" spans="1:60" x14ac:dyDescent="0.2">
      <c r="A318" s="648"/>
      <c r="B318" s="492" t="s">
        <v>352</v>
      </c>
      <c r="C318" s="656" t="s">
        <v>113</v>
      </c>
      <c r="D318" s="750"/>
      <c r="E318" s="246" t="s">
        <v>362</v>
      </c>
      <c r="F318" s="220"/>
      <c r="G318" s="687"/>
      <c r="H318" s="247" t="s">
        <v>355</v>
      </c>
      <c r="I318" s="129"/>
      <c r="J318" s="243">
        <f>M318+Y318+AK318+AW318</f>
        <v>0</v>
      </c>
      <c r="K318" s="236"/>
      <c r="L318" s="236"/>
      <c r="M318" s="375">
        <f>SUMPRODUCT(N318:X318,N$24:X$24,N$31:X$31)/1000</f>
        <v>0</v>
      </c>
      <c r="N318" s="129"/>
      <c r="O318" s="207">
        <f t="shared" ref="O318:W318" si="375">O316+(O302+O312)*($M$53-1)</f>
        <v>0</v>
      </c>
      <c r="P318" s="207">
        <f t="shared" si="375"/>
        <v>0</v>
      </c>
      <c r="Q318" s="207">
        <f t="shared" si="375"/>
        <v>0</v>
      </c>
      <c r="R318" s="207">
        <f t="shared" si="375"/>
        <v>0</v>
      </c>
      <c r="S318" s="207">
        <f t="shared" si="375"/>
        <v>0</v>
      </c>
      <c r="T318" s="207">
        <f t="shared" si="375"/>
        <v>0</v>
      </c>
      <c r="U318" s="207">
        <f t="shared" si="375"/>
        <v>0</v>
      </c>
      <c r="V318" s="207">
        <f t="shared" si="375"/>
        <v>0</v>
      </c>
      <c r="W318" s="207">
        <f t="shared" si="375"/>
        <v>0</v>
      </c>
      <c r="X318" s="128"/>
      <c r="Y318" s="375">
        <f>SUMPRODUCT(Z318:AJ318,Z$24:AJ$24,Z$31:AJ$31)/1000</f>
        <v>0</v>
      </c>
      <c r="Z318" s="129"/>
      <c r="AA318" s="207">
        <f t="shared" ref="AA318:AI318" si="376">AA316+(AA302+AA312)*($Y$53-1)</f>
        <v>0</v>
      </c>
      <c r="AB318" s="207">
        <f t="shared" si="376"/>
        <v>0</v>
      </c>
      <c r="AC318" s="207">
        <f t="shared" si="376"/>
        <v>0</v>
      </c>
      <c r="AD318" s="207">
        <f t="shared" si="376"/>
        <v>0</v>
      </c>
      <c r="AE318" s="207">
        <f t="shared" si="376"/>
        <v>0</v>
      </c>
      <c r="AF318" s="207">
        <f t="shared" si="376"/>
        <v>0</v>
      </c>
      <c r="AG318" s="207">
        <f t="shared" si="376"/>
        <v>0</v>
      </c>
      <c r="AH318" s="207">
        <f t="shared" si="376"/>
        <v>0</v>
      </c>
      <c r="AI318" s="207">
        <f t="shared" si="376"/>
        <v>0</v>
      </c>
      <c r="AJ318" s="128"/>
      <c r="AK318" s="375">
        <f>SUMPRODUCT(AL318:AV318,AL$24:AV$24,AL$31:AV$31)/1000</f>
        <v>0</v>
      </c>
      <c r="AL318" s="129"/>
      <c r="AM318" s="207">
        <f t="shared" ref="AM318:AU318" si="377">AM316+(AM302+AM312)*($AK$53-1)</f>
        <v>0</v>
      </c>
      <c r="AN318" s="207">
        <f t="shared" si="377"/>
        <v>0</v>
      </c>
      <c r="AO318" s="207">
        <f t="shared" si="377"/>
        <v>0</v>
      </c>
      <c r="AP318" s="207">
        <f t="shared" si="377"/>
        <v>0</v>
      </c>
      <c r="AQ318" s="207">
        <f t="shared" si="377"/>
        <v>0</v>
      </c>
      <c r="AR318" s="207">
        <f t="shared" si="377"/>
        <v>0</v>
      </c>
      <c r="AS318" s="207">
        <f t="shared" si="377"/>
        <v>0</v>
      </c>
      <c r="AT318" s="207">
        <f t="shared" si="377"/>
        <v>0</v>
      </c>
      <c r="AU318" s="207">
        <f t="shared" si="377"/>
        <v>0</v>
      </c>
      <c r="AV318" s="128"/>
      <c r="AW318" s="375">
        <f>SUMPRODUCT(AX318:BH318,AX$24:BH$24,AX$31:BH$31)/1000</f>
        <v>0</v>
      </c>
      <c r="AX318" s="129"/>
      <c r="AY318" s="207">
        <f t="shared" ref="AY318:BG318" si="378">AY316+(AY302+AY312)*($AW$53-1)</f>
        <v>0</v>
      </c>
      <c r="AZ318" s="207">
        <f t="shared" si="378"/>
        <v>0</v>
      </c>
      <c r="BA318" s="207">
        <f t="shared" si="378"/>
        <v>0</v>
      </c>
      <c r="BB318" s="207">
        <f t="shared" si="378"/>
        <v>0</v>
      </c>
      <c r="BC318" s="207">
        <f t="shared" si="378"/>
        <v>0</v>
      </c>
      <c r="BD318" s="207">
        <f t="shared" si="378"/>
        <v>0</v>
      </c>
      <c r="BE318" s="207">
        <f t="shared" si="378"/>
        <v>0</v>
      </c>
      <c r="BF318" s="207">
        <f t="shared" si="378"/>
        <v>0</v>
      </c>
      <c r="BG318" s="207">
        <f t="shared" si="378"/>
        <v>0</v>
      </c>
      <c r="BH318" s="255"/>
    </row>
    <row r="319" spans="1:60" x14ac:dyDescent="0.2">
      <c r="A319" s="648"/>
      <c r="B319" s="492" t="s">
        <v>352</v>
      </c>
      <c r="C319" s="739" t="s">
        <v>104</v>
      </c>
      <c r="D319" s="747"/>
      <c r="E319" s="90"/>
      <c r="F319" s="90"/>
      <c r="G319" s="90"/>
      <c r="H319" s="96"/>
      <c r="I319" s="90"/>
      <c r="J319" s="93"/>
      <c r="K319" s="90"/>
      <c r="L319" s="90"/>
      <c r="M319" s="93"/>
      <c r="N319" s="90"/>
      <c r="O319" s="122"/>
      <c r="P319" s="122"/>
      <c r="Q319" s="122"/>
      <c r="R319" s="122"/>
      <c r="S319" s="122"/>
      <c r="T319" s="122"/>
      <c r="U319" s="122"/>
      <c r="V319" s="122"/>
      <c r="W319" s="122"/>
      <c r="X319" s="93"/>
      <c r="Y319" s="93"/>
      <c r="Z319" s="90"/>
      <c r="AA319" s="93"/>
      <c r="AB319" s="93"/>
      <c r="AC319" s="93"/>
      <c r="AD319" s="93"/>
      <c r="AE319" s="93"/>
      <c r="AF319" s="93"/>
      <c r="AG319" s="93"/>
      <c r="AH319" s="93"/>
      <c r="AI319" s="93"/>
      <c r="AJ319" s="93"/>
      <c r="AK319" s="93"/>
      <c r="AL319" s="90"/>
      <c r="AM319" s="93"/>
      <c r="AN319" s="93"/>
      <c r="AO319" s="93"/>
      <c r="AP319" s="93"/>
      <c r="AQ319" s="93"/>
      <c r="AR319" s="93"/>
      <c r="AS319" s="93"/>
      <c r="AT319" s="93"/>
      <c r="AU319" s="93"/>
      <c r="AV319" s="93"/>
      <c r="AW319" s="93"/>
      <c r="AX319" s="90"/>
      <c r="AY319" s="93"/>
      <c r="AZ319" s="93"/>
      <c r="BA319" s="93"/>
      <c r="BB319" s="93"/>
      <c r="BC319" s="93"/>
      <c r="BD319" s="93"/>
      <c r="BE319" s="93"/>
      <c r="BF319" s="93"/>
      <c r="BG319" s="93"/>
      <c r="BH319" s="1"/>
    </row>
    <row r="320" spans="1:60" ht="21" x14ac:dyDescent="0.2">
      <c r="A320" s="648"/>
      <c r="B320" s="492" t="s">
        <v>364</v>
      </c>
      <c r="C320" s="656" t="s">
        <v>104</v>
      </c>
      <c r="D320" s="752" t="s">
        <v>89</v>
      </c>
      <c r="E320" s="553" t="s">
        <v>87</v>
      </c>
      <c r="F320" s="553"/>
      <c r="G320" s="553"/>
      <c r="H320" s="554"/>
      <c r="I320" s="554"/>
      <c r="J320" s="555"/>
      <c r="K320" s="824"/>
      <c r="L320" s="824"/>
      <c r="M320" s="555"/>
      <c r="N320" s="555"/>
      <c r="O320" s="555"/>
      <c r="P320" s="555"/>
      <c r="Q320" s="555"/>
      <c r="R320" s="555"/>
      <c r="S320" s="555"/>
      <c r="T320" s="555"/>
      <c r="U320" s="555"/>
      <c r="V320" s="555"/>
      <c r="W320" s="555"/>
      <c r="X320" s="555"/>
      <c r="Y320" s="555"/>
      <c r="Z320" s="555"/>
      <c r="AA320" s="555"/>
      <c r="AB320" s="555"/>
      <c r="AC320" s="555"/>
      <c r="AD320" s="555"/>
      <c r="AE320" s="555"/>
      <c r="AF320" s="555"/>
      <c r="AG320" s="555"/>
      <c r="AH320" s="555"/>
      <c r="AI320" s="555"/>
      <c r="AJ320" s="555"/>
      <c r="AK320" s="555"/>
      <c r="AL320" s="555"/>
      <c r="AM320" s="555"/>
      <c r="AN320" s="555"/>
      <c r="AO320" s="555"/>
      <c r="AP320" s="555"/>
      <c r="AQ320" s="555"/>
      <c r="AR320" s="555"/>
      <c r="AS320" s="555"/>
      <c r="AT320" s="555"/>
      <c r="AU320" s="555"/>
      <c r="AV320" s="555"/>
      <c r="AW320" s="555"/>
      <c r="AX320" s="555"/>
      <c r="AY320" s="556"/>
      <c r="AZ320" s="556"/>
      <c r="BA320" s="556"/>
      <c r="BB320" s="556"/>
      <c r="BC320" s="556"/>
      <c r="BD320" s="556"/>
      <c r="BE320" s="556"/>
      <c r="BF320" s="556"/>
      <c r="BG320" s="556"/>
      <c r="BH320" s="270"/>
    </row>
  </sheetData>
  <sheetProtection algorithmName="SHA-512" hashValue="zKjG1yOdAkwo2KrRxihOElfyGIK+wJIs03j+Z1OPfcD+vQS+OUzcSIRcN1AkCLxrhkaM51BMJawMTRd9jcGUJA==" saltValue="zyvCxd3BmZNJNtQflxLvsQ==" spinCount="100000" sheet="1" objects="1" scenarios="1" formatColumns="0" autoFilter="0"/>
  <autoFilter ref="B8:C320" xr:uid="{41D3E58C-B86B-4AE1-8380-FDD6F14E9537}">
    <filterColumn colId="1">
      <filters>
        <filter val="00. kop"/>
        <filter val="01. invoer"/>
        <filter val="04. resultaat"/>
      </filters>
    </filterColumn>
  </autoFilter>
  <dataConsolidate/>
  <mergeCells count="4">
    <mergeCell ref="E3:F3"/>
    <mergeCell ref="F4:H4"/>
    <mergeCell ref="B5:B7"/>
    <mergeCell ref="C5:C7"/>
  </mergeCells>
  <conditionalFormatting sqref="B16:B26 B27:C320">
    <cfRule type="expression" dxfId="309" priority="53">
      <formula>B16=""</formula>
    </cfRule>
  </conditionalFormatting>
  <conditionalFormatting sqref="C10">
    <cfRule type="expression" dxfId="308" priority="95">
      <formula>C10=""</formula>
    </cfRule>
  </conditionalFormatting>
  <conditionalFormatting sqref="C12:C26">
    <cfRule type="expression" dxfId="307" priority="54">
      <formula>C12=""</formula>
    </cfRule>
  </conditionalFormatting>
  <conditionalFormatting sqref="E54">
    <cfRule type="expression" dxfId="306" priority="3">
      <formula>$G$6=FALSE</formula>
    </cfRule>
  </conditionalFormatting>
  <conditionalFormatting sqref="E278:J278">
    <cfRule type="expression" dxfId="305" priority="145">
      <formula>$G$6=TRUE</formula>
    </cfRule>
  </conditionalFormatting>
  <conditionalFormatting sqref="F4:F5 H3">
    <cfRule type="expression" dxfId="304" priority="120">
      <formula>F3=""</formula>
    </cfRule>
  </conditionalFormatting>
  <conditionalFormatting sqref="F5">
    <cfRule type="expression" dxfId="303" priority="118">
      <formula>OR($F$5="",ISERROR(MATCH(F5,opwekking_elektriciteit,0))=TRUE)</formula>
    </cfRule>
  </conditionalFormatting>
  <conditionalFormatting sqref="F2:H2">
    <cfRule type="expression" dxfId="302" priority="126">
      <formula>$F$2&lt;&gt;""</formula>
    </cfRule>
  </conditionalFormatting>
  <conditionalFormatting sqref="J32:J33">
    <cfRule type="cellIs" dxfId="301" priority="101" operator="greaterThan">
      <formula>0</formula>
    </cfRule>
  </conditionalFormatting>
  <conditionalFormatting sqref="J40:J42">
    <cfRule type="expression" dxfId="300" priority="52">
      <formula>J40="OK"</formula>
    </cfRule>
  </conditionalFormatting>
  <conditionalFormatting sqref="J46:J47">
    <cfRule type="expression" dxfId="299" priority="51">
      <formula>J46="OK"</formula>
    </cfRule>
  </conditionalFormatting>
  <conditionalFormatting sqref="J50">
    <cfRule type="cellIs" dxfId="298" priority="49" operator="notEqual">
      <formula>"OK"</formula>
    </cfRule>
  </conditionalFormatting>
  <conditionalFormatting sqref="J80">
    <cfRule type="cellIs" dxfId="297" priority="102" operator="notEqual">
      <formula>"OK"</formula>
    </cfRule>
  </conditionalFormatting>
  <conditionalFormatting sqref="J135">
    <cfRule type="cellIs" dxfId="296" priority="40" operator="equal">
      <formula>0</formula>
    </cfRule>
  </conditionalFormatting>
  <conditionalFormatting sqref="J138 J142 J146 M135 M138 M142 M146 Y135 Y138 Y142 Y146 AK135 AK138 AK142 AK146 AW135 AW138 AW142 AW146">
    <cfRule type="cellIs" dxfId="295" priority="44" operator="equal">
      <formula>0</formula>
    </cfRule>
  </conditionalFormatting>
  <conditionalFormatting sqref="M32:M33">
    <cfRule type="cellIs" dxfId="294" priority="100" operator="greaterThan">
      <formula>0</formula>
    </cfRule>
  </conditionalFormatting>
  <conditionalFormatting sqref="M131:M146 Y131:Y146 AK131:AK146 AW131:AW146">
    <cfRule type="expression" dxfId="293" priority="123">
      <formula>SUM(M$131:M$146)=0</formula>
    </cfRule>
  </conditionalFormatting>
  <conditionalFormatting sqref="M275 O275:X275 AJ275 AV275 BH275">
    <cfRule type="expression" dxfId="292" priority="128">
      <formula>#REF!&gt;M275</formula>
    </cfRule>
  </conditionalFormatting>
  <conditionalFormatting sqref="O80 AA80 AM80 AY80">
    <cfRule type="expression" dxfId="291" priority="48">
      <formula>OR(AND(O80="",O$24&gt;0),ISERROR(MATCH(O80,toestellen_RV_invoer,0)))</formula>
    </cfRule>
  </conditionalFormatting>
  <conditionalFormatting sqref="O84 O91 O106:Q106 O109:Q109 O116:Q116 O120:Q120 O126:Q126 Q84 Q91 AA84 AA91 AA106:AC106 AA109:AC109 AA116:AC116 AA120:AC120 AA126:AC126 AC84 AC91 AM84 AM91 AM106:AO106 AM109:AO109 AM116:AO116 AM120:AO120 AM126:AO126 AO84 AO91 AY84 AY91 AY109:BA109 AY116:BA116 AY120:BA120 AY126:BA126 BA84 BA91">
    <cfRule type="expression" dxfId="290" priority="105">
      <formula>AND(O$75&gt;0,O84="")</formula>
    </cfRule>
  </conditionalFormatting>
  <conditionalFormatting sqref="O87 Q87 AA87 AC87 AM87 AO87 AY87 BA87">
    <cfRule type="expression" dxfId="289" priority="119">
      <formula>OR(AND(O$75&gt;0,O87=""),AND(O87&lt;&gt;"ja",O87&lt;&gt;"nee",O87&lt;&gt;""))</formula>
    </cfRule>
  </conditionalFormatting>
  <conditionalFormatting sqref="O126 Q126 AA126 AC126 AM126 AO126 AY126 BA126">
    <cfRule type="expression" dxfId="288" priority="133">
      <formula>O$125=0</formula>
    </cfRule>
  </conditionalFormatting>
  <conditionalFormatting sqref="O80:Q81 O83:Q85 O87:Q88 O90:Q92 O94:Q96 AA80:AC81 AA83:AC85 AA87:AC88 AA90:AC92 AA94:AC96 AM80:AO81 AM83:AO85 AM87:AO88 AM90:AO92 AM94:AO96 AY80:BA81 AY83:BA85 AY87:BA88 AY90:BA92 AY94:BA96">
    <cfRule type="expression" dxfId="286" priority="146">
      <formula>O$29=0</formula>
    </cfRule>
    <cfRule type="expression" dxfId="287" priority="147">
      <formula>O$75=0</formula>
    </cfRule>
  </conditionalFormatting>
  <conditionalFormatting sqref="O101:Q101 AA101:AC101 AA131:AC131 AM101:AO101 AM131:AO131 AY101:BA101 AY131:BA131">
    <cfRule type="expression" dxfId="285" priority="115">
      <formula>O$75=0</formula>
    </cfRule>
  </conditionalFormatting>
  <conditionalFormatting sqref="O102:Q103 O105:Q113 O115:Q116 O119:Q121 O123:Q126 P117:Q117 AA101:AC103 AA105:AC113 AA115:AC117 AA119:AC121 AA123:AC126 AM101:AO103 AM105:AO113 AM115:AO117 AM119:AO121 AM123:AO126 AY101:BA103 AY105:BA113 AY115:BA117 AY119:BA121 AY123:BA126">
    <cfRule type="expression" dxfId="284" priority="41">
      <formula>OR(O$75=0,O$101="geen")</formula>
    </cfRule>
  </conditionalFormatting>
  <conditionalFormatting sqref="O131:Q131">
    <cfRule type="expression" dxfId="283" priority="112">
      <formula>O$75=0</formula>
    </cfRule>
  </conditionalFormatting>
  <conditionalFormatting sqref="O132:Q138 O140:Q142 O144:Q146 AA132:AC138 AA140:AC142 AA144:AC146 AM132:AO138 AM140:AO142 AM144:AO146 AY132:BA138 AY140:BA142 AY144:BA146">
    <cfRule type="expression" dxfId="282" priority="39">
      <formula>OR(O$75=0,O$131="geen")</formula>
    </cfRule>
  </conditionalFormatting>
  <conditionalFormatting sqref="O137:Q137 O141:Q141 O145:Q145 AA137:AC137 AA141:AC141 AA145:AC145 AM137:AO137 AM141:AO141 AM145:AO145 AY137:BA137 AY141:BA141 AY145:BA145">
    <cfRule type="expression" dxfId="281" priority="144">
      <formula>AND(O$75&gt;0,O$131&lt;&gt;"geen",O137="")</formula>
    </cfRule>
  </conditionalFormatting>
  <conditionalFormatting sqref="O151:Q153 AA151:AC153 AM151:AO153 AY151:BA153">
    <cfRule type="expression" dxfId="280" priority="149">
      <formula>OR(O$29=0,O$123=0)</formula>
    </cfRule>
  </conditionalFormatting>
  <conditionalFormatting sqref="O152:Q152 AA152:AC152 AM152:AO152 AY152:BA152">
    <cfRule type="expression" dxfId="279" priority="114">
      <formula>AND(O$123&gt;0,O152="")</formula>
    </cfRule>
  </conditionalFormatting>
  <conditionalFormatting sqref="O167:S169">
    <cfRule type="expression" dxfId="278" priority="110">
      <formula>O$29=0</formula>
    </cfRule>
  </conditionalFormatting>
  <conditionalFormatting sqref="O197:S202">
    <cfRule type="expression" dxfId="277" priority="108">
      <formula>O$29=0</formula>
    </cfRule>
  </conditionalFormatting>
  <conditionalFormatting sqref="O209:S215">
    <cfRule type="expression" dxfId="276" priority="106">
      <formula>O$29=0</formula>
    </cfRule>
  </conditionalFormatting>
  <conditionalFormatting sqref="O216:S216">
    <cfRule type="expression" dxfId="275" priority="88">
      <formula>O$29=0</formula>
    </cfRule>
  </conditionalFormatting>
  <conditionalFormatting sqref="O17:W17">
    <cfRule type="expression" dxfId="274" priority="87">
      <formula>AND(O17&lt;&gt;"",ISERROR(MATCH(O17,woningen_gebouwen_namen,0))=TRUE)</formula>
    </cfRule>
  </conditionalFormatting>
  <conditionalFormatting sqref="O19:W19 AA19:AI19 AM19:AU19 AY19:BG19">
    <cfRule type="expression" dxfId="273" priority="99">
      <formula>O19=""</formula>
    </cfRule>
  </conditionalFormatting>
  <conditionalFormatting sqref="O20:W21 AM20:AU21 AY20:BG21">
    <cfRule type="expression" dxfId="272" priority="98">
      <formula>O$19=""</formula>
    </cfRule>
  </conditionalFormatting>
  <conditionalFormatting sqref="O22:W22">
    <cfRule type="expression" dxfId="271" priority="96">
      <formula>OR(O$19="",AND(O$21&lt;&gt;woning,O$21&lt;&gt;woongebouw))</formula>
    </cfRule>
  </conditionalFormatting>
  <conditionalFormatting sqref="O24:W25 AA24:BG25">
    <cfRule type="expression" dxfId="270" priority="74">
      <formula>O$19=""</formula>
    </cfRule>
  </conditionalFormatting>
  <conditionalFormatting sqref="O25:W25 AM25:AU25 AY25:BG25">
    <cfRule type="expression" dxfId="269" priority="129">
      <formula>AND(O$19="",O25&gt;0)</formula>
    </cfRule>
    <cfRule type="expression" dxfId="268" priority="130">
      <formula>AND(O$19&lt;&gt;"",O25="")</formula>
    </cfRule>
  </conditionalFormatting>
  <conditionalFormatting sqref="O26:W29 O31:W35">
    <cfRule type="expression" dxfId="267" priority="4">
      <formula>OR(O$19="",O$24=0)</formula>
    </cfRule>
  </conditionalFormatting>
  <conditionalFormatting sqref="O40:W48 O50:W50 O52:W55 O58:W58 O60:W66 O68:W68 O70:W70">
    <cfRule type="expression" dxfId="266" priority="42">
      <formula>OR(O$19="",O$24=0)</formula>
    </cfRule>
  </conditionalFormatting>
  <conditionalFormatting sqref="O41:W41 AA41:AI41 AM41:AU41 AY41:BG41">
    <cfRule type="expression" dxfId="265" priority="5">
      <formula>AND(O$19&lt;&gt;"",O$24&gt;0,O41&lt;&gt;"",ISERROR(MATCH(O41,isolatiepakketten_gebouwschil_namen,0))=TRUE)</formula>
    </cfRule>
  </conditionalFormatting>
  <conditionalFormatting sqref="O42:W42 AA42:AI42 AM42:AU42 AY42:BG42">
    <cfRule type="expression" dxfId="264" priority="131">
      <formula>OR(AND(O$19&lt;&gt;"",O$24&gt;0,O42=""),ISERROR(MATCH(O42,ventilatiesystemen_namen,0))=TRUE)</formula>
    </cfRule>
  </conditionalFormatting>
  <conditionalFormatting sqref="O43:W43 AA43:AI43 AM43:AU43 AY43:BG43">
    <cfRule type="expression" dxfId="262" priority="132">
      <formula>OR(AND(O$19&lt;&gt;"",O$24&gt;0,O43=""),ISERROR(MATCH(O43,ventilatoren_typen,0))=TRUE)</formula>
    </cfRule>
  </conditionalFormatting>
  <conditionalFormatting sqref="O44:W44 AA44:AI44 AM44:AU44 AY44:BG44">
    <cfRule type="expression" dxfId="261" priority="134">
      <formula>OR(O44&lt;0.5,O44&gt;2,AND(O$19&lt;&gt;"",O44=""))</formula>
    </cfRule>
  </conditionalFormatting>
  <conditionalFormatting sqref="O45:W46 AA45:AI46 AM45:AU46 AY45:BG46">
    <cfRule type="expression" dxfId="259" priority="50">
      <formula>OR(O$19="",O$28=0)</formula>
    </cfRule>
    <cfRule type="expression" dxfId="260" priority="136">
      <formula>AND(O$19&lt;&gt;"",O$28&gt;0,O45="")</formula>
    </cfRule>
  </conditionalFormatting>
  <conditionalFormatting sqref="O46:W46 AA46:AI46 AM46:AU46 AY46:BG46">
    <cfRule type="expression" dxfId="258" priority="138">
      <formula>AND(O46&lt;&gt;"",ISERROR(MATCH(O46,verlichtingsregeling_namen,0))=TRUE)</formula>
    </cfRule>
  </conditionalFormatting>
  <conditionalFormatting sqref="O47:W47 AA47:AI47 AM47:AU47 AY47:BG47">
    <cfRule type="expression" dxfId="256" priority="62">
      <formula>OR(O$19="",O$26+O$27=0,AND(O$21&lt;&gt;woning,O$21&lt;&gt;woongebouw))</formula>
    </cfRule>
    <cfRule type="expression" dxfId="257" priority="139">
      <formula>OR(AND(O$19&lt;&gt;"",O$24&gt;0,O47=""),AND(O47&lt;&gt;elektriciteit,O47&lt;&gt;aardgas))</formula>
    </cfRule>
  </conditionalFormatting>
  <conditionalFormatting sqref="O48:W48 AA48:AI48 AM48:AU48 AY48:BG48">
    <cfRule type="expression" dxfId="255" priority="140">
      <formula>OR(O48&lt;0,O48&gt;1,AND(O$19&lt;&gt;"",O48=""))</formula>
    </cfRule>
  </conditionalFormatting>
  <conditionalFormatting sqref="O50:W50 AA50:AI50 AM50:AU50 AY50:BG50">
    <cfRule type="expression" dxfId="253" priority="61">
      <formula>$O19=""</formula>
    </cfRule>
    <cfRule type="cellIs" dxfId="254" priority="143" operator="equal">
      <formula>"nee"</formula>
    </cfRule>
  </conditionalFormatting>
  <conditionalFormatting sqref="O53:W53 AA53:AI53 AM53:AU53 AY53:BG53">
    <cfRule type="cellIs" dxfId="252" priority="9" operator="equal">
      <formula>0</formula>
    </cfRule>
  </conditionalFormatting>
  <conditionalFormatting sqref="O54:W54 AA54:AI54 AM54:AU54 AY54:BG54">
    <cfRule type="expression" dxfId="251" priority="150">
      <formula>O$24=0</formula>
    </cfRule>
    <cfRule type="expression" dxfId="250" priority="151">
      <formula>AND(O$24&gt;0,O54="",$G$6=TRUE)</formula>
    </cfRule>
    <cfRule type="expression" dxfId="249" priority="152">
      <formula>AND(O$24&gt;0,O$54&gt;0,O$54&lt;&gt;O$55,$G$6=TRUE)</formula>
    </cfRule>
  </conditionalFormatting>
  <conditionalFormatting sqref="O68:W68 AA68:AI68 AM68:AU68 AY68:BG68">
    <cfRule type="expression" dxfId="248" priority="117">
      <formula>AND(O$19&lt;&gt;"",O68="")</formula>
    </cfRule>
  </conditionalFormatting>
  <conditionalFormatting sqref="O70:W70">
    <cfRule type="expression" dxfId="247" priority="43">
      <formula>AND(O$19&lt;&gt;"",O70="")</formula>
    </cfRule>
  </conditionalFormatting>
  <conditionalFormatting sqref="O75:W75 AA75:AI75 AM75:AU75 AY75:BG75">
    <cfRule type="expression" dxfId="246" priority="113">
      <formula>O$29=0</formula>
    </cfRule>
  </conditionalFormatting>
  <conditionalFormatting sqref="O227:W227 AM227:AU227 AM234:AU236 AM251:AU253 AM255:AU255 AY227:BG227 AY234:BG236">
    <cfRule type="expression" dxfId="245" priority="107">
      <formula>O$24=0</formula>
    </cfRule>
  </conditionalFormatting>
  <conditionalFormatting sqref="O229:W229 O241:W249 O251:W253 O255:W255 O257:W257 O262:W262 O264:W269 O271:W271 O273:W273 O275:W275 O282:W284 O286:W288 O290:W291 O293:W294 O296:W297 O302:W310 O312:W314 O316:W316 O318:W318">
    <cfRule type="expression" dxfId="244" priority="64">
      <formula>O$24=0</formula>
    </cfRule>
  </conditionalFormatting>
  <conditionalFormatting sqref="O286:W287">
    <cfRule type="expression" dxfId="243" priority="124">
      <formula>O286&gt;O282</formula>
    </cfRule>
  </conditionalFormatting>
  <conditionalFormatting sqref="O291:W291 AA291:AI291 AM291:AU291 AY291:BG291">
    <cfRule type="expression" dxfId="241" priority="154">
      <formula>#REF!&lt;O$287</formula>
    </cfRule>
    <cfRule type="expression" dxfId="242" priority="155">
      <formula>O$24=0</formula>
    </cfRule>
  </conditionalFormatting>
  <conditionalFormatting sqref="O294:W294">
    <cfRule type="expression" dxfId="239" priority="25">
      <formula>AND(O294&lt;&gt;"nvt",O294&gt;O293)</formula>
    </cfRule>
    <cfRule type="expression" dxfId="240" priority="26">
      <formula>AND(O294&lt;&gt;"nvt",O294&lt;=O293)</formula>
    </cfRule>
  </conditionalFormatting>
  <conditionalFormatting sqref="O297:W297">
    <cfRule type="expression" dxfId="237" priority="23">
      <formula>AND(O297&lt;&gt;"nvt",O297&gt;O296)</formula>
    </cfRule>
    <cfRule type="expression" dxfId="238" priority="24">
      <formula>AND(O297&lt;&gt;"nvt",O297&lt;=O296)</formula>
    </cfRule>
  </conditionalFormatting>
  <conditionalFormatting sqref="O40:BG41">
    <cfRule type="expression" dxfId="236" priority="2">
      <formula>OR(O$19="",O$24=0)</formula>
    </cfRule>
  </conditionalFormatting>
  <conditionalFormatting sqref="P80 AB80 AN80 AZ80">
    <cfRule type="expression" dxfId="235" priority="103">
      <formula>OR(AND(P80="",P$24&gt;0),ISERROR(MATCH(P80,toestellen_KOEL_invoer,0)))</formula>
    </cfRule>
  </conditionalFormatting>
  <conditionalFormatting sqref="P81 P83:P85 P87:P88 P90:P92 P94:P96 AB81 AB83:AB85 AB87:AB88 AB90:AB92 AB94:AB96 AN81 AN83:AN85 AN87:AN88 AN90:AN92 AN94:AN96 AZ81 AZ83:AZ85 AZ87:AZ88 AZ90:AZ92 AZ94:AZ96">
    <cfRule type="expression" dxfId="234" priority="32">
      <formula>P$80="geen"</formula>
    </cfRule>
  </conditionalFormatting>
  <conditionalFormatting sqref="Q80 AC80 AO80 BA80">
    <cfRule type="expression" dxfId="233" priority="104">
      <formula>OR(AND(Q80="",Q$24&gt;0),ISERROR(MATCH(Q80,toestellen_TAP_invoer,0)))</formula>
    </cfRule>
  </conditionalFormatting>
  <conditionalFormatting sqref="Q87 AC87 AO87 BA87">
    <cfRule type="expression" dxfId="232" priority="148">
      <formula>OR(AND(Q$24&gt;0,Q$75&gt;0,Q87=""),AND(Q87&lt;&gt;"ja",Q87&lt;&gt;"nee",Q87&lt;&gt;""))</formula>
    </cfRule>
  </conditionalFormatting>
  <conditionalFormatting sqref="T155:T156">
    <cfRule type="expression" dxfId="231" priority="57">
      <formula>T$29=0</formula>
    </cfRule>
  </conditionalFormatting>
  <conditionalFormatting sqref="T158:T159">
    <cfRule type="expression" dxfId="230" priority="56">
      <formula>T$29=0</formula>
    </cfRule>
  </conditionalFormatting>
  <conditionalFormatting sqref="T161">
    <cfRule type="expression" dxfId="229" priority="55">
      <formula>T$29=0</formula>
    </cfRule>
  </conditionalFormatting>
  <conditionalFormatting sqref="T167:T169">
    <cfRule type="expression" dxfId="228" priority="85">
      <formula>T$29=0</formula>
    </cfRule>
  </conditionalFormatting>
  <conditionalFormatting sqref="T186:T188">
    <cfRule type="expression" dxfId="227" priority="59">
      <formula>T$29=0</formula>
    </cfRule>
  </conditionalFormatting>
  <conditionalFormatting sqref="T190">
    <cfRule type="expression" dxfId="226" priority="58">
      <formula>T$29=0</formula>
    </cfRule>
  </conditionalFormatting>
  <conditionalFormatting sqref="T197:T202">
    <cfRule type="expression" dxfId="225" priority="84">
      <formula>T$29=0</formula>
    </cfRule>
  </conditionalFormatting>
  <conditionalFormatting sqref="T204">
    <cfRule type="expression" dxfId="224" priority="86">
      <formula>T$29=0</formula>
    </cfRule>
  </conditionalFormatting>
  <conditionalFormatting sqref="T209:T216">
    <cfRule type="expression" dxfId="223" priority="82">
      <formula>T$29=0</formula>
    </cfRule>
  </conditionalFormatting>
  <conditionalFormatting sqref="T221:T222">
    <cfRule type="expression" dxfId="222" priority="83">
      <formula>T$29=0</formula>
    </cfRule>
  </conditionalFormatting>
  <conditionalFormatting sqref="U154:W156">
    <cfRule type="expression" dxfId="221" priority="111">
      <formula>U$29=0</formula>
    </cfRule>
  </conditionalFormatting>
  <conditionalFormatting sqref="U186:W188">
    <cfRule type="expression" dxfId="220" priority="109">
      <formula>U$29=0</formula>
    </cfRule>
  </conditionalFormatting>
  <conditionalFormatting sqref="AA187">
    <cfRule type="expression" dxfId="219" priority="92">
      <formula>AA$29=0</formula>
    </cfRule>
  </conditionalFormatting>
  <conditionalFormatting sqref="AA209:AC209">
    <cfRule type="expression" dxfId="218" priority="31">
      <formula>AA$29=0</formula>
    </cfRule>
  </conditionalFormatting>
  <conditionalFormatting sqref="AA186:AE186">
    <cfRule type="expression" dxfId="217" priority="94">
      <formula>AA$29=0</formula>
    </cfRule>
  </conditionalFormatting>
  <conditionalFormatting sqref="AA216:AE216">
    <cfRule type="expression" dxfId="216" priority="89">
      <formula>AA$29=0</formula>
    </cfRule>
  </conditionalFormatting>
  <conditionalFormatting sqref="AA20:AI21">
    <cfRule type="expression" dxfId="215" priority="97">
      <formula>AA$19=""</formula>
    </cfRule>
  </conditionalFormatting>
  <conditionalFormatting sqref="AA22:AI22">
    <cfRule type="expression" dxfId="214" priority="47">
      <formula>OR(AA$19="",AND(AA$21&lt;&gt;woning,AA$21&lt;&gt;woongebouw))</formula>
    </cfRule>
  </conditionalFormatting>
  <conditionalFormatting sqref="AA25:AI25">
    <cfRule type="expression" dxfId="213" priority="141">
      <formula>AND(AA$19="",AA25&gt;0)</formula>
    </cfRule>
    <cfRule type="expression" dxfId="212" priority="142">
      <formula>AND(AA$19&lt;&gt;"",AA25="")</formula>
    </cfRule>
  </conditionalFormatting>
  <conditionalFormatting sqref="AA26:AI29 AA31:AI35 AA42:AI48 AA60:AI66 AM26:AU29 AM31:AU35 AM42:AU48 AM60:AU66 AY26:BG29 AY31:BG35 AY42:BG48 AY60:BG66">
    <cfRule type="expression" dxfId="211" priority="127">
      <formula>OR(AA$19="",AA$24=0)</formula>
    </cfRule>
  </conditionalFormatting>
  <conditionalFormatting sqref="AA68:AI68 AM68:AU68 AY68:BG68">
    <cfRule type="expression" dxfId="210" priority="116">
      <formula>OR(AA$19="",AA$24=0)</formula>
    </cfRule>
  </conditionalFormatting>
  <conditionalFormatting sqref="AA70:AI70">
    <cfRule type="expression" dxfId="209" priority="37">
      <formula>OR(AA$19="",AA$24=0)</formula>
    </cfRule>
    <cfRule type="expression" dxfId="208" priority="38">
      <formula>AND(AA$19&lt;&gt;"",AA70="")</formula>
    </cfRule>
  </conditionalFormatting>
  <conditionalFormatting sqref="AA227:AI227 AA229:AI230 AA234:AI237 AA251:AI253 AA255:AI255 AA257:AI258 AA262:AI269 AA271:AI271 AA273:AI273 AA275:AI276 AA280:AI280 AA282:AI284 AA286:AI288 AA290:AI290 AA241:BG249">
    <cfRule type="expression" dxfId="207" priority="8">
      <formula>AA$24=0</formula>
    </cfRule>
  </conditionalFormatting>
  <conditionalFormatting sqref="AA292:AI292">
    <cfRule type="expression" dxfId="206" priority="28">
      <formula>AA292&lt;AA287</formula>
    </cfRule>
  </conditionalFormatting>
  <conditionalFormatting sqref="AA294:AI294">
    <cfRule type="expression" dxfId="205" priority="21">
      <formula>AND(AA294&lt;&gt;"nvt",AA294&gt;AA293)</formula>
    </cfRule>
    <cfRule type="expression" dxfId="204" priority="22">
      <formula>AND(AA294&lt;&gt;"nvt",AA294&lt;=AA293)</formula>
    </cfRule>
  </conditionalFormatting>
  <conditionalFormatting sqref="AA297:AI297">
    <cfRule type="expression" dxfId="202" priority="19">
      <formula>AND(AA297&lt;&gt;"nvt",AA297&gt;AA296)</formula>
    </cfRule>
    <cfRule type="expression" dxfId="203" priority="20">
      <formula>AND(AA297&lt;&gt;"nvt",AA297&lt;=AA296)</formula>
    </cfRule>
  </conditionalFormatting>
  <conditionalFormatting sqref="AA302:AI310 AA312:AI314 AA316:AI316 AA318:AI318">
    <cfRule type="expression" dxfId="201" priority="66">
      <formula>AA$24=0</formula>
    </cfRule>
  </conditionalFormatting>
  <conditionalFormatting sqref="AA286:AU287">
    <cfRule type="expression" dxfId="200" priority="122">
      <formula>AA286&gt;AA282</formula>
    </cfRule>
  </conditionalFormatting>
  <conditionalFormatting sqref="AA295:AX295">
    <cfRule type="expression" dxfId="199" priority="14">
      <formula>AA295&lt;AA290</formula>
    </cfRule>
  </conditionalFormatting>
  <conditionalFormatting sqref="AF186:AF188">
    <cfRule type="expression" dxfId="198" priority="80">
      <formula>AF$29=0</formula>
    </cfRule>
  </conditionalFormatting>
  <conditionalFormatting sqref="AF221:AF222">
    <cfRule type="expression" dxfId="197" priority="81">
      <formula>AF$29=0</formula>
    </cfRule>
  </conditionalFormatting>
  <conditionalFormatting sqref="AF209:BD216">
    <cfRule type="expression" dxfId="196" priority="68">
      <formula>AF$29=0</formula>
    </cfRule>
  </conditionalFormatting>
  <conditionalFormatting sqref="AM187">
    <cfRule type="expression" dxfId="195" priority="91">
      <formula>AM$29=0</formula>
    </cfRule>
  </conditionalFormatting>
  <conditionalFormatting sqref="AM209:AO209">
    <cfRule type="expression" dxfId="194" priority="30">
      <formula>AM$29=0</formula>
    </cfRule>
  </conditionalFormatting>
  <conditionalFormatting sqref="AM22:AU22">
    <cfRule type="expression" dxfId="193" priority="46">
      <formula>OR(AM$19="",AND(AM$21&lt;&gt;woning,AM$21&lt;&gt;woongebouw))</formula>
    </cfRule>
  </conditionalFormatting>
  <conditionalFormatting sqref="AM70:AU70">
    <cfRule type="expression" dxfId="192" priority="35">
      <formula>OR(AM$19="",AM$24=0)</formula>
    </cfRule>
    <cfRule type="expression" dxfId="191" priority="36">
      <formula>AND(AM$19&lt;&gt;"",AM70="")</formula>
    </cfRule>
  </conditionalFormatting>
  <conditionalFormatting sqref="AM229:AU229">
    <cfRule type="expression" dxfId="190" priority="75">
      <formula>AM$24=0</formula>
    </cfRule>
  </conditionalFormatting>
  <conditionalFormatting sqref="AM257:AU257">
    <cfRule type="expression" dxfId="189" priority="76">
      <formula>AM$24=0</formula>
    </cfRule>
  </conditionalFormatting>
  <conditionalFormatting sqref="AM290:AU290">
    <cfRule type="expression" dxfId="188" priority="7">
      <formula>AM$24=0</formula>
    </cfRule>
  </conditionalFormatting>
  <conditionalFormatting sqref="AM292:AU292">
    <cfRule type="expression" dxfId="187" priority="27">
      <formula>AM292&lt;AM287</formula>
    </cfRule>
  </conditionalFormatting>
  <conditionalFormatting sqref="AM294:AU294">
    <cfRule type="expression" dxfId="185" priority="17">
      <formula>AND(AM294&lt;&gt;"nvt",AM294&gt;AM293)</formula>
    </cfRule>
    <cfRule type="expression" dxfId="186" priority="18">
      <formula>AND(AM294&lt;&gt;"nvt",AM294&lt;=AM293)</formula>
    </cfRule>
  </conditionalFormatting>
  <conditionalFormatting sqref="AM297:AU297">
    <cfRule type="expression" dxfId="183" priority="15">
      <formula>AND(AM297&lt;&gt;"nvt",AM297&gt;AM296)</formula>
    </cfRule>
    <cfRule type="expression" dxfId="184" priority="16">
      <formula>AND(AM297&lt;&gt;"nvt",AM297&lt;=AM296)</formula>
    </cfRule>
  </conditionalFormatting>
  <conditionalFormatting sqref="AM302:AU310 AM312:AU314 AM316:AU316 AM318:AU318">
    <cfRule type="expression" dxfId="182" priority="65">
      <formula>AM$24=0</formula>
    </cfRule>
  </conditionalFormatting>
  <conditionalFormatting sqref="AR186:AR188">
    <cfRule type="expression" dxfId="181" priority="77">
      <formula>AR$29=0</formula>
    </cfRule>
  </conditionalFormatting>
  <conditionalFormatting sqref="AR221:AR222">
    <cfRule type="expression" dxfId="180" priority="78">
      <formula>AR$29=0</formula>
    </cfRule>
  </conditionalFormatting>
  <conditionalFormatting sqref="AR289">
    <cfRule type="expression" dxfId="179" priority="79">
      <formula>AR289&lt;AR285</formula>
    </cfRule>
  </conditionalFormatting>
  <conditionalFormatting sqref="AY187">
    <cfRule type="expression" dxfId="178" priority="90">
      <formula>AY$29=0</formula>
    </cfRule>
  </conditionalFormatting>
  <conditionalFormatting sqref="AY106:BA106">
    <cfRule type="expression" dxfId="177" priority="137">
      <formula>AND(AY$75&gt;0,AY106="")</formula>
    </cfRule>
  </conditionalFormatting>
  <conditionalFormatting sqref="AY209:BA209">
    <cfRule type="expression" dxfId="176" priority="29">
      <formula>AY$29=0</formula>
    </cfRule>
  </conditionalFormatting>
  <conditionalFormatting sqref="AY186:BC186">
    <cfRule type="expression" dxfId="175" priority="93">
      <formula>AY$29=0</formula>
    </cfRule>
  </conditionalFormatting>
  <conditionalFormatting sqref="AY22:BG22">
    <cfRule type="expression" dxfId="174" priority="45">
      <formula>OR(AY$19="",AND(AY$21&lt;&gt;woning,AY$21&lt;&gt;woongebouw))</formula>
    </cfRule>
  </conditionalFormatting>
  <conditionalFormatting sqref="AY70:BG70">
    <cfRule type="expression" dxfId="172" priority="33">
      <formula>OR(AY$19="",AY$24=0)</formula>
    </cfRule>
    <cfRule type="expression" dxfId="173" priority="34">
      <formula>AND(AY$19&lt;&gt;"",AY70="")</formula>
    </cfRule>
  </conditionalFormatting>
  <conditionalFormatting sqref="AY229:BG229">
    <cfRule type="expression" dxfId="171" priority="67">
      <formula>AY$24=0</formula>
    </cfRule>
  </conditionalFormatting>
  <conditionalFormatting sqref="AY251:BG253 AY255:BG255 AY257:BG257 AY262:BG269 AY271:BG271 AY273:BG273 AY275:BG275 AY280:BG280 AY282:BG284 AY286:BG288 AY293:BG294 AY296:BG297 AY302:BG310">
    <cfRule type="expression" dxfId="170" priority="63">
      <formula>AY$24=0</formula>
    </cfRule>
  </conditionalFormatting>
  <conditionalFormatting sqref="AY286:BG287">
    <cfRule type="expression" dxfId="169" priority="121">
      <formula>AY286&gt;AY282</formula>
    </cfRule>
  </conditionalFormatting>
  <conditionalFormatting sqref="AY290:BG290">
    <cfRule type="expression" dxfId="168" priority="6">
      <formula>AY$24=0</formula>
    </cfRule>
  </conditionalFormatting>
  <conditionalFormatting sqref="AY290:BG291 AY312:BG314 AY316:BG316">
    <cfRule type="expression" dxfId="167" priority="70">
      <formula>AY$24=0</formula>
    </cfRule>
  </conditionalFormatting>
  <conditionalFormatting sqref="AY294:BG294">
    <cfRule type="expression" dxfId="165" priority="12">
      <formula>AND(AY294&lt;&gt;"nvt",AY294&gt;AY293)</formula>
    </cfRule>
    <cfRule type="expression" dxfId="166" priority="13">
      <formula>AND(AY294&lt;&gt;"nvt",AY294&lt;=AY293)</formula>
    </cfRule>
  </conditionalFormatting>
  <conditionalFormatting sqref="AY297:BG297">
    <cfRule type="expression" dxfId="163" priority="10">
      <formula>AND(AY297&lt;&gt;"nvt",AY297&gt;AY296)</formula>
    </cfRule>
    <cfRule type="expression" dxfId="164" priority="11">
      <formula>AND(AY297&lt;&gt;"nvt",AY297&lt;=AY296)</formula>
    </cfRule>
  </conditionalFormatting>
  <conditionalFormatting sqref="AY318:BG318">
    <cfRule type="expression" dxfId="162" priority="69">
      <formula>AY$24=0</formula>
    </cfRule>
  </conditionalFormatting>
  <conditionalFormatting sqref="BD161:BD162">
    <cfRule type="expression" dxfId="161" priority="60">
      <formula>BD$29=0</formula>
    </cfRule>
  </conditionalFormatting>
  <conditionalFormatting sqref="BD186:BD188">
    <cfRule type="expression" dxfId="160" priority="71">
      <formula>BD$29=0</formula>
    </cfRule>
  </conditionalFormatting>
  <conditionalFormatting sqref="BD221:BD222">
    <cfRule type="expression" dxfId="159" priority="72">
      <formula>BD$29=0</formula>
    </cfRule>
  </conditionalFormatting>
  <conditionalFormatting sqref="BD288">
    <cfRule type="expression" dxfId="158" priority="73">
      <formula>BD288&lt;BD284</formula>
    </cfRule>
  </conditionalFormatting>
  <conditionalFormatting sqref="BH186:BH188 BH190:BH192">
    <cfRule type="expression" dxfId="157" priority="125">
      <formula>AND(BH186&lt;&gt;"-",BH186&gt;BH187)</formula>
    </cfRule>
  </conditionalFormatting>
  <conditionalFormatting sqref="BH227">
    <cfRule type="expression" dxfId="156" priority="135">
      <formula>AND(BH227&lt;&gt;"-",BH227&gt;#REF!)</formula>
    </cfRule>
  </conditionalFormatting>
  <conditionalFormatting sqref="O288:W288 AA288:AI288 AM288:AU288 AY288:BG288">
    <cfRule type="expression" dxfId="155" priority="1">
      <formula>$O$288&lt;$O$284</formula>
    </cfRule>
  </conditionalFormatting>
  <dataValidations count="97">
    <dataValidation type="decimal" allowBlank="1" showInputMessage="1" showErrorMessage="1" errorTitle="Invoer valt buiten bereik" error="De ingevoerde waarde valt buiten het bereik." sqref="O54:W55 AA54:AI55 AM54:AU55 AY54:BG55" xr:uid="{504AEB68-652A-4E8C-9C18-68CF9C3AE779}">
      <formula1>0.2</formula1>
      <formula2>2</formula2>
    </dataValidation>
    <dataValidation allowBlank="1" showInputMessage="1" showErrorMessage="1" promptTitle="Renocatiestandaard utiliteit" prompt="De renovatiestandaard is een vrijwillige richtlijn voor de energieprestatie van utiliteitsgebouwen. Na 2030 wordt er een verplichte eindnorm bepaald waaraan de energieprestaties van alle gebouwen moeten voldoen in 2050." sqref="D291" xr:uid="{53F63724-BAA8-42F1-BA40-6858B4D4F514}"/>
    <dataValidation allowBlank="1" showInputMessage="1" showErrorMessage="1" promptTitle="Energiepakket / energiebehoefte" sqref="O40:BG40" xr:uid="{8B2D7186-BABD-4215-A03D-C2F03AF5897F}"/>
    <dataValidation type="list" allowBlank="1" showInputMessage="1" showErrorMessage="1" promptTitle="Energiepakket / energiebehoefte" sqref="AY41:BG41 AA41:AI41 AM41:AU41 O41:W41" xr:uid="{34413138-B6EC-4678-87E7-4A02E4F53CB9}">
      <formula1>isolatiepakketten_gebouwschil_namen</formula1>
    </dataValidation>
    <dataValidation allowBlank="1" showInputMessage="1" showErrorMessage="1" promptTitle="Correctie warmtebehoefte RV" prompt="In slecht geïsoleerde gebouwen berekent NTA8800 gemiddeld té hoge energiegebruiken voor ruimteverwarming._x000a_De correctie corrigeert de NTA berekening op basis van de gemiddelde U-waarde._x000a__x000a_&gt;&gt; energieprestatie-indicatoren zijn alleen geldig ZONDER correctie." sqref="D6" xr:uid="{63C0B7AB-F89A-4492-9C7F-D6F8F1DF226C}"/>
    <dataValidation allowBlank="1" showInputMessage="1" showErrorMessage="1" promptTitle="Correctiefactor verwarming" prompt="Slecht geïsoleerde woningen verbruiken gemiddeld veel minder en goed geïsoleerde woningen verbruiken gemiddeld wat meer dan berekend cf NTA8800._x000a__x000a_Deze correctiefactor verrekent dat._x000a__x000a_Rekenwaarde warmtebehoefte = correctiefactor * warmtebehoefte cf NTA8800" sqref="D53" xr:uid="{D87D9E98-559F-440A-BEAF-C932B2FEA731}"/>
    <dataValidation allowBlank="1" showInputMessage="1" showErrorMessage="1" promptTitle="Standaardwaarde" prompt="Deze standaard geeft aan wanneer een woning goed genoeg is geïsoleerd om aardgasvrij te worden. Hij is ontstaan uit het Klimaatakkoord._x000a_" sqref="D292" xr:uid="{98B1D963-E3A1-4542-AA80-2FDDB6981B41}"/>
    <dataValidation allowBlank="1" showInputMessage="1" showErrorMessage="1" promptTitle="CO2 emissiecoëfficiënt" prompt="CO2 emissiecoëfficiënt energiedrager._x000a__x000a_Bij collectieve WKK met/zonder derving, geothermie, etc wordt de CO2 emissiecoëfficiënt uitgerekend cf. NEN7125_2017 paragraaf 7.3.4.5/6/9._x000a__x000a_Bij een EMG-verklaring wordt de waarde voor K_CO2 del overgenomen." sqref="D119" xr:uid="{E115F6EF-19C3-45E6-9574-206B7D1B594B}"/>
    <dataValidation allowBlank="1" showInputMessage="1" showErrorMessage="1" promptTitle="Elektriciteitsderving bij WKK" prompt="Bij WKK's waarbij de elektriciteitsproductie afneemt bij onttrekking van warmte, wordt de primaire energiefactor uitgerekend met de verhouding tussen elektriciteitsderving en thermische omzettingsgetal (Δε;chp;el / ε;chp;th)._x000a__x000a_NEN7125_2017 par 7.3.4.6" sqref="D110" xr:uid="{6EF8BEAC-8A7F-4A44-B45E-E95F15902BD0}"/>
    <dataValidation allowBlank="1" showInputMessage="1" showErrorMessage="1" promptTitle="Primaire energiefactor" prompt="Primaire energiefactor energiedrager._x000a__x000a_Bij collectieve WKK met/zonder derving, geothermie, etc wordt de primaire energiefactor uitgerekend cf. NEN7125_2017 paragraaf 7.3.4.5/6/9._x000a__x000a_Bij een EMG-verklaring wordt de waarde voor fPdel overgenomen." sqref="D115" xr:uid="{50F718C7-AE75-4DB6-A29E-D59B3F28A501}"/>
    <dataValidation type="textLength" allowBlank="1" showInputMessage="1" showErrorMessage="1" errorTitle="Maximaal 65 karakters" error="Maximaal 65 karakters." sqref="F4" xr:uid="{614C1EB9-7392-48D4-8391-A19CB76D8B5E}">
      <formula1>0</formula1>
      <formula2>65</formula2>
    </dataValidation>
    <dataValidation type="textLength" errorStyle="warning" allowBlank="1" showInputMessage="1" showErrorMessage="1" errorTitle="Maximaal 30 karakters" error="Maximaal 30 karakters" sqref="H3" xr:uid="{148FB5FE-3A12-4038-BA1B-8EF7C924D91B}">
      <formula1>0</formula1>
      <formula2>40</formula2>
    </dataValidation>
    <dataValidation type="textLength" errorStyle="warning" allowBlank="1" showInputMessage="1" showErrorMessage="1" errorTitle="Maximaal 30 karakters" error="Maximaal 30 karakters" sqref="E3 F4" xr:uid="{BAFB1AAF-2104-4C61-A03B-24742B75F21C}">
      <formula1>0</formula1>
      <formula2>30</formula2>
    </dataValidation>
    <dataValidation type="decimal" allowBlank="1" showInputMessage="1" showErrorMessage="1" errorTitle="Bereik 0%-100%" error="De ingevoerde waarde valt buiten het bereik." sqref="O44:W44 AA44:AI44 AY44:BG44 AM44:AU44" xr:uid="{2E4C4F05-7F1B-440F-9D0E-1A7E0E2CD5A5}">
      <formula1>0.5</formula1>
      <formula2>2</formula2>
    </dataValidation>
    <dataValidation allowBlank="1" showInputMessage="1" showErrorMessage="1" promptTitle="Elektriciteit 'overig'" prompt="Elektriciteit 'overig' is het elektriciteitsgebruik voor hulpenergie installaties, verlichting, ventilatoren, apparatuur, mobiliteit, elektrisch koken, etcetera." sqref="D154" xr:uid="{6CA7CFC4-E1D5-4200-83A1-A07415DC4041}"/>
    <dataValidation allowBlank="1" showInputMessage="1" showErrorMessage="1" promptTitle="Indicatie geïnstalleerd vermogen" prompt="Forfaitaire, conservatieve, waarden in NTA8800, par. 14.3, in W/m2:_x000a_- winkels: 30_x000a_- gezondheid met bed, logies, cellen: 17_x000a_- overige functies: 16_x000a__x000a_Gebruikelijk is 30% lager._x000a_Energiezuinig 50%-60% lager." sqref="D45" xr:uid="{4249A3B9-F030-4109-8AA7-153C55D8A52C}"/>
    <dataValidation allowBlank="1" showInputMessage="1" showErrorMessage="1" promptTitle="Bijdrage zonthermisch MWh" prompt="Bijdrage zonthermisch = %bijdrage zonthermisch * (energiebehoefte + intern distributieverlies)_x000a__x000a_Het % bijdrage zonthermisch is verschillend voor RV en TAP en staat in de bibliotheek." sqref="D88" xr:uid="{DC88038F-46F9-4007-ADB6-F8A6F936ABD5}"/>
    <dataValidation allowBlank="1" showInputMessage="1" showErrorMessage="1" promptTitle="Aandeel hernieuwbare energie" prompt="Aandeel hernieuwbare energie._x000a__x000a_RERPrenTOT = EPrenTot / (EPTot + EPrenTot) * 100%_x000a__x000a_Cf. NTA8800 par. 5.3.1.3, formule 5.3" sqref="D288" xr:uid="{2B5894F5-88E4-4406-98D3-68BB9023110C}"/>
    <dataValidation type="list" allowBlank="1" showInputMessage="1" showErrorMessage="1" sqref="O47:W47 AA47:AI47 AY47:BG47 AM47:AU47" xr:uid="{78E1E5C4-163C-4A49-9821-53593770376D}">
      <formula1>"elektriciteit,aardgas"</formula1>
    </dataValidation>
    <dataValidation allowBlank="1" showInputMessage="1" showErrorMessage="1" promptTitle="Kookgas" prompt="Gasverbruik voor kookgas." sqref="D65" xr:uid="{92566BC9-8909-4C06-99D5-616814FA0477}"/>
    <dataValidation allowBlank="1" showInputMessage="1" showErrorMessage="1" promptTitle="Hernieuwbare 'primaire' energie" prompt="De totale hernieuwbare 'primaire' energie voor GEBOUWGEBONDEN energiegebruik is berekend cf. NTA8800._x000a__x000a_NTA8800 par. 5.6." sqref="D260" xr:uid="{76315DCE-D4F0-4102-BE65-0424BDC7C88A}"/>
    <dataValidation allowBlank="1" showInputMessage="1" showErrorMessage="1" promptTitle="Energieprestatie indicatoren" prompt="De energieprestatie indicatoren gaan alleen over GEBOUWGEBONDEN energiegebruik en zijn bepaald cf. paragraaf 5.3.1 van NTA 8800._x000a__x000a_" sqref="D278" xr:uid="{528132A7-8983-443F-9950-9F57FB19726A}"/>
    <dataValidation allowBlank="1" showInputMessage="1" showErrorMessage="1" promptTitle="Energielabel" prompt="Het energielabel wordt bepaald op basis van het gebouwgebonden primair energiegebruik in kWh/m2._x000a__x000a_Zie 'Regeling energieprestatie gebouwen', https://wetten.overheid.nl/BWBR0020921/2021-07-01" sqref="D290" xr:uid="{73E758BE-9D8B-4F77-884E-34C173BE8EBD}"/>
    <dataValidation allowBlank="1" showInputMessage="1" showErrorMessage="1" promptTitle="Besparing warmtevraag tapwater" prompt="Reductie (of toename) van de warmtevraag voor warmtapwater t.o.v. van de berekende warmtevraag cf. NTA 8800._x000a__x000a_Te denken valt aan DWTW, waterbesparende kranen, lagere bezetting, bewust energiezuinig gedrag, et cetera." sqref="D44" xr:uid="{CEF29B2C-CA0A-41DD-B978-BED306656AB0}"/>
    <dataValidation allowBlank="1" showInputMessage="1" showErrorMessage="1" promptTitle="Woningen|utiliteitsgebouwen" prompt="De tabel geeft een terugkoppeling van de ingevoerde woningen en utileitsgebouwen in" sqref="D17" xr:uid="{1DB2F574-4659-48FB-8C3D-0FCAF70CDE67}"/>
    <dataValidation allowBlank="1" showInputMessage="1" showErrorMessage="1" promptTitle="Resultaten" prompt="De tabel geeft een samenvatting van het primair energiegebruik, de CO2 emissie en het gasverbruik van de locatie(s) als gevolg van energetische keuzes in deze variant." sqref="D10" xr:uid="{5C55C75E-260E-4096-884F-CE233E27BCD7}"/>
    <dataValidation allowBlank="1" showInputMessage="1" showErrorMessage="1" promptTitle="Niet preferent toestel" prompt="Kenmerken wijzigen van het niet preferente toestel (niet preferent toestel bepaald door type installatie)._x000a_De kenmerken bepalen de te leveren warmte|koude door het niet preferente toestel, het finaal/primair energiegebruik en de CO2 emissie." sqref="D129" xr:uid="{1E91E295-71A5-4026-83ED-C7A6AB8F3496}"/>
    <dataValidation allowBlank="1" showInputMessage="1" showErrorMessage="1" promptTitle="Preferent toestel" prompt="Hier kunnen de kenmerken van het al eerder gekozen preferente toestel worden gewijzigd._x000a_De kenmerken bepalen welk deel van de te leveren warmte|koude door het preferente toestel geleverd wordt en hoeveel primair energiegebruik en CO2 emissie dat kost." sqref="D99" xr:uid="{F4BC2DD3-6EBC-4525-8C15-67313B4728CB}"/>
    <dataValidation allowBlank="1" showInputMessage="1" showErrorMessage="1" promptTitle="Te leveren warmte en koude" prompt="Aan het distributiesysteem te leveren warmte|koude wordt berekend op basis van de warmte- en koudevraag van woningen en utiliteitsgebouwen (energiebehoefte per energiepost), de verliezen door warmte-/koudedistributie en gebruik van thermische zonnewarmte." sqref="D93" xr:uid="{02A7CDBB-EE20-4A96-B18F-D5C03C3660A1}"/>
    <dataValidation allowBlank="1" showInputMessage="1" showErrorMessage="1" promptTitle="Keuze preferent toestel" prompt="De keuze van het preferente toestel bepaalt welke forfaitaire waarden voor warmtedistributie, energiedragers en rendementen uit de bibliotheek worden opgehaald." sqref="D79" xr:uid="{65ACCA70-2087-4A79-A588-D24D64C71B20}"/>
    <dataValidation allowBlank="1" showInputMessage="1" showErrorMessage="1" promptTitle="Installatie" prompt="De installatie voor verwarming, koeling en warmtapwater wordt vastgelegd door keuze voor het type preferent toestel, de warmteverliezen door interen en externe warmtedistributie en gebruik van thermische zonne-energie." sqref="D78" xr:uid="{A39F2A96-ADAC-4152-915A-4B8C3995B7E3}"/>
    <dataValidation allowBlank="1" showInputMessage="1" showErrorMessage="1" promptTitle="Thermische zonne-energie" prompt="Het thermisch zonne-energiesysteem levert een % van de warmtevraag inclusief intern distributieverlies._x000a__x000a_In de UMGO worden de volgende forfaitaire waarden aangehouden:_x000a_- ruimteverwarming: 15%;_x000a_- warmtapwater: 50%." sqref="D86" xr:uid="{A0750E8A-B33D-4C7B-A28B-0A672BE02329}"/>
    <dataValidation allowBlank="1" showInputMessage="1" showErrorMessage="1" promptTitle="Energie niet voor verwarmen/koel" prompt="Elektra en gas NIET voor verwarmen/koelen._x000a_- gebouwgebonden (hulpenergie_x000a_   toestellen, verlichting,_x000a_   ventilatoren);_x000a_- niet gebouwgebonden (apparatuur_x000a_   (tv, computer, elektrisch koken,_x000a_   klusapparatuur, etc), mobiliteit);_x000a_-  kookgas" sqref="D149" xr:uid="{CED111D9-DFD4-4AAE-9E20-1BC89BF07AEE}"/>
    <dataValidation type="decimal" allowBlank="1" showInputMessage="1" showErrorMessage="1" errorTitle="Bereik 0,0-0,5" error="De ingevoerde waarde valt buiten het bereik." sqref="O126:Q126 AA126:AC126 AY126:BA126 AM126:AO126" xr:uid="{76CD7D12-E19A-4C12-9473-6C58E50991F0}">
      <formula1>0</formula1>
      <formula2>0.5</formula2>
    </dataValidation>
    <dataValidation type="decimal" allowBlank="1" showInputMessage="1" showErrorMessage="1" errorTitle="Bereik 0,0-1,0" error="De ingevoerde waarde valt buiten het bereik." sqref="AY152:BA152 AA120:AC120 AY120:BA120 O145:Q145 AA145:AC145 AY145:BA145 O152:Q152 AA152:AC152 P120:Q120 AM152:AO152 AM145:AO145 AM120:AO120" xr:uid="{64A5CA96-956F-4884-8248-91642FEF12B9}">
      <formula1>0</formula1>
      <formula2>1</formula2>
    </dataValidation>
    <dataValidation type="decimal" allowBlank="1" showInputMessage="1" showErrorMessage="1" errorTitle="Bereik 0,0-2,0" error="De ingevoerde waarde valt buiten het bereik." sqref="O116:Q116 AA116:AC116 AY116:BA116 O141:Q141 AA141:AC141 AY141:BA141 O120 AM141:AO141 AM116:AO116" xr:uid="{C6984F35-4A53-45ED-8394-2DBFDA75D945}">
      <formula1>0</formula1>
      <formula2>2</formula2>
    </dataValidation>
    <dataValidation type="decimal" allowBlank="1" showInputMessage="1" showErrorMessage="1" errorTitle="Bereik 0,10-1,00" error="De ingevoerde waarde valt buiten het bereik." sqref="O84 Q84 AA84 AC84 AY84 BA84 AM84 AO84" xr:uid="{2F50A221-7C70-4730-BC15-04F99E4AE356}">
      <formula1>0.1</formula1>
      <formula2>1</formula2>
    </dataValidation>
    <dataValidation type="decimal" operator="greaterThanOrEqual" allowBlank="1" showInputMessage="1" showErrorMessage="1" errorTitle="Bereik ≥0" error="De ingevoerde waarde valt buiten het bereik." promptTitle="Energiepakket / energiebehoefte" sqref="O70:W70 AA70:AI70 AY70:BG70 AM70:AU70" xr:uid="{3193472F-AC55-444A-B20F-AC301D6AD63E}">
      <formula1>0</formula1>
    </dataValidation>
    <dataValidation type="decimal" operator="greaterThanOrEqual" allowBlank="1" showInputMessage="1" showErrorMessage="1" errorTitle="Bereik ≥0" error="De ingevoerde waarde valt buiten het bereik." sqref="BA91 O68:W68 AA68:AI68 O91 Q91 AA91 AC91 AM91 AO91 AY91 AY68:BG68 AM68:AU68" xr:uid="{E84175BB-C39D-4B9A-BB1E-435317BCE811}">
      <formula1>0</formula1>
    </dataValidation>
    <dataValidation type="decimal" allowBlank="1" showInputMessage="1" showErrorMessage="1" errorTitle="Bereik 0-30" error="De ingevoerde waarde valt buiten het bereik." sqref="O45:W45 AA45:AI45 AY45:BG45 AM45:AU45" xr:uid="{F37D4B56-0B8C-4754-A4C7-54CFC1C7B31E}">
      <formula1>0</formula1>
      <formula2>30</formula2>
    </dataValidation>
    <dataValidation type="decimal" operator="greaterThanOrEqual" allowBlank="1" showInputMessage="1" showErrorMessage="1" errorTitle="Bereik ≥0" error="De ingevulde waarde valt buiten het bereik." sqref="O25:W25 AA25:AI25 AY25:BG25 AM25:AU25" xr:uid="{D1BA1354-2203-4C21-B4AF-B8C176D4C3B0}">
      <formula1>0</formula1>
    </dataValidation>
    <dataValidation type="decimal" allowBlank="1" showInputMessage="1" showErrorMessage="1" errorTitle="Bereik 0%-100%" error="De ingevoerde waarde valt buiten het bereik." sqref="O48:W48 AA48:AI48 AY48:BG48 AM48:AU48" xr:uid="{240BA3F9-B56F-48DD-B255-E1726E292F8F}">
      <formula1>0</formula1>
      <formula2>1</formula2>
    </dataValidation>
    <dataValidation type="decimal" allowBlank="1" showInputMessage="1" showErrorMessage="1" errorTitle="Bereik 0,1-15,0" error="De ingevoerde waarde valt buiten het bereik." sqref="AA109:AC109 AY109:BA109 AY137:BA137 O137:Q137 AA137:AC137 O109:Q109 AM137:AO137 AM109:AO109" xr:uid="{67244E04-B4CC-4AF6-B383-67AF335DEA97}">
      <formula1>0.1</formula1>
      <formula2>15</formula2>
    </dataValidation>
    <dataValidation type="decimal" allowBlank="1" showInputMessage="1" showErrorMessage="1" errorTitle="Bereik 0%-100%" error="De ingevoerde waarde is buiten het bereik." sqref="AY106:BA106 AA106:AC106 O106:Q106 AM106:AO106" xr:uid="{272A242B-CA16-4B14-9666-0684A018BA49}">
      <formula1>0</formula1>
      <formula2>1</formula2>
    </dataValidation>
    <dataValidation allowBlank="1" showInputMessage="1" showErrorMessage="1" promptTitle="Hernieuwbaar ext. warmte/koude" prompt="Ingezette hernieuwbare energie door externe warmte-/koudelevering._x000a__x000a_EPren;gen;out = Q[HCW];gen;out * fPren;d[hcw]X_x000a__x000a_X staat voor 'kwal' (kwalteitsverklaring) of 'forf' (forfaitair)._x000a__x000a_Cf. NTA8800 par. 5.6.2." sqref="D212" xr:uid="{5EAFF0B5-B831-40A5-ACA1-A3C1F89D1218}"/>
    <dataValidation allowBlank="1" showInputMessage="1" showErrorMessage="1" promptTitle="primaire energie indicator" prompt="Het totale gebouwgebonden primaire (vermeden) energiegebruik (voor woningen ZONDER verlichting) in kWh/m2._x000a__x000a_NTA8800, par. 5.3.1.2_x000a__x000a_" sqref="D287" xr:uid="{62AA338A-DA18-44EA-A88D-705DB8843754}"/>
    <dataValidation allowBlank="1" showInputMessage="1" showErrorMessage="1" promptTitle="energiebehoefte-indicator" prompt="Warmtebehoefte ruimteverwarming + koudebehoefte voor koeling, berekend met ventilatiesysteem C1, in kWh/m2._x000a__x000a_NTA8800, par. 5.3.1.1_x000a__x000a_" sqref="D286" xr:uid="{ADC5E7F1-0EA6-4867-8DE9-B781C2BCA8E2}"/>
    <dataValidation allowBlank="1" showInputMessage="1" showErrorMessage="1" promptTitle="Energieprestaties" prompt="De berekende energieprestatie (bestaande bouw EN nieuwbouw) is afgezet tegen de BENG eisen voor NIEUWBOUW._x000a__x000a_GROEN: berekende waarde voldoet WEL aan de eis_x000a_ROOD: berekende waarde voldoet NIET aan de eis_x000a__x000a_" sqref="D285" xr:uid="{086FD53B-8032-4D1F-9C44-3014863A6420}"/>
    <dataValidation allowBlank="1" showInputMessage="1" showErrorMessage="1" promptTitle="BENG eisen 2021" prompt="De BENG eisen zijn overgenomen van:_x000a__x000a_https://zoek.officielebekendmakingen.nl/stb-2019-501.html_x000a__x000a_" sqref="D281" xr:uid="{FCF91489-3C01-4446-A892-A2A39A6DF5E6}"/>
    <dataValidation allowBlank="1" showInputMessage="1" showErrorMessage="1" promptTitle="Energiegebruik per energiepost" prompt="Per deellocatie is de energiebehoefte van alle woningen en gebouwen per energiepost gesommeerd." sqref="D75" xr:uid="{96F2F32A-6D7A-4A83-BDFE-DC6C7698A17B}"/>
    <dataValidation allowBlank="1" showInputMessage="1" showErrorMessage="1" promptTitle="Besparing elektr. apparatuur" prompt="Reductie van het niet gebouwgebonden elektriciteitsgebruik zoals dat in de onderstaande tabel is berekend._x000a__x000a_Een reductie van 100% betekent dat in de UMGO het niet gebouwgebonden elektriciteitsgebruik niet in de berekening wordt meegenomen." sqref="D48" xr:uid="{9BD10F3F-196E-4F2A-91CA-9C0D25179692}"/>
    <dataValidation allowBlank="1" showInputMessage="1" showErrorMessage="1" promptTitle="Elektriciteitsgebruik overig" prompt="Het elektriciteitsgebruik binnen het gebouw, niet gerelateerd aan gebouwinstallaties (computers, printers, elektrisch koken, klusapparatuur et cetera)._x000a__x000a_Voor woningen zijn CBS cijfers gebruikt. Voor utiliteitsgebouwen tabel 7.3 uit NTA8800." sqref="D66" xr:uid="{19CA9B15-8D07-4530-8388-596381FE8C5A}"/>
    <dataValidation allowBlank="1" showInputMessage="1" showErrorMessage="1" promptTitle="Elektriciteitsvraag ventilatoren" prompt="De elektriciteitsvraag voor ventilatoren is afgeleid met gebouwen uit de energielabeldatabase (UT) en Voorbeeldgebouwen 2020. Na (her)berekenen met NTA8800 wordt de elektricitetsvraag berekend obv:_x000a_- ventilatiesysteem_x000a_- wissel-gelijkstroom/installatiejaar" sqref="D64" xr:uid="{C85DB223-9714-4CFA-8C91-6A37B922F6E5}"/>
    <dataValidation allowBlank="1" showInputMessage="1" showErrorMessage="1" promptTitle="Elektriciteitsvraag verlichting" prompt="De elektriciteitsvraag voor verlichting is afgeleid met gebouwen uit de energielabeldatabase (UT) en Voorbeeldgebouwen 2020. Na (her)berekenen met NTA8800 wordt de elektricitetsvraag berekend obv:_x000a_- geïnstalleerd vermogen in W/m2_x000a_- verlichtingsregeling" sqref="D63" xr:uid="{D6C73975-6685-48E9-8708-E296AE51D747}"/>
    <dataValidation allowBlank="1" showInputMessage="1" showErrorMessage="1" promptTitle="Koudebehoefte koeling" prompt="De koudebehoefte voor koeling is afgeleid met data van gebouwen uit de energielabeldatabase (UT) en Voorbeeldgebouwen 2020. Na (her)berekenen met NTA8800 is een verband afgeleid tussen koudebehoefte en:_x000a_- Als/Ag_x000a_- U gem_x000a_- vent.sys." sqref="D61" xr:uid="{638D19E9-44C7-400E-9C95-021A84B02F96}"/>
    <dataValidation allowBlank="1" showInputMessage="1" showErrorMessage="1" promptTitle="Warmtebehoefte ruimteverwarming" prompt="De warmtebehoefte voor verwarming is afgeleid met data van gebouwen uit de energielabeldatabase (UT) en Voorbeeldgebouwen 2020. Na (her)berekenen met NTA8800 is een verband afgeleid tussen warmtebehoefte en:_x000a_- Als/Ag_x000a_- U gem_x000a_- vent.sys." sqref="D60" xr:uid="{8B200FDE-C9BB-4481-B50D-4EA3404CCEF6}"/>
    <dataValidation allowBlank="1" showInputMessage="1" showErrorMessage="1" promptTitle="Hernieuwbaar door vrije koeling" prompt="Geleverde energie door vrije koeling. Mits EER &gt;= 8 (anders EPren;gen;out = 0)_x000a__x000a_EPren;gen;out = QC;gen;out * fPren;rencold_x000a__x000a_Cf. NTA8800 par. 5.6.2.2_x000a_" sqref="D265 D210" xr:uid="{646682E5-E02C-4FA5-8485-44E497A42327}"/>
    <dataValidation allowBlank="1" showInputMessage="1" showErrorMessage="1" promptTitle="Aandeel hernieuwb. prim energie" prompt="Aandeel hernieuwbare energie._x000a__x000a_RERPrenTOT = EPrenTot / (EPTot + EPrenTot) * 100%_x000a__x000a_Cf. NTA8800 par. 5.3.1.3, formule 5.3" sqref="D275" xr:uid="{70BF6A8A-3AAB-4F95-A6F1-61C803DC4AEA}"/>
    <dataValidation allowBlank="1" showInputMessage="1" showErrorMessage="1" promptTitle="Hernieuwb. abs. koel ext. warmte" prompt="Geleverde energie door absorptiekoeling op externe warmtelevering._x000a__x000a_EPren;gen;out = QC;gen;out * fPren;dhX_x000a__x000a_Waarbij de X in fPren;dhX staat voor 'kwal' (met) of 'forf' (zonder kwalteitsverklaring)._x000a__x000a_Cf. NTA8800 par. 5.6.2." sqref="D268 D213" xr:uid="{D8EEA06E-09F9-450D-82FD-3656610AA801}"/>
    <dataValidation allowBlank="1" showInputMessage="1" showErrorMessage="1" promptTitle="Totaal hernieuwbare prim energie" prompt="Hernieuwbare 'primaire' energie van de woning of het gebouw." sqref="D273" xr:uid="{B3AA6F71-D88D-4B42-9CA2-C24BF6784071}"/>
    <dataValidation allowBlank="1" showInputMessage="1" showErrorMessage="1" promptTitle="Hernieuwbaar opgewekte elek." prompt="Op het eigen perceel opgewekte primaire hernieuwbare elektriciteit._x000a__x000a_EPren;el = Eel;PV/PVT/wind * fPren;renelect_x000a__x000a_Cf. NTA8800 par. 5.6.2.4." sqref="D271 D215" xr:uid="{71388DD6-8F83-484D-B3C1-0A1250804A1E}"/>
    <dataValidation allowBlank="1" showInputMessage="1" showErrorMessage="1" promptTitle="Hernieuwbaar zonne-energie therm" prompt="Onder praktijkomstandigheden aangeleverde hoeveelheid hernieuwbare energie, door thermische zonne-energiesystemen (zonneboiler(combi)s op eigen perceel._x000a__x000a_EPren;sol;prac = QHW;sol;prac * fPren;renheat_x000a__x000a_Cf. NTA8800 par. 5.6.2._x000a_" sqref="D269 D214" xr:uid="{0C49C56F-4658-4863-B1D1-BCBEC0CEE652}"/>
    <dataValidation allowBlank="1" showInputMessage="1" showErrorMessage="1" promptTitle="Hernieuwbaar ext. warmte/koude" prompt="Ingezette hernieuwbare energie door externe warmte-/koudelevering. Waarbij de X in fPren;d[hcw]X staat voor 'kwal' (met) of 'forf' (zonder kwalteitsverklaring)._x000a__x000a_EPren;gen;out = Q[HCW];gen;out * fPren;d[hcw]X_x000a__x000a_Cf. NTA8800 par. 5.6.2._x000a_" sqref="D267" xr:uid="{9708D4F0-EBF4-44B1-AAA8-5FB37DE73444}"/>
    <dataValidation allowBlank="1" showInputMessage="1" showErrorMessage="1" promptTitle="Hernieuwbare energie biomassa" prompt="Ingezette hernieuwbare energie door biomassatoestel._x000a__x000a_EPren;gen;out = QHW;gen;out * fPren;bmX_x000a__x000a_Waarbij de X in fPren;bmX staat voor A, B of C afhankelijk van het type biomassa._x000a__x000a_Cf. NTA8800 par. 5.6.2._x000a_" sqref="D266 D211" xr:uid="{31A9E50D-00F5-4FC3-8AEA-3AA13C690F93}"/>
    <dataValidation allowBlank="1" showInputMessage="1" showErrorMessage="1" promptTitle="Hernieuwbare energie warmtepomp" prompt="Ingezette hernieuwbare energie door warmtepompen. Mits EN:_x000a_- COP (of eta) &gt;=1,0;_x000a_- bron is GEEN ventilatieretourlucht_x000a_- warmtepomp GEEN booster-wp._x000a__x000a_EPren;hp = QHW;gen;hp;out * (1-1/COP) * fPren;renheat_x000a__x000a_Cf. NTA8800 par. 5.6.2." sqref="D264 D209" xr:uid="{A1DA37E5-27CD-428E-8C12-16503EE8E1FB}"/>
    <dataValidation allowBlank="1" showInputMessage="1" showErrorMessage="1" promptTitle="Aantal toestellen" prompt="Voor toestellen met geografisch niveau:_x000a_- 'gebouw': aantal woningen en gebouwen in deellocatie._x000a_- 'gebied': totale gebruiksoppervlakte in deelgebied delen door gemiddeld maximaal te verwarmen/koelen oppervlak._x000a_- 'centraal': 1." sqref="D95" xr:uid="{E2168FF9-CF52-4161-87E0-045E5E6B0C3E}"/>
    <dataValidation allowBlank="1" showInputMessage="1" showErrorMessage="1" promptTitle="Vermogen verwarming &amp; koeling" prompt="Een indicatie van het verwarmings- en koelvermogen op basis van formules NTA8800. Zie 'bibliotheek' voor meer details." sqref="D96" xr:uid="{157FC3DA-E4F0-4DD3-9985-73EFBFD0FD55}"/>
    <dataValidation type="list" allowBlank="1" showInputMessage="1" showErrorMessage="1" sqref="O46:W46 AA46:AI46 AY46:BG46 AM46:AU46" xr:uid="{26E0AC34-B38D-4E9E-91A4-8E359EC6062B}">
      <formula1>verlichtingsregeling_namen</formula1>
    </dataValidation>
    <dataValidation type="list" allowBlank="1" showInputMessage="1" showErrorMessage="1" sqref="O43:W43 AA43:AI43 AY43:BG43 AM43:AU43" xr:uid="{6989BD2F-0EF4-4969-82E6-30C4FC254F34}">
      <formula1>ventilatoren_typen</formula1>
    </dataValidation>
    <dataValidation type="list" allowBlank="1" showInputMessage="1" showErrorMessage="1" sqref="O42:W42 AY42:BG42 AA42:AI42 AM42:AU42" xr:uid="{4565F115-2A0F-4A72-A14C-B3FC3E26797A}">
      <formula1>ventilatiesystemen_namen</formula1>
    </dataValidation>
    <dataValidation allowBlank="1" showInputMessage="1" showErrorMessage="1" promptTitle="Correctiefactor ruimteverwarming" prompt="Werkelijk energiegebruik voor ruimteverwarming wijkt vaak af van energiegebruik cf. EPG._x000a__x000a_Slecht geïsoleerde woningen verbruiken gemiddeld minder en goed geïsoleerde woningen verbruiken gemiddeld meer dan berekend._x000a__x000a_Deze correctiefactor verrekent dat." sqref="D54:D55" xr:uid="{880C61D2-A0E6-4EA5-B5DA-CF6CAF3C767F}"/>
    <dataValidation type="list" allowBlank="1" showInputMessage="1" showErrorMessage="1" errorTitle="Toestel RV" error="Kies een beschikbaar toestel." sqref="Q87 AA87 AC87 AM87 AO87 AY87 BA87 O87" xr:uid="{82DF35B6-E57C-4357-884E-D209E56D3350}">
      <formula1>"ja,nee"</formula1>
    </dataValidation>
    <dataValidation allowBlank="1" showInputMessage="1" showErrorMessage="1" promptTitle="Isolatiepakket gebouwschil" prompt="De aangeboden isolatiepakketten voor de gebouwschil bepalen de gemiddelde warmtedoorgangscoëfficiënt van de gebouwschil. In de bibliotheek zijn de Rc- en U-waarden per pakket en per bouwdeel aangegeven._x000a__x000a_Eigen pakketten zijn daaraan toe te voegen." sqref="D40" xr:uid="{BEF851DD-9788-4631-AB7D-983D00F2D98C}"/>
    <dataValidation allowBlank="1" showInputMessage="1" showErrorMessage="1" promptTitle="Warmtebehoefte warmtapwater" prompt="De energiebehoefte voor warmtapwatergebruik wordt berekend op basis van rekenregels in NTA8800 (paragraaf 13.2)." sqref="D62" xr:uid="{2D0D2FDD-4748-4400-8CAA-C99D3D09C8A8}"/>
    <dataValidation allowBlank="1" showInputMessage="1" showErrorMessage="1" promptTitle="Gegevensfilter en navigatie" prompt="&lt;-_x000a_Het gegevensfilter biedt de mogelijkheid om (delen van) tabellen in de UMGO te filteren._x000a__x000a_-&gt;_x000a_Navigatieknoppen naar andere tabbladen." sqref="D8" xr:uid="{14B2E6B8-547A-480C-9EEC-350CF359533F}"/>
    <dataValidation allowBlank="1" showInputMessage="1" showErrorMessage="1" promptTitle="Distributieverlies binnen gebouw" prompt="Warmtedistributieverlies binnen woning|gebouw voor ruimteverwarming en warmtapwater, en afgifteverlies (radiator, vloerverwarming) voor ruimteverwarming._x000a_(Afgifteverlies voor warmtapwater zit verwerkt in het kengetal voor energiebehoefte warmtapwater.)" sqref="D82" xr:uid="{23D73B77-9AFA-4604-A9CF-BC8E5F9837FA}"/>
    <dataValidation type="list" allowBlank="1" showInputMessage="1" showErrorMessage="1" sqref="Q80 AC80 BA80 AO80" xr:uid="{51B53EA7-CE32-447F-AB18-015196AADA30}">
      <formula1>toestellen_TAP_invoer</formula1>
    </dataValidation>
    <dataValidation type="list" allowBlank="1" showInputMessage="1" showErrorMessage="1" sqref="P80 AB80 AZ80 AN80" xr:uid="{9B9465D3-5109-452B-869E-C52FA7F27E59}">
      <formula1>toestellen_KOEL_invoer</formula1>
    </dataValidation>
    <dataValidation type="list" allowBlank="1" showInputMessage="1" showErrorMessage="1" sqref="AY80" xr:uid="{81DDEE0D-D9A9-438A-9377-6F30ED89004F}">
      <formula1>toestellen_RV_invoer</formula1>
    </dataValidation>
    <dataValidation type="list" allowBlank="1" showInputMessage="1" showErrorMessage="1" sqref="F5" xr:uid="{456BA706-0AB4-4936-87A2-C57F2ECB23B6}">
      <formula1>opwekking_elektriciteit</formula1>
    </dataValidation>
    <dataValidation allowBlank="1" showInputMessage="1" showErrorMessage="1" promptTitle="BENG-eisen" prompt="Als er meer dan één gebruiksfunctie is, dan is de eis gelijk aan het naar gebruiksoppervlakte gewogen gemiddelde over de verschillende functies." sqref="A273" xr:uid="{741D7C78-8105-4AC9-AC98-016CA08793AC}"/>
    <dataValidation allowBlank="1" showInputMessage="1" showErrorMessage="1" promptTitle="Primair energiegebruik" prompt="De Uniforme Maatlat rekent op onderwaarde. De EPG rekent echter op bovenwaarde. De berekende primaire energiebruiken in de EPG zijn daarom hoger." sqref="D159" xr:uid="{4451084B-A469-4589-AF09-FF18C8BCE578}"/>
    <dataValidation allowBlank="1" showInputMessage="1" showErrorMessage="1" promptTitle="Regerenatie WKO" prompt="Indien regeneratie van de WKO wordt voorzien wordt het elektriciteitsverbruik voor regeneratie bepaald als volgt:_x000a_Elektriciteitsverbruik regeneratie = abs (hoeveelheid warmte uit aquifer – hoeveelheid koude uit aquifer) * specifiek vermogen regeneratie_x000a_" sqref="D123" xr:uid="{D22CFBED-26F4-4522-9739-08B0012CC796}"/>
    <dataValidation type="whole" allowBlank="1" showInputMessage="1" showErrorMessage="1" sqref="AN139:AO139 AN142:AO143 AB142:AC143 P142:Q143 AB139:AC139 AZ142:BA142" xr:uid="{B679BBEF-57AC-454B-A767-9E7CFB7FBD18}">
      <formula1>0</formula1>
      <formula2>1</formula2>
    </dataValidation>
    <dataValidation type="decimal" allowBlank="1" showInputMessage="1" showErrorMessage="1" sqref="AM139 AM142:AM143 AA142:AA143 O142:O143 AA139 AY142" xr:uid="{0784104E-699E-49AE-8F40-F2184BE28FAB}">
      <formula1>0</formula1>
      <formula2>1</formula2>
    </dataValidation>
    <dataValidation allowBlank="1" showInputMessage="1" showErrorMessage="1" promptTitle="Primaire energiefactor" prompt="Het is mogelijk een eigen primaire energiefactor in te voeren. _x000a_Let op: Het verrekenen van aftapwarmte gaat via 'gederfde elektriciteit'." sqref="D140" xr:uid="{C3B41441-5D20-4DCD-9CCA-F277B8CD43D3}"/>
    <dataValidation allowBlank="1" showInputMessage="1" showErrorMessage="1" promptTitle="Opwekkingsrendement" prompt="Binnen de Uniforme Maatlat wordt het opwekkingsrendement op bovenwaarde gebruikt." sqref="D108" xr:uid="{58447E9B-DE01-4BAC-B4DB-BAA1B2FC30FE}"/>
    <dataValidation allowBlank="1" showInputMessage="1" showErrorMessage="1" promptTitle="Forfaitaire waarden PV" prompt="Forfaitaire waarde voor opbrengst van PV: 875 kWh/kWp._x000a_" sqref="D168" xr:uid="{E6592903-3149-4942-959A-5319160B37A7}"/>
    <dataValidation allowBlank="1" showInputMessage="1" showErrorMessage="1" promptTitle="Distributieverlies extern" prompt="Het warmteverlies bij warmtedistributie buiten het gebouw in MWh per woning en/of utiliteitsgebouw._x000a__x000a_Als hiervoor waarden beschikbaar zijn, kunnen de forfaitaire waarden uit het model worden overschreven." sqref="D89" xr:uid="{C08316DB-0D89-4E64-957F-40E8CA123831}"/>
    <dataValidation allowBlank="1" showInputMessage="1" showErrorMessage="1" promptTitle="Relatieve bijdrage per type" prompt="De relatieve bijdrage per energiepost (verwarming, warmtapwater, ..) wordt per type woning, woongebouw, utiliteitsgebouw bepaald op basis van de primaire energiegebruiken conform EPG/BENG." sqref="D234" xr:uid="{A1A67C7D-6485-4C30-AAEF-A9F450992C14}"/>
    <dataValidation allowBlank="1" showInputMessage="1" showErrorMessage="1" promptTitle="Karakteristiek energiegebruik" prompt="Totaal naar primaire energie omgerekend fossiele brandstoffen voor gebouwgebonden energiegebruik (voor woningen ZONDER verlichting), verminderd met primair energiegebruik op eigen perceel geproduceerde energie._x000a__x000a_Cf. NTA8800 par. 5.5." sqref="D262" xr:uid="{2F13DD54-A98D-480D-8EE8-1EDC5AD96AF8}"/>
    <dataValidation allowBlank="1" showInputMessage="1" showErrorMessage="1" promptTitle="PV" prompt="Opbrengst PV op gevel en dak in kWh per woning | utiliteitsgebouw." sqref="D70" xr:uid="{949CB575-2E34-4D98-9294-5EC661C29549}"/>
    <dataValidation allowBlank="1" showInputMessage="1" showErrorMessage="1" promptTitle="Mobiliteit" prompt="Het geschatte elektriciteitsgebruik voor mobiliteit, bijvoorbeeld door elektrische auto's, kan worden ingevuld in kWh per woning of per utiliteitsgebouw." sqref="D68" xr:uid="{DB871F3B-0703-46B4-B9A7-A0193A9C84E0}"/>
    <dataValidation allowBlank="1" showInputMessage="1" showErrorMessage="1" promptTitle="Warmte-/koudebehoefte" prompt="De warmte- en koudebehoefte van de woning of het utiliteitsgebouw is gegeven in kWh/m2._x000a__x000a_Het is geen maat voor BENG 1, omdat het ventilatiesysteem voor BENG 1 per definitie C1 moet zijn. En dat is hier niet het geval." sqref="D225" xr:uid="{A863099A-7F37-405B-A990-D8785E8B0D72}"/>
    <dataValidation allowBlank="1" showInputMessage="1" showErrorMessage="1" promptTitle="Primair energiegebruik" prompt="Het primair energiegebruik in kWh_prim/m2.jaar per woningtype, per energiepost en voor het totaal._x000a__x000a_Het primair energiegebruik in GJ_prim/jaar per (deel)locatie, per energiepost en voor het totaal._x000a__x000a_Het is geen maat voor BENG 2." sqref="D239" xr:uid="{17124C37-C3C5-4626-84C5-3ED33BB38BA5}"/>
    <dataValidation type="list" allowBlank="1" showInputMessage="1" showErrorMessage="1" errorTitle="Toestel RV" error="Kies een beschikbaar toestel." sqref="AA80 O80 AM80" xr:uid="{DA01FC5F-2020-437B-9F85-5CF207DBC1CB}">
      <formula1>toestellen_RV_invoer</formula1>
    </dataValidation>
    <dataValidation allowBlank="1" showInputMessage="1" showErrorMessage="1" promptTitle="CO2 emisse" prompt="De CO2 emissie in kg/m2.jaar per woningtype, per energiepost en voor het totaal._x000a__x000a_De CO2 emissie in ton/jaar per (deel)locatie, per energiepost en voor het totaal._x000a__x000a_" sqref="D300" xr:uid="{3994F072-25DE-4F31-8F44-9F16502D52F7}"/>
  </dataValidations>
  <hyperlinks>
    <hyperlink ref="D281" r:id="rId1" tooltip="verwijzing naar Staatsblad 2019, 501 met BENG-eisen" xr:uid="{12CFDA8D-65F7-4AED-A6CF-4EF367B7ADDC}"/>
  </hyperlinks>
  <pageMargins left="0.23622047244094491" right="0.23622047244094491" top="0.74803149606299213" bottom="0.74803149606299213" header="0.31496062992125984" footer="0.31496062992125984"/>
  <pageSetup paperSize="9" scale="25" fitToHeight="0" orientation="landscape"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563201" r:id="rId5" name="Correctie_RV">
              <controlPr defaultSize="0" autoFill="0" autoLine="0" autoPict="0">
                <anchor moveWithCells="1">
                  <from>
                    <xdr:col>6</xdr:col>
                    <xdr:colOff>66675</xdr:colOff>
                    <xdr:row>5</xdr:row>
                    <xdr:rowOff>0</xdr:rowOff>
                  </from>
                  <to>
                    <xdr:col>6</xdr:col>
                    <xdr:colOff>542925</xdr:colOff>
                    <xdr:row>6</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53" id="{DDA107F0-A829-4268-BE45-C17B5EACB40D}">
            <xm:f>OR(O$19="",O$24=0,IFERROR(INDEX(bibliotheek!$J$51:$J$56,MATCH(IF(O$19="",bibliotheek!$E$51,O$42),ventilatiesystemen_namen,0))="A",0))</xm:f>
            <x14:dxf>
              <font>
                <color theme="0" tint="-4.9989318521683403E-2"/>
              </font>
              <fill>
                <patternFill>
                  <bgColor theme="0" tint="-4.9989318521683403E-2"/>
                </patternFill>
              </fill>
            </x14:dxf>
          </x14:cfRule>
          <xm:sqref>O43:W43 AA43:AI43 AM43:AU43 AY43:BG43</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9164D-E90B-477B-A119-FAC3E0654AA8}">
  <sheetPr codeName="Blad16" filterMode="1">
    <tabColor theme="6" tint="0.39997558519241921"/>
    <outlinePr showOutlineSymbols="0"/>
    <pageSetUpPr fitToPage="1"/>
  </sheetPr>
  <dimension ref="A1:BH320"/>
  <sheetViews>
    <sheetView showGridLines="0" showRowColHeaders="0" zoomScaleNormal="100" workbookViewId="0">
      <pane xSplit="11" ySplit="15" topLeftCell="L16" activePane="bottomRight" state="frozen"/>
      <selection pane="topRight" activeCell="L1" sqref="L1"/>
      <selection pane="bottomLeft" activeCell="A16" sqref="A16"/>
      <selection pane="bottomRight" activeCell="H3" sqref="H3"/>
    </sheetView>
  </sheetViews>
  <sheetFormatPr defaultRowHeight="15.75" x14ac:dyDescent="0.2"/>
  <cols>
    <col min="1" max="1" width="0.5703125" style="651" customWidth="1"/>
    <col min="2" max="3" width="2.7109375" style="61" customWidth="1"/>
    <col min="4" max="4" width="2.7109375" style="233" customWidth="1"/>
    <col min="5" max="5" width="26.7109375" customWidth="1"/>
    <col min="6" max="7" width="17.7109375" customWidth="1"/>
    <col min="8" max="8" width="21.7109375" customWidth="1"/>
    <col min="9" max="9" width="0.28515625" customWidth="1"/>
    <col min="10" max="10" width="15.7109375" customWidth="1"/>
    <col min="11" max="12" width="0.85546875" customWidth="1"/>
    <col min="13" max="13" width="15.7109375" customWidth="1"/>
    <col min="14" max="14" width="0.28515625" customWidth="1"/>
    <col min="15" max="23" width="12.7109375" customWidth="1"/>
    <col min="24" max="24" width="1.7109375" customWidth="1"/>
    <col min="25" max="25" width="15.7109375" customWidth="1"/>
    <col min="26" max="26" width="0.28515625" customWidth="1"/>
    <col min="27" max="35" width="12.7109375" customWidth="1"/>
    <col min="36" max="36" width="1.7109375" customWidth="1"/>
    <col min="37" max="37" width="15.7109375" customWidth="1"/>
    <col min="38" max="38" width="0.28515625" customWidth="1"/>
    <col min="39" max="47" width="12.7109375" customWidth="1"/>
    <col min="48" max="48" width="1.7109375" customWidth="1"/>
    <col min="49" max="49" width="15.7109375" customWidth="1"/>
    <col min="50" max="50" width="0.28515625" customWidth="1"/>
    <col min="51" max="59" width="12.7109375" customWidth="1"/>
    <col min="60" max="60" width="1.140625" customWidth="1"/>
    <col min="61" max="65" width="9.140625" customWidth="1"/>
  </cols>
  <sheetData>
    <row r="1" spans="1:60" s="832" customFormat="1" ht="21" x14ac:dyDescent="0.2">
      <c r="A1" s="826"/>
      <c r="B1" s="826"/>
      <c r="C1" s="826"/>
      <c r="D1" s="827"/>
      <c r="E1" s="829" t="str">
        <f>disclaimer!$E$7&amp;" - "&amp;"versie "&amp;TEXT(disclaimer!$E$8,"d mmm jjjj")</f>
        <v>Uniforme Maatlat Gebouwde Omgeving 5.04 - versie 5 apr 2023</v>
      </c>
      <c r="F1" s="830"/>
      <c r="G1" s="830"/>
      <c r="H1" s="829"/>
      <c r="I1" s="830"/>
      <c r="J1" s="828"/>
      <c r="K1" s="831"/>
      <c r="L1" s="831"/>
      <c r="M1" s="831"/>
      <c r="N1" s="831"/>
      <c r="O1" s="835"/>
      <c r="P1" s="831"/>
      <c r="Q1" s="831"/>
      <c r="R1" s="831"/>
      <c r="S1" s="831"/>
      <c r="T1" s="831"/>
      <c r="U1" s="831"/>
      <c r="V1" s="831"/>
      <c r="W1" s="831"/>
      <c r="X1" s="831"/>
      <c r="Y1" s="831"/>
      <c r="Z1" s="831"/>
      <c r="AA1" s="835"/>
      <c r="AB1" s="831"/>
      <c r="AC1" s="831"/>
      <c r="AD1" s="831"/>
      <c r="AE1" s="831"/>
      <c r="AF1" s="831"/>
      <c r="AG1" s="831"/>
      <c r="AH1" s="831"/>
      <c r="AI1" s="831"/>
      <c r="AJ1" s="831"/>
      <c r="AK1" s="831"/>
      <c r="AL1" s="831"/>
      <c r="AM1" s="835"/>
      <c r="AN1" s="831"/>
      <c r="AO1" s="831"/>
      <c r="AP1" s="831"/>
      <c r="AQ1" s="831"/>
      <c r="AR1" s="831"/>
      <c r="AS1" s="831"/>
      <c r="AT1" s="831"/>
      <c r="AU1" s="831"/>
      <c r="AV1" s="831"/>
      <c r="AW1" s="831"/>
      <c r="AX1" s="831"/>
      <c r="AY1" s="831"/>
      <c r="AZ1" s="831"/>
      <c r="BA1" s="831"/>
      <c r="BB1" s="831"/>
      <c r="BC1" s="831"/>
      <c r="BD1" s="831"/>
      <c r="BE1" s="831"/>
      <c r="BF1" s="831"/>
      <c r="BG1" s="831"/>
      <c r="BH1" s="831"/>
    </row>
    <row r="2" spans="1:60" s="922" customFormat="1" ht="23.25" x14ac:dyDescent="0.35">
      <c r="A2" s="917"/>
      <c r="B2" s="918"/>
      <c r="C2" s="918"/>
      <c r="D2" s="919"/>
      <c r="E2" s="920" t="str">
        <f ca="1">IFERROR(MID(CELL("bestandsnaam",A1),SEARCH("]",CELL("bestandsnaam",A1),1)+1,99),"bestand nog niet opgeslagen")</f>
        <v>variant 6</v>
      </c>
      <c r="F2" s="921" t="str">
        <f>IF('woningen|utiliteit'!$G$2&lt;&gt;"","Controleer invoer gebouwen",IF(J50&lt;&gt;"OK","NB  Energiemaatregelen niet correct/volledig ingevuld",IF(J80&lt;&gt;"OK","NB  Vul alle installaties in","")))</f>
        <v/>
      </c>
      <c r="G2" s="921"/>
      <c r="H2" s="976"/>
      <c r="I2" s="850"/>
      <c r="J2" s="923"/>
      <c r="K2" s="903"/>
      <c r="L2" s="903"/>
      <c r="M2" s="926" t="s">
        <v>90</v>
      </c>
      <c r="N2" s="925"/>
      <c r="O2" s="940" t="s">
        <v>91</v>
      </c>
      <c r="P2" s="924"/>
      <c r="Q2" s="924"/>
      <c r="R2" s="924"/>
      <c r="S2" s="924"/>
      <c r="T2" s="924"/>
      <c r="U2" s="924"/>
      <c r="V2" s="924"/>
      <c r="W2" s="924"/>
      <c r="X2" s="924"/>
      <c r="Y2" s="926" t="s">
        <v>90</v>
      </c>
      <c r="Z2" s="925"/>
      <c r="AA2" s="940" t="s">
        <v>91</v>
      </c>
      <c r="AB2" s="924"/>
      <c r="AC2" s="924"/>
      <c r="AD2" s="924"/>
      <c r="AE2" s="924"/>
      <c r="AF2" s="924"/>
      <c r="AG2" s="924"/>
      <c r="AH2" s="924"/>
      <c r="AI2" s="924"/>
      <c r="AJ2" s="924"/>
      <c r="AK2" s="926" t="s">
        <v>90</v>
      </c>
      <c r="AL2" s="925"/>
      <c r="AM2" s="940" t="s">
        <v>91</v>
      </c>
      <c r="AN2" s="924"/>
      <c r="AO2" s="924"/>
      <c r="AP2" s="924"/>
      <c r="AQ2" s="924"/>
      <c r="AR2" s="924"/>
      <c r="AS2" s="924"/>
      <c r="AT2" s="924"/>
      <c r="AU2" s="924"/>
      <c r="AV2" s="924"/>
      <c r="AW2" s="926" t="s">
        <v>90</v>
      </c>
      <c r="AX2" s="925"/>
      <c r="AY2" s="940" t="s">
        <v>91</v>
      </c>
      <c r="AZ2" s="924"/>
      <c r="BA2" s="924"/>
      <c r="BB2" s="924"/>
      <c r="BC2" s="924"/>
      <c r="BD2" s="924"/>
      <c r="BE2" s="924"/>
      <c r="BF2" s="924"/>
      <c r="BG2" s="924"/>
      <c r="BH2" s="256"/>
    </row>
    <row r="3" spans="1:60" x14ac:dyDescent="0.2">
      <c r="A3" s="649"/>
      <c r="B3" s="491"/>
      <c r="C3" s="491"/>
      <c r="D3" s="747"/>
      <c r="E3" s="1068" t="str">
        <f>"project: "&amp;IF('woningen|utiliteit'!$F$3="","",'woningen|utiliteit'!$F$3)</f>
        <v xml:space="preserve">project: </v>
      </c>
      <c r="F3" s="1069"/>
      <c r="G3" s="853" t="s">
        <v>92</v>
      </c>
      <c r="H3" s="854"/>
      <c r="I3" s="90"/>
      <c r="K3" s="903"/>
      <c r="L3" s="903"/>
      <c r="M3" s="904" t="s">
        <v>93</v>
      </c>
      <c r="N3" s="905"/>
      <c r="O3" s="941" t="str">
        <f>IF(M24=0,"-",O101&amp;IF(O105=1,"","   |  "&amp;O131))</f>
        <v>-</v>
      </c>
      <c r="P3" s="906"/>
      <c r="Q3" s="907"/>
      <c r="R3" s="907"/>
      <c r="S3" s="907"/>
      <c r="T3" s="907"/>
      <c r="U3" s="907"/>
      <c r="V3" s="907"/>
      <c r="W3" s="907"/>
      <c r="X3" s="91"/>
      <c r="Y3" s="904" t="s">
        <v>93</v>
      </c>
      <c r="Z3" s="905"/>
      <c r="AA3" s="941" t="str">
        <f>IF(Y24=0,"-",AA101&amp;IF(AA105=1,"","   |  "&amp;AA131))</f>
        <v>-</v>
      </c>
      <c r="AB3" s="906"/>
      <c r="AC3" s="907"/>
      <c r="AD3" s="907"/>
      <c r="AE3" s="907"/>
      <c r="AF3" s="907"/>
      <c r="AG3" s="907"/>
      <c r="AH3" s="907"/>
      <c r="AI3" s="907"/>
      <c r="AJ3" s="91"/>
      <c r="AK3" s="904" t="s">
        <v>93</v>
      </c>
      <c r="AL3" s="905"/>
      <c r="AM3" s="941" t="str">
        <f>IF(AK24=0,"-",AM101&amp;IF(AM105=1,"","   |  "&amp;AM131))</f>
        <v>-</v>
      </c>
      <c r="AN3" s="906"/>
      <c r="AO3" s="907"/>
      <c r="AP3" s="907"/>
      <c r="AQ3" s="907"/>
      <c r="AR3" s="907"/>
      <c r="AS3" s="907"/>
      <c r="AT3" s="907"/>
      <c r="AU3" s="907"/>
      <c r="AV3" s="91"/>
      <c r="AW3" s="904" t="s">
        <v>93</v>
      </c>
      <c r="AX3" s="905"/>
      <c r="AY3" s="941" t="str">
        <f>IF(AW24=0,"-",AY101&amp;IF(AY105=1,"","   |  "&amp;AY131))</f>
        <v>-</v>
      </c>
      <c r="AZ3" s="906"/>
      <c r="BA3" s="907"/>
      <c r="BB3" s="907"/>
      <c r="BC3" s="907"/>
      <c r="BD3" s="907"/>
      <c r="BE3" s="907"/>
      <c r="BF3" s="907"/>
      <c r="BG3" s="907"/>
      <c r="BH3" s="256"/>
    </row>
    <row r="4" spans="1:60" x14ac:dyDescent="0.2">
      <c r="A4" s="649"/>
      <c r="B4" s="491"/>
      <c r="C4" s="491"/>
      <c r="D4" s="747"/>
      <c r="E4" s="855" t="s">
        <v>94</v>
      </c>
      <c r="F4" s="1070"/>
      <c r="G4" s="1070"/>
      <c r="H4" s="1071"/>
      <c r="I4" s="90"/>
      <c r="K4" s="903"/>
      <c r="L4" s="903"/>
      <c r="M4" s="908" t="s">
        <v>95</v>
      </c>
      <c r="N4" s="905"/>
      <c r="O4" s="942" t="str">
        <f>IF(M24=0,"-",P101&amp;IF(P105=1,"","   |  "&amp;P131))</f>
        <v>-</v>
      </c>
      <c r="P4" s="909"/>
      <c r="Q4" s="910"/>
      <c r="R4" s="907"/>
      <c r="S4" s="907"/>
      <c r="T4" s="907"/>
      <c r="U4" s="907"/>
      <c r="V4" s="907"/>
      <c r="W4" s="907"/>
      <c r="X4" s="91"/>
      <c r="Y4" s="908" t="s">
        <v>95</v>
      </c>
      <c r="Z4" s="905"/>
      <c r="AA4" s="942" t="str">
        <f>IF(Y24=0,"-",AB101&amp;IF(AB105=1,"","   |  "&amp;AB131))</f>
        <v>-</v>
      </c>
      <c r="AB4" s="909"/>
      <c r="AC4" s="910"/>
      <c r="AD4" s="907"/>
      <c r="AE4" s="907"/>
      <c r="AF4" s="907"/>
      <c r="AG4" s="907"/>
      <c r="AH4" s="907"/>
      <c r="AI4" s="907"/>
      <c r="AJ4" s="91"/>
      <c r="AK4" s="908" t="s">
        <v>95</v>
      </c>
      <c r="AL4" s="905"/>
      <c r="AM4" s="942" t="str">
        <f>IF(AK24=0,"-",AN101&amp;IF(AN105=1,"","   |  "&amp;AN131))</f>
        <v>-</v>
      </c>
      <c r="AN4" s="909"/>
      <c r="AO4" s="910"/>
      <c r="AP4" s="907"/>
      <c r="AQ4" s="907"/>
      <c r="AR4" s="907"/>
      <c r="AS4" s="907"/>
      <c r="AT4" s="907"/>
      <c r="AU4" s="907"/>
      <c r="AV4" s="91"/>
      <c r="AW4" s="908" t="s">
        <v>95</v>
      </c>
      <c r="AX4" s="905"/>
      <c r="AY4" s="942" t="str">
        <f>IF(AW24=0,"-",AZ101&amp;IF(AZ105=1,"","   |  "&amp;AZ131))</f>
        <v>-</v>
      </c>
      <c r="AZ4" s="909"/>
      <c r="BA4" s="910"/>
      <c r="BB4" s="907"/>
      <c r="BC4" s="907"/>
      <c r="BD4" s="907"/>
      <c r="BE4" s="907"/>
      <c r="BF4" s="907"/>
      <c r="BG4" s="907"/>
      <c r="BH4" s="256"/>
    </row>
    <row r="5" spans="1:60" x14ac:dyDescent="0.2">
      <c r="A5" s="649"/>
      <c r="B5" s="1072" t="s">
        <v>96</v>
      </c>
      <c r="C5" s="1072" t="s">
        <v>97</v>
      </c>
      <c r="D5" s="747"/>
      <c r="E5" s="855" t="s">
        <v>98</v>
      </c>
      <c r="F5" s="977" t="s">
        <v>99</v>
      </c>
      <c r="G5" s="978">
        <f>HLOOKUP($F$5,bibliotheek!$E$261:$R$264,ROWS(bibliotheek!$E$261:$E$262),FALSE)</f>
        <v>1.45</v>
      </c>
      <c r="H5" s="979">
        <f>HLOOKUP($F$5,bibliotheek!$E$261:$R$264,ROWS(bibliotheek!$E$261:$E$264),FALSE)</f>
        <v>0.34</v>
      </c>
      <c r="I5" s="90"/>
      <c r="J5" s="834"/>
      <c r="K5" s="91"/>
      <c r="L5" s="91"/>
      <c r="M5" s="904" t="s">
        <v>100</v>
      </c>
      <c r="N5" s="905"/>
      <c r="O5" s="941" t="str">
        <f>IF(M24=0,"-",Q101&amp;IF(Q105=1,"","   |  "&amp;Q131))</f>
        <v>-</v>
      </c>
      <c r="P5" s="907"/>
      <c r="Q5" s="907"/>
      <c r="R5" s="907"/>
      <c r="S5" s="907"/>
      <c r="T5" s="907"/>
      <c r="U5" s="907"/>
      <c r="V5" s="907"/>
      <c r="W5" s="907"/>
      <c r="X5" s="91"/>
      <c r="Y5" s="904" t="s">
        <v>100</v>
      </c>
      <c r="Z5" s="905"/>
      <c r="AA5" s="941" t="str">
        <f>IF(Y24=0,"-",AC101&amp;IF(AC105=1,"","   |  "&amp;AC131))</f>
        <v>-</v>
      </c>
      <c r="AB5" s="907"/>
      <c r="AC5" s="907"/>
      <c r="AD5" s="907"/>
      <c r="AE5" s="907"/>
      <c r="AF5" s="907"/>
      <c r="AG5" s="907"/>
      <c r="AH5" s="907"/>
      <c r="AI5" s="907"/>
      <c r="AJ5" s="91"/>
      <c r="AK5" s="904" t="s">
        <v>100</v>
      </c>
      <c r="AL5" s="905"/>
      <c r="AM5" s="941" t="str">
        <f>IF(AK24=0,"-",AO101&amp;IF(AO105=1,"","   |  "&amp;AO131))</f>
        <v>-</v>
      </c>
      <c r="AN5" s="907"/>
      <c r="AO5" s="907"/>
      <c r="AP5" s="907"/>
      <c r="AQ5" s="907"/>
      <c r="AR5" s="907"/>
      <c r="AS5" s="907"/>
      <c r="AT5" s="907"/>
      <c r="AU5" s="907"/>
      <c r="AV5" s="91"/>
      <c r="AW5" s="904" t="s">
        <v>100</v>
      </c>
      <c r="AX5" s="905"/>
      <c r="AY5" s="941" t="str">
        <f>IF(AW24=0,"-",BA101&amp;IF(BA105=1,"","   |  "&amp;BA131))</f>
        <v>-</v>
      </c>
      <c r="AZ5" s="907"/>
      <c r="BA5" s="907"/>
      <c r="BB5" s="907"/>
      <c r="BC5" s="907"/>
      <c r="BD5" s="907"/>
      <c r="BE5" s="907"/>
      <c r="BF5" s="907"/>
      <c r="BG5" s="907"/>
      <c r="BH5" s="256"/>
    </row>
    <row r="6" spans="1:60" x14ac:dyDescent="0.2">
      <c r="A6" s="649"/>
      <c r="B6" s="1072"/>
      <c r="C6" s="1072"/>
      <c r="D6" s="748" t="s">
        <v>50</v>
      </c>
      <c r="E6" s="856" t="s">
        <v>101</v>
      </c>
      <c r="F6" s="857"/>
      <c r="G6" s="1034" t="b">
        <v>0</v>
      </c>
      <c r="H6" s="980" t="str">
        <f>IF(G6=TRUE,"(energieprestatie ongeldig)","")</f>
        <v/>
      </c>
      <c r="I6" s="90"/>
      <c r="J6" s="834"/>
      <c r="K6" s="834"/>
      <c r="L6" s="834"/>
      <c r="M6" s="834"/>
      <c r="N6" s="834"/>
      <c r="O6" s="834"/>
      <c r="P6" s="834"/>
      <c r="Q6" s="834"/>
      <c r="R6" s="834"/>
      <c r="S6" s="834"/>
      <c r="T6" s="834"/>
      <c r="U6" s="834"/>
      <c r="V6" s="834"/>
      <c r="W6" s="834"/>
      <c r="X6" s="834"/>
      <c r="Y6" s="834"/>
      <c r="Z6" s="834"/>
      <c r="AA6" s="834"/>
      <c r="AB6" s="834"/>
      <c r="AC6" s="834"/>
      <c r="AD6" s="834"/>
      <c r="AE6" s="834"/>
      <c r="AF6" s="834"/>
      <c r="AG6" s="834"/>
      <c r="AH6" s="834"/>
      <c r="AI6" s="834"/>
      <c r="AJ6" s="834"/>
      <c r="AK6" s="834"/>
      <c r="AL6" s="834"/>
      <c r="AM6" s="834"/>
      <c r="AN6" s="834"/>
      <c r="AO6" s="834"/>
      <c r="AP6" s="834"/>
      <c r="AQ6" s="834"/>
      <c r="AR6" s="834"/>
      <c r="AS6" s="834"/>
      <c r="AT6" s="834"/>
      <c r="AU6" s="834"/>
      <c r="AV6" s="834"/>
      <c r="AW6" s="834"/>
      <c r="AX6" s="834"/>
      <c r="AY6" s="834"/>
      <c r="AZ6" s="834"/>
      <c r="BA6" s="834"/>
      <c r="BB6" s="834"/>
      <c r="BC6" s="834"/>
      <c r="BD6" s="834"/>
      <c r="BE6" s="834"/>
      <c r="BF6" s="834"/>
      <c r="BG6" s="834"/>
      <c r="BH6" s="256"/>
    </row>
    <row r="7" spans="1:60" s="914" customFormat="1" x14ac:dyDescent="0.2">
      <c r="A7" s="987"/>
      <c r="B7" s="1072"/>
      <c r="C7" s="1072"/>
      <c r="D7" s="911"/>
      <c r="E7" s="912"/>
      <c r="F7" s="912"/>
      <c r="G7" s="912"/>
      <c r="H7" s="912"/>
      <c r="I7" s="912"/>
      <c r="J7" s="913"/>
      <c r="K7" s="913"/>
      <c r="L7" s="913"/>
      <c r="M7" s="912"/>
      <c r="N7" s="912"/>
      <c r="O7" s="1035"/>
      <c r="P7" s="912"/>
      <c r="Q7" s="912"/>
      <c r="R7" s="912"/>
      <c r="S7" s="912"/>
      <c r="T7" s="911"/>
      <c r="U7" s="911"/>
      <c r="V7" s="911"/>
    </row>
    <row r="8" spans="1:60" ht="21" x14ac:dyDescent="0.35">
      <c r="A8" s="649"/>
      <c r="B8" s="658"/>
      <c r="C8" s="658"/>
      <c r="D8" s="748" t="s">
        <v>50</v>
      </c>
      <c r="E8" s="848"/>
      <c r="F8" s="1"/>
      <c r="G8" s="1"/>
      <c r="H8" s="1"/>
      <c r="I8" s="2"/>
      <c r="J8" s="849" t="s">
        <v>102</v>
      </c>
      <c r="K8" s="850"/>
      <c r="L8" s="850"/>
      <c r="M8" s="849" t="s">
        <v>67</v>
      </c>
      <c r="N8" s="851"/>
      <c r="O8" s="943" t="str">
        <f>IF(M24=0,"[geen gebouwgegevens ingevoerd]",IF('woningen|utiliteit'!$L$17="","[geen naam locatie ingevoerd]",'woningen|utiliteit'!$L$17))</f>
        <v>[geen gebouwgegevens ingevoerd]</v>
      </c>
      <c r="P8" s="851"/>
      <c r="Q8" s="851"/>
      <c r="R8" s="851"/>
      <c r="S8" s="851"/>
      <c r="T8" s="852"/>
      <c r="U8" s="852"/>
      <c r="V8" s="851"/>
      <c r="W8" s="851"/>
      <c r="X8" s="850"/>
      <c r="Y8" s="849" t="s">
        <v>84</v>
      </c>
      <c r="Z8" s="851"/>
      <c r="AA8" s="943" t="str">
        <f>IF(Y24=0,"[geen gebouwgegevens ingevoerd]",IF('woningen|utiliteit'!$L$31="","[geen naam locatie ingevoerd]",'woningen|utiliteit'!$L$31))</f>
        <v>[geen gebouwgegevens ingevoerd]</v>
      </c>
      <c r="AB8" s="851"/>
      <c r="AC8" s="851"/>
      <c r="AD8" s="851"/>
      <c r="AE8" s="851"/>
      <c r="AF8" s="852"/>
      <c r="AG8" s="852"/>
      <c r="AH8" s="851"/>
      <c r="AI8" s="851"/>
      <c r="AJ8" s="850"/>
      <c r="AK8" s="849" t="s">
        <v>85</v>
      </c>
      <c r="AL8" s="851"/>
      <c r="AM8" s="943" t="str">
        <f>IF(AK24=0,"[geen gebouwgegevens ingevoerd]",IF('woningen|utiliteit'!$L$45="","[geen naam locatie ingevoerd]",'woningen|utiliteit'!$L$45))</f>
        <v>[geen gebouwgegevens ingevoerd]</v>
      </c>
      <c r="AN8" s="851"/>
      <c r="AO8" s="851"/>
      <c r="AP8" s="851"/>
      <c r="AQ8" s="851"/>
      <c r="AR8" s="852"/>
      <c r="AS8" s="852"/>
      <c r="AT8" s="851"/>
      <c r="AU8" s="851"/>
      <c r="AV8" s="850"/>
      <c r="AW8" s="849" t="s">
        <v>86</v>
      </c>
      <c r="AX8" s="851"/>
      <c r="AY8" s="943" t="str">
        <f>IF(AW24=0,"[geen gebouwgegevens ingevoerd]",IF('woningen|utiliteit'!$L$59="","[geen naam locatie ingevoerd]",'woningen|utiliteit'!$L$59))</f>
        <v>[geen gebouwgegevens ingevoerd]</v>
      </c>
      <c r="AZ8" s="218"/>
      <c r="BA8" s="218"/>
      <c r="BB8" s="218"/>
      <c r="BC8" s="218"/>
      <c r="BD8" s="219"/>
      <c r="BE8" s="219"/>
      <c r="BF8" s="218"/>
      <c r="BG8" s="218"/>
      <c r="BH8" s="1"/>
    </row>
    <row r="9" spans="1:60" s="682" customFormat="1" ht="5.25" x14ac:dyDescent="0.2">
      <c r="A9" s="678"/>
      <c r="B9" s="841" t="s">
        <v>103</v>
      </c>
      <c r="C9" s="657" t="s">
        <v>104</v>
      </c>
      <c r="D9" s="679"/>
      <c r="E9" s="680"/>
      <c r="F9" s="680"/>
      <c r="G9" s="680"/>
      <c r="H9" s="680"/>
      <c r="I9" s="680"/>
      <c r="J9" s="681"/>
      <c r="K9" s="681"/>
      <c r="L9" s="681"/>
      <c r="M9" s="680"/>
      <c r="N9" s="680"/>
      <c r="O9" s="680"/>
      <c r="P9" s="680"/>
      <c r="Q9" s="680"/>
      <c r="R9" s="680"/>
      <c r="S9" s="680"/>
      <c r="T9" s="679"/>
      <c r="U9" s="679"/>
      <c r="V9" s="679"/>
    </row>
    <row r="10" spans="1:60" ht="21" x14ac:dyDescent="0.2">
      <c r="A10" s="648"/>
      <c r="B10" s="739" t="s">
        <v>103</v>
      </c>
      <c r="C10" s="656" t="s">
        <v>104</v>
      </c>
      <c r="D10" s="748" t="s">
        <v>50</v>
      </c>
      <c r="E10" s="670" t="s">
        <v>105</v>
      </c>
      <c r="F10" s="670"/>
      <c r="G10" s="670"/>
      <c r="H10" s="670"/>
      <c r="I10" s="88"/>
      <c r="J10" s="241" t="s">
        <v>58</v>
      </c>
      <c r="K10" s="142"/>
      <c r="L10" s="142"/>
      <c r="M10" s="216" t="s">
        <v>58</v>
      </c>
      <c r="N10" s="222"/>
      <c r="O10" s="217" t="s">
        <v>93</v>
      </c>
      <c r="P10" s="217" t="s">
        <v>95</v>
      </c>
      <c r="Q10" s="217" t="s">
        <v>106</v>
      </c>
      <c r="R10" s="217" t="s">
        <v>107</v>
      </c>
      <c r="S10" s="217" t="s">
        <v>108</v>
      </c>
      <c r="T10" s="217" t="s">
        <v>109</v>
      </c>
      <c r="U10" s="217" t="s">
        <v>110</v>
      </c>
      <c r="V10" s="217" t="s">
        <v>111</v>
      </c>
      <c r="W10" s="217" t="s">
        <v>112</v>
      </c>
      <c r="X10" s="214"/>
      <c r="Y10" s="216" t="s">
        <v>58</v>
      </c>
      <c r="Z10" s="222"/>
      <c r="AA10" s="217" t="str">
        <f>$O$10</f>
        <v>verwarming</v>
      </c>
      <c r="AB10" s="217" t="str">
        <f>$P$10</f>
        <v>koeling</v>
      </c>
      <c r="AC10" s="217" t="str">
        <f>$Q$10</f>
        <v>tapwater</v>
      </c>
      <c r="AD10" s="217" t="str">
        <f>$R$10</f>
        <v>verlichting</v>
      </c>
      <c r="AE10" s="217" t="str">
        <f>$S$10</f>
        <v>ventilatoren</v>
      </c>
      <c r="AF10" s="217" t="str">
        <f>$T$10</f>
        <v>kookgas</v>
      </c>
      <c r="AG10" s="217" t="str">
        <f>$U$10</f>
        <v>overig elektra</v>
      </c>
      <c r="AH10" s="217" t="str">
        <f>$V$10</f>
        <v>mobiliteit</v>
      </c>
      <c r="AI10" s="217" t="str">
        <f>$W$10</f>
        <v>zonnepanelen</v>
      </c>
      <c r="AJ10" s="214"/>
      <c r="AK10" s="216" t="s">
        <v>58</v>
      </c>
      <c r="AL10" s="222"/>
      <c r="AM10" s="217" t="str">
        <f>$O$10</f>
        <v>verwarming</v>
      </c>
      <c r="AN10" s="217" t="str">
        <f>$P$10</f>
        <v>koeling</v>
      </c>
      <c r="AO10" s="217" t="str">
        <f>$Q$10</f>
        <v>tapwater</v>
      </c>
      <c r="AP10" s="217" t="str">
        <f>$R$10</f>
        <v>verlichting</v>
      </c>
      <c r="AQ10" s="217" t="str">
        <f>$S$10</f>
        <v>ventilatoren</v>
      </c>
      <c r="AR10" s="217" t="str">
        <f>$T$10</f>
        <v>kookgas</v>
      </c>
      <c r="AS10" s="217" t="str">
        <f>$U$10</f>
        <v>overig elektra</v>
      </c>
      <c r="AT10" s="217" t="str">
        <f>$V$10</f>
        <v>mobiliteit</v>
      </c>
      <c r="AU10" s="217" t="str">
        <f>$W$10</f>
        <v>zonnepanelen</v>
      </c>
      <c r="AV10" s="214"/>
      <c r="AW10" s="216" t="s">
        <v>58</v>
      </c>
      <c r="AX10" s="222"/>
      <c r="AY10" s="217" t="str">
        <f>$O$10</f>
        <v>verwarming</v>
      </c>
      <c r="AZ10" s="217" t="str">
        <f>$P$10</f>
        <v>koeling</v>
      </c>
      <c r="BA10" s="217" t="str">
        <f>$Q$10</f>
        <v>tapwater</v>
      </c>
      <c r="BB10" s="217" t="str">
        <f>$R$10</f>
        <v>verlichting</v>
      </c>
      <c r="BC10" s="217" t="str">
        <f>$S$10</f>
        <v>ventilatoren</v>
      </c>
      <c r="BD10" s="217" t="str">
        <f>$T$10</f>
        <v>kookgas</v>
      </c>
      <c r="BE10" s="217" t="str">
        <f>$U$10</f>
        <v>overig elektra</v>
      </c>
      <c r="BF10" s="217" t="str">
        <f>$V$10</f>
        <v>mobiliteit</v>
      </c>
      <c r="BG10" s="217" t="str">
        <f>$W$10</f>
        <v>zonnepanelen</v>
      </c>
      <c r="BH10" s="1"/>
    </row>
    <row r="11" spans="1:60" s="682" customFormat="1" ht="5.25" x14ac:dyDescent="0.2">
      <c r="A11" s="678"/>
      <c r="B11" s="841" t="s">
        <v>103</v>
      </c>
      <c r="C11" s="841" t="s">
        <v>104</v>
      </c>
      <c r="D11" s="679"/>
      <c r="E11" s="680"/>
      <c r="F11" s="680"/>
      <c r="G11" s="680"/>
      <c r="H11" s="680"/>
      <c r="I11" s="680"/>
      <c r="J11" s="681"/>
      <c r="K11" s="681"/>
      <c r="L11" s="681"/>
      <c r="M11" s="680"/>
      <c r="N11" s="680"/>
      <c r="O11" s="680"/>
      <c r="P11" s="680"/>
      <c r="Q11" s="680"/>
      <c r="R11" s="680"/>
      <c r="S11" s="680"/>
      <c r="T11" s="679"/>
      <c r="U11" s="679"/>
      <c r="V11" s="679"/>
    </row>
    <row r="12" spans="1:60" x14ac:dyDescent="0.2">
      <c r="A12" s="648"/>
      <c r="B12" s="739" t="s">
        <v>103</v>
      </c>
      <c r="C12" s="656" t="s">
        <v>113</v>
      </c>
      <c r="D12" s="747"/>
      <c r="E12" s="220" t="s">
        <v>114</v>
      </c>
      <c r="F12" s="220"/>
      <c r="G12" s="220"/>
      <c r="H12" s="221" t="s">
        <v>115</v>
      </c>
      <c r="I12" s="94"/>
      <c r="J12" s="243">
        <f>M12+Y12+AK12+AW12</f>
        <v>0</v>
      </c>
      <c r="K12" s="294"/>
      <c r="L12" s="294"/>
      <c r="M12" s="243">
        <f>SUM(N12:X12)</f>
        <v>0</v>
      </c>
      <c r="N12" s="95"/>
      <c r="O12" s="207">
        <f>O117+O142+O159-O177</f>
        <v>0</v>
      </c>
      <c r="P12" s="207">
        <f t="shared" ref="P12:W12" si="0">P117+P142+P159-P177</f>
        <v>0</v>
      </c>
      <c r="Q12" s="207">
        <f t="shared" si="0"/>
        <v>0</v>
      </c>
      <c r="R12" s="207">
        <f t="shared" si="0"/>
        <v>0</v>
      </c>
      <c r="S12" s="207">
        <f t="shared" si="0"/>
        <v>0</v>
      </c>
      <c r="T12" s="207">
        <f t="shared" si="0"/>
        <v>0</v>
      </c>
      <c r="U12" s="207">
        <f>U117+U142+U159-U177</f>
        <v>0</v>
      </c>
      <c r="V12" s="207">
        <f t="shared" si="0"/>
        <v>0</v>
      </c>
      <c r="W12" s="207">
        <f t="shared" si="0"/>
        <v>0</v>
      </c>
      <c r="X12" s="324"/>
      <c r="Y12" s="243">
        <f>SUM(Z12:AJ12)</f>
        <v>0</v>
      </c>
      <c r="Z12" s="95"/>
      <c r="AA12" s="207">
        <f t="shared" ref="AA12:AI12" si="1">AA117+AA142+AA159-AA177</f>
        <v>0</v>
      </c>
      <c r="AB12" s="207">
        <f t="shared" si="1"/>
        <v>0</v>
      </c>
      <c r="AC12" s="207">
        <f t="shared" si="1"/>
        <v>0</v>
      </c>
      <c r="AD12" s="207">
        <f t="shared" si="1"/>
        <v>0</v>
      </c>
      <c r="AE12" s="207">
        <f t="shared" si="1"/>
        <v>0</v>
      </c>
      <c r="AF12" s="207">
        <f t="shared" si="1"/>
        <v>0</v>
      </c>
      <c r="AG12" s="207">
        <f t="shared" si="1"/>
        <v>0</v>
      </c>
      <c r="AH12" s="207">
        <f t="shared" si="1"/>
        <v>0</v>
      </c>
      <c r="AI12" s="207">
        <f t="shared" si="1"/>
        <v>0</v>
      </c>
      <c r="AJ12" s="324"/>
      <c r="AK12" s="243">
        <f>SUM(AL12:AV12)</f>
        <v>0</v>
      </c>
      <c r="AL12" s="95"/>
      <c r="AM12" s="207">
        <f t="shared" ref="AM12:AU12" si="2">AM117+AM142+AM159-AM177</f>
        <v>0</v>
      </c>
      <c r="AN12" s="207">
        <f t="shared" si="2"/>
        <v>0</v>
      </c>
      <c r="AO12" s="207">
        <f t="shared" si="2"/>
        <v>0</v>
      </c>
      <c r="AP12" s="207">
        <f t="shared" si="2"/>
        <v>0</v>
      </c>
      <c r="AQ12" s="207">
        <f t="shared" si="2"/>
        <v>0</v>
      </c>
      <c r="AR12" s="207">
        <f t="shared" si="2"/>
        <v>0</v>
      </c>
      <c r="AS12" s="207">
        <f t="shared" si="2"/>
        <v>0</v>
      </c>
      <c r="AT12" s="207">
        <f t="shared" si="2"/>
        <v>0</v>
      </c>
      <c r="AU12" s="207">
        <f t="shared" si="2"/>
        <v>0</v>
      </c>
      <c r="AV12" s="324"/>
      <c r="AW12" s="243">
        <f>SUM(AX12:BH12)</f>
        <v>0</v>
      </c>
      <c r="AX12" s="95"/>
      <c r="AY12" s="207">
        <f t="shared" ref="AY12:BG12" si="3">AY117+AY142+AY159-AY177</f>
        <v>0</v>
      </c>
      <c r="AZ12" s="207">
        <f t="shared" si="3"/>
        <v>0</v>
      </c>
      <c r="BA12" s="207">
        <f t="shared" si="3"/>
        <v>0</v>
      </c>
      <c r="BB12" s="207">
        <f t="shared" si="3"/>
        <v>0</v>
      </c>
      <c r="BC12" s="207">
        <f t="shared" si="3"/>
        <v>0</v>
      </c>
      <c r="BD12" s="207">
        <f t="shared" si="3"/>
        <v>0</v>
      </c>
      <c r="BE12" s="207">
        <f t="shared" si="3"/>
        <v>0</v>
      </c>
      <c r="BF12" s="207">
        <f t="shared" si="3"/>
        <v>0</v>
      </c>
      <c r="BG12" s="207">
        <f t="shared" si="3"/>
        <v>0</v>
      </c>
      <c r="BH12" s="255"/>
    </row>
    <row r="13" spans="1:60" x14ac:dyDescent="0.2">
      <c r="A13" s="648"/>
      <c r="B13" s="739" t="s">
        <v>103</v>
      </c>
      <c r="C13" s="656" t="s">
        <v>113</v>
      </c>
      <c r="D13" s="747"/>
      <c r="E13" s="220" t="s">
        <v>116</v>
      </c>
      <c r="F13" s="220"/>
      <c r="G13" s="220"/>
      <c r="H13" s="221" t="s">
        <v>117</v>
      </c>
      <c r="I13" s="94"/>
      <c r="J13" s="243">
        <f>M13+Y13+AK13+AW13</f>
        <v>0</v>
      </c>
      <c r="K13" s="294"/>
      <c r="L13" s="294"/>
      <c r="M13" s="243">
        <f>SUM(N13:X13)</f>
        <v>0</v>
      </c>
      <c r="N13" s="95"/>
      <c r="O13" s="207">
        <f t="shared" ref="O13:V13" si="4">O121+O146+O162</f>
        <v>0</v>
      </c>
      <c r="P13" s="207">
        <f t="shared" si="4"/>
        <v>0</v>
      </c>
      <c r="Q13" s="207">
        <f t="shared" si="4"/>
        <v>0</v>
      </c>
      <c r="R13" s="207">
        <f t="shared" si="4"/>
        <v>0</v>
      </c>
      <c r="S13" s="207">
        <f t="shared" si="4"/>
        <v>0</v>
      </c>
      <c r="T13" s="207">
        <f t="shared" si="4"/>
        <v>0</v>
      </c>
      <c r="U13" s="207">
        <f t="shared" si="4"/>
        <v>0</v>
      </c>
      <c r="V13" s="207">
        <f t="shared" si="4"/>
        <v>0</v>
      </c>
      <c r="W13" s="207">
        <f>W121+W146+W162-W181</f>
        <v>0</v>
      </c>
      <c r="X13" s="324"/>
      <c r="Y13" s="243">
        <f>SUM(Z13:AJ13)</f>
        <v>0</v>
      </c>
      <c r="Z13" s="95"/>
      <c r="AA13" s="207">
        <f t="shared" ref="AA13:AH13" si="5">AA121+AA146+AA162</f>
        <v>0</v>
      </c>
      <c r="AB13" s="207">
        <f t="shared" si="5"/>
        <v>0</v>
      </c>
      <c r="AC13" s="207">
        <f t="shared" si="5"/>
        <v>0</v>
      </c>
      <c r="AD13" s="207">
        <f t="shared" si="5"/>
        <v>0</v>
      </c>
      <c r="AE13" s="207">
        <f t="shared" si="5"/>
        <v>0</v>
      </c>
      <c r="AF13" s="207">
        <f t="shared" si="5"/>
        <v>0</v>
      </c>
      <c r="AG13" s="207">
        <f t="shared" si="5"/>
        <v>0</v>
      </c>
      <c r="AH13" s="207">
        <f t="shared" si="5"/>
        <v>0</v>
      </c>
      <c r="AI13" s="207">
        <f>AI121+AI146+AI162-AI181</f>
        <v>0</v>
      </c>
      <c r="AJ13" s="324"/>
      <c r="AK13" s="243">
        <f>SUM(AL13:AV13)</f>
        <v>0</v>
      </c>
      <c r="AL13" s="95"/>
      <c r="AM13" s="207">
        <f t="shared" ref="AM13:AT13" si="6">AM121+AM146+AM162</f>
        <v>0</v>
      </c>
      <c r="AN13" s="207">
        <f t="shared" si="6"/>
        <v>0</v>
      </c>
      <c r="AO13" s="207">
        <f t="shared" si="6"/>
        <v>0</v>
      </c>
      <c r="AP13" s="207">
        <f t="shared" si="6"/>
        <v>0</v>
      </c>
      <c r="AQ13" s="207">
        <f t="shared" si="6"/>
        <v>0</v>
      </c>
      <c r="AR13" s="207">
        <f t="shared" si="6"/>
        <v>0</v>
      </c>
      <c r="AS13" s="207">
        <f t="shared" si="6"/>
        <v>0</v>
      </c>
      <c r="AT13" s="207">
        <f t="shared" si="6"/>
        <v>0</v>
      </c>
      <c r="AU13" s="207">
        <f>AU121+AU146+AU162-AU181</f>
        <v>0</v>
      </c>
      <c r="AV13" s="324"/>
      <c r="AW13" s="243">
        <f>SUM(AX13:BH13)</f>
        <v>0</v>
      </c>
      <c r="AX13" s="95"/>
      <c r="AY13" s="207">
        <f t="shared" ref="AY13:BF13" si="7">AY121+AY146+AY162</f>
        <v>0</v>
      </c>
      <c r="AZ13" s="207">
        <f t="shared" si="7"/>
        <v>0</v>
      </c>
      <c r="BA13" s="207">
        <f t="shared" si="7"/>
        <v>0</v>
      </c>
      <c r="BB13" s="207">
        <f t="shared" si="7"/>
        <v>0</v>
      </c>
      <c r="BC13" s="207">
        <f t="shared" si="7"/>
        <v>0</v>
      </c>
      <c r="BD13" s="207">
        <f t="shared" si="7"/>
        <v>0</v>
      </c>
      <c r="BE13" s="207">
        <f t="shared" si="7"/>
        <v>0</v>
      </c>
      <c r="BF13" s="207">
        <f t="shared" si="7"/>
        <v>0</v>
      </c>
      <c r="BG13" s="207">
        <f>BG121+BG146+BG162-BG181</f>
        <v>0</v>
      </c>
      <c r="BH13" s="255"/>
    </row>
    <row r="14" spans="1:60" x14ac:dyDescent="0.2">
      <c r="A14" s="648"/>
      <c r="B14" s="739" t="s">
        <v>103</v>
      </c>
      <c r="C14" s="656" t="s">
        <v>113</v>
      </c>
      <c r="D14" s="747"/>
      <c r="E14" s="220" t="s">
        <v>118</v>
      </c>
      <c r="F14" s="220"/>
      <c r="G14" s="220"/>
      <c r="H14" s="221" t="s">
        <v>119</v>
      </c>
      <c r="I14" s="94"/>
      <c r="J14" s="243">
        <f>M14+Y14+AK14+AW14</f>
        <v>0</v>
      </c>
      <c r="K14" s="294"/>
      <c r="L14" s="294"/>
      <c r="M14" s="243">
        <f>SUM(N14:X14)</f>
        <v>0</v>
      </c>
      <c r="N14" s="95"/>
      <c r="O14" s="207">
        <f t="shared" ref="O14:W14" si="8">O186*O29/1000</f>
        <v>0</v>
      </c>
      <c r="P14" s="207">
        <f t="shared" si="8"/>
        <v>0</v>
      </c>
      <c r="Q14" s="207">
        <f t="shared" si="8"/>
        <v>0</v>
      </c>
      <c r="R14" s="207">
        <f t="shared" si="8"/>
        <v>0</v>
      </c>
      <c r="S14" s="207">
        <f t="shared" si="8"/>
        <v>0</v>
      </c>
      <c r="T14" s="207">
        <f t="shared" si="8"/>
        <v>0</v>
      </c>
      <c r="U14" s="207">
        <f t="shared" si="8"/>
        <v>0</v>
      </c>
      <c r="V14" s="207">
        <f t="shared" si="8"/>
        <v>0</v>
      </c>
      <c r="W14" s="207">
        <f t="shared" si="8"/>
        <v>0</v>
      </c>
      <c r="X14" s="324"/>
      <c r="Y14" s="243">
        <f>SUM(Z14:AJ14)</f>
        <v>0</v>
      </c>
      <c r="Z14" s="95"/>
      <c r="AA14" s="207">
        <f t="shared" ref="AA14:AI14" si="9">AA186*AA29/1000</f>
        <v>0</v>
      </c>
      <c r="AB14" s="207">
        <f t="shared" si="9"/>
        <v>0</v>
      </c>
      <c r="AC14" s="207">
        <f t="shared" si="9"/>
        <v>0</v>
      </c>
      <c r="AD14" s="207">
        <f t="shared" si="9"/>
        <v>0</v>
      </c>
      <c r="AE14" s="207">
        <f t="shared" si="9"/>
        <v>0</v>
      </c>
      <c r="AF14" s="207">
        <f t="shared" si="9"/>
        <v>0</v>
      </c>
      <c r="AG14" s="207">
        <f t="shared" si="9"/>
        <v>0</v>
      </c>
      <c r="AH14" s="207">
        <f t="shared" si="9"/>
        <v>0</v>
      </c>
      <c r="AI14" s="207">
        <f t="shared" si="9"/>
        <v>0</v>
      </c>
      <c r="AJ14" s="324"/>
      <c r="AK14" s="243">
        <f>SUM(AL14:AV14)</f>
        <v>0</v>
      </c>
      <c r="AL14" s="95"/>
      <c r="AM14" s="207">
        <f t="shared" ref="AM14:AU14" si="10">AM186*AM29/1000</f>
        <v>0</v>
      </c>
      <c r="AN14" s="207">
        <f t="shared" si="10"/>
        <v>0</v>
      </c>
      <c r="AO14" s="207">
        <f t="shared" si="10"/>
        <v>0</v>
      </c>
      <c r="AP14" s="207">
        <f t="shared" si="10"/>
        <v>0</v>
      </c>
      <c r="AQ14" s="207">
        <f t="shared" si="10"/>
        <v>0</v>
      </c>
      <c r="AR14" s="207">
        <f t="shared" si="10"/>
        <v>0</v>
      </c>
      <c r="AS14" s="207">
        <f t="shared" si="10"/>
        <v>0</v>
      </c>
      <c r="AT14" s="207">
        <f t="shared" si="10"/>
        <v>0</v>
      </c>
      <c r="AU14" s="207">
        <f t="shared" si="10"/>
        <v>0</v>
      </c>
      <c r="AV14" s="324"/>
      <c r="AW14" s="243">
        <f>SUM(AX14:BH14)</f>
        <v>0</v>
      </c>
      <c r="AX14" s="95"/>
      <c r="AY14" s="207">
        <f t="shared" ref="AY14:BG14" si="11">AY186*AY29/1000</f>
        <v>0</v>
      </c>
      <c r="AZ14" s="207">
        <f t="shared" si="11"/>
        <v>0</v>
      </c>
      <c r="BA14" s="207">
        <f t="shared" si="11"/>
        <v>0</v>
      </c>
      <c r="BB14" s="207">
        <f t="shared" si="11"/>
        <v>0</v>
      </c>
      <c r="BC14" s="207">
        <f t="shared" si="11"/>
        <v>0</v>
      </c>
      <c r="BD14" s="207">
        <f t="shared" si="11"/>
        <v>0</v>
      </c>
      <c r="BE14" s="207">
        <f t="shared" si="11"/>
        <v>0</v>
      </c>
      <c r="BF14" s="207">
        <f t="shared" si="11"/>
        <v>0</v>
      </c>
      <c r="BG14" s="207">
        <f t="shared" si="11"/>
        <v>0</v>
      </c>
      <c r="BH14" s="257"/>
    </row>
    <row r="15" spans="1:60" s="847" customFormat="1" ht="5.25" x14ac:dyDescent="0.2">
      <c r="A15" s="842"/>
      <c r="B15" s="843" t="s">
        <v>103</v>
      </c>
      <c r="C15" s="841" t="s">
        <v>113</v>
      </c>
      <c r="D15" s="756"/>
      <c r="E15" s="844"/>
      <c r="F15" s="844"/>
      <c r="G15" s="844"/>
      <c r="H15" s="845"/>
      <c r="I15" s="844"/>
      <c r="J15" s="846"/>
      <c r="K15" s="844"/>
      <c r="L15" s="844"/>
      <c r="M15" s="846"/>
      <c r="N15" s="844"/>
      <c r="O15" s="846"/>
      <c r="P15" s="846"/>
      <c r="Q15" s="846"/>
      <c r="R15" s="846"/>
      <c r="S15" s="846"/>
      <c r="T15" s="846"/>
      <c r="U15" s="846"/>
      <c r="V15" s="846"/>
      <c r="W15" s="846"/>
      <c r="X15" s="846"/>
      <c r="Y15" s="846"/>
      <c r="Z15" s="844"/>
      <c r="AA15" s="846"/>
      <c r="AB15" s="846"/>
      <c r="AC15" s="846"/>
      <c r="AD15" s="846"/>
      <c r="AE15" s="846"/>
      <c r="AF15" s="846"/>
      <c r="AG15" s="846"/>
      <c r="AH15" s="846"/>
      <c r="AI15" s="846"/>
      <c r="AJ15" s="846"/>
      <c r="AK15" s="846"/>
      <c r="AL15" s="844"/>
      <c r="AM15" s="846"/>
      <c r="AN15" s="846"/>
      <c r="AO15" s="846"/>
      <c r="AP15" s="846"/>
      <c r="AQ15" s="846"/>
      <c r="AR15" s="846"/>
      <c r="AS15" s="846"/>
      <c r="AT15" s="846"/>
      <c r="AU15" s="846"/>
      <c r="AV15" s="846"/>
      <c r="AW15" s="846"/>
      <c r="AX15" s="844"/>
      <c r="AY15" s="846"/>
      <c r="AZ15" s="846"/>
      <c r="BA15" s="846"/>
      <c r="BB15" s="846"/>
      <c r="BC15" s="846"/>
      <c r="BD15" s="846"/>
      <c r="BE15" s="846"/>
      <c r="BF15" s="846"/>
      <c r="BG15" s="846"/>
      <c r="BH15" s="846"/>
    </row>
    <row r="16" spans="1:60" x14ac:dyDescent="0.2">
      <c r="A16" s="653"/>
      <c r="B16" s="739" t="s">
        <v>120</v>
      </c>
      <c r="C16" s="739" t="s">
        <v>104</v>
      </c>
      <c r="D16" s="747"/>
      <c r="E16" s="90"/>
      <c r="F16" s="90"/>
      <c r="G16" s="90"/>
      <c r="H16" s="96"/>
      <c r="I16" s="90"/>
      <c r="J16" s="93"/>
      <c r="K16" s="90"/>
      <c r="L16" s="90"/>
      <c r="M16" s="93"/>
      <c r="N16" s="90"/>
      <c r="O16" s="93"/>
      <c r="P16" s="93"/>
      <c r="Q16" s="93"/>
      <c r="R16" s="93"/>
      <c r="S16" s="93"/>
      <c r="T16" s="93"/>
      <c r="U16" s="93"/>
      <c r="V16" s="93"/>
      <c r="W16" s="93"/>
      <c r="X16" s="93"/>
      <c r="Y16" s="93"/>
      <c r="Z16" s="90"/>
      <c r="AA16" s="93"/>
      <c r="AB16" s="93"/>
      <c r="AC16" s="93"/>
      <c r="AD16" s="93"/>
      <c r="AE16" s="93"/>
      <c r="AF16" s="93"/>
      <c r="AG16" s="93"/>
      <c r="AH16" s="93"/>
      <c r="AI16" s="93"/>
      <c r="AJ16" s="93"/>
      <c r="AK16" s="93"/>
      <c r="AL16" s="90"/>
      <c r="AM16" s="93"/>
      <c r="AN16" s="93"/>
      <c r="AO16" s="93"/>
      <c r="AP16" s="93"/>
      <c r="AQ16" s="93"/>
      <c r="AR16" s="93"/>
      <c r="AS16" s="93"/>
      <c r="AT16" s="93"/>
      <c r="AU16" s="93"/>
      <c r="AV16" s="93"/>
      <c r="AW16" s="93"/>
      <c r="AX16" s="90"/>
      <c r="AY16" s="93"/>
      <c r="AZ16" s="93"/>
      <c r="BA16" s="93"/>
      <c r="BB16" s="93"/>
      <c r="BC16" s="93"/>
      <c r="BD16" s="93"/>
      <c r="BE16" s="93"/>
      <c r="BF16" s="93"/>
      <c r="BG16" s="93"/>
      <c r="BH16" s="1"/>
    </row>
    <row r="17" spans="1:60" s="2" customFormat="1" ht="21" x14ac:dyDescent="0.2">
      <c r="A17" s="649"/>
      <c r="B17" s="739" t="s">
        <v>120</v>
      </c>
      <c r="C17" s="739" t="s">
        <v>104</v>
      </c>
      <c r="D17" s="748" t="s">
        <v>50</v>
      </c>
      <c r="E17" s="253" t="s">
        <v>121</v>
      </c>
      <c r="F17" s="253"/>
      <c r="G17" s="253"/>
      <c r="H17" s="253"/>
      <c r="I17" s="146"/>
      <c r="J17" s="318" t="str">
        <f>J$10</f>
        <v>totaal</v>
      </c>
      <c r="K17" s="142"/>
      <c r="L17" s="142"/>
      <c r="M17" s="319" t="str">
        <f>M$10</f>
        <v>totaal</v>
      </c>
      <c r="N17" s="234"/>
      <c r="O17" s="320" t="str">
        <f>IF(O19="","",O19)</f>
        <v/>
      </c>
      <c r="P17" s="320" t="str">
        <f t="shared" ref="P17:W17" si="12">IF(P19="","",P19)</f>
        <v/>
      </c>
      <c r="Q17" s="320" t="str">
        <f t="shared" si="12"/>
        <v/>
      </c>
      <c r="R17" s="320" t="str">
        <f t="shared" si="12"/>
        <v/>
      </c>
      <c r="S17" s="320" t="str">
        <f t="shared" si="12"/>
        <v/>
      </c>
      <c r="T17" s="320" t="str">
        <f>IF(T19="","",T19)</f>
        <v/>
      </c>
      <c r="U17" s="320" t="str">
        <f t="shared" si="12"/>
        <v/>
      </c>
      <c r="V17" s="320" t="str">
        <f t="shared" si="12"/>
        <v/>
      </c>
      <c r="W17" s="320" t="str">
        <f t="shared" si="12"/>
        <v/>
      </c>
      <c r="X17" s="214"/>
      <c r="Y17" s="319" t="str">
        <f>Y$10</f>
        <v>totaal</v>
      </c>
      <c r="Z17" s="234"/>
      <c r="AA17" s="320" t="str">
        <f>IF(AA19="","",AA19)</f>
        <v/>
      </c>
      <c r="AB17" s="320" t="str">
        <f t="shared" ref="AB17:AI17" si="13">IF(AB19="","",AB19)</f>
        <v/>
      </c>
      <c r="AC17" s="320" t="str">
        <f t="shared" si="13"/>
        <v/>
      </c>
      <c r="AD17" s="320" t="str">
        <f t="shared" si="13"/>
        <v/>
      </c>
      <c r="AE17" s="320" t="str">
        <f t="shared" si="13"/>
        <v/>
      </c>
      <c r="AF17" s="320" t="str">
        <f>IF(AF19="","",AF19)</f>
        <v/>
      </c>
      <c r="AG17" s="320" t="str">
        <f t="shared" si="13"/>
        <v/>
      </c>
      <c r="AH17" s="320" t="str">
        <f t="shared" si="13"/>
        <v/>
      </c>
      <c r="AI17" s="320" t="str">
        <f t="shared" si="13"/>
        <v/>
      </c>
      <c r="AJ17" s="214"/>
      <c r="AK17" s="319" t="str">
        <f>AK$10</f>
        <v>totaal</v>
      </c>
      <c r="AL17" s="234"/>
      <c r="AM17" s="320" t="str">
        <f>IF(AM19="","",AM19)</f>
        <v/>
      </c>
      <c r="AN17" s="320" t="str">
        <f t="shared" ref="AN17:AU17" si="14">IF(AN19="","",AN19)</f>
        <v/>
      </c>
      <c r="AO17" s="320" t="str">
        <f t="shared" si="14"/>
        <v/>
      </c>
      <c r="AP17" s="320" t="str">
        <f t="shared" si="14"/>
        <v/>
      </c>
      <c r="AQ17" s="320" t="str">
        <f t="shared" si="14"/>
        <v/>
      </c>
      <c r="AR17" s="320" t="str">
        <f>IF(AR19="","",AR19)</f>
        <v/>
      </c>
      <c r="AS17" s="320" t="str">
        <f t="shared" si="14"/>
        <v/>
      </c>
      <c r="AT17" s="320" t="str">
        <f t="shared" si="14"/>
        <v/>
      </c>
      <c r="AU17" s="320" t="str">
        <f t="shared" si="14"/>
        <v/>
      </c>
      <c r="AV17" s="214"/>
      <c r="AW17" s="319" t="str">
        <f>AW$10</f>
        <v>totaal</v>
      </c>
      <c r="AX17" s="234"/>
      <c r="AY17" s="320" t="str">
        <f>IF(AY19="","",AY19)</f>
        <v/>
      </c>
      <c r="AZ17" s="320" t="str">
        <f t="shared" ref="AZ17:BG17" si="15">IF(AZ19="","",AZ19)</f>
        <v/>
      </c>
      <c r="BA17" s="320" t="str">
        <f t="shared" si="15"/>
        <v/>
      </c>
      <c r="BB17" s="320" t="str">
        <f t="shared" si="15"/>
        <v/>
      </c>
      <c r="BC17" s="320" t="str">
        <f t="shared" si="15"/>
        <v/>
      </c>
      <c r="BD17" s="320" t="str">
        <f>IF(BD19="","",BD19)</f>
        <v/>
      </c>
      <c r="BE17" s="320" t="str">
        <f t="shared" si="15"/>
        <v/>
      </c>
      <c r="BF17" s="320" t="str">
        <f t="shared" si="15"/>
        <v/>
      </c>
      <c r="BG17" s="320" t="str">
        <f t="shared" si="15"/>
        <v/>
      </c>
      <c r="BH17" s="1"/>
    </row>
    <row r="18" spans="1:60" ht="18.75" x14ac:dyDescent="0.2">
      <c r="A18" s="648"/>
      <c r="B18" s="739" t="s">
        <v>120</v>
      </c>
      <c r="C18" s="739" t="s">
        <v>104</v>
      </c>
      <c r="D18" s="747"/>
      <c r="E18" s="236" t="s">
        <v>122</v>
      </c>
      <c r="F18" s="236"/>
      <c r="G18" s="236"/>
      <c r="H18" s="89"/>
      <c r="I18" s="236"/>
      <c r="J18" s="236"/>
      <c r="K18" s="236"/>
      <c r="L18" s="236"/>
      <c r="M18" s="236"/>
      <c r="N18" s="236"/>
      <c r="O18" s="236"/>
      <c r="P18" s="236"/>
      <c r="Q18" s="236"/>
      <c r="R18" s="236"/>
      <c r="S18" s="236"/>
      <c r="T18" s="236"/>
      <c r="U18" s="236"/>
      <c r="V18" s="236"/>
      <c r="W18" s="236"/>
      <c r="X18" s="236"/>
      <c r="Y18" s="236"/>
      <c r="Z18" s="236"/>
      <c r="AA18" s="236"/>
      <c r="AB18" s="791"/>
      <c r="AC18" s="236"/>
      <c r="AD18" s="236"/>
      <c r="AE18" s="236"/>
      <c r="AF18" s="236"/>
      <c r="AG18" s="236"/>
      <c r="AH18" s="236"/>
      <c r="AI18" s="236"/>
      <c r="AJ18" s="236"/>
      <c r="AK18" s="236"/>
      <c r="AL18" s="236"/>
      <c r="AM18" s="236"/>
      <c r="AN18" s="791"/>
      <c r="AO18" s="791"/>
      <c r="AP18" s="236"/>
      <c r="AQ18" s="236"/>
      <c r="AR18" s="236"/>
      <c r="AS18" s="236"/>
      <c r="AT18" s="236"/>
      <c r="AU18" s="236"/>
      <c r="AV18" s="236"/>
      <c r="AW18" s="236"/>
      <c r="AX18" s="236"/>
      <c r="AY18" s="236"/>
      <c r="AZ18" s="236"/>
      <c r="BA18" s="236"/>
      <c r="BB18" s="236"/>
      <c r="BC18" s="236"/>
      <c r="BD18" s="236"/>
      <c r="BE18" s="236"/>
      <c r="BF18" s="236"/>
      <c r="BG18" s="236"/>
      <c r="BH18" s="38"/>
    </row>
    <row r="19" spans="1:60" x14ac:dyDescent="0.2">
      <c r="A19" s="648"/>
      <c r="B19" s="739" t="s">
        <v>120</v>
      </c>
      <c r="C19" s="656" t="s">
        <v>113</v>
      </c>
      <c r="D19" s="747"/>
      <c r="E19" s="220" t="s">
        <v>122</v>
      </c>
      <c r="F19" s="182"/>
      <c r="G19" s="182"/>
      <c r="H19" s="183" t="s">
        <v>70</v>
      </c>
      <c r="I19" s="235"/>
      <c r="J19" s="224"/>
      <c r="K19" s="232"/>
      <c r="L19" s="232"/>
      <c r="M19" s="224"/>
      <c r="N19" s="99"/>
      <c r="O19" s="453" t="str">
        <f>IF('woningen|utiliteit'!L18="","",'woningen|utiliteit'!L18)</f>
        <v/>
      </c>
      <c r="P19" s="453" t="str">
        <f>IF('woningen|utiliteit'!M18="","",'woningen|utiliteit'!M18)</f>
        <v/>
      </c>
      <c r="Q19" s="453" t="str">
        <f>IF('woningen|utiliteit'!N18="","",'woningen|utiliteit'!N18)</f>
        <v/>
      </c>
      <c r="R19" s="453" t="str">
        <f>IF('woningen|utiliteit'!O18="","",'woningen|utiliteit'!O18)</f>
        <v/>
      </c>
      <c r="S19" s="453" t="str">
        <f>IF('woningen|utiliteit'!P18="","",'woningen|utiliteit'!P18)</f>
        <v/>
      </c>
      <c r="T19" s="453" t="str">
        <f>IF('woningen|utiliteit'!Q18="","",'woningen|utiliteit'!Q18)</f>
        <v/>
      </c>
      <c r="U19" s="453" t="str">
        <f>IF('woningen|utiliteit'!R18="","",'woningen|utiliteit'!R18)</f>
        <v/>
      </c>
      <c r="V19" s="453" t="str">
        <f>IF('woningen|utiliteit'!S18="","",'woningen|utiliteit'!S18)</f>
        <v/>
      </c>
      <c r="W19" s="453" t="str">
        <f>IF('woningen|utiliteit'!T18="","",'woningen|utiliteit'!T18)</f>
        <v/>
      </c>
      <c r="X19" s="98"/>
      <c r="Y19" s="224"/>
      <c r="Z19" s="99"/>
      <c r="AA19" s="453" t="str">
        <f>IF('woningen|utiliteit'!L32="","",'woningen|utiliteit'!L32)</f>
        <v/>
      </c>
      <c r="AB19" s="453" t="str">
        <f>IF('woningen|utiliteit'!M32="","",'woningen|utiliteit'!M32)</f>
        <v/>
      </c>
      <c r="AC19" s="453" t="str">
        <f>IF('woningen|utiliteit'!N32="","",'woningen|utiliteit'!N32)</f>
        <v/>
      </c>
      <c r="AD19" s="453" t="str">
        <f>IF('woningen|utiliteit'!O32="","",'woningen|utiliteit'!O32)</f>
        <v/>
      </c>
      <c r="AE19" s="453" t="str">
        <f>IF('woningen|utiliteit'!P32="","",'woningen|utiliteit'!P32)</f>
        <v/>
      </c>
      <c r="AF19" s="453" t="str">
        <f>IF('woningen|utiliteit'!Q32="","",'woningen|utiliteit'!Q32)</f>
        <v/>
      </c>
      <c r="AG19" s="453" t="str">
        <f>IF('woningen|utiliteit'!R32="","",'woningen|utiliteit'!R32)</f>
        <v/>
      </c>
      <c r="AH19" s="453" t="str">
        <f>IF('woningen|utiliteit'!S32="","",'woningen|utiliteit'!S32)</f>
        <v/>
      </c>
      <c r="AI19" s="453" t="str">
        <f>IF('woningen|utiliteit'!T32="","",'woningen|utiliteit'!T32)</f>
        <v/>
      </c>
      <c r="AJ19" s="98"/>
      <c r="AK19" s="224"/>
      <c r="AL19" s="99"/>
      <c r="AM19" s="453" t="str">
        <f>IF('woningen|utiliteit'!L46="","",'woningen|utiliteit'!L46)</f>
        <v/>
      </c>
      <c r="AN19" s="453" t="str">
        <f>IF('woningen|utiliteit'!M46="","",'woningen|utiliteit'!M46)</f>
        <v/>
      </c>
      <c r="AO19" s="453" t="str">
        <f>IF('woningen|utiliteit'!N46="","",'woningen|utiliteit'!N46)</f>
        <v/>
      </c>
      <c r="AP19" s="453" t="str">
        <f>IF('woningen|utiliteit'!O46="","",'woningen|utiliteit'!O46)</f>
        <v/>
      </c>
      <c r="AQ19" s="453" t="str">
        <f>IF('woningen|utiliteit'!P46="","",'woningen|utiliteit'!P46)</f>
        <v/>
      </c>
      <c r="AR19" s="453" t="str">
        <f>IF('woningen|utiliteit'!Q46="","",'woningen|utiliteit'!Q46)</f>
        <v/>
      </c>
      <c r="AS19" s="453" t="str">
        <f>IF('woningen|utiliteit'!R46="","",'woningen|utiliteit'!R46)</f>
        <v/>
      </c>
      <c r="AT19" s="453" t="str">
        <f>IF('woningen|utiliteit'!S46="","",'woningen|utiliteit'!S46)</f>
        <v/>
      </c>
      <c r="AU19" s="453" t="str">
        <f>IF('woningen|utiliteit'!T46="","",'woningen|utiliteit'!T46)</f>
        <v/>
      </c>
      <c r="AV19" s="98"/>
      <c r="AW19" s="224"/>
      <c r="AX19" s="99"/>
      <c r="AY19" s="453" t="str">
        <f>IF('woningen|utiliteit'!L60="","",'woningen|utiliteit'!L60)</f>
        <v/>
      </c>
      <c r="AZ19" s="453" t="str">
        <f>IF('woningen|utiliteit'!M60="","",'woningen|utiliteit'!M60)</f>
        <v/>
      </c>
      <c r="BA19" s="453" t="str">
        <f>IF('woningen|utiliteit'!N60="","",'woningen|utiliteit'!N60)</f>
        <v/>
      </c>
      <c r="BB19" s="453" t="str">
        <f>IF('woningen|utiliteit'!O60="","",'woningen|utiliteit'!O60)</f>
        <v/>
      </c>
      <c r="BC19" s="453" t="str">
        <f>IF('woningen|utiliteit'!P60="","",'woningen|utiliteit'!P60)</f>
        <v/>
      </c>
      <c r="BD19" s="453" t="str">
        <f>IF('woningen|utiliteit'!Q60="","",'woningen|utiliteit'!Q60)</f>
        <v/>
      </c>
      <c r="BE19" s="453" t="str">
        <f>IF('woningen|utiliteit'!R60="","",'woningen|utiliteit'!R60)</f>
        <v/>
      </c>
      <c r="BF19" s="453" t="str">
        <f>IF('woningen|utiliteit'!S60="","",'woningen|utiliteit'!S60)</f>
        <v/>
      </c>
      <c r="BG19" s="453" t="str">
        <f>IF('woningen|utiliteit'!T60="","",'woningen|utiliteit'!T60)</f>
        <v/>
      </c>
      <c r="BH19" s="258"/>
    </row>
    <row r="20" spans="1:60" x14ac:dyDescent="0.2">
      <c r="A20" s="648"/>
      <c r="B20" s="739" t="s">
        <v>120</v>
      </c>
      <c r="C20" s="656" t="s">
        <v>113</v>
      </c>
      <c r="D20" s="747"/>
      <c r="E20" s="317" t="s">
        <v>123</v>
      </c>
      <c r="F20" s="286"/>
      <c r="G20" s="286"/>
      <c r="H20" s="360" t="s">
        <v>70</v>
      </c>
      <c r="I20" s="716"/>
      <c r="J20" s="226"/>
      <c r="K20" s="232"/>
      <c r="L20" s="232"/>
      <c r="M20" s="226"/>
      <c r="N20" s="106"/>
      <c r="O20" s="637" t="str">
        <f>IF('woningen|utiliteit'!L20="","",'woningen|utiliteit'!L20)</f>
        <v/>
      </c>
      <c r="P20" s="637" t="str">
        <f>IF('woningen|utiliteit'!M20="","",'woningen|utiliteit'!M20)</f>
        <v/>
      </c>
      <c r="Q20" s="637" t="str">
        <f>IF('woningen|utiliteit'!N20="","",'woningen|utiliteit'!N20)</f>
        <v/>
      </c>
      <c r="R20" s="637" t="str">
        <f>IF('woningen|utiliteit'!O20="","",'woningen|utiliteit'!O20)</f>
        <v/>
      </c>
      <c r="S20" s="637" t="str">
        <f>IF('woningen|utiliteit'!P20="","",'woningen|utiliteit'!P20)</f>
        <v/>
      </c>
      <c r="T20" s="637" t="str">
        <f>IF('woningen|utiliteit'!Q20="","",'woningen|utiliteit'!Q20)</f>
        <v/>
      </c>
      <c r="U20" s="637" t="str">
        <f>IF('woningen|utiliteit'!R20="","",'woningen|utiliteit'!R20)</f>
        <v/>
      </c>
      <c r="V20" s="637" t="str">
        <f>IF('woningen|utiliteit'!S20="","",'woningen|utiliteit'!S20)</f>
        <v/>
      </c>
      <c r="W20" s="637" t="str">
        <f>IF('woningen|utiliteit'!T20="","",'woningen|utiliteit'!T20)</f>
        <v/>
      </c>
      <c r="X20" s="98"/>
      <c r="Y20" s="226"/>
      <c r="Z20" s="106"/>
      <c r="AA20" s="637" t="str">
        <f>IF('woningen|utiliteit'!L34="","",'woningen|utiliteit'!L34)</f>
        <v/>
      </c>
      <c r="AB20" s="637" t="str">
        <f>IF('woningen|utiliteit'!M34="","",'woningen|utiliteit'!M34)</f>
        <v/>
      </c>
      <c r="AC20" s="637" t="str">
        <f>IF('woningen|utiliteit'!N34="","",'woningen|utiliteit'!N34)</f>
        <v/>
      </c>
      <c r="AD20" s="637" t="str">
        <f>IF('woningen|utiliteit'!O34="","",'woningen|utiliteit'!O34)</f>
        <v/>
      </c>
      <c r="AE20" s="637" t="str">
        <f>IF('woningen|utiliteit'!P34="","",'woningen|utiliteit'!P34)</f>
        <v/>
      </c>
      <c r="AF20" s="637" t="str">
        <f>IF('woningen|utiliteit'!Q34="","",'woningen|utiliteit'!Q34)</f>
        <v/>
      </c>
      <c r="AG20" s="637" t="str">
        <f>IF('woningen|utiliteit'!R34="","",'woningen|utiliteit'!R34)</f>
        <v/>
      </c>
      <c r="AH20" s="637" t="str">
        <f>IF('woningen|utiliteit'!S34="","",'woningen|utiliteit'!S34)</f>
        <v/>
      </c>
      <c r="AI20" s="637" t="str">
        <f>IF('woningen|utiliteit'!T34="","",'woningen|utiliteit'!T34)</f>
        <v/>
      </c>
      <c r="AJ20" s="98"/>
      <c r="AK20" s="226"/>
      <c r="AL20" s="106"/>
      <c r="AM20" s="637" t="str">
        <f>IF('woningen|utiliteit'!L48="","",'woningen|utiliteit'!L48)</f>
        <v/>
      </c>
      <c r="AN20" s="637" t="str">
        <f>IF('woningen|utiliteit'!M48="","",'woningen|utiliteit'!M48)</f>
        <v/>
      </c>
      <c r="AO20" s="637" t="str">
        <f>IF('woningen|utiliteit'!N48="","",'woningen|utiliteit'!N48)</f>
        <v/>
      </c>
      <c r="AP20" s="637" t="str">
        <f>IF('woningen|utiliteit'!O48="","",'woningen|utiliteit'!O48)</f>
        <v/>
      </c>
      <c r="AQ20" s="637" t="str">
        <f>IF('woningen|utiliteit'!P48="","",'woningen|utiliteit'!P48)</f>
        <v/>
      </c>
      <c r="AR20" s="637" t="str">
        <f>IF('woningen|utiliteit'!Q48="","",'woningen|utiliteit'!Q48)</f>
        <v/>
      </c>
      <c r="AS20" s="637" t="str">
        <f>IF('woningen|utiliteit'!R48="","",'woningen|utiliteit'!R48)</f>
        <v/>
      </c>
      <c r="AT20" s="637" t="str">
        <f>IF('woningen|utiliteit'!S48="","",'woningen|utiliteit'!S48)</f>
        <v/>
      </c>
      <c r="AU20" s="637" t="str">
        <f>IF('woningen|utiliteit'!T48="","",'woningen|utiliteit'!T48)</f>
        <v/>
      </c>
      <c r="AV20" s="98"/>
      <c r="AW20" s="226"/>
      <c r="AX20" s="106"/>
      <c r="AY20" s="637" t="str">
        <f>IF('woningen|utiliteit'!L62="","",'woningen|utiliteit'!L62)</f>
        <v/>
      </c>
      <c r="AZ20" s="637" t="str">
        <f>IF('woningen|utiliteit'!M62="","",'woningen|utiliteit'!M62)</f>
        <v/>
      </c>
      <c r="BA20" s="637" t="str">
        <f>IF('woningen|utiliteit'!N62="","",'woningen|utiliteit'!N62)</f>
        <v/>
      </c>
      <c r="BB20" s="637" t="str">
        <f>IF('woningen|utiliteit'!O62="","",'woningen|utiliteit'!O62)</f>
        <v/>
      </c>
      <c r="BC20" s="637" t="str">
        <f>IF('woningen|utiliteit'!P62="","",'woningen|utiliteit'!P62)</f>
        <v/>
      </c>
      <c r="BD20" s="637" t="str">
        <f>IF('woningen|utiliteit'!Q62="","",'woningen|utiliteit'!Q62)</f>
        <v/>
      </c>
      <c r="BE20" s="637" t="str">
        <f>IF('woningen|utiliteit'!R62="","",'woningen|utiliteit'!R62)</f>
        <v/>
      </c>
      <c r="BF20" s="637" t="str">
        <f>IF('woningen|utiliteit'!S62="","",'woningen|utiliteit'!S62)</f>
        <v/>
      </c>
      <c r="BG20" s="637" t="str">
        <f>IF('woningen|utiliteit'!T62="","",'woningen|utiliteit'!T62)</f>
        <v/>
      </c>
      <c r="BH20" s="258"/>
    </row>
    <row r="21" spans="1:60" s="38" customFormat="1" x14ac:dyDescent="0.2">
      <c r="A21" s="648"/>
      <c r="B21" s="739" t="s">
        <v>120</v>
      </c>
      <c r="C21" s="656" t="s">
        <v>113</v>
      </c>
      <c r="D21" s="747"/>
      <c r="E21" s="316" t="s">
        <v>124</v>
      </c>
      <c r="F21" s="713"/>
      <c r="G21" s="713"/>
      <c r="H21" s="361" t="s">
        <v>70</v>
      </c>
      <c r="I21" s="97"/>
      <c r="J21" s="714"/>
      <c r="K21" s="105"/>
      <c r="L21" s="105"/>
      <c r="M21" s="714"/>
      <c r="N21" s="715"/>
      <c r="O21" s="619" t="str">
        <f>IF(O$19="","",HLOOKUP(O$19,woningen_gebouwen_gegevens,ROWS(bibliotheek!$E$13:$E$14),FALSE))</f>
        <v/>
      </c>
      <c r="P21" s="619" t="str">
        <f>IF(P$19="","",HLOOKUP(P$19,woningen_gebouwen_gegevens,ROWS(bibliotheek!$E$13:$E$14),FALSE))</f>
        <v/>
      </c>
      <c r="Q21" s="619" t="str">
        <f>IF(Q$19="","",HLOOKUP(Q$19,woningen_gebouwen_gegevens,ROWS(bibliotheek!$E$13:$E$14),FALSE))</f>
        <v/>
      </c>
      <c r="R21" s="619" t="str">
        <f>IF(R$19="","",HLOOKUP(R$19,woningen_gebouwen_gegevens,ROWS(bibliotheek!$E$13:$E$14),FALSE))</f>
        <v/>
      </c>
      <c r="S21" s="619" t="str">
        <f>IF(S$19="","",HLOOKUP(S$19,woningen_gebouwen_gegevens,ROWS(bibliotheek!$E$13:$E$14),FALSE))</f>
        <v/>
      </c>
      <c r="T21" s="619" t="str">
        <f>IF(T$19="","",HLOOKUP(T$19,woningen_gebouwen_gegevens,ROWS(bibliotheek!$E$13:$E$14),FALSE))</f>
        <v/>
      </c>
      <c r="U21" s="619" t="str">
        <f>IF(U$19="","",HLOOKUP(U$19,woningen_gebouwen_gegevens,ROWS(bibliotheek!$E$13:$E$14),FALSE))</f>
        <v/>
      </c>
      <c r="V21" s="619" t="str">
        <f>IF(V$19="","",HLOOKUP(V$19,woningen_gebouwen_gegevens,ROWS(bibliotheek!$E$13:$E$14),FALSE))</f>
        <v/>
      </c>
      <c r="W21" s="619" t="str">
        <f>IF(W$19="","",HLOOKUP(W$19,woningen_gebouwen_gegevens,ROWS(bibliotheek!$E$13:$E$14),FALSE))</f>
        <v/>
      </c>
      <c r="X21" s="388"/>
      <c r="Y21" s="181"/>
      <c r="Z21" s="389"/>
      <c r="AA21" s="453" t="str">
        <f>IF(AA$19="","",HLOOKUP(AA$19,woningen_gebouwen_gegevens,ROWS(bibliotheek!$E$13:$E$14),FALSE))</f>
        <v/>
      </c>
      <c r="AB21" s="453" t="str">
        <f>IF(AB$19="","",HLOOKUP(AB$19,woningen_gebouwen_gegevens,ROWS(bibliotheek!$E$13:$E$14),FALSE))</f>
        <v/>
      </c>
      <c r="AC21" s="453" t="str">
        <f>IF(AC$19="","",HLOOKUP(AC$19,woningen_gebouwen_gegevens,ROWS(bibliotheek!$E$13:$E$14),FALSE))</f>
        <v/>
      </c>
      <c r="AD21" s="453" t="str">
        <f>IF(AD$19="","",HLOOKUP(AD$19,woningen_gebouwen_gegevens,ROWS(bibliotheek!$E$13:$E$14),FALSE))</f>
        <v/>
      </c>
      <c r="AE21" s="453" t="str">
        <f>IF(AE$19="","",HLOOKUP(AE$19,woningen_gebouwen_gegevens,ROWS(bibliotheek!$E$13:$E$14),FALSE))</f>
        <v/>
      </c>
      <c r="AF21" s="453" t="str">
        <f>IF(AF$19="","",HLOOKUP(AF$19,woningen_gebouwen_gegevens,ROWS(bibliotheek!$E$13:$E$14),FALSE))</f>
        <v/>
      </c>
      <c r="AG21" s="453" t="str">
        <f>IF(AG$19="","",HLOOKUP(AG$19,woningen_gebouwen_gegevens,ROWS(bibliotheek!$E$13:$E$14),FALSE))</f>
        <v/>
      </c>
      <c r="AH21" s="453" t="str">
        <f>IF(AH$19="","",HLOOKUP(AH$19,woningen_gebouwen_gegevens,ROWS(bibliotheek!$E$13:$E$14),FALSE))</f>
        <v/>
      </c>
      <c r="AI21" s="453" t="str">
        <f>IF(AI$19="","",HLOOKUP(AI$19,woningen_gebouwen_gegevens,ROWS(bibliotheek!$E$13:$E$14),FALSE))</f>
        <v/>
      </c>
      <c r="AJ21" s="388"/>
      <c r="AK21" s="181"/>
      <c r="AL21" s="389"/>
      <c r="AM21" s="453" t="str">
        <f>IF(AM$19="","",HLOOKUP(AM$19,woningen_gebouwen_gegevens,ROWS(bibliotheek!$E$13:$E$14),FALSE))</f>
        <v/>
      </c>
      <c r="AN21" s="453" t="str">
        <f>IF(AN$19="","",HLOOKUP(AN$19,woningen_gebouwen_gegevens,ROWS(bibliotheek!$E$13:$E$14),FALSE))</f>
        <v/>
      </c>
      <c r="AO21" s="453" t="str">
        <f>IF(AO$19="","",HLOOKUP(AO$19,woningen_gebouwen_gegevens,ROWS(bibliotheek!$E$13:$E$14),FALSE))</f>
        <v/>
      </c>
      <c r="AP21" s="453" t="str">
        <f>IF(AP$19="","",HLOOKUP(AP$19,woningen_gebouwen_gegevens,ROWS(bibliotheek!$E$13:$E$14),FALSE))</f>
        <v/>
      </c>
      <c r="AQ21" s="453" t="str">
        <f>IF(AQ$19="","",HLOOKUP(AQ$19,woningen_gebouwen_gegevens,ROWS(bibliotheek!$E$13:$E$14),FALSE))</f>
        <v/>
      </c>
      <c r="AR21" s="453" t="str">
        <f>IF(AR$19="","",HLOOKUP(AR$19,woningen_gebouwen_gegevens,ROWS(bibliotheek!$E$13:$E$14),FALSE))</f>
        <v/>
      </c>
      <c r="AS21" s="453" t="str">
        <f>IF(AS$19="","",HLOOKUP(AS$19,woningen_gebouwen_gegevens,ROWS(bibliotheek!$E$13:$E$14),FALSE))</f>
        <v/>
      </c>
      <c r="AT21" s="453" t="str">
        <f>IF(AT$19="","",HLOOKUP(AT$19,woningen_gebouwen_gegevens,ROWS(bibliotheek!$E$13:$E$14),FALSE))</f>
        <v/>
      </c>
      <c r="AU21" s="453" t="str">
        <f>IF(AU$19="","",HLOOKUP(AU$19,woningen_gebouwen_gegevens,ROWS(bibliotheek!$E$13:$E$14),FALSE))</f>
        <v/>
      </c>
      <c r="AV21" s="388"/>
      <c r="AW21" s="181"/>
      <c r="AX21" s="389"/>
      <c r="AY21" s="453" t="str">
        <f>IF(AY$19="","",HLOOKUP(AY$19,woningen_gebouwen_gegevens,ROWS(bibliotheek!$E$13:$E$14),FALSE))</f>
        <v/>
      </c>
      <c r="AZ21" s="453" t="str">
        <f>IF(AZ$19="","",HLOOKUP(AZ$19,woningen_gebouwen_gegevens,ROWS(bibliotheek!$E$13:$E$14),FALSE))</f>
        <v/>
      </c>
      <c r="BA21" s="453" t="str">
        <f>IF(BA$19="","",HLOOKUP(BA$19,woningen_gebouwen_gegevens,ROWS(bibliotheek!$E$13:$E$14),FALSE))</f>
        <v/>
      </c>
      <c r="BB21" s="453" t="str">
        <f>IF(BB$19="","",HLOOKUP(BB$19,woningen_gebouwen_gegevens,ROWS(bibliotheek!$E$13:$E$14),FALSE))</f>
        <v/>
      </c>
      <c r="BC21" s="453" t="str">
        <f>IF(BC$19="","",HLOOKUP(BC$19,woningen_gebouwen_gegevens,ROWS(bibliotheek!$E$13:$E$14),FALSE))</f>
        <v/>
      </c>
      <c r="BD21" s="453" t="str">
        <f>IF(BD$19="","",HLOOKUP(BD$19,woningen_gebouwen_gegevens,ROWS(bibliotheek!$E$13:$E$14),FALSE))</f>
        <v/>
      </c>
      <c r="BE21" s="453" t="str">
        <f>IF(BE$19="","",HLOOKUP(BE$19,woningen_gebouwen_gegevens,ROWS(bibliotheek!$E$13:$E$14),FALSE))</f>
        <v/>
      </c>
      <c r="BF21" s="453" t="str">
        <f>IF(BF$19="","",HLOOKUP(BF$19,woningen_gebouwen_gegevens,ROWS(bibliotheek!$E$13:$E$14),FALSE))</f>
        <v/>
      </c>
      <c r="BG21" s="453" t="str">
        <f>IF(BG$19="","",HLOOKUP(BG$19,woningen_gebouwen_gegevens,ROWS(bibliotheek!$E$13:$E$14),FALSE))</f>
        <v/>
      </c>
      <c r="BH21" s="258"/>
    </row>
    <row r="22" spans="1:60" x14ac:dyDescent="0.2">
      <c r="A22" s="648"/>
      <c r="B22" s="739" t="s">
        <v>120</v>
      </c>
      <c r="C22" s="656" t="s">
        <v>113</v>
      </c>
      <c r="D22" s="747"/>
      <c r="E22" s="220" t="s">
        <v>125</v>
      </c>
      <c r="F22" s="220"/>
      <c r="G22" s="220"/>
      <c r="H22" s="221" t="s">
        <v>70</v>
      </c>
      <c r="I22" s="129"/>
      <c r="J22" s="719"/>
      <c r="K22" s="294"/>
      <c r="L22" s="294"/>
      <c r="M22" s="228"/>
      <c r="N22" s="100"/>
      <c r="O22" s="453" t="str">
        <f>IF(O$19="","",HLOOKUP(O$19,woningen_gebouwen_gegevens,ROWS(bibliotheek!$E$13:$E$15),FALSE))</f>
        <v/>
      </c>
      <c r="P22" s="453" t="str">
        <f>IF(P$19="","",HLOOKUP(P$19,woningen_gebouwen_gegevens,ROWS(bibliotheek!$E$13:$E$15),FALSE))</f>
        <v/>
      </c>
      <c r="Q22" s="453" t="str">
        <f>IF(Q$19="","",HLOOKUP(Q$19,woningen_gebouwen_gegevens,ROWS(bibliotheek!$E$13:$E$15),FALSE))</f>
        <v/>
      </c>
      <c r="R22" s="453" t="str">
        <f>IF(R$19="","",HLOOKUP(R$19,woningen_gebouwen_gegevens,ROWS(bibliotheek!$E$13:$E$15),FALSE))</f>
        <v/>
      </c>
      <c r="S22" s="453" t="str">
        <f>IF(S$19="","",HLOOKUP(S$19,woningen_gebouwen_gegevens,ROWS(bibliotheek!$E$13:$E$15),FALSE))</f>
        <v/>
      </c>
      <c r="T22" s="453" t="str">
        <f>IF(T$19="","",HLOOKUP(T$19,woningen_gebouwen_gegevens,ROWS(bibliotheek!$E$13:$E$15),FALSE))</f>
        <v/>
      </c>
      <c r="U22" s="453" t="str">
        <f>IF(U$19="","",HLOOKUP(U$19,woningen_gebouwen_gegevens,ROWS(bibliotheek!$E$13:$E$15),FALSE))</f>
        <v/>
      </c>
      <c r="V22" s="453" t="str">
        <f>IF(V$19="","",HLOOKUP(V$19,woningen_gebouwen_gegevens,ROWS(bibliotheek!$E$13:$E$15),FALSE))</f>
        <v/>
      </c>
      <c r="W22" s="453" t="str">
        <f>IF(W$19="","",HLOOKUP(W$19,woningen_gebouwen_gegevens,ROWS(bibliotheek!$E$13:$E$15),FALSE))</f>
        <v/>
      </c>
      <c r="X22" s="101"/>
      <c r="Y22" s="228"/>
      <c r="Z22" s="100"/>
      <c r="AA22" s="453" t="str">
        <f>IF(AA$19="","",HLOOKUP(AA$19,woningen_gebouwen_gegevens,ROWS(bibliotheek!$E$13:$E$15),FALSE))</f>
        <v/>
      </c>
      <c r="AB22" s="453" t="str">
        <f>IF(AB$19="","",HLOOKUP(AB$19,woningen_gebouwen_gegevens,ROWS(bibliotheek!$E$13:$E$15),FALSE))</f>
        <v/>
      </c>
      <c r="AC22" s="453" t="str">
        <f>IF(AC$19="","",HLOOKUP(AC$19,woningen_gebouwen_gegevens,ROWS(bibliotheek!$E$13:$E$15),FALSE))</f>
        <v/>
      </c>
      <c r="AD22" s="453" t="str">
        <f>IF(AD$19="","",HLOOKUP(AD$19,woningen_gebouwen_gegevens,ROWS(bibliotheek!$E$13:$E$15),FALSE))</f>
        <v/>
      </c>
      <c r="AE22" s="453" t="str">
        <f>IF(AE$19="","",HLOOKUP(AE$19,woningen_gebouwen_gegevens,ROWS(bibliotheek!$E$13:$E$15),FALSE))</f>
        <v/>
      </c>
      <c r="AF22" s="453" t="str">
        <f>IF(AF$19="","",HLOOKUP(AF$19,woningen_gebouwen_gegevens,ROWS(bibliotheek!$E$13:$E$15),FALSE))</f>
        <v/>
      </c>
      <c r="AG22" s="453" t="str">
        <f>IF(AG$19="","",HLOOKUP(AG$19,woningen_gebouwen_gegevens,ROWS(bibliotheek!$E$13:$E$15),FALSE))</f>
        <v/>
      </c>
      <c r="AH22" s="453" t="str">
        <f>IF(AH$19="","",HLOOKUP(AH$19,woningen_gebouwen_gegevens,ROWS(bibliotheek!$E$13:$E$15),FALSE))</f>
        <v/>
      </c>
      <c r="AI22" s="453" t="str">
        <f>IF(AI$19="","",HLOOKUP(AI$19,woningen_gebouwen_gegevens,ROWS(bibliotheek!$E$13:$E$15),FALSE))</f>
        <v/>
      </c>
      <c r="AJ22" s="101"/>
      <c r="AK22" s="228"/>
      <c r="AL22" s="100"/>
      <c r="AM22" s="453" t="str">
        <f>IF(AM$19="","",HLOOKUP(AM$19,woningen_gebouwen_gegevens,ROWS(bibliotheek!$E$13:$E$15),FALSE))</f>
        <v/>
      </c>
      <c r="AN22" s="453" t="str">
        <f>IF(AN$19="","",HLOOKUP(AN$19,woningen_gebouwen_gegevens,ROWS(bibliotheek!$E$13:$E$15),FALSE))</f>
        <v/>
      </c>
      <c r="AO22" s="453" t="str">
        <f>IF(AO$19="","",HLOOKUP(AO$19,woningen_gebouwen_gegevens,ROWS(bibliotheek!$E$13:$E$15),FALSE))</f>
        <v/>
      </c>
      <c r="AP22" s="453" t="str">
        <f>IF(AP$19="","",HLOOKUP(AP$19,woningen_gebouwen_gegevens,ROWS(bibliotheek!$E$13:$E$15),FALSE))</f>
        <v/>
      </c>
      <c r="AQ22" s="453" t="str">
        <f>IF(AQ$19="","",HLOOKUP(AQ$19,woningen_gebouwen_gegevens,ROWS(bibliotheek!$E$13:$E$15),FALSE))</f>
        <v/>
      </c>
      <c r="AR22" s="453" t="str">
        <f>IF(AR$19="","",HLOOKUP(AR$19,woningen_gebouwen_gegevens,ROWS(bibliotheek!$E$13:$E$15),FALSE))</f>
        <v/>
      </c>
      <c r="AS22" s="453" t="str">
        <f>IF(AS$19="","",HLOOKUP(AS$19,woningen_gebouwen_gegevens,ROWS(bibliotheek!$E$13:$E$15),FALSE))</f>
        <v/>
      </c>
      <c r="AT22" s="453" t="str">
        <f>IF(AT$19="","",HLOOKUP(AT$19,woningen_gebouwen_gegevens,ROWS(bibliotheek!$E$13:$E$15),FALSE))</f>
        <v/>
      </c>
      <c r="AU22" s="453" t="str">
        <f>IF(AU$19="","",HLOOKUP(AU$19,woningen_gebouwen_gegevens,ROWS(bibliotheek!$E$13:$E$15),FALSE))</f>
        <v/>
      </c>
      <c r="AV22" s="101"/>
      <c r="AW22" s="228"/>
      <c r="AX22" s="100"/>
      <c r="AY22" s="453" t="str">
        <f>IF(AY$19="","",HLOOKUP(AY$19,woningen_gebouwen_gegevens,ROWS(bibliotheek!$E$13:$E$15),FALSE))</f>
        <v/>
      </c>
      <c r="AZ22" s="453" t="str">
        <f>IF(AZ$19="","",HLOOKUP(AZ$19,woningen_gebouwen_gegevens,ROWS(bibliotheek!$E$13:$E$15),FALSE))</f>
        <v/>
      </c>
      <c r="BA22" s="453" t="str">
        <f>IF(BA$19="","",HLOOKUP(BA$19,woningen_gebouwen_gegevens,ROWS(bibliotheek!$E$13:$E$15),FALSE))</f>
        <v/>
      </c>
      <c r="BB22" s="453" t="str">
        <f>IF(BB$19="","",HLOOKUP(BB$19,woningen_gebouwen_gegevens,ROWS(bibliotheek!$E$13:$E$15),FALSE))</f>
        <v/>
      </c>
      <c r="BC22" s="453" t="str">
        <f>IF(BC$19="","",HLOOKUP(BC$19,woningen_gebouwen_gegevens,ROWS(bibliotheek!$E$13:$E$15),FALSE))</f>
        <v/>
      </c>
      <c r="BD22" s="453" t="str">
        <f>IF(BD$19="","",HLOOKUP(BD$19,woningen_gebouwen_gegevens,ROWS(bibliotheek!$E$13:$E$15),FALSE))</f>
        <v/>
      </c>
      <c r="BE22" s="453" t="str">
        <f>IF(BE$19="","",HLOOKUP(BE$19,woningen_gebouwen_gegevens,ROWS(bibliotheek!$E$13:$E$15),FALSE))</f>
        <v/>
      </c>
      <c r="BF22" s="453" t="str">
        <f>IF(BF$19="","",HLOOKUP(BF$19,woningen_gebouwen_gegevens,ROWS(bibliotheek!$E$13:$E$15),FALSE))</f>
        <v/>
      </c>
      <c r="BG22" s="453" t="str">
        <f>IF(BG$19="","",HLOOKUP(BG$19,woningen_gebouwen_gegevens,ROWS(bibliotheek!$E$13:$E$15),FALSE))</f>
        <v/>
      </c>
      <c r="BH22" s="259"/>
    </row>
    <row r="23" spans="1:60" ht="18.75" x14ac:dyDescent="0.2">
      <c r="A23" s="648"/>
      <c r="B23" s="739" t="s">
        <v>120</v>
      </c>
      <c r="C23" s="739" t="s">
        <v>104</v>
      </c>
      <c r="D23" s="747"/>
      <c r="E23" s="236" t="s">
        <v>126</v>
      </c>
      <c r="F23" s="236"/>
      <c r="G23" s="236"/>
      <c r="H23" s="89"/>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38"/>
    </row>
    <row r="24" spans="1:60" x14ac:dyDescent="0.2">
      <c r="A24" s="648"/>
      <c r="B24" s="739" t="s">
        <v>120</v>
      </c>
      <c r="C24" s="656" t="s">
        <v>127</v>
      </c>
      <c r="D24" s="747"/>
      <c r="E24" s="316" t="s">
        <v>128</v>
      </c>
      <c r="F24" s="316"/>
      <c r="G24" s="316"/>
      <c r="H24" s="361" t="s">
        <v>129</v>
      </c>
      <c r="I24" s="131"/>
      <c r="J24" s="225">
        <f>M24+Y24+AK24+AW24</f>
        <v>0</v>
      </c>
      <c r="K24" s="102"/>
      <c r="L24" s="102"/>
      <c r="M24" s="469">
        <f>SUM(N24:X24)</f>
        <v>0</v>
      </c>
      <c r="N24" s="103"/>
      <c r="O24" s="618">
        <f>IF('woningen|utiliteit'!L18="",0,IF(O25&lt;&gt;"",O25,'woningen|utiliteit'!L21))</f>
        <v>0</v>
      </c>
      <c r="P24" s="618">
        <f>IF('woningen|utiliteit'!M18="",0,IF(P25&lt;&gt;"",P25,'woningen|utiliteit'!M21))</f>
        <v>0</v>
      </c>
      <c r="Q24" s="619">
        <f>IF('woningen|utiliteit'!N18="",0,IF(Q25&lt;&gt;"",Q25,'woningen|utiliteit'!N21))</f>
        <v>0</v>
      </c>
      <c r="R24" s="619">
        <f>IF('woningen|utiliteit'!O18="",0,IF(R25&lt;&gt;"",R25,'woningen|utiliteit'!O21))</f>
        <v>0</v>
      </c>
      <c r="S24" s="619">
        <f>IF('woningen|utiliteit'!P18="",0,IF(S25&lt;&gt;"",S25,'woningen|utiliteit'!P21))</f>
        <v>0</v>
      </c>
      <c r="T24" s="619">
        <f>IF('woningen|utiliteit'!Q18="",0,IF(T25&lt;&gt;"",T25,'woningen|utiliteit'!Q21))</f>
        <v>0</v>
      </c>
      <c r="U24" s="619">
        <f>IF('woningen|utiliteit'!R18="",0,IF(U25&lt;&gt;"",U25,'woningen|utiliteit'!R21))</f>
        <v>0</v>
      </c>
      <c r="V24" s="619">
        <f>IF('woningen|utiliteit'!S18="",0,IF(V25&lt;&gt;"",V25,'woningen|utiliteit'!S21))</f>
        <v>0</v>
      </c>
      <c r="W24" s="618">
        <f>IF('woningen|utiliteit'!T18="",0,IF(W25&lt;&gt;"",W25,'woningen|utiliteit'!T21))</f>
        <v>0</v>
      </c>
      <c r="X24" s="104"/>
      <c r="Y24" s="229">
        <f>SUM(Z24:AJ24)</f>
        <v>0</v>
      </c>
      <c r="Z24" s="103"/>
      <c r="AA24" s="618">
        <f>IF('woningen|utiliteit'!L32="",0,IF(AA25&lt;&gt;"",AA25,'woningen|utiliteit'!L35))</f>
        <v>0</v>
      </c>
      <c r="AB24" s="618">
        <f>IF('woningen|utiliteit'!M32="",0,IF(AB25&lt;&gt;"",AB25,'woningen|utiliteit'!M35))</f>
        <v>0</v>
      </c>
      <c r="AC24" s="619">
        <f>IF('woningen|utiliteit'!N32="",0,IF(AC25&lt;&gt;"",AC25,'woningen|utiliteit'!N35))</f>
        <v>0</v>
      </c>
      <c r="AD24" s="619">
        <f>IF('woningen|utiliteit'!O32="",0,IF(AD25&lt;&gt;"",AD25,'woningen|utiliteit'!O35))</f>
        <v>0</v>
      </c>
      <c r="AE24" s="619">
        <f>IF('woningen|utiliteit'!P32="",0,IF(AE25&lt;&gt;"",AE25,'woningen|utiliteit'!P35))</f>
        <v>0</v>
      </c>
      <c r="AF24" s="619">
        <f>IF('woningen|utiliteit'!Q32="",0,IF(AF25&lt;&gt;"",AF25,'woningen|utiliteit'!Q35))</f>
        <v>0</v>
      </c>
      <c r="AG24" s="619">
        <f>IF('woningen|utiliteit'!R32="",0,IF(AG25&lt;&gt;"",AG25,'woningen|utiliteit'!R35))</f>
        <v>0</v>
      </c>
      <c r="AH24" s="619">
        <f>IF('woningen|utiliteit'!S32="",0,IF(AH25&lt;&gt;"",AH25,'woningen|utiliteit'!S35))</f>
        <v>0</v>
      </c>
      <c r="AI24" s="618">
        <f>IF('woningen|utiliteit'!T32="",0,IF(AI25&lt;&gt;"",AI25,'woningen|utiliteit'!T35))</f>
        <v>0</v>
      </c>
      <c r="AJ24" s="104"/>
      <c r="AK24" s="229">
        <f>SUM(AL24:AV24)</f>
        <v>0</v>
      </c>
      <c r="AL24" s="103"/>
      <c r="AM24" s="618">
        <f>IF('woningen|utiliteit'!L46="",0,IF(AM25&lt;&gt;"",AM25,'woningen|utiliteit'!L49))</f>
        <v>0</v>
      </c>
      <c r="AN24" s="618">
        <f>IF('woningen|utiliteit'!M46="",0,IF(AN25&lt;&gt;"",AN25,'woningen|utiliteit'!M49))</f>
        <v>0</v>
      </c>
      <c r="AO24" s="619">
        <f>IF('woningen|utiliteit'!N46="",0,IF(AO25&lt;&gt;"",AO25,'woningen|utiliteit'!N49))</f>
        <v>0</v>
      </c>
      <c r="AP24" s="619">
        <f>IF('woningen|utiliteit'!O46="",0,IF(AP25&lt;&gt;"",AP25,'woningen|utiliteit'!O49))</f>
        <v>0</v>
      </c>
      <c r="AQ24" s="619">
        <f>IF('woningen|utiliteit'!P46="",0,IF(AQ25&lt;&gt;"",AQ25,'woningen|utiliteit'!P49))</f>
        <v>0</v>
      </c>
      <c r="AR24" s="619">
        <f>IF('woningen|utiliteit'!Q46="",0,IF(AR25&lt;&gt;"",AR25,'woningen|utiliteit'!Q49))</f>
        <v>0</v>
      </c>
      <c r="AS24" s="619">
        <f>IF('woningen|utiliteit'!R46="",0,IF(AS25&lt;&gt;"",AS25,'woningen|utiliteit'!R49))</f>
        <v>0</v>
      </c>
      <c r="AT24" s="619">
        <f>IF('woningen|utiliteit'!S46="",0,IF(AT25&lt;&gt;"",AT25,'woningen|utiliteit'!S49))</f>
        <v>0</v>
      </c>
      <c r="AU24" s="618">
        <f>IF('woningen|utiliteit'!T46="",0,IF(AU25&lt;&gt;"",AU25,'woningen|utiliteit'!T49))</f>
        <v>0</v>
      </c>
      <c r="AV24" s="104"/>
      <c r="AW24" s="229">
        <f>SUM(AX24:BH24)</f>
        <v>0</v>
      </c>
      <c r="AX24" s="103"/>
      <c r="AY24" s="618">
        <f>IF('woningen|utiliteit'!L60="",0,IF(AY25&lt;&gt;"",AY25,'woningen|utiliteit'!L63))</f>
        <v>0</v>
      </c>
      <c r="AZ24" s="618">
        <f>IF('woningen|utiliteit'!M60="",0,IF(AZ25&lt;&gt;"",AZ25,'woningen|utiliteit'!M63))</f>
        <v>0</v>
      </c>
      <c r="BA24" s="619">
        <f>IF('woningen|utiliteit'!N60="",0,IF(BA25&lt;&gt;"",BA25,'woningen|utiliteit'!N63))</f>
        <v>0</v>
      </c>
      <c r="BB24" s="619">
        <f>IF('woningen|utiliteit'!O60="",0,IF(BB25&lt;&gt;"",BB25,'woningen|utiliteit'!O63))</f>
        <v>0</v>
      </c>
      <c r="BC24" s="619">
        <f>IF('woningen|utiliteit'!P60="",0,IF(BC25&lt;&gt;"",BC25,'woningen|utiliteit'!P63))</f>
        <v>0</v>
      </c>
      <c r="BD24" s="619">
        <f>IF('woningen|utiliteit'!Q60="",0,IF(BD25&lt;&gt;"",BD25,'woningen|utiliteit'!Q63))</f>
        <v>0</v>
      </c>
      <c r="BE24" s="619">
        <f>IF('woningen|utiliteit'!R60="",0,IF(BE25&lt;&gt;"",BE25,'woningen|utiliteit'!R63))</f>
        <v>0</v>
      </c>
      <c r="BF24" s="619">
        <f>IF('woningen|utiliteit'!S60="",0,IF(BF25&lt;&gt;"",BF25,'woningen|utiliteit'!S63))</f>
        <v>0</v>
      </c>
      <c r="BG24" s="618">
        <f>IF('woningen|utiliteit'!T60="",0,IF(BG25&lt;&gt;"",BG25,'woningen|utiliteit'!T63))</f>
        <v>0</v>
      </c>
      <c r="BH24" s="258"/>
    </row>
    <row r="25" spans="1:60" x14ac:dyDescent="0.2">
      <c r="A25" s="648"/>
      <c r="B25" s="739" t="s">
        <v>120</v>
      </c>
      <c r="C25" s="656" t="s">
        <v>127</v>
      </c>
      <c r="D25" s="747"/>
      <c r="E25" s="412" t="s">
        <v>82</v>
      </c>
      <c r="F25" s="317"/>
      <c r="G25" s="317"/>
      <c r="H25" s="360"/>
      <c r="I25" s="97"/>
      <c r="J25" s="362"/>
      <c r="K25" s="105"/>
      <c r="L25" s="105"/>
      <c r="M25" s="467"/>
      <c r="N25" s="106"/>
      <c r="O25" s="325"/>
      <c r="P25" s="325"/>
      <c r="Q25" s="325"/>
      <c r="R25" s="325"/>
      <c r="S25" s="325"/>
      <c r="T25" s="325"/>
      <c r="U25" s="325"/>
      <c r="V25" s="325"/>
      <c r="W25" s="325"/>
      <c r="X25" s="98"/>
      <c r="Y25" s="238"/>
      <c r="Z25" s="106"/>
      <c r="AA25" s="325"/>
      <c r="AB25" s="325"/>
      <c r="AC25" s="325"/>
      <c r="AD25" s="325"/>
      <c r="AE25" s="325"/>
      <c r="AF25" s="325"/>
      <c r="AG25" s="325"/>
      <c r="AH25" s="325"/>
      <c r="AI25" s="325"/>
      <c r="AJ25" s="98"/>
      <c r="AK25" s="238"/>
      <c r="AL25" s="106"/>
      <c r="AM25" s="325"/>
      <c r="AN25" s="325"/>
      <c r="AO25" s="325"/>
      <c r="AP25" s="325"/>
      <c r="AQ25" s="325"/>
      <c r="AR25" s="325"/>
      <c r="AS25" s="325"/>
      <c r="AT25" s="325"/>
      <c r="AU25" s="325"/>
      <c r="AV25" s="98"/>
      <c r="AW25" s="238"/>
      <c r="AX25" s="106"/>
      <c r="AY25" s="325"/>
      <c r="AZ25" s="325"/>
      <c r="BA25" s="325"/>
      <c r="BB25" s="325"/>
      <c r="BC25" s="325"/>
      <c r="BD25" s="325"/>
      <c r="BE25" s="325"/>
      <c r="BF25" s="325"/>
      <c r="BG25" s="325"/>
      <c r="BH25" s="214"/>
    </row>
    <row r="26" spans="1:60" x14ac:dyDescent="0.2">
      <c r="A26" s="648"/>
      <c r="B26" s="739" t="s">
        <v>120</v>
      </c>
      <c r="C26" s="656" t="s">
        <v>113</v>
      </c>
      <c r="D26" s="747"/>
      <c r="E26" s="316" t="s">
        <v>130</v>
      </c>
      <c r="F26" s="220"/>
      <c r="G26" s="220"/>
      <c r="H26" s="183" t="s">
        <v>77</v>
      </c>
      <c r="I26" s="107"/>
      <c r="J26" s="225">
        <f>M26+Y26+AK26+AW26</f>
        <v>0</v>
      </c>
      <c r="K26" s="102"/>
      <c r="L26" s="102"/>
      <c r="M26" s="249">
        <f>SUM(N26:X26)</f>
        <v>0</v>
      </c>
      <c r="N26" s="108"/>
      <c r="O26" s="620">
        <f t="shared" ref="O26:W26" si="16">IF(O$21=woning,O$24,0)</f>
        <v>0</v>
      </c>
      <c r="P26" s="620">
        <f t="shared" si="16"/>
        <v>0</v>
      </c>
      <c r="Q26" s="620">
        <f t="shared" si="16"/>
        <v>0</v>
      </c>
      <c r="R26" s="620">
        <f t="shared" si="16"/>
        <v>0</v>
      </c>
      <c r="S26" s="620">
        <f t="shared" si="16"/>
        <v>0</v>
      </c>
      <c r="T26" s="620">
        <f t="shared" si="16"/>
        <v>0</v>
      </c>
      <c r="U26" s="620">
        <f t="shared" si="16"/>
        <v>0</v>
      </c>
      <c r="V26" s="620">
        <f t="shared" si="16"/>
        <v>0</v>
      </c>
      <c r="W26" s="620">
        <f t="shared" si="16"/>
        <v>0</v>
      </c>
      <c r="X26" s="109"/>
      <c r="Y26" s="469">
        <f>SUM(Z26:AJ26)</f>
        <v>0</v>
      </c>
      <c r="Z26" s="108"/>
      <c r="AA26" s="620">
        <f t="shared" ref="AA26:AI26" si="17">IF(AA$21=woning,AA$24,0)</f>
        <v>0</v>
      </c>
      <c r="AB26" s="620">
        <f t="shared" si="17"/>
        <v>0</v>
      </c>
      <c r="AC26" s="620">
        <f t="shared" si="17"/>
        <v>0</v>
      </c>
      <c r="AD26" s="620">
        <f t="shared" si="17"/>
        <v>0</v>
      </c>
      <c r="AE26" s="620">
        <f t="shared" si="17"/>
        <v>0</v>
      </c>
      <c r="AF26" s="620">
        <f t="shared" si="17"/>
        <v>0</v>
      </c>
      <c r="AG26" s="620">
        <f t="shared" si="17"/>
        <v>0</v>
      </c>
      <c r="AH26" s="620">
        <f t="shared" si="17"/>
        <v>0</v>
      </c>
      <c r="AI26" s="620">
        <f t="shared" si="17"/>
        <v>0</v>
      </c>
      <c r="AJ26" s="109"/>
      <c r="AK26" s="229">
        <f>SUM(AL26:AV26)</f>
        <v>0</v>
      </c>
      <c r="AL26" s="108"/>
      <c r="AM26" s="620">
        <f>IF(AM$21=woning,AM$24,0)</f>
        <v>0</v>
      </c>
      <c r="AN26" s="620">
        <f t="shared" ref="AN26:AU26" si="18">IF(AN$21=woning,AN$24,0)</f>
        <v>0</v>
      </c>
      <c r="AO26" s="620">
        <f t="shared" si="18"/>
        <v>0</v>
      </c>
      <c r="AP26" s="620">
        <f t="shared" si="18"/>
        <v>0</v>
      </c>
      <c r="AQ26" s="620">
        <f t="shared" si="18"/>
        <v>0</v>
      </c>
      <c r="AR26" s="620">
        <f t="shared" si="18"/>
        <v>0</v>
      </c>
      <c r="AS26" s="620">
        <f t="shared" si="18"/>
        <v>0</v>
      </c>
      <c r="AT26" s="620">
        <f t="shared" si="18"/>
        <v>0</v>
      </c>
      <c r="AU26" s="620">
        <f t="shared" si="18"/>
        <v>0</v>
      </c>
      <c r="AV26" s="109"/>
      <c r="AW26" s="469">
        <f>SUM(AX26:BH26)</f>
        <v>0</v>
      </c>
      <c r="AX26" s="108"/>
      <c r="AY26" s="620">
        <f t="shared" ref="AY26:BG26" si="19">IF(AY$21=woning,AY$24,0)</f>
        <v>0</v>
      </c>
      <c r="AZ26" s="620">
        <f t="shared" si="19"/>
        <v>0</v>
      </c>
      <c r="BA26" s="620">
        <f t="shared" si="19"/>
        <v>0</v>
      </c>
      <c r="BB26" s="620">
        <f t="shared" si="19"/>
        <v>0</v>
      </c>
      <c r="BC26" s="620">
        <f t="shared" si="19"/>
        <v>0</v>
      </c>
      <c r="BD26" s="620">
        <f t="shared" si="19"/>
        <v>0</v>
      </c>
      <c r="BE26" s="620">
        <f t="shared" si="19"/>
        <v>0</v>
      </c>
      <c r="BF26" s="620">
        <f t="shared" si="19"/>
        <v>0</v>
      </c>
      <c r="BG26" s="620">
        <f t="shared" si="19"/>
        <v>0</v>
      </c>
      <c r="BH26" s="214"/>
    </row>
    <row r="27" spans="1:60" x14ac:dyDescent="0.2">
      <c r="A27" s="648"/>
      <c r="B27" s="739" t="s">
        <v>120</v>
      </c>
      <c r="C27" s="656" t="s">
        <v>113</v>
      </c>
      <c r="D27" s="747"/>
      <c r="E27" s="316" t="s">
        <v>131</v>
      </c>
      <c r="F27" s="220"/>
      <c r="G27" s="220"/>
      <c r="H27" s="183" t="s">
        <v>77</v>
      </c>
      <c r="I27" s="107"/>
      <c r="J27" s="225">
        <f>M27+Y27+AK27+AW27</f>
        <v>0</v>
      </c>
      <c r="K27" s="102"/>
      <c r="L27" s="102"/>
      <c r="M27" s="249">
        <f>SUM(N27:X27)</f>
        <v>0</v>
      </c>
      <c r="N27" s="108"/>
      <c r="O27" s="620">
        <f t="shared" ref="O27:W27" si="20">IF(O$21=woongebouw,O$24,0)</f>
        <v>0</v>
      </c>
      <c r="P27" s="620">
        <f t="shared" si="20"/>
        <v>0</v>
      </c>
      <c r="Q27" s="620">
        <f t="shared" si="20"/>
        <v>0</v>
      </c>
      <c r="R27" s="620">
        <f t="shared" si="20"/>
        <v>0</v>
      </c>
      <c r="S27" s="620">
        <f t="shared" si="20"/>
        <v>0</v>
      </c>
      <c r="T27" s="620">
        <f t="shared" si="20"/>
        <v>0</v>
      </c>
      <c r="U27" s="620">
        <f t="shared" si="20"/>
        <v>0</v>
      </c>
      <c r="V27" s="620">
        <f t="shared" si="20"/>
        <v>0</v>
      </c>
      <c r="W27" s="620">
        <f t="shared" si="20"/>
        <v>0</v>
      </c>
      <c r="X27" s="109"/>
      <c r="Y27" s="469">
        <f>SUM(Z27:AJ27)</f>
        <v>0</v>
      </c>
      <c r="Z27" s="108"/>
      <c r="AA27" s="620">
        <f t="shared" ref="AA27:AI27" si="21">IF(AA$21=woongebouw,AA$24,0)</f>
        <v>0</v>
      </c>
      <c r="AB27" s="620">
        <f t="shared" si="21"/>
        <v>0</v>
      </c>
      <c r="AC27" s="620">
        <f t="shared" si="21"/>
        <v>0</v>
      </c>
      <c r="AD27" s="620">
        <f t="shared" si="21"/>
        <v>0</v>
      </c>
      <c r="AE27" s="620">
        <f t="shared" si="21"/>
        <v>0</v>
      </c>
      <c r="AF27" s="620">
        <f t="shared" si="21"/>
        <v>0</v>
      </c>
      <c r="AG27" s="620">
        <f t="shared" si="21"/>
        <v>0</v>
      </c>
      <c r="AH27" s="620">
        <f t="shared" si="21"/>
        <v>0</v>
      </c>
      <c r="AI27" s="620">
        <f t="shared" si="21"/>
        <v>0</v>
      </c>
      <c r="AJ27" s="109"/>
      <c r="AK27" s="229">
        <f>SUM(AL27:AV27)</f>
        <v>0</v>
      </c>
      <c r="AL27" s="108"/>
      <c r="AM27" s="620">
        <f>IF(AM$21=woongebouw,AM$24,0)</f>
        <v>0</v>
      </c>
      <c r="AN27" s="620">
        <f t="shared" ref="AN27:AU27" si="22">IF(AN$21=woongebouw,AN$24,0)</f>
        <v>0</v>
      </c>
      <c r="AO27" s="620">
        <f t="shared" si="22"/>
        <v>0</v>
      </c>
      <c r="AP27" s="620">
        <f t="shared" si="22"/>
        <v>0</v>
      </c>
      <c r="AQ27" s="620">
        <f t="shared" si="22"/>
        <v>0</v>
      </c>
      <c r="AR27" s="620">
        <f t="shared" si="22"/>
        <v>0</v>
      </c>
      <c r="AS27" s="620">
        <f t="shared" si="22"/>
        <v>0</v>
      </c>
      <c r="AT27" s="620">
        <f t="shared" si="22"/>
        <v>0</v>
      </c>
      <c r="AU27" s="620">
        <f t="shared" si="22"/>
        <v>0</v>
      </c>
      <c r="AV27" s="109"/>
      <c r="AW27" s="469">
        <f>SUM(AX27:BH27)</f>
        <v>0</v>
      </c>
      <c r="AX27" s="108"/>
      <c r="AY27" s="620">
        <f t="shared" ref="AY27:BG27" si="23">IF(AY$21=woongebouw,AY$24,0)</f>
        <v>0</v>
      </c>
      <c r="AZ27" s="620">
        <f t="shared" si="23"/>
        <v>0</v>
      </c>
      <c r="BA27" s="620">
        <f t="shared" si="23"/>
        <v>0</v>
      </c>
      <c r="BB27" s="620">
        <f t="shared" si="23"/>
        <v>0</v>
      </c>
      <c r="BC27" s="620">
        <f t="shared" si="23"/>
        <v>0</v>
      </c>
      <c r="BD27" s="620">
        <f t="shared" si="23"/>
        <v>0</v>
      </c>
      <c r="BE27" s="620">
        <f t="shared" si="23"/>
        <v>0</v>
      </c>
      <c r="BF27" s="620">
        <f t="shared" si="23"/>
        <v>0</v>
      </c>
      <c r="BG27" s="620">
        <f t="shared" si="23"/>
        <v>0</v>
      </c>
      <c r="BH27" s="214"/>
    </row>
    <row r="28" spans="1:60" x14ac:dyDescent="0.2">
      <c r="A28" s="648"/>
      <c r="B28" s="739" t="s">
        <v>120</v>
      </c>
      <c r="C28" s="656" t="s">
        <v>113</v>
      </c>
      <c r="D28" s="747"/>
      <c r="E28" s="316" t="s">
        <v>78</v>
      </c>
      <c r="F28" s="220"/>
      <c r="G28" s="220"/>
      <c r="H28" s="183" t="s">
        <v>79</v>
      </c>
      <c r="I28" s="107"/>
      <c r="J28" s="225">
        <f>M28+Y28+AK28+AW28</f>
        <v>0</v>
      </c>
      <c r="K28" s="102"/>
      <c r="L28" s="102"/>
      <c r="M28" s="468">
        <f>SUM(N28:X28)</f>
        <v>0</v>
      </c>
      <c r="N28" s="108"/>
      <c r="O28" s="620">
        <f>O24-O27-O26</f>
        <v>0</v>
      </c>
      <c r="P28" s="620">
        <f t="shared" ref="P28:W28" si="24">P24-P27-P26</f>
        <v>0</v>
      </c>
      <c r="Q28" s="620">
        <f t="shared" si="24"/>
        <v>0</v>
      </c>
      <c r="R28" s="620">
        <f t="shared" si="24"/>
        <v>0</v>
      </c>
      <c r="S28" s="620">
        <f t="shared" si="24"/>
        <v>0</v>
      </c>
      <c r="T28" s="620">
        <f t="shared" si="24"/>
        <v>0</v>
      </c>
      <c r="U28" s="620">
        <f t="shared" si="24"/>
        <v>0</v>
      </c>
      <c r="V28" s="620">
        <f t="shared" si="24"/>
        <v>0</v>
      </c>
      <c r="W28" s="620">
        <f t="shared" si="24"/>
        <v>0</v>
      </c>
      <c r="X28" s="109"/>
      <c r="Y28" s="249">
        <f>SUM(Z28:AJ28)</f>
        <v>0</v>
      </c>
      <c r="Z28" s="108"/>
      <c r="AA28" s="620">
        <f t="shared" ref="AA28:AI28" si="25">AA24-AA27-AA26</f>
        <v>0</v>
      </c>
      <c r="AB28" s="620">
        <f t="shared" si="25"/>
        <v>0</v>
      </c>
      <c r="AC28" s="620">
        <f t="shared" si="25"/>
        <v>0</v>
      </c>
      <c r="AD28" s="620">
        <f t="shared" si="25"/>
        <v>0</v>
      </c>
      <c r="AE28" s="620">
        <f t="shared" si="25"/>
        <v>0</v>
      </c>
      <c r="AF28" s="620">
        <f t="shared" si="25"/>
        <v>0</v>
      </c>
      <c r="AG28" s="620">
        <f t="shared" si="25"/>
        <v>0</v>
      </c>
      <c r="AH28" s="620">
        <f t="shared" si="25"/>
        <v>0</v>
      </c>
      <c r="AI28" s="620">
        <f t="shared" si="25"/>
        <v>0</v>
      </c>
      <c r="AJ28" s="109"/>
      <c r="AK28" s="469">
        <f>SUM(AL28:AV28)</f>
        <v>0</v>
      </c>
      <c r="AL28" s="108"/>
      <c r="AM28" s="620">
        <f t="shared" ref="AM28:AU28" si="26">AM24-AM27-AM26</f>
        <v>0</v>
      </c>
      <c r="AN28" s="620">
        <f t="shared" si="26"/>
        <v>0</v>
      </c>
      <c r="AO28" s="620">
        <f t="shared" si="26"/>
        <v>0</v>
      </c>
      <c r="AP28" s="620">
        <f t="shared" si="26"/>
        <v>0</v>
      </c>
      <c r="AQ28" s="620">
        <f t="shared" si="26"/>
        <v>0</v>
      </c>
      <c r="AR28" s="620">
        <f t="shared" si="26"/>
        <v>0</v>
      </c>
      <c r="AS28" s="620">
        <f t="shared" si="26"/>
        <v>0</v>
      </c>
      <c r="AT28" s="620">
        <f t="shared" si="26"/>
        <v>0</v>
      </c>
      <c r="AU28" s="620">
        <f t="shared" si="26"/>
        <v>0</v>
      </c>
      <c r="AV28" s="109"/>
      <c r="AW28" s="249">
        <f>SUM(AX28:BH28)</f>
        <v>0</v>
      </c>
      <c r="AX28" s="108"/>
      <c r="AY28" s="620">
        <f t="shared" ref="AY28:BG28" si="27">AY24-AY27-AY26</f>
        <v>0</v>
      </c>
      <c r="AZ28" s="620">
        <f t="shared" si="27"/>
        <v>0</v>
      </c>
      <c r="BA28" s="620">
        <f t="shared" si="27"/>
        <v>0</v>
      </c>
      <c r="BB28" s="620">
        <f t="shared" si="27"/>
        <v>0</v>
      </c>
      <c r="BC28" s="620">
        <f t="shared" si="27"/>
        <v>0</v>
      </c>
      <c r="BD28" s="620">
        <f t="shared" si="27"/>
        <v>0</v>
      </c>
      <c r="BE28" s="620">
        <f t="shared" si="27"/>
        <v>0</v>
      </c>
      <c r="BF28" s="620">
        <f t="shared" si="27"/>
        <v>0</v>
      </c>
      <c r="BG28" s="620">
        <f t="shared" si="27"/>
        <v>0</v>
      </c>
      <c r="BH28" s="214"/>
    </row>
    <row r="29" spans="1:60" x14ac:dyDescent="0.2">
      <c r="A29" s="648"/>
      <c r="B29" s="739" t="s">
        <v>120</v>
      </c>
      <c r="C29" s="656" t="s">
        <v>113</v>
      </c>
      <c r="D29" s="747"/>
      <c r="E29" s="220" t="s">
        <v>132</v>
      </c>
      <c r="F29" s="220"/>
      <c r="G29" s="220"/>
      <c r="H29" s="183" t="s">
        <v>64</v>
      </c>
      <c r="I29" s="107"/>
      <c r="J29" s="639"/>
      <c r="K29" s="816"/>
      <c r="L29" s="816"/>
      <c r="M29" s="639">
        <f>SUM(M26:M28)</f>
        <v>0</v>
      </c>
      <c r="N29" s="108"/>
      <c r="O29" s="620">
        <f>$M24</f>
        <v>0</v>
      </c>
      <c r="P29" s="620">
        <f t="shared" ref="P29:W29" si="28">$M24</f>
        <v>0</v>
      </c>
      <c r="Q29" s="620">
        <f t="shared" si="28"/>
        <v>0</v>
      </c>
      <c r="R29" s="620">
        <f t="shared" si="28"/>
        <v>0</v>
      </c>
      <c r="S29" s="620">
        <f t="shared" si="28"/>
        <v>0</v>
      </c>
      <c r="T29" s="620">
        <f t="shared" si="28"/>
        <v>0</v>
      </c>
      <c r="U29" s="620">
        <f t="shared" si="28"/>
        <v>0</v>
      </c>
      <c r="V29" s="620">
        <f t="shared" si="28"/>
        <v>0</v>
      </c>
      <c r="W29" s="620">
        <f t="shared" si="28"/>
        <v>0</v>
      </c>
      <c r="X29" s="109"/>
      <c r="Y29" s="639">
        <f>SUM(Y26:Y28)</f>
        <v>0</v>
      </c>
      <c r="Z29" s="108"/>
      <c r="AA29" s="620">
        <f>$Y24</f>
        <v>0</v>
      </c>
      <c r="AB29" s="620">
        <f t="shared" ref="AB29:AI29" si="29">$Y24</f>
        <v>0</v>
      </c>
      <c r="AC29" s="620">
        <f t="shared" si="29"/>
        <v>0</v>
      </c>
      <c r="AD29" s="620">
        <f t="shared" si="29"/>
        <v>0</v>
      </c>
      <c r="AE29" s="620">
        <f t="shared" si="29"/>
        <v>0</v>
      </c>
      <c r="AF29" s="620">
        <f t="shared" si="29"/>
        <v>0</v>
      </c>
      <c r="AG29" s="620">
        <f t="shared" si="29"/>
        <v>0</v>
      </c>
      <c r="AH29" s="620">
        <f t="shared" si="29"/>
        <v>0</v>
      </c>
      <c r="AI29" s="620">
        <f t="shared" si="29"/>
        <v>0</v>
      </c>
      <c r="AJ29" s="109"/>
      <c r="AK29" s="639">
        <f>SUM(AK26:AK28)</f>
        <v>0</v>
      </c>
      <c r="AL29" s="108"/>
      <c r="AM29" s="620">
        <f t="shared" ref="AM29:AU29" si="30">$AK24</f>
        <v>0</v>
      </c>
      <c r="AN29" s="620">
        <f t="shared" si="30"/>
        <v>0</v>
      </c>
      <c r="AO29" s="620">
        <f t="shared" si="30"/>
        <v>0</v>
      </c>
      <c r="AP29" s="620">
        <f t="shared" si="30"/>
        <v>0</v>
      </c>
      <c r="AQ29" s="620">
        <f t="shared" si="30"/>
        <v>0</v>
      </c>
      <c r="AR29" s="620">
        <f t="shared" si="30"/>
        <v>0</v>
      </c>
      <c r="AS29" s="620">
        <f t="shared" si="30"/>
        <v>0</v>
      </c>
      <c r="AT29" s="620">
        <f t="shared" si="30"/>
        <v>0</v>
      </c>
      <c r="AU29" s="620">
        <f t="shared" si="30"/>
        <v>0</v>
      </c>
      <c r="AV29" s="109"/>
      <c r="AW29" s="639"/>
      <c r="AX29" s="639">
        <f>SUM(AX26:AX28)</f>
        <v>0</v>
      </c>
      <c r="AY29" s="620">
        <f>$AW24</f>
        <v>0</v>
      </c>
      <c r="AZ29" s="620">
        <f t="shared" ref="AZ29:BG29" si="31">$AW24</f>
        <v>0</v>
      </c>
      <c r="BA29" s="620">
        <f t="shared" si="31"/>
        <v>0</v>
      </c>
      <c r="BB29" s="620">
        <f t="shared" si="31"/>
        <v>0</v>
      </c>
      <c r="BC29" s="620">
        <f t="shared" si="31"/>
        <v>0</v>
      </c>
      <c r="BD29" s="620">
        <f t="shared" si="31"/>
        <v>0</v>
      </c>
      <c r="BE29" s="620">
        <f t="shared" si="31"/>
        <v>0</v>
      </c>
      <c r="BF29" s="620">
        <f t="shared" si="31"/>
        <v>0</v>
      </c>
      <c r="BG29" s="620">
        <f t="shared" si="31"/>
        <v>0</v>
      </c>
      <c r="BH29" s="214"/>
    </row>
    <row r="30" spans="1:60" ht="18.75" x14ac:dyDescent="0.2">
      <c r="A30" s="648"/>
      <c r="B30" s="739" t="s">
        <v>120</v>
      </c>
      <c r="C30" s="739" t="s">
        <v>104</v>
      </c>
      <c r="D30" s="747"/>
      <c r="E30" s="236" t="s">
        <v>133</v>
      </c>
      <c r="F30" s="236"/>
      <c r="G30" s="236"/>
      <c r="H30" s="89"/>
      <c r="I30" s="236"/>
      <c r="J30" s="236"/>
      <c r="K30" s="236"/>
      <c r="L30" s="236"/>
      <c r="M30" s="236"/>
      <c r="N30" s="236"/>
      <c r="O30" s="236"/>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38"/>
    </row>
    <row r="31" spans="1:60" x14ac:dyDescent="0.2">
      <c r="A31" s="648"/>
      <c r="B31" s="739" t="s">
        <v>120</v>
      </c>
      <c r="C31" s="656" t="s">
        <v>113</v>
      </c>
      <c r="D31" s="747"/>
      <c r="E31" s="316" t="s">
        <v>80</v>
      </c>
      <c r="F31" s="220" t="s">
        <v>134</v>
      </c>
      <c r="G31" s="220"/>
      <c r="H31" s="221" t="s">
        <v>81</v>
      </c>
      <c r="I31" s="90"/>
      <c r="J31" s="227">
        <f>M31+Y31+AK31+AW31</f>
        <v>0</v>
      </c>
      <c r="K31" s="294"/>
      <c r="L31" s="294"/>
      <c r="M31" s="227">
        <f>SUMPRODUCT(N$24:X$24,N31:X31)</f>
        <v>0</v>
      </c>
      <c r="N31" s="100"/>
      <c r="O31" s="184">
        <f>IF(O$19="",0,'woningen|utiliteit'!L24)</f>
        <v>0</v>
      </c>
      <c r="P31" s="184">
        <f>IF(P$19="",0,'woningen|utiliteit'!M24)</f>
        <v>0</v>
      </c>
      <c r="Q31" s="184">
        <f>IF(Q$19="",0,'woningen|utiliteit'!N24)</f>
        <v>0</v>
      </c>
      <c r="R31" s="184">
        <f>IF(R$19="",0,'woningen|utiliteit'!O24)</f>
        <v>0</v>
      </c>
      <c r="S31" s="184">
        <f>IF(S$19="",0,'woningen|utiliteit'!P24)</f>
        <v>0</v>
      </c>
      <c r="T31" s="184">
        <f>IF(T$19="",0,'woningen|utiliteit'!Q24)</f>
        <v>0</v>
      </c>
      <c r="U31" s="184">
        <f>IF(U$19="",0,'woningen|utiliteit'!R24)</f>
        <v>0</v>
      </c>
      <c r="V31" s="184">
        <f>IF(V$19="",0,'woningen|utiliteit'!S24)</f>
        <v>0</v>
      </c>
      <c r="W31" s="184">
        <f>IF(W$19="",0,'woningen|utiliteit'!T24)</f>
        <v>0</v>
      </c>
      <c r="X31" s="110"/>
      <c r="Y31" s="227">
        <f>SUMPRODUCT(Z$24:AJ$24,Z31:AJ31)</f>
        <v>0</v>
      </c>
      <c r="Z31" s="100"/>
      <c r="AA31" s="184">
        <f>IF(AA$19="",0,'woningen|utiliteit'!L38)</f>
        <v>0</v>
      </c>
      <c r="AB31" s="184">
        <f>IF(AB$19="",0,'woningen|utiliteit'!M38)</f>
        <v>0</v>
      </c>
      <c r="AC31" s="184">
        <f>IF(AC$19="",0,'woningen|utiliteit'!N38)</f>
        <v>0</v>
      </c>
      <c r="AD31" s="184">
        <f>IF(AD$19="",0,'woningen|utiliteit'!O38)</f>
        <v>0</v>
      </c>
      <c r="AE31" s="184">
        <f>IF(AE$19="",0,'woningen|utiliteit'!P38)</f>
        <v>0</v>
      </c>
      <c r="AF31" s="184">
        <f>IF(AF$19="",0,'woningen|utiliteit'!Q38)</f>
        <v>0</v>
      </c>
      <c r="AG31" s="184">
        <f>IF(AG$19="",0,'woningen|utiliteit'!R38)</f>
        <v>0</v>
      </c>
      <c r="AH31" s="184">
        <f>IF(AH$19="",0,'woningen|utiliteit'!S38)</f>
        <v>0</v>
      </c>
      <c r="AI31" s="184">
        <f>IF(AI$19="",0,'woningen|utiliteit'!T38)</f>
        <v>0</v>
      </c>
      <c r="AJ31" s="110"/>
      <c r="AK31" s="227">
        <f>SUMPRODUCT(AL$24:AV$24,AL31:AV31)</f>
        <v>0</v>
      </c>
      <c r="AL31" s="100"/>
      <c r="AM31" s="184">
        <f>IF(AM$19="",0,'woningen|utiliteit'!L52)</f>
        <v>0</v>
      </c>
      <c r="AN31" s="184">
        <f>IF(AN$19="",0,'woningen|utiliteit'!M52)</f>
        <v>0</v>
      </c>
      <c r="AO31" s="184">
        <f>IF(AO$19="",0,'woningen|utiliteit'!N52)</f>
        <v>0</v>
      </c>
      <c r="AP31" s="184">
        <f>IF(AP$19="",0,'woningen|utiliteit'!O52)</f>
        <v>0</v>
      </c>
      <c r="AQ31" s="184">
        <f>IF(AQ$19="",0,'woningen|utiliteit'!P52)</f>
        <v>0</v>
      </c>
      <c r="AR31" s="184">
        <f>IF(AR$19="",0,'woningen|utiliteit'!Q52)</f>
        <v>0</v>
      </c>
      <c r="AS31" s="184">
        <f>IF(AS$19="",0,'woningen|utiliteit'!R52)</f>
        <v>0</v>
      </c>
      <c r="AT31" s="184">
        <f>IF(AT$19="",0,'woningen|utiliteit'!S52)</f>
        <v>0</v>
      </c>
      <c r="AU31" s="184">
        <f>IF(AU$19="",0,'woningen|utiliteit'!T52)</f>
        <v>0</v>
      </c>
      <c r="AV31" s="110"/>
      <c r="AW31" s="227">
        <f>SUMPRODUCT(AX$24:BH$24,AX31:BH31)</f>
        <v>0</v>
      </c>
      <c r="AX31" s="100"/>
      <c r="AY31" s="184">
        <f>IF(AY$19="",0,'woningen|utiliteit'!L66)</f>
        <v>0</v>
      </c>
      <c r="AZ31" s="184">
        <f>IF(AZ$19="",0,'woningen|utiliteit'!M66)</f>
        <v>0</v>
      </c>
      <c r="BA31" s="184">
        <f>IF(BA$19="",0,'woningen|utiliteit'!N66)</f>
        <v>0</v>
      </c>
      <c r="BB31" s="184">
        <f>IF(BB$19="",0,'woningen|utiliteit'!O66)</f>
        <v>0</v>
      </c>
      <c r="BC31" s="184">
        <f>IF(BC$19="",0,'woningen|utiliteit'!P66)</f>
        <v>0</v>
      </c>
      <c r="BD31" s="184">
        <f>IF(BD$19="",0,'woningen|utiliteit'!Q66)</f>
        <v>0</v>
      </c>
      <c r="BE31" s="184">
        <f>IF(BE$19="",0,'woningen|utiliteit'!R66)</f>
        <v>0</v>
      </c>
      <c r="BF31" s="184">
        <f>IF(BF$19="",0,'woningen|utiliteit'!S66)</f>
        <v>0</v>
      </c>
      <c r="BG31" s="184">
        <f>IF(BG$19="",0,'woningen|utiliteit'!T66)</f>
        <v>0</v>
      </c>
      <c r="BH31" s="214"/>
    </row>
    <row r="32" spans="1:60" x14ac:dyDescent="0.2">
      <c r="A32" s="653"/>
      <c r="B32" s="739" t="s">
        <v>120</v>
      </c>
      <c r="C32" s="656" t="s">
        <v>113</v>
      </c>
      <c r="D32" s="747"/>
      <c r="E32" s="687"/>
      <c r="F32" s="220" t="s">
        <v>135</v>
      </c>
      <c r="G32" s="220"/>
      <c r="H32" s="221" t="s">
        <v>136</v>
      </c>
      <c r="I32" s="111"/>
      <c r="J32" s="227"/>
      <c r="K32" s="817"/>
      <c r="L32" s="817"/>
      <c r="M32" s="717"/>
      <c r="N32" s="718"/>
      <c r="O32" s="637">
        <f>O24*O31</f>
        <v>0</v>
      </c>
      <c r="P32" s="637">
        <f t="shared" ref="P32:W32" si="32">P24*P31</f>
        <v>0</v>
      </c>
      <c r="Q32" s="637">
        <f t="shared" si="32"/>
        <v>0</v>
      </c>
      <c r="R32" s="637">
        <f t="shared" si="32"/>
        <v>0</v>
      </c>
      <c r="S32" s="637">
        <f t="shared" si="32"/>
        <v>0</v>
      </c>
      <c r="T32" s="637">
        <f>T24*T31</f>
        <v>0</v>
      </c>
      <c r="U32" s="637">
        <f t="shared" si="32"/>
        <v>0</v>
      </c>
      <c r="V32" s="637">
        <f t="shared" si="32"/>
        <v>0</v>
      </c>
      <c r="W32" s="637">
        <f t="shared" si="32"/>
        <v>0</v>
      </c>
      <c r="X32" s="113"/>
      <c r="Y32" s="717"/>
      <c r="Z32" s="718"/>
      <c r="AA32" s="637">
        <f t="shared" ref="AA32:AI32" si="33">AA24*AA31</f>
        <v>0</v>
      </c>
      <c r="AB32" s="637">
        <f t="shared" si="33"/>
        <v>0</v>
      </c>
      <c r="AC32" s="637">
        <f t="shared" si="33"/>
        <v>0</v>
      </c>
      <c r="AD32" s="637">
        <f t="shared" si="33"/>
        <v>0</v>
      </c>
      <c r="AE32" s="637">
        <f t="shared" si="33"/>
        <v>0</v>
      </c>
      <c r="AF32" s="637">
        <f t="shared" si="33"/>
        <v>0</v>
      </c>
      <c r="AG32" s="637">
        <f t="shared" si="33"/>
        <v>0</v>
      </c>
      <c r="AH32" s="637">
        <f t="shared" si="33"/>
        <v>0</v>
      </c>
      <c r="AI32" s="637">
        <f t="shared" si="33"/>
        <v>0</v>
      </c>
      <c r="AJ32" s="113"/>
      <c r="AK32" s="717"/>
      <c r="AL32" s="718"/>
      <c r="AM32" s="637">
        <f t="shared" ref="AM32:AU32" si="34">AM24*AM31</f>
        <v>0</v>
      </c>
      <c r="AN32" s="637">
        <f t="shared" si="34"/>
        <v>0</v>
      </c>
      <c r="AO32" s="637">
        <f t="shared" si="34"/>
        <v>0</v>
      </c>
      <c r="AP32" s="637">
        <f t="shared" si="34"/>
        <v>0</v>
      </c>
      <c r="AQ32" s="637">
        <f t="shared" si="34"/>
        <v>0</v>
      </c>
      <c r="AR32" s="637">
        <f t="shared" si="34"/>
        <v>0</v>
      </c>
      <c r="AS32" s="637">
        <f t="shared" si="34"/>
        <v>0</v>
      </c>
      <c r="AT32" s="637">
        <f t="shared" si="34"/>
        <v>0</v>
      </c>
      <c r="AU32" s="637">
        <f t="shared" si="34"/>
        <v>0</v>
      </c>
      <c r="AV32" s="113"/>
      <c r="AW32" s="717"/>
      <c r="AX32" s="718"/>
      <c r="AY32" s="637">
        <f t="shared" ref="AY32:BG32" si="35">AY24*AY31</f>
        <v>0</v>
      </c>
      <c r="AZ32" s="637">
        <f t="shared" si="35"/>
        <v>0</v>
      </c>
      <c r="BA32" s="637">
        <f t="shared" si="35"/>
        <v>0</v>
      </c>
      <c r="BB32" s="637">
        <f t="shared" si="35"/>
        <v>0</v>
      </c>
      <c r="BC32" s="637">
        <f t="shared" si="35"/>
        <v>0</v>
      </c>
      <c r="BD32" s="637">
        <f t="shared" si="35"/>
        <v>0</v>
      </c>
      <c r="BE32" s="637">
        <f t="shared" si="35"/>
        <v>0</v>
      </c>
      <c r="BF32" s="637">
        <f t="shared" si="35"/>
        <v>0</v>
      </c>
      <c r="BG32" s="637">
        <f t="shared" si="35"/>
        <v>0</v>
      </c>
      <c r="BH32" s="214"/>
    </row>
    <row r="33" spans="1:60" x14ac:dyDescent="0.2">
      <c r="A33" s="653"/>
      <c r="B33" s="739" t="s">
        <v>120</v>
      </c>
      <c r="C33" s="656" t="s">
        <v>113</v>
      </c>
      <c r="D33" s="747"/>
      <c r="E33" s="317"/>
      <c r="F33" s="220" t="s">
        <v>137</v>
      </c>
      <c r="G33" s="220"/>
      <c r="H33" s="221" t="s">
        <v>136</v>
      </c>
      <c r="I33" s="111"/>
      <c r="J33" s="227"/>
      <c r="K33" s="817"/>
      <c r="L33" s="817"/>
      <c r="M33" s="227"/>
      <c r="N33" s="112"/>
      <c r="O33" s="453">
        <f>SUMPRODUCT($N24:$X24,$N31:$X31)</f>
        <v>0</v>
      </c>
      <c r="P33" s="453">
        <f t="shared" ref="P33:W33" si="36">SUMPRODUCT($N24:$X24,$N31:$X31)</f>
        <v>0</v>
      </c>
      <c r="Q33" s="453">
        <f t="shared" si="36"/>
        <v>0</v>
      </c>
      <c r="R33" s="453">
        <f t="shared" si="36"/>
        <v>0</v>
      </c>
      <c r="S33" s="453">
        <f t="shared" si="36"/>
        <v>0</v>
      </c>
      <c r="T33" s="453">
        <f t="shared" si="36"/>
        <v>0</v>
      </c>
      <c r="U33" s="453">
        <f t="shared" si="36"/>
        <v>0</v>
      </c>
      <c r="V33" s="453">
        <f t="shared" si="36"/>
        <v>0</v>
      </c>
      <c r="W33" s="453">
        <f t="shared" si="36"/>
        <v>0</v>
      </c>
      <c r="X33" s="113"/>
      <c r="Y33" s="227"/>
      <c r="Z33" s="112"/>
      <c r="AA33" s="453">
        <f t="shared" ref="AA33:AI33" si="37">SUMPRODUCT($Z$24:$AJ$24,$Z$31:$AJ$31)</f>
        <v>0</v>
      </c>
      <c r="AB33" s="453">
        <f t="shared" si="37"/>
        <v>0</v>
      </c>
      <c r="AC33" s="453">
        <f t="shared" si="37"/>
        <v>0</v>
      </c>
      <c r="AD33" s="453">
        <f t="shared" si="37"/>
        <v>0</v>
      </c>
      <c r="AE33" s="453">
        <f t="shared" si="37"/>
        <v>0</v>
      </c>
      <c r="AF33" s="453">
        <f t="shared" si="37"/>
        <v>0</v>
      </c>
      <c r="AG33" s="453">
        <f t="shared" si="37"/>
        <v>0</v>
      </c>
      <c r="AH33" s="453">
        <f t="shared" si="37"/>
        <v>0</v>
      </c>
      <c r="AI33" s="453">
        <f t="shared" si="37"/>
        <v>0</v>
      </c>
      <c r="AJ33" s="113"/>
      <c r="AK33" s="227"/>
      <c r="AL33" s="112"/>
      <c r="AM33" s="453">
        <f>SUMPRODUCT($AL$24:$AV$24,$AL$31:$AV$31)</f>
        <v>0</v>
      </c>
      <c r="AN33" s="453">
        <f t="shared" ref="AN33:AU33" si="38">SUMPRODUCT($AL$24:$AV$24,$AL$31:$AV$31)</f>
        <v>0</v>
      </c>
      <c r="AO33" s="453">
        <f t="shared" si="38"/>
        <v>0</v>
      </c>
      <c r="AP33" s="453">
        <f t="shared" si="38"/>
        <v>0</v>
      </c>
      <c r="AQ33" s="453">
        <f t="shared" si="38"/>
        <v>0</v>
      </c>
      <c r="AR33" s="453">
        <f t="shared" si="38"/>
        <v>0</v>
      </c>
      <c r="AS33" s="453">
        <f t="shared" si="38"/>
        <v>0</v>
      </c>
      <c r="AT33" s="453">
        <f t="shared" si="38"/>
        <v>0</v>
      </c>
      <c r="AU33" s="453">
        <f t="shared" si="38"/>
        <v>0</v>
      </c>
      <c r="AV33" s="113"/>
      <c r="AW33" s="227"/>
      <c r="AX33" s="112"/>
      <c r="AY33" s="453">
        <f>SUMPRODUCT($AX$24:$BH$24,$AX$31:$BH$31)</f>
        <v>0</v>
      </c>
      <c r="AZ33" s="453">
        <f t="shared" ref="AZ33:BG33" si="39">SUMPRODUCT($AX$24:$BH$24,$AX$31:$BH$31)</f>
        <v>0</v>
      </c>
      <c r="BA33" s="453">
        <f t="shared" si="39"/>
        <v>0</v>
      </c>
      <c r="BB33" s="453">
        <f t="shared" si="39"/>
        <v>0</v>
      </c>
      <c r="BC33" s="453">
        <f t="shared" si="39"/>
        <v>0</v>
      </c>
      <c r="BD33" s="453">
        <f t="shared" si="39"/>
        <v>0</v>
      </c>
      <c r="BE33" s="453">
        <f t="shared" si="39"/>
        <v>0</v>
      </c>
      <c r="BF33" s="453">
        <f t="shared" si="39"/>
        <v>0</v>
      </c>
      <c r="BG33" s="453">
        <f t="shared" si="39"/>
        <v>0</v>
      </c>
      <c r="BH33" s="214"/>
    </row>
    <row r="34" spans="1:60" x14ac:dyDescent="0.2">
      <c r="A34" s="653"/>
      <c r="B34" s="739" t="s">
        <v>120</v>
      </c>
      <c r="C34" s="656" t="s">
        <v>113</v>
      </c>
      <c r="D34" s="747"/>
      <c r="E34" s="220" t="s">
        <v>138</v>
      </c>
      <c r="F34" s="220"/>
      <c r="G34" s="220"/>
      <c r="H34" s="221" t="s">
        <v>139</v>
      </c>
      <c r="I34" s="90"/>
      <c r="J34" s="227"/>
      <c r="K34" s="294"/>
      <c r="L34" s="294"/>
      <c r="M34" s="227"/>
      <c r="N34" s="100"/>
      <c r="O34" s="184" t="str">
        <f>IF(O$19="","",HLOOKUP(O$19,woningen_gebouwen_gegevens,ROWS(bibliotheek!$E$13:$E$26),FALSE))</f>
        <v/>
      </c>
      <c r="P34" s="184" t="str">
        <f>IF(P$19="","",HLOOKUP(P$19,woningen_gebouwen_gegevens,ROWS(bibliotheek!$E$13:$E$26),FALSE))</f>
        <v/>
      </c>
      <c r="Q34" s="184" t="str">
        <f>IF(Q$19="","",HLOOKUP(Q$19,woningen_gebouwen_gegevens,ROWS(bibliotheek!$E$13:$E$26),FALSE))</f>
        <v/>
      </c>
      <c r="R34" s="184" t="str">
        <f>IF(R$19="","",HLOOKUP(R$19,woningen_gebouwen_gegevens,ROWS(bibliotheek!$E$13:$E$26),FALSE))</f>
        <v/>
      </c>
      <c r="S34" s="184" t="str">
        <f>IF(S$19="","",HLOOKUP(S$19,woningen_gebouwen_gegevens,ROWS(bibliotheek!$E$13:$E$26),FALSE))</f>
        <v/>
      </c>
      <c r="T34" s="184" t="str">
        <f>IF(T$19="","",HLOOKUP(T$19,woningen_gebouwen_gegevens,ROWS(bibliotheek!$E$13:$E$26),FALSE))</f>
        <v/>
      </c>
      <c r="U34" s="184" t="str">
        <f>IF(U$19="","",HLOOKUP(U$19,woningen_gebouwen_gegevens,ROWS(bibliotheek!$E$13:$E$26),FALSE))</f>
        <v/>
      </c>
      <c r="V34" s="184" t="str">
        <f>IF(V$19="","",HLOOKUP(V$19,woningen_gebouwen_gegevens,ROWS(bibliotheek!$E$13:$E$26),FALSE))</f>
        <v/>
      </c>
      <c r="W34" s="184" t="str">
        <f>IF(W$19="","",HLOOKUP(W$19,woningen_gebouwen_gegevens,ROWS(bibliotheek!$E$13:$E$26),FALSE))</f>
        <v/>
      </c>
      <c r="X34" s="110"/>
      <c r="Y34" s="227"/>
      <c r="Z34" s="100"/>
      <c r="AA34" s="184" t="str">
        <f>IF(AA$19="","",HLOOKUP(AA$19,woningen_gebouwen_gegevens,ROWS(bibliotheek!$E$13:$E$26),FALSE))</f>
        <v/>
      </c>
      <c r="AB34" s="184" t="str">
        <f>IF(AB$19="","",HLOOKUP(AB$19,woningen_gebouwen_gegevens,ROWS(bibliotheek!$E$13:$E$26),FALSE))</f>
        <v/>
      </c>
      <c r="AC34" s="184" t="str">
        <f>IF(AC$19="","",HLOOKUP(AC$19,woningen_gebouwen_gegevens,ROWS(bibliotheek!$E$13:$E$26),FALSE))</f>
        <v/>
      </c>
      <c r="AD34" s="184" t="str">
        <f>IF(AD$19="","",HLOOKUP(AD$19,woningen_gebouwen_gegevens,ROWS(bibliotheek!$E$13:$E$26),FALSE))</f>
        <v/>
      </c>
      <c r="AE34" s="184" t="str">
        <f>IF(AE$19="","",HLOOKUP(AE$19,woningen_gebouwen_gegevens,ROWS(bibliotheek!$E$13:$E$26),FALSE))</f>
        <v/>
      </c>
      <c r="AF34" s="184" t="str">
        <f>IF(AF$19="","",HLOOKUP(AF$19,woningen_gebouwen_gegevens,ROWS(bibliotheek!$E$13:$E$26),FALSE))</f>
        <v/>
      </c>
      <c r="AG34" s="184" t="str">
        <f>IF(AG$19="","",HLOOKUP(AG$19,woningen_gebouwen_gegevens,ROWS(bibliotheek!$E$13:$E$26),FALSE))</f>
        <v/>
      </c>
      <c r="AH34" s="184" t="str">
        <f>IF(AH$19="","",HLOOKUP(AH$19,woningen_gebouwen_gegevens,ROWS(bibliotheek!$E$13:$E$26),FALSE))</f>
        <v/>
      </c>
      <c r="AI34" s="184" t="str">
        <f>IF(AI$19="","",HLOOKUP(AI$19,woningen_gebouwen_gegevens,ROWS(bibliotheek!$E$13:$E$26),FALSE))</f>
        <v/>
      </c>
      <c r="AJ34" s="110"/>
      <c r="AK34" s="227"/>
      <c r="AL34" s="100"/>
      <c r="AM34" s="184" t="str">
        <f>IF(AM$19="","",HLOOKUP(AM$19,woningen_gebouwen_gegevens,ROWS(bibliotheek!$E$13:$E$26),FALSE))</f>
        <v/>
      </c>
      <c r="AN34" s="184" t="str">
        <f>IF(AN$19="","",HLOOKUP(AN$19,woningen_gebouwen_gegevens,ROWS(bibliotheek!$E$13:$E$26),FALSE))</f>
        <v/>
      </c>
      <c r="AO34" s="184" t="str">
        <f>IF(AO$19="","",HLOOKUP(AO$19,woningen_gebouwen_gegevens,ROWS(bibliotheek!$E$13:$E$26),FALSE))</f>
        <v/>
      </c>
      <c r="AP34" s="184" t="str">
        <f>IF(AP$19="","",HLOOKUP(AP$19,woningen_gebouwen_gegevens,ROWS(bibliotheek!$E$13:$E$26),FALSE))</f>
        <v/>
      </c>
      <c r="AQ34" s="184" t="str">
        <f>IF(AQ$19="","",HLOOKUP(AQ$19,woningen_gebouwen_gegevens,ROWS(bibliotheek!$E$13:$E$26),FALSE))</f>
        <v/>
      </c>
      <c r="AR34" s="184" t="str">
        <f>IF(AR$19="","",HLOOKUP(AR$19,woningen_gebouwen_gegevens,ROWS(bibliotheek!$E$13:$E$26),FALSE))</f>
        <v/>
      </c>
      <c r="AS34" s="184" t="str">
        <f>IF(AS$19="","",HLOOKUP(AS$19,woningen_gebouwen_gegevens,ROWS(bibliotheek!$E$13:$E$26),FALSE))</f>
        <v/>
      </c>
      <c r="AT34" s="184" t="str">
        <f>IF(AT$19="","",HLOOKUP(AT$19,woningen_gebouwen_gegevens,ROWS(bibliotheek!$E$13:$E$26),FALSE))</f>
        <v/>
      </c>
      <c r="AU34" s="184" t="str">
        <f>IF(AU$19="","",HLOOKUP(AU$19,woningen_gebouwen_gegevens,ROWS(bibliotheek!$E$13:$E$26),FALSE))</f>
        <v/>
      </c>
      <c r="AV34" s="110"/>
      <c r="AW34" s="227"/>
      <c r="AX34" s="100"/>
      <c r="AY34" s="184" t="str">
        <f>IF(AY$19="","",HLOOKUP(AY$19,woningen_gebouwen_gegevens,ROWS(bibliotheek!$E$13:$E$26),FALSE))</f>
        <v/>
      </c>
      <c r="AZ34" s="184" t="str">
        <f>IF(AZ$19="","",HLOOKUP(AZ$19,woningen_gebouwen_gegevens,ROWS(bibliotheek!$E$13:$E$26),FALSE))</f>
        <v/>
      </c>
      <c r="BA34" s="184" t="str">
        <f>IF(BA$19="","",HLOOKUP(BA$19,woningen_gebouwen_gegevens,ROWS(bibliotheek!$E$13:$E$26),FALSE))</f>
        <v/>
      </c>
      <c r="BB34" s="184" t="str">
        <f>IF(BB$19="","",HLOOKUP(BB$19,woningen_gebouwen_gegevens,ROWS(bibliotheek!$E$13:$E$26),FALSE))</f>
        <v/>
      </c>
      <c r="BC34" s="184" t="str">
        <f>IF(BC$19="","",HLOOKUP(BC$19,woningen_gebouwen_gegevens,ROWS(bibliotheek!$E$13:$E$26),FALSE))</f>
        <v/>
      </c>
      <c r="BD34" s="184" t="str">
        <f>IF(BD$19="","",HLOOKUP(BD$19,woningen_gebouwen_gegevens,ROWS(bibliotheek!$E$13:$E$26),FALSE))</f>
        <v/>
      </c>
      <c r="BE34" s="184" t="str">
        <f>IF(BE$19="","",HLOOKUP(BE$19,woningen_gebouwen_gegevens,ROWS(bibliotheek!$E$13:$E$26),FALSE))</f>
        <v/>
      </c>
      <c r="BF34" s="184" t="str">
        <f>IF(BF$19="","",HLOOKUP(BF$19,woningen_gebouwen_gegevens,ROWS(bibliotheek!$E$13:$E$26),FALSE))</f>
        <v/>
      </c>
      <c r="BG34" s="184" t="str">
        <f>IF(BG$19="","",HLOOKUP(BG$19,woningen_gebouwen_gegevens,ROWS(bibliotheek!$E$13:$E$26),FALSE))</f>
        <v/>
      </c>
      <c r="BH34" s="214"/>
    </row>
    <row r="35" spans="1:60" x14ac:dyDescent="0.2">
      <c r="A35" s="653"/>
      <c r="B35" s="739" t="s">
        <v>120</v>
      </c>
      <c r="C35" s="656" t="s">
        <v>113</v>
      </c>
      <c r="D35" s="747"/>
      <c r="E35" s="220" t="s">
        <v>140</v>
      </c>
      <c r="F35" s="220"/>
      <c r="G35" s="220"/>
      <c r="H35" s="221" t="s">
        <v>139</v>
      </c>
      <c r="I35" s="90"/>
      <c r="J35" s="227"/>
      <c r="K35" s="294"/>
      <c r="L35" s="294"/>
      <c r="M35" s="227"/>
      <c r="N35" s="100"/>
      <c r="O35" s="184" t="str">
        <f>IF(O$19="","",HLOOKUP(O$19,woningen_gebouwen_gegevens,ROWS(bibliotheek!$E$13:$E$27),FALSE))</f>
        <v/>
      </c>
      <c r="P35" s="184" t="str">
        <f>IF(P$19="","",HLOOKUP(P$19,woningen_gebouwen_gegevens,ROWS(bibliotheek!$E$13:$E$27),FALSE))</f>
        <v/>
      </c>
      <c r="Q35" s="184" t="str">
        <f>IF(Q$19="","",HLOOKUP(Q$19,woningen_gebouwen_gegevens,ROWS(bibliotheek!$E$13:$E$27),FALSE))</f>
        <v/>
      </c>
      <c r="R35" s="184" t="str">
        <f>IF(R$19="","",HLOOKUP(R$19,woningen_gebouwen_gegevens,ROWS(bibliotheek!$E$13:$E$27),FALSE))</f>
        <v/>
      </c>
      <c r="S35" s="184" t="str">
        <f>IF(S$19="","",HLOOKUP(S$19,woningen_gebouwen_gegevens,ROWS(bibliotheek!$E$13:$E$27),FALSE))</f>
        <v/>
      </c>
      <c r="T35" s="184" t="str">
        <f>IF(T$19="","",HLOOKUP(T$19,woningen_gebouwen_gegevens,ROWS(bibliotheek!$E$13:$E$27),FALSE))</f>
        <v/>
      </c>
      <c r="U35" s="184" t="str">
        <f>IF(U$19="","",HLOOKUP(U$19,woningen_gebouwen_gegevens,ROWS(bibliotheek!$E$13:$E$27),FALSE))</f>
        <v/>
      </c>
      <c r="V35" s="184" t="str">
        <f>IF(V$19="","",HLOOKUP(V$19,woningen_gebouwen_gegevens,ROWS(bibliotheek!$E$13:$E$27),FALSE))</f>
        <v/>
      </c>
      <c r="W35" s="184" t="str">
        <f>IF(W$19="","",HLOOKUP(W$19,woningen_gebouwen_gegevens,ROWS(bibliotheek!$E$13:$E$27),FALSE))</f>
        <v/>
      </c>
      <c r="X35" s="110"/>
      <c r="Y35" s="227"/>
      <c r="Z35" s="100"/>
      <c r="AA35" s="184" t="str">
        <f>IF(AA$19="","",HLOOKUP(AA$19,woningen_gebouwen_gegevens,ROWS(bibliotheek!$E$13:$E$27),FALSE))</f>
        <v/>
      </c>
      <c r="AB35" s="184" t="str">
        <f>IF(AB$19="","",HLOOKUP(AB$19,woningen_gebouwen_gegevens,ROWS(bibliotheek!$E$13:$E$27),FALSE))</f>
        <v/>
      </c>
      <c r="AC35" s="184" t="str">
        <f>IF(AC$19="","",HLOOKUP(AC$19,woningen_gebouwen_gegevens,ROWS(bibliotheek!$E$13:$E$27),FALSE))</f>
        <v/>
      </c>
      <c r="AD35" s="184" t="str">
        <f>IF(AD$19="","",HLOOKUP(AD$19,woningen_gebouwen_gegevens,ROWS(bibliotheek!$E$13:$E$27),FALSE))</f>
        <v/>
      </c>
      <c r="AE35" s="184" t="str">
        <f>IF(AE$19="","",HLOOKUP(AE$19,woningen_gebouwen_gegevens,ROWS(bibliotheek!$E$13:$E$27),FALSE))</f>
        <v/>
      </c>
      <c r="AF35" s="184" t="str">
        <f>IF(AF$19="","",HLOOKUP(AF$19,woningen_gebouwen_gegevens,ROWS(bibliotheek!$E$13:$E$27),FALSE))</f>
        <v/>
      </c>
      <c r="AG35" s="184" t="str">
        <f>IF(AG$19="","",HLOOKUP(AG$19,woningen_gebouwen_gegevens,ROWS(bibliotheek!$E$13:$E$27),FALSE))</f>
        <v/>
      </c>
      <c r="AH35" s="184" t="str">
        <f>IF(AH$19="","",HLOOKUP(AH$19,woningen_gebouwen_gegevens,ROWS(bibliotheek!$E$13:$E$27),FALSE))</f>
        <v/>
      </c>
      <c r="AI35" s="184" t="str">
        <f>IF(AI$19="","",HLOOKUP(AI$19,woningen_gebouwen_gegevens,ROWS(bibliotheek!$E$13:$E$27),FALSE))</f>
        <v/>
      </c>
      <c r="AJ35" s="110"/>
      <c r="AK35" s="227"/>
      <c r="AL35" s="100"/>
      <c r="AM35" s="184" t="str">
        <f>IF(AM$19="","",HLOOKUP(AM$19,woningen_gebouwen_gegevens,ROWS(bibliotheek!$E$13:$E$27),FALSE))</f>
        <v/>
      </c>
      <c r="AN35" s="184" t="str">
        <f>IF(AN$19="","",HLOOKUP(AN$19,woningen_gebouwen_gegevens,ROWS(bibliotheek!$E$13:$E$27),FALSE))</f>
        <v/>
      </c>
      <c r="AO35" s="184" t="str">
        <f>IF(AO$19="","",HLOOKUP(AO$19,woningen_gebouwen_gegevens,ROWS(bibliotheek!$E$13:$E$27),FALSE))</f>
        <v/>
      </c>
      <c r="AP35" s="184" t="str">
        <f>IF(AP$19="","",HLOOKUP(AP$19,woningen_gebouwen_gegevens,ROWS(bibliotheek!$E$13:$E$27),FALSE))</f>
        <v/>
      </c>
      <c r="AQ35" s="184" t="str">
        <f>IF(AQ$19="","",HLOOKUP(AQ$19,woningen_gebouwen_gegevens,ROWS(bibliotheek!$E$13:$E$27),FALSE))</f>
        <v/>
      </c>
      <c r="AR35" s="184" t="str">
        <f>IF(AR$19="","",HLOOKUP(AR$19,woningen_gebouwen_gegevens,ROWS(bibliotheek!$E$13:$E$27),FALSE))</f>
        <v/>
      </c>
      <c r="AS35" s="184" t="str">
        <f>IF(AS$19="","",HLOOKUP(AS$19,woningen_gebouwen_gegevens,ROWS(bibliotheek!$E$13:$E$27),FALSE))</f>
        <v/>
      </c>
      <c r="AT35" s="184" t="str">
        <f>IF(AT$19="","",HLOOKUP(AT$19,woningen_gebouwen_gegevens,ROWS(bibliotheek!$E$13:$E$27),FALSE))</f>
        <v/>
      </c>
      <c r="AU35" s="184" t="str">
        <f>IF(AU$19="","",HLOOKUP(AU$19,woningen_gebouwen_gegevens,ROWS(bibliotheek!$E$13:$E$27),FALSE))</f>
        <v/>
      </c>
      <c r="AV35" s="110"/>
      <c r="AW35" s="227"/>
      <c r="AX35" s="100"/>
      <c r="AY35" s="184" t="str">
        <f>IF(AY$19="","",HLOOKUP(AY$19,woningen_gebouwen_gegevens,ROWS(bibliotheek!$E$13:$E$27),FALSE))</f>
        <v/>
      </c>
      <c r="AZ35" s="184" t="str">
        <f>IF(AZ$19="","",HLOOKUP(AZ$19,woningen_gebouwen_gegevens,ROWS(bibliotheek!$E$13:$E$27),FALSE))</f>
        <v/>
      </c>
      <c r="BA35" s="184" t="str">
        <f>IF(BA$19="","",HLOOKUP(BA$19,woningen_gebouwen_gegevens,ROWS(bibliotheek!$E$13:$E$27),FALSE))</f>
        <v/>
      </c>
      <c r="BB35" s="184" t="str">
        <f>IF(BB$19="","",HLOOKUP(BB$19,woningen_gebouwen_gegevens,ROWS(bibliotheek!$E$13:$E$27),FALSE))</f>
        <v/>
      </c>
      <c r="BC35" s="184" t="str">
        <f>IF(BC$19="","",HLOOKUP(BC$19,woningen_gebouwen_gegevens,ROWS(bibliotheek!$E$13:$E$27),FALSE))</f>
        <v/>
      </c>
      <c r="BD35" s="184" t="str">
        <f>IF(BD$19="","",HLOOKUP(BD$19,woningen_gebouwen_gegevens,ROWS(bibliotheek!$E$13:$E$27),FALSE))</f>
        <v/>
      </c>
      <c r="BE35" s="184" t="str">
        <f>IF(BE$19="","",HLOOKUP(BE$19,woningen_gebouwen_gegevens,ROWS(bibliotheek!$E$13:$E$27),FALSE))</f>
        <v/>
      </c>
      <c r="BF35" s="184" t="str">
        <f>IF(BF$19="","",HLOOKUP(BF$19,woningen_gebouwen_gegevens,ROWS(bibliotheek!$E$13:$E$27),FALSE))</f>
        <v/>
      </c>
      <c r="BG35" s="184" t="str">
        <f>IF(BG$19="","",HLOOKUP(BG$19,woningen_gebouwen_gegevens,ROWS(bibliotheek!$E$13:$E$27),FALSE))</f>
        <v/>
      </c>
      <c r="BH35" s="214"/>
    </row>
    <row r="36" spans="1:60" x14ac:dyDescent="0.2">
      <c r="A36" s="653"/>
      <c r="B36" s="739" t="s">
        <v>120</v>
      </c>
      <c r="C36" s="656" t="s">
        <v>113</v>
      </c>
      <c r="D36" s="747"/>
      <c r="E36" s="90"/>
      <c r="F36" s="90"/>
      <c r="G36" s="90"/>
      <c r="H36" s="96"/>
      <c r="I36" s="90"/>
      <c r="J36" s="93"/>
      <c r="K36" s="90"/>
      <c r="L36" s="90"/>
      <c r="M36" s="93"/>
      <c r="N36" s="93"/>
      <c r="O36" s="93"/>
      <c r="P36" s="93"/>
      <c r="Q36" s="93"/>
      <c r="R36" s="93"/>
      <c r="S36" s="93"/>
      <c r="T36" s="93"/>
      <c r="U36" s="93"/>
      <c r="V36" s="93"/>
      <c r="W36" s="93"/>
      <c r="X36" s="93"/>
      <c r="Y36" s="93"/>
      <c r="Z36" s="90"/>
      <c r="AA36" s="93"/>
      <c r="AB36" s="93"/>
      <c r="AC36" s="93"/>
      <c r="AD36" s="93"/>
      <c r="AE36" s="93"/>
      <c r="AF36" s="93"/>
      <c r="AG36" s="93"/>
      <c r="AH36" s="93"/>
      <c r="AI36" s="93"/>
      <c r="AJ36" s="93"/>
      <c r="AK36" s="93"/>
      <c r="AL36" s="90"/>
      <c r="AM36" s="93"/>
      <c r="AN36" s="93"/>
      <c r="AO36" s="93"/>
      <c r="AP36" s="93"/>
      <c r="AQ36" s="93"/>
      <c r="AR36" s="93"/>
      <c r="AS36" s="93"/>
      <c r="AT36" s="93"/>
      <c r="AU36" s="93"/>
      <c r="AV36" s="93"/>
      <c r="AW36" s="93"/>
      <c r="AX36" s="90"/>
      <c r="AY36" s="93"/>
      <c r="AZ36" s="93"/>
      <c r="BA36" s="93"/>
      <c r="BB36" s="93"/>
      <c r="BC36" s="93"/>
      <c r="BD36" s="93"/>
      <c r="BE36" s="93"/>
      <c r="BF36" s="93"/>
      <c r="BG36" s="93"/>
      <c r="BH36" s="1"/>
    </row>
    <row r="37" spans="1:60" x14ac:dyDescent="0.2">
      <c r="A37" s="653"/>
      <c r="B37" s="492" t="s">
        <v>141</v>
      </c>
      <c r="C37" s="656" t="s">
        <v>104</v>
      </c>
      <c r="D37" s="747"/>
      <c r="E37" s="90"/>
      <c r="F37" s="90"/>
      <c r="G37" s="90"/>
      <c r="H37" s="96"/>
      <c r="I37" s="90"/>
      <c r="J37" s="93"/>
      <c r="K37" s="90"/>
      <c r="L37" s="90"/>
      <c r="M37" s="93"/>
      <c r="N37" s="93"/>
      <c r="O37" s="93"/>
      <c r="P37" s="93"/>
      <c r="Q37" s="93"/>
      <c r="R37" s="93"/>
      <c r="S37" s="93"/>
      <c r="T37" s="93"/>
      <c r="U37" s="93"/>
      <c r="V37" s="93"/>
      <c r="W37" s="93"/>
      <c r="X37" s="93"/>
      <c r="Y37" s="93"/>
      <c r="Z37" s="90"/>
      <c r="AA37" s="93"/>
      <c r="AB37" s="93"/>
      <c r="AC37" s="93"/>
      <c r="AD37" s="93"/>
      <c r="AE37" s="93"/>
      <c r="AF37" s="93"/>
      <c r="AG37" s="93"/>
      <c r="AH37" s="93"/>
      <c r="AI37" s="93"/>
      <c r="AJ37" s="93"/>
      <c r="AK37" s="93"/>
      <c r="AL37" s="90"/>
      <c r="AM37" s="93"/>
      <c r="AN37" s="93"/>
      <c r="AO37" s="93"/>
      <c r="AP37" s="93"/>
      <c r="AQ37" s="93"/>
      <c r="AR37" s="93"/>
      <c r="AS37" s="93"/>
      <c r="AT37" s="93"/>
      <c r="AU37" s="93"/>
      <c r="AV37" s="93"/>
      <c r="AW37" s="93"/>
      <c r="AX37" s="90"/>
      <c r="AY37" s="93"/>
      <c r="AZ37" s="93"/>
      <c r="BA37" s="93"/>
      <c r="BB37" s="93"/>
      <c r="BC37" s="93"/>
      <c r="BD37" s="93"/>
      <c r="BE37" s="93"/>
      <c r="BF37" s="93"/>
      <c r="BG37" s="93"/>
      <c r="BH37" s="1"/>
    </row>
    <row r="38" spans="1:60" s="2" customFormat="1" ht="21" x14ac:dyDescent="0.2">
      <c r="A38" s="654"/>
      <c r="B38" s="492" t="s">
        <v>141</v>
      </c>
      <c r="C38" s="739" t="s">
        <v>104</v>
      </c>
      <c r="D38" s="749"/>
      <c r="E38" s="253" t="s">
        <v>142</v>
      </c>
      <c r="F38" s="253"/>
      <c r="G38" s="253"/>
      <c r="H38" s="253"/>
      <c r="I38" s="146"/>
      <c r="J38" s="318"/>
      <c r="K38" s="142"/>
      <c r="L38" s="142"/>
      <c r="M38" s="319" t="str">
        <f>M$10</f>
        <v>totaal</v>
      </c>
      <c r="N38" s="234"/>
      <c r="O38" s="320" t="str">
        <f t="shared" ref="O38:W38" si="40">O$17</f>
        <v/>
      </c>
      <c r="P38" s="320" t="str">
        <f t="shared" si="40"/>
        <v/>
      </c>
      <c r="Q38" s="320" t="str">
        <f t="shared" si="40"/>
        <v/>
      </c>
      <c r="R38" s="320" t="str">
        <f t="shared" si="40"/>
        <v/>
      </c>
      <c r="S38" s="320" t="str">
        <f t="shared" si="40"/>
        <v/>
      </c>
      <c r="T38" s="320" t="str">
        <f t="shared" si="40"/>
        <v/>
      </c>
      <c r="U38" s="320" t="str">
        <f t="shared" si="40"/>
        <v/>
      </c>
      <c r="V38" s="320" t="str">
        <f t="shared" si="40"/>
        <v/>
      </c>
      <c r="W38" s="320" t="str">
        <f t="shared" si="40"/>
        <v/>
      </c>
      <c r="X38" s="214"/>
      <c r="Y38" s="319" t="str">
        <f>Y$10</f>
        <v>totaal</v>
      </c>
      <c r="Z38" s="234"/>
      <c r="AA38" s="320" t="str">
        <f t="shared" ref="AA38:AI38" si="41">AA$17</f>
        <v/>
      </c>
      <c r="AB38" s="320" t="str">
        <f t="shared" si="41"/>
        <v/>
      </c>
      <c r="AC38" s="320" t="str">
        <f t="shared" si="41"/>
        <v/>
      </c>
      <c r="AD38" s="320" t="str">
        <f t="shared" si="41"/>
        <v/>
      </c>
      <c r="AE38" s="320" t="str">
        <f t="shared" si="41"/>
        <v/>
      </c>
      <c r="AF38" s="320" t="str">
        <f t="shared" si="41"/>
        <v/>
      </c>
      <c r="AG38" s="320" t="str">
        <f t="shared" si="41"/>
        <v/>
      </c>
      <c r="AH38" s="320" t="str">
        <f t="shared" si="41"/>
        <v/>
      </c>
      <c r="AI38" s="320" t="str">
        <f t="shared" si="41"/>
        <v/>
      </c>
      <c r="AJ38" s="214"/>
      <c r="AK38" s="319" t="str">
        <f>AK$10</f>
        <v>totaal</v>
      </c>
      <c r="AL38" s="234"/>
      <c r="AM38" s="320" t="str">
        <f>AM$17</f>
        <v/>
      </c>
      <c r="AN38" s="320" t="str">
        <f t="shared" ref="AN38:AU38" si="42">AN$17</f>
        <v/>
      </c>
      <c r="AO38" s="320" t="str">
        <f t="shared" si="42"/>
        <v/>
      </c>
      <c r="AP38" s="320" t="str">
        <f t="shared" si="42"/>
        <v/>
      </c>
      <c r="AQ38" s="320" t="str">
        <f t="shared" si="42"/>
        <v/>
      </c>
      <c r="AR38" s="320" t="str">
        <f t="shared" si="42"/>
        <v/>
      </c>
      <c r="AS38" s="320" t="str">
        <f t="shared" si="42"/>
        <v/>
      </c>
      <c r="AT38" s="320" t="str">
        <f t="shared" si="42"/>
        <v/>
      </c>
      <c r="AU38" s="320" t="str">
        <f t="shared" si="42"/>
        <v/>
      </c>
      <c r="AV38" s="214"/>
      <c r="AW38" s="319" t="str">
        <f>AW$10</f>
        <v>totaal</v>
      </c>
      <c r="AX38" s="234"/>
      <c r="AY38" s="320" t="str">
        <f>AY$17</f>
        <v/>
      </c>
      <c r="AZ38" s="320" t="str">
        <f t="shared" ref="AZ38:BG38" si="43">AZ$17</f>
        <v/>
      </c>
      <c r="BA38" s="320" t="str">
        <f t="shared" si="43"/>
        <v/>
      </c>
      <c r="BB38" s="320" t="str">
        <f t="shared" si="43"/>
        <v/>
      </c>
      <c r="BC38" s="320" t="str">
        <f t="shared" si="43"/>
        <v/>
      </c>
      <c r="BD38" s="320" t="str">
        <f t="shared" si="43"/>
        <v/>
      </c>
      <c r="BE38" s="320" t="str">
        <f t="shared" si="43"/>
        <v/>
      </c>
      <c r="BF38" s="320" t="str">
        <f t="shared" si="43"/>
        <v/>
      </c>
      <c r="BG38" s="320" t="str">
        <f t="shared" si="43"/>
        <v/>
      </c>
      <c r="BH38" s="1"/>
    </row>
    <row r="39" spans="1:60" ht="18.75" x14ac:dyDescent="0.2">
      <c r="A39" s="653"/>
      <c r="B39" s="492" t="s">
        <v>141</v>
      </c>
      <c r="C39" s="656" t="s">
        <v>127</v>
      </c>
      <c r="D39" s="747"/>
      <c r="E39" s="236" t="s">
        <v>143</v>
      </c>
      <c r="F39" s="236"/>
      <c r="G39" s="236"/>
      <c r="H39" s="89"/>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38"/>
    </row>
    <row r="40" spans="1:60" x14ac:dyDescent="0.2">
      <c r="A40" s="653"/>
      <c r="B40" s="492" t="s">
        <v>141</v>
      </c>
      <c r="C40" s="739" t="s">
        <v>127</v>
      </c>
      <c r="D40" s="750" t="s">
        <v>50</v>
      </c>
      <c r="E40" s="713" t="s">
        <v>144</v>
      </c>
      <c r="F40" s="713"/>
      <c r="G40" s="713"/>
      <c r="H40" s="183" t="s">
        <v>70</v>
      </c>
      <c r="I40" s="210"/>
      <c r="J40" s="711"/>
      <c r="K40" s="90"/>
      <c r="L40" s="90"/>
      <c r="M40" s="224"/>
      <c r="N40" s="236"/>
      <c r="O40" s="184" t="str">
        <f t="shared" ref="O40:W40" si="44">IF(O$19="","",IF(AND(O41&lt;&gt;"",
ISERROR(MATCH(O41,isolatiepakketten_gebouwschil_namen,0))=FALSE),O41,
INDEX(referentiepakketten_bij_gebouwen,MATCH(O$19,woningen_gebouwen_namen,0))))</f>
        <v/>
      </c>
      <c r="P40" s="184" t="str">
        <f t="shared" si="44"/>
        <v/>
      </c>
      <c r="Q40" s="184" t="str">
        <f t="shared" si="44"/>
        <v/>
      </c>
      <c r="R40" s="184" t="str">
        <f t="shared" si="44"/>
        <v/>
      </c>
      <c r="S40" s="184" t="str">
        <f t="shared" si="44"/>
        <v/>
      </c>
      <c r="T40" s="184" t="str">
        <f t="shared" si="44"/>
        <v/>
      </c>
      <c r="U40" s="184" t="str">
        <f t="shared" si="44"/>
        <v/>
      </c>
      <c r="V40" s="184" t="str">
        <f t="shared" si="44"/>
        <v/>
      </c>
      <c r="W40" s="184" t="str">
        <f t="shared" si="44"/>
        <v/>
      </c>
      <c r="X40" s="767"/>
      <c r="Y40" s="224"/>
      <c r="Z40" s="236"/>
      <c r="AA40" s="184" t="str">
        <f t="shared" ref="AA40:AI40" si="45">IF(AA$19="","",IF(AND(AA41&lt;&gt;"",
ISERROR(MATCH(AA41,isolatiepakketten_gebouwschil_namen,0))=FALSE),AA41,
INDEX(referentiepakketten_bij_gebouwen,MATCH(AA$19,woningen_gebouwen_namen,0))))</f>
        <v/>
      </c>
      <c r="AB40" s="184" t="str">
        <f t="shared" si="45"/>
        <v/>
      </c>
      <c r="AC40" s="184" t="str">
        <f t="shared" si="45"/>
        <v/>
      </c>
      <c r="AD40" s="184" t="str">
        <f t="shared" si="45"/>
        <v/>
      </c>
      <c r="AE40" s="184" t="str">
        <f t="shared" si="45"/>
        <v/>
      </c>
      <c r="AF40" s="184" t="str">
        <f t="shared" si="45"/>
        <v/>
      </c>
      <c r="AG40" s="184" t="str">
        <f t="shared" si="45"/>
        <v/>
      </c>
      <c r="AH40" s="184" t="str">
        <f t="shared" si="45"/>
        <v/>
      </c>
      <c r="AI40" s="184" t="str">
        <f t="shared" si="45"/>
        <v/>
      </c>
      <c r="AJ40" s="767"/>
      <c r="AK40" s="224"/>
      <c r="AL40" s="236"/>
      <c r="AM40" s="184" t="str">
        <f t="shared" ref="AM40:AU40" si="46">IF(AM$19="","",IF(AND(AM41&lt;&gt;"",
ISERROR(MATCH(AM41,isolatiepakketten_gebouwschil_namen,0))=FALSE),AM41,
INDEX(referentiepakketten_bij_gebouwen,MATCH(AM$19,woningen_gebouwen_namen,0))))</f>
        <v/>
      </c>
      <c r="AN40" s="184" t="str">
        <f t="shared" si="46"/>
        <v/>
      </c>
      <c r="AO40" s="184" t="str">
        <f t="shared" si="46"/>
        <v/>
      </c>
      <c r="AP40" s="184" t="str">
        <f t="shared" si="46"/>
        <v/>
      </c>
      <c r="AQ40" s="184" t="str">
        <f t="shared" si="46"/>
        <v/>
      </c>
      <c r="AR40" s="184" t="str">
        <f t="shared" si="46"/>
        <v/>
      </c>
      <c r="AS40" s="184" t="str">
        <f t="shared" si="46"/>
        <v/>
      </c>
      <c r="AT40" s="184" t="str">
        <f t="shared" si="46"/>
        <v/>
      </c>
      <c r="AU40" s="184" t="str">
        <f t="shared" si="46"/>
        <v/>
      </c>
      <c r="AV40" s="767"/>
      <c r="AW40" s="224"/>
      <c r="AX40" s="236"/>
      <c r="AY40" s="184" t="str">
        <f t="shared" ref="AY40:BG40" si="47">IF(AY$19="","",IF(AND(AY41&lt;&gt;"",
ISERROR(MATCH(AY41,isolatiepakketten_gebouwschil_namen,0))=FALSE),AY41,
INDEX(referentiepakketten_bij_gebouwen,MATCH(AY$19,woningen_gebouwen_namen,0))))</f>
        <v/>
      </c>
      <c r="AZ40" s="184" t="str">
        <f t="shared" si="47"/>
        <v/>
      </c>
      <c r="BA40" s="184" t="str">
        <f t="shared" si="47"/>
        <v/>
      </c>
      <c r="BB40" s="184" t="str">
        <f t="shared" si="47"/>
        <v/>
      </c>
      <c r="BC40" s="184" t="str">
        <f t="shared" si="47"/>
        <v/>
      </c>
      <c r="BD40" s="184" t="str">
        <f t="shared" si="47"/>
        <v/>
      </c>
      <c r="BE40" s="184" t="str">
        <f t="shared" si="47"/>
        <v/>
      </c>
      <c r="BF40" s="184" t="str">
        <f t="shared" si="47"/>
        <v/>
      </c>
      <c r="BG40" s="184" t="str">
        <f t="shared" si="47"/>
        <v/>
      </c>
      <c r="BH40" s="260"/>
    </row>
    <row r="41" spans="1:60" x14ac:dyDescent="0.2">
      <c r="A41" s="653"/>
      <c r="B41" s="492" t="s">
        <v>141</v>
      </c>
      <c r="C41" s="739" t="s">
        <v>127</v>
      </c>
      <c r="D41" s="747"/>
      <c r="E41" s="412" t="s">
        <v>1130</v>
      </c>
      <c r="F41" s="286"/>
      <c r="G41" s="286"/>
      <c r="H41" s="183" t="s">
        <v>70</v>
      </c>
      <c r="I41" s="210"/>
      <c r="J41" s="711"/>
      <c r="K41" s="90"/>
      <c r="L41" s="90"/>
      <c r="M41" s="224"/>
      <c r="N41" s="236"/>
      <c r="O41" s="1051"/>
      <c r="P41" s="1051"/>
      <c r="Q41" s="1051"/>
      <c r="R41" s="1051"/>
      <c r="S41" s="1051"/>
      <c r="T41" s="1051"/>
      <c r="U41" s="1051"/>
      <c r="V41" s="1051"/>
      <c r="W41" s="1051"/>
      <c r="X41" s="767"/>
      <c r="Y41" s="224"/>
      <c r="Z41" s="236"/>
      <c r="AA41" s="1051"/>
      <c r="AB41" s="1051"/>
      <c r="AC41" s="1051"/>
      <c r="AD41" s="1051"/>
      <c r="AE41" s="1051"/>
      <c r="AF41" s="1051"/>
      <c r="AG41" s="1051"/>
      <c r="AH41" s="1051"/>
      <c r="AI41" s="1051"/>
      <c r="AJ41" s="767"/>
      <c r="AK41" s="224"/>
      <c r="AL41" s="236"/>
      <c r="AM41" s="1051"/>
      <c r="AN41" s="1051"/>
      <c r="AO41" s="1051"/>
      <c r="AP41" s="1051"/>
      <c r="AQ41" s="1051"/>
      <c r="AR41" s="1051"/>
      <c r="AS41" s="1051"/>
      <c r="AT41" s="1051"/>
      <c r="AU41" s="1051"/>
      <c r="AV41" s="767"/>
      <c r="AW41" s="224"/>
      <c r="AX41" s="236"/>
      <c r="AY41" s="1051"/>
      <c r="AZ41" s="1051"/>
      <c r="BA41" s="1051"/>
      <c r="BB41" s="1051"/>
      <c r="BC41" s="1051"/>
      <c r="BD41" s="1051"/>
      <c r="BE41" s="1051"/>
      <c r="BF41" s="1051"/>
      <c r="BG41" s="1051"/>
      <c r="BH41" s="260"/>
    </row>
    <row r="42" spans="1:60" s="38" customFormat="1" ht="25.5" x14ac:dyDescent="0.2">
      <c r="A42" s="655"/>
      <c r="B42" s="492" t="s">
        <v>141</v>
      </c>
      <c r="C42" s="656" t="s">
        <v>127</v>
      </c>
      <c r="D42" s="751"/>
      <c r="E42" s="182" t="s">
        <v>145</v>
      </c>
      <c r="F42" s="182"/>
      <c r="G42" s="182"/>
      <c r="H42" s="183" t="s">
        <v>70</v>
      </c>
      <c r="I42" s="114"/>
      <c r="J42" s="711"/>
      <c r="K42" s="97"/>
      <c r="L42" s="97"/>
      <c r="M42" s="224"/>
      <c r="N42" s="99"/>
      <c r="O42" s="886" t="s">
        <v>146</v>
      </c>
      <c r="P42" s="886" t="s">
        <v>146</v>
      </c>
      <c r="Q42" s="886" t="s">
        <v>146</v>
      </c>
      <c r="R42" s="886" t="s">
        <v>146</v>
      </c>
      <c r="S42" s="886" t="s">
        <v>146</v>
      </c>
      <c r="T42" s="886" t="s">
        <v>146</v>
      </c>
      <c r="U42" s="886" t="s">
        <v>146</v>
      </c>
      <c r="V42" s="886" t="s">
        <v>146</v>
      </c>
      <c r="W42" s="886" t="s">
        <v>146</v>
      </c>
      <c r="X42" s="768"/>
      <c r="Y42" s="224"/>
      <c r="Z42" s="769"/>
      <c r="AA42" s="886" t="s">
        <v>146</v>
      </c>
      <c r="AB42" s="886" t="s">
        <v>146</v>
      </c>
      <c r="AC42" s="886" t="s">
        <v>146</v>
      </c>
      <c r="AD42" s="886" t="s">
        <v>146</v>
      </c>
      <c r="AE42" s="886" t="s">
        <v>146</v>
      </c>
      <c r="AF42" s="886" t="s">
        <v>146</v>
      </c>
      <c r="AG42" s="886" t="s">
        <v>146</v>
      </c>
      <c r="AH42" s="886" t="s">
        <v>146</v>
      </c>
      <c r="AI42" s="886" t="s">
        <v>146</v>
      </c>
      <c r="AJ42" s="768"/>
      <c r="AK42" s="224"/>
      <c r="AL42" s="770"/>
      <c r="AM42" s="886" t="s">
        <v>146</v>
      </c>
      <c r="AN42" s="886" t="s">
        <v>146</v>
      </c>
      <c r="AO42" s="886" t="s">
        <v>146</v>
      </c>
      <c r="AP42" s="886" t="s">
        <v>146</v>
      </c>
      <c r="AQ42" s="886" t="s">
        <v>146</v>
      </c>
      <c r="AR42" s="886" t="s">
        <v>146</v>
      </c>
      <c r="AS42" s="886" t="s">
        <v>146</v>
      </c>
      <c r="AT42" s="886" t="s">
        <v>146</v>
      </c>
      <c r="AU42" s="886" t="s">
        <v>146</v>
      </c>
      <c r="AV42" s="768"/>
      <c r="AW42" s="224"/>
      <c r="AX42" s="770"/>
      <c r="AY42" s="886" t="s">
        <v>146</v>
      </c>
      <c r="AZ42" s="886" t="s">
        <v>146</v>
      </c>
      <c r="BA42" s="886" t="s">
        <v>146</v>
      </c>
      <c r="BB42" s="886" t="s">
        <v>146</v>
      </c>
      <c r="BC42" s="886" t="s">
        <v>146</v>
      </c>
      <c r="BD42" s="886" t="s">
        <v>146</v>
      </c>
      <c r="BE42" s="886" t="s">
        <v>146</v>
      </c>
      <c r="BF42" s="886" t="s">
        <v>146</v>
      </c>
      <c r="BG42" s="886" t="s">
        <v>146</v>
      </c>
      <c r="BH42" s="262"/>
    </row>
    <row r="43" spans="1:60" ht="25.5" x14ac:dyDescent="0.2">
      <c r="A43" s="655"/>
      <c r="B43" s="492" t="s">
        <v>141</v>
      </c>
      <c r="C43" s="739" t="s">
        <v>127</v>
      </c>
      <c r="D43" s="751"/>
      <c r="E43" s="182" t="s">
        <v>147</v>
      </c>
      <c r="F43" s="182"/>
      <c r="G43" s="182"/>
      <c r="H43" s="183" t="s">
        <v>70</v>
      </c>
      <c r="I43" s="114"/>
      <c r="J43" s="224"/>
      <c r="K43" s="97"/>
      <c r="L43" s="97"/>
      <c r="M43" s="224"/>
      <c r="N43" s="99"/>
      <c r="O43" s="886" t="s">
        <v>148</v>
      </c>
      <c r="P43" s="886" t="s">
        <v>148</v>
      </c>
      <c r="Q43" s="886" t="s">
        <v>148</v>
      </c>
      <c r="R43" s="886" t="s">
        <v>148</v>
      </c>
      <c r="S43" s="886" t="s">
        <v>148</v>
      </c>
      <c r="T43" s="886" t="s">
        <v>148</v>
      </c>
      <c r="U43" s="886" t="s">
        <v>148</v>
      </c>
      <c r="V43" s="886" t="s">
        <v>148</v>
      </c>
      <c r="W43" s="886" t="s">
        <v>148</v>
      </c>
      <c r="X43" s="768"/>
      <c r="Y43" s="224"/>
      <c r="Z43" s="236"/>
      <c r="AA43" s="886" t="s">
        <v>148</v>
      </c>
      <c r="AB43" s="886" t="s">
        <v>148</v>
      </c>
      <c r="AC43" s="886" t="s">
        <v>148</v>
      </c>
      <c r="AD43" s="886" t="s">
        <v>148</v>
      </c>
      <c r="AE43" s="886" t="s">
        <v>148</v>
      </c>
      <c r="AF43" s="886" t="s">
        <v>148</v>
      </c>
      <c r="AG43" s="886" t="s">
        <v>148</v>
      </c>
      <c r="AH43" s="886" t="s">
        <v>148</v>
      </c>
      <c r="AI43" s="886" t="s">
        <v>148</v>
      </c>
      <c r="AJ43" s="768"/>
      <c r="AK43" s="224"/>
      <c r="AL43" s="770"/>
      <c r="AM43" s="886" t="s">
        <v>148</v>
      </c>
      <c r="AN43" s="886" t="s">
        <v>148</v>
      </c>
      <c r="AO43" s="886" t="s">
        <v>148</v>
      </c>
      <c r="AP43" s="886" t="s">
        <v>148</v>
      </c>
      <c r="AQ43" s="886" t="s">
        <v>148</v>
      </c>
      <c r="AR43" s="886" t="s">
        <v>148</v>
      </c>
      <c r="AS43" s="886" t="s">
        <v>148</v>
      </c>
      <c r="AT43" s="886" t="s">
        <v>148</v>
      </c>
      <c r="AU43" s="886" t="s">
        <v>148</v>
      </c>
      <c r="AV43" s="768"/>
      <c r="AW43" s="224"/>
      <c r="AX43" s="770"/>
      <c r="AY43" s="886" t="s">
        <v>148</v>
      </c>
      <c r="AZ43" s="886" t="s">
        <v>148</v>
      </c>
      <c r="BA43" s="886" t="s">
        <v>148</v>
      </c>
      <c r="BB43" s="886" t="s">
        <v>148</v>
      </c>
      <c r="BC43" s="886" t="s">
        <v>148</v>
      </c>
      <c r="BD43" s="886" t="s">
        <v>148</v>
      </c>
      <c r="BE43" s="886" t="s">
        <v>148</v>
      </c>
      <c r="BF43" s="886" t="s">
        <v>148</v>
      </c>
      <c r="BG43" s="886" t="s">
        <v>148</v>
      </c>
      <c r="BH43" s="262"/>
    </row>
    <row r="44" spans="1:60" x14ac:dyDescent="0.2">
      <c r="A44" s="655"/>
      <c r="B44" s="492" t="s">
        <v>141</v>
      </c>
      <c r="C44" s="739" t="s">
        <v>127</v>
      </c>
      <c r="D44" s="750" t="s">
        <v>50</v>
      </c>
      <c r="E44" s="182" t="s">
        <v>149</v>
      </c>
      <c r="F44" s="182"/>
      <c r="G44" s="182"/>
      <c r="H44" s="183" t="s">
        <v>150</v>
      </c>
      <c r="I44" s="210"/>
      <c r="J44" s="224"/>
      <c r="K44" s="90"/>
      <c r="L44" s="90"/>
      <c r="M44" s="224"/>
      <c r="N44" s="99"/>
      <c r="O44" s="887">
        <v>1</v>
      </c>
      <c r="P44" s="887">
        <v>1</v>
      </c>
      <c r="Q44" s="887">
        <v>1</v>
      </c>
      <c r="R44" s="887">
        <v>1</v>
      </c>
      <c r="S44" s="887">
        <v>1</v>
      </c>
      <c r="T44" s="887">
        <v>1</v>
      </c>
      <c r="U44" s="887">
        <v>1</v>
      </c>
      <c r="V44" s="887">
        <v>1</v>
      </c>
      <c r="W44" s="887">
        <v>1</v>
      </c>
      <c r="X44" s="767"/>
      <c r="Y44" s="224"/>
      <c r="Z44" s="236"/>
      <c r="AA44" s="887">
        <v>1</v>
      </c>
      <c r="AB44" s="887">
        <v>1</v>
      </c>
      <c r="AC44" s="887">
        <v>1</v>
      </c>
      <c r="AD44" s="887">
        <v>1</v>
      </c>
      <c r="AE44" s="887">
        <v>1</v>
      </c>
      <c r="AF44" s="887">
        <v>1</v>
      </c>
      <c r="AG44" s="887">
        <v>1</v>
      </c>
      <c r="AH44" s="887">
        <v>1</v>
      </c>
      <c r="AI44" s="887">
        <v>1</v>
      </c>
      <c r="AJ44" s="767"/>
      <c r="AK44" s="224"/>
      <c r="AL44" s="771"/>
      <c r="AM44" s="887">
        <v>1</v>
      </c>
      <c r="AN44" s="887">
        <v>1</v>
      </c>
      <c r="AO44" s="887">
        <v>1</v>
      </c>
      <c r="AP44" s="887">
        <v>1</v>
      </c>
      <c r="AQ44" s="887">
        <v>1</v>
      </c>
      <c r="AR44" s="887">
        <v>1</v>
      </c>
      <c r="AS44" s="887">
        <v>1</v>
      </c>
      <c r="AT44" s="887">
        <v>1</v>
      </c>
      <c r="AU44" s="887">
        <v>1</v>
      </c>
      <c r="AV44" s="767"/>
      <c r="AW44" s="224"/>
      <c r="AX44" s="771"/>
      <c r="AY44" s="887">
        <v>1</v>
      </c>
      <c r="AZ44" s="887">
        <v>1</v>
      </c>
      <c r="BA44" s="887">
        <v>1</v>
      </c>
      <c r="BB44" s="887">
        <v>1</v>
      </c>
      <c r="BC44" s="887">
        <v>1</v>
      </c>
      <c r="BD44" s="887">
        <v>1</v>
      </c>
      <c r="BE44" s="887">
        <v>1</v>
      </c>
      <c r="BF44" s="887">
        <v>1</v>
      </c>
      <c r="BG44" s="887">
        <v>1</v>
      </c>
      <c r="BH44" s="261"/>
    </row>
    <row r="45" spans="1:60" x14ac:dyDescent="0.2">
      <c r="A45" s="655"/>
      <c r="B45" s="492" t="s">
        <v>141</v>
      </c>
      <c r="C45" s="739" t="s">
        <v>127</v>
      </c>
      <c r="D45" s="750" t="s">
        <v>50</v>
      </c>
      <c r="E45" s="182" t="s">
        <v>151</v>
      </c>
      <c r="F45" s="182"/>
      <c r="G45" s="182"/>
      <c r="H45" s="183" t="s">
        <v>152</v>
      </c>
      <c r="I45" s="210"/>
      <c r="J45" s="282"/>
      <c r="K45" s="294"/>
      <c r="L45" s="294"/>
      <c r="M45" s="282"/>
      <c r="N45" s="99"/>
      <c r="O45" s="888"/>
      <c r="P45" s="888"/>
      <c r="Q45" s="888"/>
      <c r="R45" s="888"/>
      <c r="S45" s="888"/>
      <c r="T45" s="888"/>
      <c r="U45" s="888"/>
      <c r="V45" s="888"/>
      <c r="W45" s="888"/>
      <c r="X45" s="772"/>
      <c r="Y45" s="282"/>
      <c r="Z45" s="279"/>
      <c r="AA45" s="888"/>
      <c r="AB45" s="888"/>
      <c r="AC45" s="888"/>
      <c r="AD45" s="888"/>
      <c r="AE45" s="888"/>
      <c r="AF45" s="888"/>
      <c r="AG45" s="888"/>
      <c r="AH45" s="888"/>
      <c r="AI45" s="888"/>
      <c r="AJ45" s="772"/>
      <c r="AK45" s="282"/>
      <c r="AL45" s="773"/>
      <c r="AM45" s="888"/>
      <c r="AN45" s="888"/>
      <c r="AO45" s="888"/>
      <c r="AP45" s="888"/>
      <c r="AQ45" s="888"/>
      <c r="AR45" s="888"/>
      <c r="AS45" s="888"/>
      <c r="AT45" s="888"/>
      <c r="AU45" s="888"/>
      <c r="AV45" s="772"/>
      <c r="AW45" s="282"/>
      <c r="AX45" s="773"/>
      <c r="AY45" s="888"/>
      <c r="AZ45" s="888"/>
      <c r="BA45" s="888"/>
      <c r="BB45" s="888"/>
      <c r="BC45" s="888"/>
      <c r="BD45" s="888"/>
      <c r="BE45" s="888"/>
      <c r="BF45" s="888"/>
      <c r="BG45" s="888"/>
      <c r="BH45" s="261"/>
    </row>
    <row r="46" spans="1:60" x14ac:dyDescent="0.2">
      <c r="A46" s="655"/>
      <c r="B46" s="492" t="s">
        <v>141</v>
      </c>
      <c r="C46" s="739" t="s">
        <v>127</v>
      </c>
      <c r="D46" s="751"/>
      <c r="E46" s="182" t="s">
        <v>153</v>
      </c>
      <c r="F46" s="182"/>
      <c r="G46" s="182"/>
      <c r="H46" s="183" t="s">
        <v>70</v>
      </c>
      <c r="I46" s="114"/>
      <c r="J46" s="711"/>
      <c r="K46" s="97"/>
      <c r="L46" s="97"/>
      <c r="M46" s="224"/>
      <c r="N46" s="99"/>
      <c r="O46" s="886"/>
      <c r="P46" s="886"/>
      <c r="Q46" s="886"/>
      <c r="R46" s="886"/>
      <c r="S46" s="886"/>
      <c r="T46" s="886"/>
      <c r="U46" s="886"/>
      <c r="V46" s="886"/>
      <c r="W46" s="886"/>
      <c r="X46" s="768"/>
      <c r="Y46" s="224"/>
      <c r="Z46" s="236"/>
      <c r="AA46" s="886"/>
      <c r="AB46" s="886"/>
      <c r="AC46" s="886"/>
      <c r="AD46" s="886"/>
      <c r="AE46" s="886"/>
      <c r="AF46" s="886"/>
      <c r="AG46" s="886"/>
      <c r="AH46" s="886"/>
      <c r="AI46" s="886"/>
      <c r="AJ46" s="768"/>
      <c r="AK46" s="224"/>
      <c r="AL46" s="770"/>
      <c r="AM46" s="886"/>
      <c r="AN46" s="886"/>
      <c r="AO46" s="886"/>
      <c r="AP46" s="886"/>
      <c r="AQ46" s="886"/>
      <c r="AR46" s="886"/>
      <c r="AS46" s="886"/>
      <c r="AT46" s="886"/>
      <c r="AU46" s="886"/>
      <c r="AV46" s="768"/>
      <c r="AW46" s="224"/>
      <c r="AX46" s="770"/>
      <c r="AY46" s="886"/>
      <c r="AZ46" s="886"/>
      <c r="BA46" s="886"/>
      <c r="BB46" s="886"/>
      <c r="BC46" s="886"/>
      <c r="BD46" s="886"/>
      <c r="BE46" s="886"/>
      <c r="BF46" s="886"/>
      <c r="BG46" s="886"/>
      <c r="BH46" s="262"/>
    </row>
    <row r="47" spans="1:60" x14ac:dyDescent="0.2">
      <c r="A47" s="655"/>
      <c r="B47" s="492" t="s">
        <v>141</v>
      </c>
      <c r="C47" s="739" t="s">
        <v>127</v>
      </c>
      <c r="D47" s="751"/>
      <c r="E47" s="182" t="s">
        <v>155</v>
      </c>
      <c r="F47" s="182"/>
      <c r="G47" s="182"/>
      <c r="H47" s="183" t="s">
        <v>70</v>
      </c>
      <c r="I47" s="114"/>
      <c r="J47" s="711"/>
      <c r="K47" s="97"/>
      <c r="L47" s="97"/>
      <c r="M47" s="224"/>
      <c r="N47" s="99"/>
      <c r="O47" s="886" t="s">
        <v>156</v>
      </c>
      <c r="P47" s="886" t="s">
        <v>156</v>
      </c>
      <c r="Q47" s="886" t="s">
        <v>156</v>
      </c>
      <c r="R47" s="886" t="s">
        <v>156</v>
      </c>
      <c r="S47" s="886" t="s">
        <v>156</v>
      </c>
      <c r="T47" s="886" t="s">
        <v>156</v>
      </c>
      <c r="U47" s="886" t="s">
        <v>156</v>
      </c>
      <c r="V47" s="886" t="s">
        <v>156</v>
      </c>
      <c r="W47" s="886" t="s">
        <v>156</v>
      </c>
      <c r="X47" s="768"/>
      <c r="Y47" s="224"/>
      <c r="Z47" s="236"/>
      <c r="AA47" s="886" t="s">
        <v>156</v>
      </c>
      <c r="AB47" s="886" t="s">
        <v>156</v>
      </c>
      <c r="AC47" s="886" t="s">
        <v>156</v>
      </c>
      <c r="AD47" s="886" t="s">
        <v>156</v>
      </c>
      <c r="AE47" s="886" t="s">
        <v>156</v>
      </c>
      <c r="AF47" s="886" t="s">
        <v>156</v>
      </c>
      <c r="AG47" s="886" t="s">
        <v>156</v>
      </c>
      <c r="AH47" s="886" t="s">
        <v>156</v>
      </c>
      <c r="AI47" s="886" t="s">
        <v>156</v>
      </c>
      <c r="AJ47" s="768"/>
      <c r="AK47" s="224"/>
      <c r="AL47" s="770"/>
      <c r="AM47" s="886" t="s">
        <v>156</v>
      </c>
      <c r="AN47" s="886" t="s">
        <v>156</v>
      </c>
      <c r="AO47" s="886" t="s">
        <v>156</v>
      </c>
      <c r="AP47" s="886" t="s">
        <v>156</v>
      </c>
      <c r="AQ47" s="886" t="s">
        <v>156</v>
      </c>
      <c r="AR47" s="886" t="s">
        <v>156</v>
      </c>
      <c r="AS47" s="886" t="s">
        <v>156</v>
      </c>
      <c r="AT47" s="886" t="s">
        <v>156</v>
      </c>
      <c r="AU47" s="886" t="s">
        <v>156</v>
      </c>
      <c r="AV47" s="768"/>
      <c r="AW47" s="224"/>
      <c r="AX47" s="770"/>
      <c r="AY47" s="886" t="s">
        <v>156</v>
      </c>
      <c r="AZ47" s="886" t="s">
        <v>156</v>
      </c>
      <c r="BA47" s="886" t="s">
        <v>156</v>
      </c>
      <c r="BB47" s="886" t="s">
        <v>156</v>
      </c>
      <c r="BC47" s="886" t="s">
        <v>156</v>
      </c>
      <c r="BD47" s="886" t="s">
        <v>156</v>
      </c>
      <c r="BE47" s="886" t="s">
        <v>156</v>
      </c>
      <c r="BF47" s="886" t="s">
        <v>156</v>
      </c>
      <c r="BG47" s="886" t="s">
        <v>156</v>
      </c>
      <c r="BH47" s="262"/>
    </row>
    <row r="48" spans="1:60" x14ac:dyDescent="0.2">
      <c r="A48" s="655"/>
      <c r="B48" s="492" t="s">
        <v>141</v>
      </c>
      <c r="C48" s="739" t="s">
        <v>127</v>
      </c>
      <c r="D48" s="750" t="s">
        <v>50</v>
      </c>
      <c r="E48" s="182" t="s">
        <v>157</v>
      </c>
      <c r="F48" s="182"/>
      <c r="G48" s="182"/>
      <c r="H48" s="183" t="s">
        <v>150</v>
      </c>
      <c r="I48" s="210"/>
      <c r="J48" s="224"/>
      <c r="K48" s="90"/>
      <c r="L48" s="90"/>
      <c r="M48" s="224"/>
      <c r="N48" s="99"/>
      <c r="O48" s="887">
        <v>0</v>
      </c>
      <c r="P48" s="887">
        <v>0</v>
      </c>
      <c r="Q48" s="887">
        <v>0</v>
      </c>
      <c r="R48" s="887">
        <v>0</v>
      </c>
      <c r="S48" s="887">
        <v>0</v>
      </c>
      <c r="T48" s="887">
        <v>0</v>
      </c>
      <c r="U48" s="887">
        <v>0</v>
      </c>
      <c r="V48" s="887">
        <v>0</v>
      </c>
      <c r="W48" s="887">
        <v>0</v>
      </c>
      <c r="X48" s="767"/>
      <c r="Y48" s="224"/>
      <c r="Z48" s="236"/>
      <c r="AA48" s="887">
        <v>0</v>
      </c>
      <c r="AB48" s="887">
        <v>0</v>
      </c>
      <c r="AC48" s="887">
        <v>0</v>
      </c>
      <c r="AD48" s="887">
        <v>0</v>
      </c>
      <c r="AE48" s="887">
        <v>0</v>
      </c>
      <c r="AF48" s="887">
        <v>0</v>
      </c>
      <c r="AG48" s="887">
        <v>0</v>
      </c>
      <c r="AH48" s="887">
        <v>0</v>
      </c>
      <c r="AI48" s="887">
        <v>0</v>
      </c>
      <c r="AJ48" s="767"/>
      <c r="AK48" s="224"/>
      <c r="AL48" s="771"/>
      <c r="AM48" s="887">
        <v>0</v>
      </c>
      <c r="AN48" s="887">
        <v>0</v>
      </c>
      <c r="AO48" s="887">
        <v>0</v>
      </c>
      <c r="AP48" s="887">
        <v>0</v>
      </c>
      <c r="AQ48" s="887">
        <v>0</v>
      </c>
      <c r="AR48" s="887">
        <v>0</v>
      </c>
      <c r="AS48" s="887">
        <v>0</v>
      </c>
      <c r="AT48" s="887">
        <v>0</v>
      </c>
      <c r="AU48" s="887">
        <v>0</v>
      </c>
      <c r="AV48" s="767"/>
      <c r="AW48" s="224"/>
      <c r="AX48" s="771"/>
      <c r="AY48" s="887">
        <v>0</v>
      </c>
      <c r="AZ48" s="887">
        <v>0</v>
      </c>
      <c r="BA48" s="887">
        <v>0</v>
      </c>
      <c r="BB48" s="887">
        <v>0</v>
      </c>
      <c r="BC48" s="887">
        <v>0</v>
      </c>
      <c r="BD48" s="887">
        <v>0</v>
      </c>
      <c r="BE48" s="887">
        <v>0</v>
      </c>
      <c r="BF48" s="887">
        <v>0</v>
      </c>
      <c r="BG48" s="887">
        <v>0</v>
      </c>
      <c r="BH48" s="261"/>
    </row>
    <row r="49" spans="1:60" ht="18.75" x14ac:dyDescent="0.2">
      <c r="A49" s="653"/>
      <c r="B49" s="492" t="s">
        <v>158</v>
      </c>
      <c r="C49" s="739" t="s">
        <v>104</v>
      </c>
      <c r="D49" s="749"/>
      <c r="E49" s="708" t="s">
        <v>159</v>
      </c>
      <c r="F49" s="167"/>
      <c r="G49" s="167"/>
      <c r="H49" s="89"/>
      <c r="I49" s="169"/>
      <c r="J49" s="170"/>
      <c r="K49" s="142"/>
      <c r="L49" s="142"/>
      <c r="M49" s="186"/>
      <c r="N49" s="186"/>
      <c r="O49" s="186"/>
      <c r="P49" s="186"/>
      <c r="Q49" s="186"/>
      <c r="R49" s="186"/>
      <c r="S49" s="186"/>
      <c r="T49" s="186"/>
      <c r="U49" s="186"/>
      <c r="V49" s="186"/>
      <c r="W49" s="186"/>
      <c r="X49" s="173"/>
      <c r="Y49" s="172"/>
      <c r="Z49" s="172"/>
      <c r="AA49" s="172"/>
      <c r="AB49" s="172"/>
      <c r="AC49" s="172"/>
      <c r="AD49" s="172"/>
      <c r="AE49" s="172"/>
      <c r="AF49" s="172"/>
      <c r="AG49" s="172"/>
      <c r="AH49" s="172"/>
      <c r="AI49" s="172"/>
      <c r="AJ49" s="173"/>
      <c r="AK49" s="172"/>
      <c r="AL49" s="172"/>
      <c r="AM49" s="172"/>
      <c r="AN49" s="172"/>
      <c r="AO49" s="172"/>
      <c r="AP49" s="172"/>
      <c r="AQ49" s="172"/>
      <c r="AR49" s="172"/>
      <c r="AS49" s="172"/>
      <c r="AT49" s="172"/>
      <c r="AU49" s="172"/>
      <c r="AV49" s="173"/>
      <c r="AW49" s="172"/>
      <c r="AX49" s="172"/>
      <c r="AY49" s="172"/>
      <c r="AZ49" s="172"/>
      <c r="BA49" s="172"/>
      <c r="BB49" s="172"/>
      <c r="BC49" s="172"/>
      <c r="BD49" s="172"/>
      <c r="BE49" s="172"/>
      <c r="BF49" s="172"/>
      <c r="BG49" s="172"/>
      <c r="BH49" s="263"/>
    </row>
    <row r="50" spans="1:60" x14ac:dyDescent="0.2">
      <c r="A50" s="655"/>
      <c r="B50" s="492" t="s">
        <v>141</v>
      </c>
      <c r="C50" s="739" t="s">
        <v>127</v>
      </c>
      <c r="D50" s="751"/>
      <c r="E50" s="182" t="s">
        <v>160</v>
      </c>
      <c r="F50" s="182"/>
      <c r="G50" s="182"/>
      <c r="H50" s="183" t="s">
        <v>70</v>
      </c>
      <c r="I50" s="116"/>
      <c r="J50" s="774" t="str">
        <f>IF(COUNTIF(N50:X50,"nee")&gt;0,"nee: locatie 1",
IF(COUNTIF(Z50:AJ50,"nee")&gt;0,"nee: locatie 2",
IF(COUNTIF(AL50:AV50,"nee")&gt;0,"nee: locatie 3",
IF(COUNTIF(AX50:BH50,"nee")&gt;0,"nee: locatie 4",
"OK"))))</f>
        <v>OK</v>
      </c>
      <c r="K50" s="818"/>
      <c r="L50" s="818"/>
      <c r="M50" s="224"/>
      <c r="N50" s="775"/>
      <c r="O50" s="776" t="str">
        <f>IF(OR(O$19="",O$24=0),"",IF(OR(O$40="",O$42="",AND(O$42&lt;&gt;bibliotheek!$E$51,O$43=""),O$44="",AND(O$21&lt;&gt;woning,O$21&lt;&gt;woongebouw,O$45=""),AND(O$21&lt;&gt;woning,O$21&lt;&gt;woongebouw,O$46=""),AND(OR(O$21=woning,O$21=woongebouw),O$47=""),O$48=""),"nee","ja"))</f>
        <v/>
      </c>
      <c r="P50" s="776" t="str">
        <f>IF(OR(P$19="",P$24=0),"",IF(OR(P$40="",P$42="",AND(P$42&lt;&gt;bibliotheek!$E$51,P$43=""),P$44="",AND(P$21&lt;&gt;woning,P$21&lt;&gt;woongebouw,P$45=""),AND(P$21&lt;&gt;woning,P$21&lt;&gt;woongebouw,P$46=""),AND(OR(P$21=woning,P$21=woongebouw),P$47=""),P$48=""),"nee","ja"))</f>
        <v/>
      </c>
      <c r="Q50" s="776" t="str">
        <f>IF(OR(Q$19="",Q$24=0),"",IF(OR(Q$40="",Q$42="",AND(Q$42&lt;&gt;bibliotheek!$E$51,Q$43=""),Q$44="",AND(Q$21&lt;&gt;woning,Q$21&lt;&gt;woongebouw,Q$45=""),AND(Q$21&lt;&gt;woning,Q$21&lt;&gt;woongebouw,Q$46=""),AND(OR(Q$21=woning,Q$21=woongebouw),Q$47=""),Q$48=""),"nee","ja"))</f>
        <v/>
      </c>
      <c r="R50" s="776" t="str">
        <f>IF(OR(R$19="",R$24=0),"",IF(OR(R$40="",R$42="",AND(R$42&lt;&gt;bibliotheek!$E$51,R$43=""),R$44="",AND(R$21&lt;&gt;woning,R$21&lt;&gt;woongebouw,R$45=""),AND(R$21&lt;&gt;woning,R$21&lt;&gt;woongebouw,R$46=""),AND(OR(R$21=woning,R$21=woongebouw),R$47=""),R$48=""),"nee","ja"))</f>
        <v/>
      </c>
      <c r="S50" s="776" t="str">
        <f>IF(OR(S$19="",S$24=0),"",IF(OR(S$40="",S$42="",AND(S$42&lt;&gt;bibliotheek!$E$51,S$43=""),S$44="",AND(S$21&lt;&gt;woning,S$21&lt;&gt;woongebouw,S$45=""),AND(S$21&lt;&gt;woning,S$21&lt;&gt;woongebouw,S$46=""),AND(OR(S$21=woning,S$21=woongebouw),S$47=""),S$48=""),"nee","ja"))</f>
        <v/>
      </c>
      <c r="T50" s="776" t="str">
        <f>IF(OR(T$19="",T$24=0),"",IF(OR(T$40="",T$42="",AND(T$42&lt;&gt;bibliotheek!$E$51,T$43=""),T$44="",AND(T$21&lt;&gt;woning,T$21&lt;&gt;woongebouw,T$45=""),AND(T$21&lt;&gt;woning,T$21&lt;&gt;woongebouw,T$46=""),AND(OR(T$21=woning,T$21=woongebouw),T$47=""),T$48=""),"nee","ja"))</f>
        <v/>
      </c>
      <c r="U50" s="776" t="str">
        <f>IF(OR(U$19="",U$24=0),"",IF(OR(U$40="",U$42="",AND(U$42&lt;&gt;bibliotheek!$E$51,U$43=""),U$44="",AND(U$21&lt;&gt;woning,U$21&lt;&gt;woongebouw,U$45=""),AND(U$21&lt;&gt;woning,U$21&lt;&gt;woongebouw,U$46=""),AND(OR(U$21=woning,U$21=woongebouw),U$47=""),U$48=""),"nee","ja"))</f>
        <v/>
      </c>
      <c r="V50" s="776" t="str">
        <f>IF(OR(V$19="",V$24=0),"",IF(OR(V$40="",V$42="",AND(V$42&lt;&gt;bibliotheek!$E$51,V$43=""),V$44="",AND(V$21&lt;&gt;woning,V$21&lt;&gt;woongebouw,V$45=""),AND(V$21&lt;&gt;woning,V$21&lt;&gt;woongebouw,V$46=""),AND(OR(V$21=woning,V$21=woongebouw),V$47=""),V$48=""),"nee","ja"))</f>
        <v/>
      </c>
      <c r="W50" s="776" t="str">
        <f>IF(OR(W$19="",W$24=0),"",IF(OR(W$40="",W$42="",AND(W$42&lt;&gt;bibliotheek!$E$51,W$43=""),W$44="",AND(W$21&lt;&gt;woning,W$21&lt;&gt;woongebouw,W$45=""),AND(W$21&lt;&gt;woning,W$21&lt;&gt;woongebouw,W$46=""),AND(OR(W$21=woning,W$21=woongebouw),W$47=""),W$48=""),"nee","ja"))</f>
        <v/>
      </c>
      <c r="X50" s="777"/>
      <c r="Y50" s="224"/>
      <c r="Z50" s="236"/>
      <c r="AA50" s="776" t="str">
        <f>IF(OR(AA$19="",AA$24=0),"",IF(OR(AA$40="",AA$42="",AND(AA$42&lt;&gt;bibliotheek!$E$51,AA$43=""),AA$44="",AND(AA$21&lt;&gt;woning,AA$21&lt;&gt;woongebouw,AA$45=""),AND(AA$21&lt;&gt;woning,AA$21&lt;&gt;woongebouw,AA$46=""),AND(OR(AA$21=woning,AA$21=woongebouw),AA$47=""),AA$48=""),"nee","ja"))</f>
        <v/>
      </c>
      <c r="AB50" s="776" t="str">
        <f>IF(OR(AB$19="",AB$24=0),"",IF(OR(AB$40="",AB$42="",AND(AB$42&lt;&gt;bibliotheek!$E$51,AB$43=""),AB$44="",AND(AB$21&lt;&gt;woning,AB$21&lt;&gt;woongebouw,AB$45=""),AND(AB$21&lt;&gt;woning,AB$21&lt;&gt;woongebouw,AB$46=""),AND(OR(AB$21=woning,AB$21=woongebouw),AB$47=""),AB$48=""),"nee","ja"))</f>
        <v/>
      </c>
      <c r="AC50" s="776" t="str">
        <f>IF(OR(AC$19="",AC$24=0),"",IF(OR(AC$40="",AC$42="",AND(AC$42&lt;&gt;bibliotheek!$E$51,AC$43=""),AC$44="",AND(AC$21&lt;&gt;woning,AC$21&lt;&gt;woongebouw,AC$45=""),AND(AC$21&lt;&gt;woning,AC$21&lt;&gt;woongebouw,AC$46=""),AND(OR(AC$21=woning,AC$21=woongebouw),AC$47=""),AC$48=""),"nee","ja"))</f>
        <v/>
      </c>
      <c r="AD50" s="776" t="str">
        <f>IF(OR(AD$19="",AD$24=0),"",IF(OR(AD$40="",AD$42="",AND(AD$42&lt;&gt;bibliotheek!$E$51,AD$43=""),AD$44="",AND(AD$21&lt;&gt;woning,AD$21&lt;&gt;woongebouw,AD$45=""),AND(AD$21&lt;&gt;woning,AD$21&lt;&gt;woongebouw,AD$46=""),AND(OR(AD$21=woning,AD$21=woongebouw),AD$47=""),AD$48=""),"nee","ja"))</f>
        <v/>
      </c>
      <c r="AE50" s="776" t="str">
        <f>IF(OR(AE$19="",AE$24=0),"",IF(OR(AE$40="",AE$42="",AND(AE$42&lt;&gt;bibliotheek!$E$51,AE$43=""),AE$44="",AND(AE$21&lt;&gt;woning,AE$21&lt;&gt;woongebouw,AE$45=""),AND(AE$21&lt;&gt;woning,AE$21&lt;&gt;woongebouw,AE$46=""),AND(OR(AE$21=woning,AE$21=woongebouw),AE$47=""),AE$48=""),"nee","ja"))</f>
        <v/>
      </c>
      <c r="AF50" s="776" t="str">
        <f>IF(OR(AF$19="",AF$24=0),"",IF(OR(AF$40="",AF$42="",AND(AF$42&lt;&gt;bibliotheek!$E$51,AF$43=""),AF$44="",AND(AF$21&lt;&gt;woning,AF$21&lt;&gt;woongebouw,AF$45=""),AND(AF$21&lt;&gt;woning,AF$21&lt;&gt;woongebouw,AF$46=""),AND(OR(AF$21=woning,AF$21=woongebouw),AF$47=""),AF$48=""),"nee","ja"))</f>
        <v/>
      </c>
      <c r="AG50" s="776" t="str">
        <f>IF(OR(AG$19="",AG$24=0),"",IF(OR(AG$40="",AG$42="",AND(AG$42&lt;&gt;bibliotheek!$E$51,AG$43=""),AG$44="",AND(AG$21&lt;&gt;woning,AG$21&lt;&gt;woongebouw,AG$45=""),AND(AG$21&lt;&gt;woning,AG$21&lt;&gt;woongebouw,AG$46=""),AND(OR(AG$21=woning,AG$21=woongebouw),AG$47=""),AG$48=""),"nee","ja"))</f>
        <v/>
      </c>
      <c r="AH50" s="776" t="str">
        <f>IF(OR(AH$19="",AH$24=0),"",IF(OR(AH$40="",AH$42="",AND(AH$42&lt;&gt;bibliotheek!$E$51,AH$43=""),AH$44="",AND(AH$21&lt;&gt;woning,AH$21&lt;&gt;woongebouw,AH$45=""),AND(AH$21&lt;&gt;woning,AH$21&lt;&gt;woongebouw,AH$46=""),AND(OR(AH$21=woning,AH$21=woongebouw),AH$47=""),AH$48=""),"nee","ja"))</f>
        <v/>
      </c>
      <c r="AI50" s="776" t="str">
        <f>IF(OR(AI$19="",AI$24=0),"",IF(OR(AI$40="",AI$42="",AND(AI$42&lt;&gt;bibliotheek!$E$51,AI$43=""),AI$44="",AND(AI$21&lt;&gt;woning,AI$21&lt;&gt;woongebouw,AI$45=""),AND(AI$21&lt;&gt;woning,AI$21&lt;&gt;woongebouw,AI$46=""),AND(OR(AI$21=woning,AI$21=woongebouw),AI$47=""),AI$48=""),"nee","ja"))</f>
        <v/>
      </c>
      <c r="AJ50" s="777"/>
      <c r="AK50" s="224"/>
      <c r="AL50" s="778"/>
      <c r="AM50" s="776" t="str">
        <f>IF(OR(AM$19="",AM$24=0),"",IF(OR(AM$40="",AM$42="",AND(AM$42&lt;&gt;bibliotheek!$E$51,AM$43=""),AM$44="",AND(AM$21&lt;&gt;woning,AM$21&lt;&gt;woongebouw,AM$45=""),AND(AM$21&lt;&gt;woning,AM$21&lt;&gt;woongebouw,AM$46=""),AND(OR(AM$21=woning,AM$21=woongebouw),AM$47=""),AM$48=""),"nee","ja"))</f>
        <v/>
      </c>
      <c r="AN50" s="776" t="str">
        <f>IF(OR(AN$19="",AN$24=0),"",IF(OR(AN$40="",AN$42="",AND(AN$42&lt;&gt;bibliotheek!$E$51,AN$43=""),AN$44="",AND(AN$21&lt;&gt;woning,AN$21&lt;&gt;woongebouw,AN$45=""),AND(AN$21&lt;&gt;woning,AN$21&lt;&gt;woongebouw,AN$46=""),AND(OR(AN$21=woning,AN$21=woongebouw),AN$47=""),AN$48=""),"nee","ja"))</f>
        <v/>
      </c>
      <c r="AO50" s="776" t="str">
        <f>IF(OR(AO$19="",AO$24=0),"",IF(OR(AO$40="",AO$42="",AND(AO$42&lt;&gt;bibliotheek!$E$51,AO$43=""),AO$44="",AND(AO$21&lt;&gt;woning,AO$21&lt;&gt;woongebouw,AO$45=""),AND(AO$21&lt;&gt;woning,AO$21&lt;&gt;woongebouw,AO$46=""),AND(OR(AO$21=woning,AO$21=woongebouw),AO$47=""),AO$48=""),"nee","ja"))</f>
        <v/>
      </c>
      <c r="AP50" s="776" t="str">
        <f>IF(OR(AP$19="",AP$24=0),"",IF(OR(AP$40="",AP$42="",AND(AP$42&lt;&gt;bibliotheek!$E$51,AP$43=""),AP$44="",AND(AP$21&lt;&gt;woning,AP$21&lt;&gt;woongebouw,AP$45=""),AND(AP$21&lt;&gt;woning,AP$21&lt;&gt;woongebouw,AP$46=""),AND(OR(AP$21=woning,AP$21=woongebouw),AP$47=""),AP$48=""),"nee","ja"))</f>
        <v/>
      </c>
      <c r="AQ50" s="776" t="str">
        <f>IF(OR(AQ$19="",AQ$24=0),"",IF(OR(AQ$40="",AQ$42="",AND(AQ$42&lt;&gt;bibliotheek!$E$51,AQ$43=""),AQ$44="",AND(AQ$21&lt;&gt;woning,AQ$21&lt;&gt;woongebouw,AQ$45=""),AND(AQ$21&lt;&gt;woning,AQ$21&lt;&gt;woongebouw,AQ$46=""),AND(OR(AQ$21=woning,AQ$21=woongebouw),AQ$47=""),AQ$48=""),"nee","ja"))</f>
        <v/>
      </c>
      <c r="AR50" s="776" t="str">
        <f>IF(OR(AR$19="",AR$24=0),"",IF(OR(AR$40="",AR$42="",AND(AR$42&lt;&gt;bibliotheek!$E$51,AR$43=""),AR$44="",AND(AR$21&lt;&gt;woning,AR$21&lt;&gt;woongebouw,AR$45=""),AND(AR$21&lt;&gt;woning,AR$21&lt;&gt;woongebouw,AR$46=""),AND(OR(AR$21=woning,AR$21=woongebouw),AR$47=""),AR$48=""),"nee","ja"))</f>
        <v/>
      </c>
      <c r="AS50" s="776" t="str">
        <f>IF(OR(AS$19="",AS$24=0),"",IF(OR(AS$40="",AS$42="",AND(AS$42&lt;&gt;bibliotheek!$E$51,AS$43=""),AS$44="",AND(AS$21&lt;&gt;woning,AS$21&lt;&gt;woongebouw,AS$45=""),AND(AS$21&lt;&gt;woning,AS$21&lt;&gt;woongebouw,AS$46=""),AND(OR(AS$21=woning,AS$21=woongebouw),AS$47=""),AS$48=""),"nee","ja"))</f>
        <v/>
      </c>
      <c r="AT50" s="776" t="str">
        <f>IF(OR(AT$19="",AT$24=0),"",IF(OR(AT$40="",AT$42="",AND(AT$42&lt;&gt;bibliotheek!$E$51,AT$43=""),AT$44="",AND(AT$21&lt;&gt;woning,AT$21&lt;&gt;woongebouw,AT$45=""),AND(AT$21&lt;&gt;woning,AT$21&lt;&gt;woongebouw,AT$46=""),AND(OR(AT$21=woning,AT$21=woongebouw),AT$47=""),AT$48=""),"nee","ja"))</f>
        <v/>
      </c>
      <c r="AU50" s="776" t="str">
        <f>IF(OR(AU$19="",AU$24=0),"",IF(OR(AU$40="",AU$42="",AND(AU$42&lt;&gt;bibliotheek!$E$51,AU$43=""),AU$44="",AND(AU$21&lt;&gt;woning,AU$21&lt;&gt;woongebouw,AU$45=""),AND(AU$21&lt;&gt;woning,AU$21&lt;&gt;woongebouw,AU$46=""),AND(OR(AU$21=woning,AU$21=woongebouw),AU$47=""),AU$48=""),"nee","ja"))</f>
        <v/>
      </c>
      <c r="AV50" s="777"/>
      <c r="AW50" s="224"/>
      <c r="AX50" s="778"/>
      <c r="AY50" s="776" t="str">
        <f>IF(OR(AY$19="",AY$24=0),"",IF(OR(AY$40="",AY$42="",AND(AY$42&lt;&gt;bibliotheek!$E$51,AY$43=""),AY$44="",AND(AY$21&lt;&gt;woning,AY$21&lt;&gt;woongebouw,AY$45=""),AND(AY$21&lt;&gt;woning,AY$21&lt;&gt;woongebouw,AY$46=""),AND(OR(AY$21=woning,AY$21=woongebouw),AY$47=""),AY$48=""),"nee","ja"))</f>
        <v/>
      </c>
      <c r="AZ50" s="776" t="str">
        <f>IF(OR(AZ$19="",AZ$24=0),"",IF(OR(AZ$40="",AZ$42="",AND(AZ$42&lt;&gt;bibliotheek!$E$51,AZ$43=""),AZ$44="",AND(AZ$21&lt;&gt;woning,AZ$21&lt;&gt;woongebouw,AZ$45=""),AND(AZ$21&lt;&gt;woning,AZ$21&lt;&gt;woongebouw,AZ$46=""),AND(OR(AZ$21=woning,AZ$21=woongebouw),AZ$47=""),AZ$48=""),"nee","ja"))</f>
        <v/>
      </c>
      <c r="BA50" s="776" t="str">
        <f>IF(OR(BA$19="",BA$24=0),"",IF(OR(BA$40="",BA$42="",AND(BA$42&lt;&gt;bibliotheek!$E$51,BA$43=""),BA$44="",AND(BA$21&lt;&gt;woning,BA$21&lt;&gt;woongebouw,BA$45=""),AND(BA$21&lt;&gt;woning,BA$21&lt;&gt;woongebouw,BA$46=""),AND(OR(BA$21=woning,BA$21=woongebouw),BA$47=""),BA$48=""),"nee","ja"))</f>
        <v/>
      </c>
      <c r="BB50" s="776" t="str">
        <f>IF(OR(BB$19="",BB$24=0),"",IF(OR(BB$40="",BB$42="",AND(BB$42&lt;&gt;bibliotheek!$E$51,BB$43=""),BB$44="",AND(BB$21&lt;&gt;woning,BB$21&lt;&gt;woongebouw,BB$45=""),AND(BB$21&lt;&gt;woning,BB$21&lt;&gt;woongebouw,BB$46=""),AND(OR(BB$21=woning,BB$21=woongebouw),BB$47=""),BB$48=""),"nee","ja"))</f>
        <v/>
      </c>
      <c r="BC50" s="776" t="str">
        <f>IF(OR(BC$19="",BC$24=0),"",IF(OR(BC$40="",BC$42="",AND(BC$42&lt;&gt;bibliotheek!$E$51,BC$43=""),BC$44="",AND(BC$21&lt;&gt;woning,BC$21&lt;&gt;woongebouw,BC$45=""),AND(BC$21&lt;&gt;woning,BC$21&lt;&gt;woongebouw,BC$46=""),AND(OR(BC$21=woning,BC$21=woongebouw),BC$47=""),BC$48=""),"nee","ja"))</f>
        <v/>
      </c>
      <c r="BD50" s="776" t="str">
        <f>IF(OR(BD$19="",BD$24=0),"",IF(OR(BD$40="",BD$42="",AND(BD$42&lt;&gt;bibliotheek!$E$51,BD$43=""),BD$44="",AND(BD$21&lt;&gt;woning,BD$21&lt;&gt;woongebouw,BD$45=""),AND(BD$21&lt;&gt;woning,BD$21&lt;&gt;woongebouw,BD$46=""),AND(OR(BD$21=woning,BD$21=woongebouw),BD$47=""),BD$48=""),"nee","ja"))</f>
        <v/>
      </c>
      <c r="BE50" s="776" t="str">
        <f>IF(OR(BE$19="",BE$24=0),"",IF(OR(BE$40="",BE$42="",AND(BE$42&lt;&gt;bibliotheek!$E$51,BE$43=""),BE$44="",AND(BE$21&lt;&gt;woning,BE$21&lt;&gt;woongebouw,BE$45=""),AND(BE$21&lt;&gt;woning,BE$21&lt;&gt;woongebouw,BE$46=""),AND(OR(BE$21=woning,BE$21=woongebouw),BE$47=""),BE$48=""),"nee","ja"))</f>
        <v/>
      </c>
      <c r="BF50" s="776" t="str">
        <f>IF(OR(BF$19="",BF$24=0),"",IF(OR(BF$40="",BF$42="",AND(BF$42&lt;&gt;bibliotheek!$E$51,BF$43=""),BF$44="",AND(BF$21&lt;&gt;woning,BF$21&lt;&gt;woongebouw,BF$45=""),AND(BF$21&lt;&gt;woning,BF$21&lt;&gt;woongebouw,BF$46=""),AND(OR(BF$21=woning,BF$21=woongebouw),BF$47=""),BF$48=""),"nee","ja"))</f>
        <v/>
      </c>
      <c r="BG50" s="776" t="str">
        <f>IF(OR(BG$19="",BG$24=0),"",IF(OR(BG$40="",BG$42="",AND(BG$42&lt;&gt;bibliotheek!$E$51,BG$43=""),BG$44="",AND(BG$21&lt;&gt;woning,BG$21&lt;&gt;woongebouw,BG$45=""),AND(BG$21&lt;&gt;woning,BG$21&lt;&gt;woongebouw,BG$46=""),AND(OR(BG$21=woning,BG$21=woongebouw),BG$47=""),BG$48=""),"nee","ja"))</f>
        <v/>
      </c>
      <c r="BH50" s="261"/>
    </row>
    <row r="51" spans="1:60" ht="18.75" x14ac:dyDescent="0.2">
      <c r="A51" s="653"/>
      <c r="B51" s="492" t="s">
        <v>158</v>
      </c>
      <c r="C51" s="739" t="s">
        <v>104</v>
      </c>
      <c r="D51" s="749"/>
      <c r="E51" s="708" t="s">
        <v>161</v>
      </c>
      <c r="F51" s="167"/>
      <c r="G51" s="167"/>
      <c r="H51" s="89"/>
      <c r="I51" s="169"/>
      <c r="J51" s="170"/>
      <c r="K51" s="142"/>
      <c r="L51" s="142"/>
      <c r="M51" s="186"/>
      <c r="N51" s="186"/>
      <c r="O51" s="186"/>
      <c r="P51" s="186"/>
      <c r="Q51" s="186"/>
      <c r="R51" s="186"/>
      <c r="S51" s="186"/>
      <c r="T51" s="186"/>
      <c r="U51" s="186"/>
      <c r="V51" s="186"/>
      <c r="W51" s="186"/>
      <c r="X51" s="186"/>
      <c r="Y51" s="172"/>
      <c r="Z51" s="172"/>
      <c r="AA51" s="172"/>
      <c r="AB51" s="172"/>
      <c r="AC51" s="172"/>
      <c r="AD51" s="172"/>
      <c r="AE51" s="172"/>
      <c r="AF51" s="172"/>
      <c r="AG51" s="172"/>
      <c r="AH51" s="172"/>
      <c r="AI51" s="172"/>
      <c r="AJ51" s="173"/>
      <c r="AK51" s="172"/>
      <c r="AL51" s="172"/>
      <c r="AM51" s="172"/>
      <c r="AN51" s="172"/>
      <c r="AO51" s="172"/>
      <c r="AP51" s="172"/>
      <c r="AQ51" s="172"/>
      <c r="AR51" s="172"/>
      <c r="AS51" s="172"/>
      <c r="AT51" s="172"/>
      <c r="AU51" s="172"/>
      <c r="AV51" s="173"/>
      <c r="AW51" s="172"/>
      <c r="AX51" s="172"/>
      <c r="AY51" s="172"/>
      <c r="AZ51" s="172"/>
      <c r="BA51" s="172"/>
      <c r="BB51" s="172"/>
      <c r="BC51" s="172"/>
      <c r="BD51" s="172"/>
      <c r="BE51" s="172"/>
      <c r="BF51" s="172"/>
      <c r="BG51" s="172"/>
      <c r="BH51" s="263"/>
    </row>
    <row r="52" spans="1:60" x14ac:dyDescent="0.2">
      <c r="A52" s="655"/>
      <c r="B52" s="492" t="s">
        <v>141</v>
      </c>
      <c r="C52" s="739" t="s">
        <v>127</v>
      </c>
      <c r="D52" s="751"/>
      <c r="E52" s="182" t="s">
        <v>162</v>
      </c>
      <c r="F52" s="182"/>
      <c r="G52" s="182"/>
      <c r="H52" s="183" t="s">
        <v>163</v>
      </c>
      <c r="I52" s="116"/>
      <c r="J52" s="224"/>
      <c r="K52" s="819"/>
      <c r="L52" s="819"/>
      <c r="M52" s="224"/>
      <c r="N52" s="99"/>
      <c r="O52" s="1052" t="str">
        <f ca="1">IF(OR(O$19="",O$40=""),"",
SUMPRODUCT(
OFFSET(bibliotheek!$H$19,0,MATCH(O$19,woningen_gebouwen_namen,0)-1,ROWS(bibliotheek!$I$19:$I$24),1),
OFFSET(bibliotheek!$H$40,0,MATCH(O$40,isolatiepakketten_gebouwschil_namen,0)-1,ROWS(bibliotheek!$I$19:$I$24),1)) /
HLOOKUP(O$19,woningen_gebouwen_gegevens,ROWS(bibliotheek!$E$13:$E$25),FALSE))</f>
        <v/>
      </c>
      <c r="P52" s="1052" t="str">
        <f ca="1">IF(OR(P$19="",P$40=""),"",
SUMPRODUCT(
OFFSET(bibliotheek!$H$19,0,MATCH(P$19,woningen_gebouwen_namen,0)-1,ROWS(bibliotheek!$I$19:$I$24),1),
OFFSET(bibliotheek!$H$40,0,MATCH(P$40,isolatiepakketten_gebouwschil_namen,0)-1,ROWS(bibliotheek!$I$19:$I$24),1)) /
HLOOKUP(P$19,woningen_gebouwen_gegevens,ROWS(bibliotheek!$E$13:$E$25),FALSE))</f>
        <v/>
      </c>
      <c r="Q52" s="1052" t="str">
        <f ca="1">IF(OR(Q$19="",Q$40=""),"",
SUMPRODUCT(
OFFSET(bibliotheek!$H$19,0,MATCH(Q$19,woningen_gebouwen_namen,0)-1,ROWS(bibliotheek!$I$19:$I$24),1),
OFFSET(bibliotheek!$H$40,0,MATCH(Q$40,isolatiepakketten_gebouwschil_namen,0)-1,ROWS(bibliotheek!$I$19:$I$24),1)) /
HLOOKUP(Q$19,woningen_gebouwen_gegevens,ROWS(bibliotheek!$E$13:$E$25),FALSE))</f>
        <v/>
      </c>
      <c r="R52" s="1052" t="str">
        <f ca="1">IF(OR(R$19="",R$40=""),"",
SUMPRODUCT(
OFFSET(bibliotheek!$H$19,0,MATCH(R$19,woningen_gebouwen_namen,0)-1,ROWS(bibliotheek!$I$19:$I$24),1),
OFFSET(bibliotheek!$H$40,0,MATCH(R$40,isolatiepakketten_gebouwschil_namen,0)-1,ROWS(bibliotheek!$I$19:$I$24),1)) /
HLOOKUP(R$19,woningen_gebouwen_gegevens,ROWS(bibliotheek!$E$13:$E$25),FALSE))</f>
        <v/>
      </c>
      <c r="S52" s="1052" t="str">
        <f ca="1">IF(OR(S$19="",S$40=""),"",
SUMPRODUCT(
OFFSET(bibliotheek!$H$19,0,MATCH(S$19,woningen_gebouwen_namen,0)-1,ROWS(bibliotheek!$I$19:$I$24),1),
OFFSET(bibliotheek!$H$40,0,MATCH(S$40,isolatiepakketten_gebouwschil_namen,0)-1,ROWS(bibliotheek!$I$19:$I$24),1)) /
HLOOKUP(S$19,woningen_gebouwen_gegevens,ROWS(bibliotheek!$E$13:$E$25),FALSE))</f>
        <v/>
      </c>
      <c r="T52" s="1052" t="str">
        <f ca="1">IF(OR(T$19="",T$40=""),"",
SUMPRODUCT(
OFFSET(bibliotheek!$H$19,0,MATCH(T$19,woningen_gebouwen_namen,0)-1,ROWS(bibliotheek!$I$19:$I$24),1),
OFFSET(bibliotheek!$H$40,0,MATCH(T$40,isolatiepakketten_gebouwschil_namen,0)-1,ROWS(bibliotheek!$I$19:$I$24),1)) /
HLOOKUP(T$19,woningen_gebouwen_gegevens,ROWS(bibliotheek!$E$13:$E$25),FALSE))</f>
        <v/>
      </c>
      <c r="U52" s="1052" t="str">
        <f ca="1">IF(OR(U$19="",U$40=""),"",
SUMPRODUCT(
OFFSET(bibliotheek!$H$19,0,MATCH(U$19,woningen_gebouwen_namen,0)-1,ROWS(bibliotheek!$I$19:$I$24),1),
OFFSET(bibliotheek!$H$40,0,MATCH(U$40,isolatiepakketten_gebouwschil_namen,0)-1,ROWS(bibliotheek!$I$19:$I$24),1)) /
HLOOKUP(U$19,woningen_gebouwen_gegevens,ROWS(bibliotheek!$E$13:$E$25),FALSE))</f>
        <v/>
      </c>
      <c r="V52" s="1052" t="str">
        <f ca="1">IF(OR(V$19="",V$40=""),"",
SUMPRODUCT(
OFFSET(bibliotheek!$H$19,0,MATCH(V$19,woningen_gebouwen_namen,0)-1,ROWS(bibliotheek!$I$19:$I$24),1),
OFFSET(bibliotheek!$H$40,0,MATCH(V$40,isolatiepakketten_gebouwschil_namen,0)-1,ROWS(bibliotheek!$I$19:$I$24),1)) /
HLOOKUP(V$19,woningen_gebouwen_gegevens,ROWS(bibliotheek!$E$13:$E$25),FALSE))</f>
        <v/>
      </c>
      <c r="W52" s="1052" t="str">
        <f ca="1">IF(OR(W$19="",W$40=""),"",
SUMPRODUCT(
OFFSET(bibliotheek!$H$19,0,MATCH(W$19,woningen_gebouwen_namen,0)-1,ROWS(bibliotheek!$I$19:$I$24),1),
OFFSET(bibliotheek!$H$40,0,MATCH(W$40,isolatiepakketten_gebouwschil_namen,0)-1,ROWS(bibliotheek!$I$19:$I$24),1)) /
HLOOKUP(W$19,woningen_gebouwen_gegevens,ROWS(bibliotheek!$E$13:$E$25),FALSE))</f>
        <v/>
      </c>
      <c r="X52" s="211"/>
      <c r="Y52" s="224"/>
      <c r="Z52" s="236"/>
      <c r="AA52" s="237" t="str">
        <f ca="1">IF(OR(AA$19="",AA$40=""),"",
SUMPRODUCT(
OFFSET(bibliotheek!$H$19,0,MATCH(AA$19,woningen_gebouwen_namen,0)-1,ROWS(bibliotheek!$I$19:$I$24),1),
OFFSET(bibliotheek!$H$40,0,MATCH(AA$40,isolatiepakketten_gebouwschil_namen,0)-1,ROWS(bibliotheek!$I$19:$I$24),1)) /
HLOOKUP(AA$19,woningen_gebouwen_gegevens,ROWS(bibliotheek!$E$13:$E$25),FALSE))</f>
        <v/>
      </c>
      <c r="AB52" s="237" t="str">
        <f ca="1">IF(OR(AB$19="",AB$40=""),"",
SUMPRODUCT(
OFFSET(bibliotheek!$H$19,0,MATCH(AB$19,woningen_gebouwen_namen,0)-1,ROWS(bibliotheek!$I$19:$I$24),1),
OFFSET(bibliotheek!$H$40,0,MATCH(AB$40,isolatiepakketten_gebouwschil_namen,0)-1,ROWS(bibliotheek!$I$19:$I$24),1)) /
HLOOKUP(AB$19,woningen_gebouwen_gegevens,ROWS(bibliotheek!$E$13:$E$25),FALSE))</f>
        <v/>
      </c>
      <c r="AC52" s="237" t="str">
        <f ca="1">IF(OR(AC$19="",AC$40=""),"",
SUMPRODUCT(
OFFSET(bibliotheek!$H$19,0,MATCH(AC$19,woningen_gebouwen_namen,0)-1,ROWS(bibliotheek!$I$19:$I$24),1),
OFFSET(bibliotheek!$H$40,0,MATCH(AC$40,isolatiepakketten_gebouwschil_namen,0)-1,ROWS(bibliotheek!$I$19:$I$24),1)) /
HLOOKUP(AC$19,woningen_gebouwen_gegevens,ROWS(bibliotheek!$E$13:$E$25),FALSE))</f>
        <v/>
      </c>
      <c r="AD52" s="237" t="str">
        <f ca="1">IF(OR(AD$19="",AD$40=""),"",
SUMPRODUCT(
OFFSET(bibliotheek!$H$19,0,MATCH(AD$19,woningen_gebouwen_namen,0)-1,ROWS(bibliotheek!$I$19:$I$24),1),
OFFSET(bibliotheek!$H$40,0,MATCH(AD$40,isolatiepakketten_gebouwschil_namen,0)-1,ROWS(bibliotheek!$I$19:$I$24),1)) /
HLOOKUP(AD$19,woningen_gebouwen_gegevens,ROWS(bibliotheek!$E$13:$E$25),FALSE))</f>
        <v/>
      </c>
      <c r="AE52" s="237" t="str">
        <f ca="1">IF(OR(AE$19="",AE$40=""),"",
SUMPRODUCT(
OFFSET(bibliotheek!$H$19,0,MATCH(AE$19,woningen_gebouwen_namen,0)-1,ROWS(bibliotheek!$I$19:$I$24),1),
OFFSET(bibliotheek!$H$40,0,MATCH(AE$40,isolatiepakketten_gebouwschil_namen,0)-1,ROWS(bibliotheek!$I$19:$I$24),1)) /
HLOOKUP(AE$19,woningen_gebouwen_gegevens,ROWS(bibliotheek!$E$13:$E$25),FALSE))</f>
        <v/>
      </c>
      <c r="AF52" s="237" t="str">
        <f ca="1">IF(OR(AF$19="",AF$40=""),"",
SUMPRODUCT(
OFFSET(bibliotheek!$H$19,0,MATCH(AF$19,woningen_gebouwen_namen,0)-1,ROWS(bibliotheek!$I$19:$I$24),1),
OFFSET(bibliotheek!$H$40,0,MATCH(AF$40,isolatiepakketten_gebouwschil_namen,0)-1,ROWS(bibliotheek!$I$19:$I$24),1)) /
HLOOKUP(AF$19,woningen_gebouwen_gegevens,ROWS(bibliotheek!$E$13:$E$25),FALSE))</f>
        <v/>
      </c>
      <c r="AG52" s="237" t="str">
        <f ca="1">IF(OR(AG$19="",AG$40=""),"",
SUMPRODUCT(
OFFSET(bibliotheek!$H$19,0,MATCH(AG$19,woningen_gebouwen_namen,0)-1,ROWS(bibliotheek!$I$19:$I$24),1),
OFFSET(bibliotheek!$H$40,0,MATCH(AG$40,isolatiepakketten_gebouwschil_namen,0)-1,ROWS(bibliotheek!$I$19:$I$24),1)) /
HLOOKUP(AG$19,woningen_gebouwen_gegevens,ROWS(bibliotheek!$E$13:$E$25),FALSE))</f>
        <v/>
      </c>
      <c r="AH52" s="237" t="str">
        <f ca="1">IF(OR(AH$19="",AH$40=""),"",
SUMPRODUCT(
OFFSET(bibliotheek!$H$19,0,MATCH(AH$19,woningen_gebouwen_namen,0)-1,ROWS(bibliotheek!$I$19:$I$24),1),
OFFSET(bibliotheek!$H$40,0,MATCH(AH$40,isolatiepakketten_gebouwschil_namen,0)-1,ROWS(bibliotheek!$I$19:$I$24),1)) /
HLOOKUP(AH$19,woningen_gebouwen_gegevens,ROWS(bibliotheek!$E$13:$E$25),FALSE))</f>
        <v/>
      </c>
      <c r="AI52" s="237" t="str">
        <f ca="1">IF(OR(AI$19="",AI$40=""),"",
SUMPRODUCT(
OFFSET(bibliotheek!$H$19,0,MATCH(AI$19,woningen_gebouwen_namen,0)-1,ROWS(bibliotheek!$I$19:$I$24),1),
OFFSET(bibliotheek!$H$40,0,MATCH(AI$40,isolatiepakketten_gebouwschil_namen,0)-1,ROWS(bibliotheek!$I$19:$I$24),1)) /
HLOOKUP(AI$19,woningen_gebouwen_gegevens,ROWS(bibliotheek!$E$13:$E$25),FALSE))</f>
        <v/>
      </c>
      <c r="AJ52" s="211"/>
      <c r="AK52" s="224"/>
      <c r="AL52" s="212"/>
      <c r="AM52" s="237" t="str">
        <f ca="1">IF(OR(AM$19="",AM$40=""),"",
SUMPRODUCT(
OFFSET(bibliotheek!$H$19,0,MATCH(AM$19,woningen_gebouwen_namen,0)-1,ROWS(bibliotheek!$I$19:$I$24),1),
OFFSET(bibliotheek!$H$40,0,MATCH(AM$40,isolatiepakketten_gebouwschil_namen,0)-1,ROWS(bibliotheek!$I$19:$I$24),1)) /
HLOOKUP(AM$19,woningen_gebouwen_gegevens,ROWS(bibliotheek!$E$13:$E$25),FALSE))</f>
        <v/>
      </c>
      <c r="AN52" s="237" t="str">
        <f ca="1">IF(OR(AN$19="",AN$40=""),"",
SUMPRODUCT(
OFFSET(bibliotheek!$H$19,0,MATCH(AN$19,woningen_gebouwen_namen,0)-1,ROWS(bibliotheek!$I$19:$I$24),1),
OFFSET(bibliotheek!$H$40,0,MATCH(AN$40,isolatiepakketten_gebouwschil_namen,0)-1,ROWS(bibliotheek!$I$19:$I$24),1)) /
HLOOKUP(AN$19,woningen_gebouwen_gegevens,ROWS(bibliotheek!$E$13:$E$25),FALSE))</f>
        <v/>
      </c>
      <c r="AO52" s="237" t="str">
        <f ca="1">IF(OR(AO$19="",AO$40=""),"",
SUMPRODUCT(
OFFSET(bibliotheek!$H$19,0,MATCH(AO$19,woningen_gebouwen_namen,0)-1,ROWS(bibliotheek!$I$19:$I$24),1),
OFFSET(bibliotheek!$H$40,0,MATCH(AO$40,isolatiepakketten_gebouwschil_namen,0)-1,ROWS(bibliotheek!$I$19:$I$24),1)) /
HLOOKUP(AO$19,woningen_gebouwen_gegevens,ROWS(bibliotheek!$E$13:$E$25),FALSE))</f>
        <v/>
      </c>
      <c r="AP52" s="237" t="str">
        <f ca="1">IF(OR(AP$19="",AP$40=""),"",
SUMPRODUCT(
OFFSET(bibliotheek!$H$19,0,MATCH(AP$19,woningen_gebouwen_namen,0)-1,ROWS(bibliotheek!$I$19:$I$24),1),
OFFSET(bibliotheek!$H$40,0,MATCH(AP$40,isolatiepakketten_gebouwschil_namen,0)-1,ROWS(bibliotheek!$I$19:$I$24),1)) /
HLOOKUP(AP$19,woningen_gebouwen_gegevens,ROWS(bibliotheek!$E$13:$E$25),FALSE))</f>
        <v/>
      </c>
      <c r="AQ52" s="237" t="str">
        <f ca="1">IF(OR(AQ$19="",AQ$40=""),"",
SUMPRODUCT(
OFFSET(bibliotheek!$H$19,0,MATCH(AQ$19,woningen_gebouwen_namen,0)-1,ROWS(bibliotheek!$I$19:$I$24),1),
OFFSET(bibliotheek!$H$40,0,MATCH(AQ$40,isolatiepakketten_gebouwschil_namen,0)-1,ROWS(bibliotheek!$I$19:$I$24),1)) /
HLOOKUP(AQ$19,woningen_gebouwen_gegevens,ROWS(bibliotheek!$E$13:$E$25),FALSE))</f>
        <v/>
      </c>
      <c r="AR52" s="237" t="str">
        <f ca="1">IF(OR(AR$19="",AR$40=""),"",
SUMPRODUCT(
OFFSET(bibliotheek!$H$19,0,MATCH(AR$19,woningen_gebouwen_namen,0)-1,ROWS(bibliotheek!$I$19:$I$24),1),
OFFSET(bibliotheek!$H$40,0,MATCH(AR$40,isolatiepakketten_gebouwschil_namen,0)-1,ROWS(bibliotheek!$I$19:$I$24),1)) /
HLOOKUP(AR$19,woningen_gebouwen_gegevens,ROWS(bibliotheek!$E$13:$E$25),FALSE))</f>
        <v/>
      </c>
      <c r="AS52" s="237" t="str">
        <f ca="1">IF(OR(AS$19="",AS$40=""),"",
SUMPRODUCT(
OFFSET(bibliotheek!$H$19,0,MATCH(AS$19,woningen_gebouwen_namen,0)-1,ROWS(bibliotheek!$I$19:$I$24),1),
OFFSET(bibliotheek!$H$40,0,MATCH(AS$40,isolatiepakketten_gebouwschil_namen,0)-1,ROWS(bibliotheek!$I$19:$I$24),1)) /
HLOOKUP(AS$19,woningen_gebouwen_gegevens,ROWS(bibliotheek!$E$13:$E$25),FALSE))</f>
        <v/>
      </c>
      <c r="AT52" s="237" t="str">
        <f ca="1">IF(OR(AT$19="",AT$40=""),"",
SUMPRODUCT(
OFFSET(bibliotheek!$H$19,0,MATCH(AT$19,woningen_gebouwen_namen,0)-1,ROWS(bibliotheek!$I$19:$I$24),1),
OFFSET(bibliotheek!$H$40,0,MATCH(AT$40,isolatiepakketten_gebouwschil_namen,0)-1,ROWS(bibliotheek!$I$19:$I$24),1)) /
HLOOKUP(AT$19,woningen_gebouwen_gegevens,ROWS(bibliotheek!$E$13:$E$25),FALSE))</f>
        <v/>
      </c>
      <c r="AU52" s="237" t="str">
        <f ca="1">IF(OR(AU$19="",AU$40=""),"",
SUMPRODUCT(
OFFSET(bibliotheek!$H$19,0,MATCH(AU$19,woningen_gebouwen_namen,0)-1,ROWS(bibliotheek!$I$19:$I$24),1),
OFFSET(bibliotheek!$H$40,0,MATCH(AU$40,isolatiepakketten_gebouwschil_namen,0)-1,ROWS(bibliotheek!$I$19:$I$24),1)) /
HLOOKUP(AU$19,woningen_gebouwen_gegevens,ROWS(bibliotheek!$E$13:$E$25),FALSE))</f>
        <v/>
      </c>
      <c r="AV52" s="211"/>
      <c r="AW52" s="224"/>
      <c r="AX52" s="212"/>
      <c r="AY52" s="237" t="str">
        <f ca="1">IF(OR(AY$19="",AY$40=""),"",
SUMPRODUCT(
OFFSET(bibliotheek!$H$19,0,MATCH(AY$19,woningen_gebouwen_namen,0)-1,ROWS(bibliotheek!$I$19:$I$24),1),
OFFSET(bibliotheek!$H$40,0,MATCH(AY$40,isolatiepakketten_gebouwschil_namen,0)-1,ROWS(bibliotheek!$I$19:$I$24),1)) /
HLOOKUP(AY$19,woningen_gebouwen_gegevens,ROWS(bibliotheek!$E$13:$E$25),FALSE))</f>
        <v/>
      </c>
      <c r="AZ52" s="237" t="str">
        <f ca="1">IF(OR(AZ$19="",AZ$40=""),"",
SUMPRODUCT(
OFFSET(bibliotheek!$H$19,0,MATCH(AZ$19,woningen_gebouwen_namen,0)-1,ROWS(bibliotheek!$I$19:$I$24),1),
OFFSET(bibliotheek!$H$40,0,MATCH(AZ$40,isolatiepakketten_gebouwschil_namen,0)-1,ROWS(bibliotheek!$I$19:$I$24),1)) /
HLOOKUP(AZ$19,woningen_gebouwen_gegevens,ROWS(bibliotheek!$E$13:$E$25),FALSE))</f>
        <v/>
      </c>
      <c r="BA52" s="237" t="str">
        <f ca="1">IF(OR(BA$19="",BA$40=""),"",
SUMPRODUCT(
OFFSET(bibliotheek!$H$19,0,MATCH(BA$19,woningen_gebouwen_namen,0)-1,ROWS(bibliotheek!$I$19:$I$24),1),
OFFSET(bibliotheek!$H$40,0,MATCH(BA$40,isolatiepakketten_gebouwschil_namen,0)-1,ROWS(bibliotheek!$I$19:$I$24),1)) /
HLOOKUP(BA$19,woningen_gebouwen_gegevens,ROWS(bibliotheek!$E$13:$E$25),FALSE))</f>
        <v/>
      </c>
      <c r="BB52" s="237" t="str">
        <f ca="1">IF(OR(BB$19="",BB$40=""),"",
SUMPRODUCT(
OFFSET(bibliotheek!$H$19,0,MATCH(BB$19,woningen_gebouwen_namen,0)-1,ROWS(bibliotheek!$I$19:$I$24),1),
OFFSET(bibliotheek!$H$40,0,MATCH(BB$40,isolatiepakketten_gebouwschil_namen,0)-1,ROWS(bibliotheek!$I$19:$I$24),1)) /
HLOOKUP(BB$19,woningen_gebouwen_gegevens,ROWS(bibliotheek!$E$13:$E$25),FALSE))</f>
        <v/>
      </c>
      <c r="BC52" s="237" t="str">
        <f ca="1">IF(OR(BC$19="",BC$40=""),"",
SUMPRODUCT(
OFFSET(bibliotheek!$H$19,0,MATCH(BC$19,woningen_gebouwen_namen,0)-1,ROWS(bibliotheek!$I$19:$I$24),1),
OFFSET(bibliotheek!$H$40,0,MATCH(BC$40,isolatiepakketten_gebouwschil_namen,0)-1,ROWS(bibliotheek!$I$19:$I$24),1)) /
HLOOKUP(BC$19,woningen_gebouwen_gegevens,ROWS(bibliotheek!$E$13:$E$25),FALSE))</f>
        <v/>
      </c>
      <c r="BD52" s="237" t="str">
        <f ca="1">IF(OR(BD$19="",BD$40=""),"",
SUMPRODUCT(
OFFSET(bibliotheek!$H$19,0,MATCH(BD$19,woningen_gebouwen_namen,0)-1,ROWS(bibliotheek!$I$19:$I$24),1),
OFFSET(bibliotheek!$H$40,0,MATCH(BD$40,isolatiepakketten_gebouwschil_namen,0)-1,ROWS(bibliotheek!$I$19:$I$24),1)) /
HLOOKUP(BD$19,woningen_gebouwen_gegevens,ROWS(bibliotheek!$E$13:$E$25),FALSE))</f>
        <v/>
      </c>
      <c r="BE52" s="237" t="str">
        <f ca="1">IF(OR(BE$19="",BE$40=""),"",
SUMPRODUCT(
OFFSET(bibliotheek!$H$19,0,MATCH(BE$19,woningen_gebouwen_namen,0)-1,ROWS(bibliotheek!$I$19:$I$24),1),
OFFSET(bibliotheek!$H$40,0,MATCH(BE$40,isolatiepakketten_gebouwschil_namen,0)-1,ROWS(bibliotheek!$I$19:$I$24),1)) /
HLOOKUP(BE$19,woningen_gebouwen_gegevens,ROWS(bibliotheek!$E$13:$E$25),FALSE))</f>
        <v/>
      </c>
      <c r="BF52" s="237" t="str">
        <f ca="1">IF(OR(BF$19="",BF$40=""),"",
SUMPRODUCT(
OFFSET(bibliotheek!$H$19,0,MATCH(BF$19,woningen_gebouwen_namen,0)-1,ROWS(bibliotheek!$I$19:$I$24),1),
OFFSET(bibliotheek!$H$40,0,MATCH(BF$40,isolatiepakketten_gebouwschil_namen,0)-1,ROWS(bibliotheek!$I$19:$I$24),1)) /
HLOOKUP(BF$19,woningen_gebouwen_gegevens,ROWS(bibliotheek!$E$13:$E$25),FALSE))</f>
        <v/>
      </c>
      <c r="BG52" s="237" t="str">
        <f ca="1">IF(OR(BG$19="",BG$40=""),"",
SUMPRODUCT(
OFFSET(bibliotheek!$H$19,0,MATCH(BG$19,woningen_gebouwen_namen,0)-1,ROWS(bibliotheek!$I$19:$I$24),1),
OFFSET(bibliotheek!$H$40,0,MATCH(BG$40,isolatiepakketten_gebouwschil_namen,0)-1,ROWS(bibliotheek!$I$19:$I$24),1)) /
HLOOKUP(BG$19,woningen_gebouwen_gegevens,ROWS(bibliotheek!$E$13:$E$25),FALSE))</f>
        <v/>
      </c>
      <c r="BH52" s="261"/>
    </row>
    <row r="53" spans="1:60" s="2" customFormat="1" x14ac:dyDescent="0.2">
      <c r="A53" s="927"/>
      <c r="B53" s="741" t="s">
        <v>141</v>
      </c>
      <c r="C53" s="739" t="s">
        <v>127</v>
      </c>
      <c r="D53" s="751" t="s">
        <v>50</v>
      </c>
      <c r="E53" s="316" t="s">
        <v>164</v>
      </c>
      <c r="F53" s="316"/>
      <c r="G53" s="316"/>
      <c r="H53" s="354" t="s">
        <v>70</v>
      </c>
      <c r="I53" s="116"/>
      <c r="J53" s="928"/>
      <c r="K53" s="819"/>
      <c r="L53" s="819"/>
      <c r="M53" s="1056">
        <f>IF(SUMPRODUCT(N32:X32,N60:X60)=0,0,SUMPRODUCT(N53:X53,N32:X32,N60:X60)/SUMPRODUCT(N32:X32,N60:X60))</f>
        <v>0</v>
      </c>
      <c r="N53" s="103"/>
      <c r="O53" s="1053">
        <f t="shared" ref="O53:W53" si="48">IF(OR(O$19="",O$24=0,O$40=""),0,IF($G$6=FALSE,1,IF(O54&lt;&gt;"",O54,O55)))</f>
        <v>0</v>
      </c>
      <c r="P53" s="1053">
        <f t="shared" si="48"/>
        <v>0</v>
      </c>
      <c r="Q53" s="1053">
        <f t="shared" si="48"/>
        <v>0</v>
      </c>
      <c r="R53" s="1053">
        <f t="shared" si="48"/>
        <v>0</v>
      </c>
      <c r="S53" s="1053">
        <f t="shared" si="48"/>
        <v>0</v>
      </c>
      <c r="T53" s="1053">
        <f t="shared" si="48"/>
        <v>0</v>
      </c>
      <c r="U53" s="1053">
        <f t="shared" si="48"/>
        <v>0</v>
      </c>
      <c r="V53" s="1053">
        <f t="shared" si="48"/>
        <v>0</v>
      </c>
      <c r="W53" s="1053">
        <f t="shared" si="48"/>
        <v>0</v>
      </c>
      <c r="X53" s="211"/>
      <c r="Y53" s="1056">
        <f>IF(SUMPRODUCT(Z32:AJ32,Z60:AJ60)=0,0,SUMPRODUCT(Z53:AJ53,Z32:AJ32,Z60:AJ60)/SUMPRODUCT(Z32:AJ32,Z60:AJ60))</f>
        <v>0</v>
      </c>
      <c r="Z53" s="103"/>
      <c r="AA53" s="1052">
        <f t="shared" ref="AA53:AI53" si="49">IF(OR(AA$19="",AA$24=0,AA$40=""),0,IF($G$6=FALSE,1,IF(AA54&lt;&gt;"",AA54,AA55)))</f>
        <v>0</v>
      </c>
      <c r="AB53" s="1052">
        <f t="shared" si="49"/>
        <v>0</v>
      </c>
      <c r="AC53" s="1052">
        <f t="shared" si="49"/>
        <v>0</v>
      </c>
      <c r="AD53" s="1052">
        <f t="shared" si="49"/>
        <v>0</v>
      </c>
      <c r="AE53" s="1052">
        <f t="shared" si="49"/>
        <v>0</v>
      </c>
      <c r="AF53" s="1052">
        <f t="shared" si="49"/>
        <v>0</v>
      </c>
      <c r="AG53" s="1052">
        <f t="shared" si="49"/>
        <v>0</v>
      </c>
      <c r="AH53" s="1052">
        <f t="shared" si="49"/>
        <v>0</v>
      </c>
      <c r="AI53" s="1052">
        <f t="shared" si="49"/>
        <v>0</v>
      </c>
      <c r="AJ53" s="211"/>
      <c r="AK53" s="1056">
        <f>IF(SUMPRODUCT(AL32:AV32,AL60:AV60)=0,0,SUMPRODUCT(AL53:AV53,AL32:AV32,AL60:AV60)/SUMPRODUCT(AL32:AV32,AL60:AV60))</f>
        <v>0</v>
      </c>
      <c r="AL53" s="103"/>
      <c r="AM53" s="1052">
        <f t="shared" ref="AM53:AU53" si="50">IF(OR(AM$19="",AM$24=0,AM$40=""),0,IF($G$6=FALSE,1,IF(AM54&lt;&gt;"",AM54,AM55)))</f>
        <v>0</v>
      </c>
      <c r="AN53" s="1052">
        <f t="shared" si="50"/>
        <v>0</v>
      </c>
      <c r="AO53" s="1052">
        <f t="shared" si="50"/>
        <v>0</v>
      </c>
      <c r="AP53" s="1052">
        <f t="shared" si="50"/>
        <v>0</v>
      </c>
      <c r="AQ53" s="1052">
        <f t="shared" si="50"/>
        <v>0</v>
      </c>
      <c r="AR53" s="1052">
        <f t="shared" si="50"/>
        <v>0</v>
      </c>
      <c r="AS53" s="1052">
        <f t="shared" si="50"/>
        <v>0</v>
      </c>
      <c r="AT53" s="1052">
        <f t="shared" si="50"/>
        <v>0</v>
      </c>
      <c r="AU53" s="1052">
        <f t="shared" si="50"/>
        <v>0</v>
      </c>
      <c r="AV53" s="211"/>
      <c r="AW53" s="1056">
        <f>IF(SUMPRODUCT(AX32:BH32,AX60:BH60)=0,0,SUMPRODUCT(AX53:BH53,AX32:BH32,AX60:BH60)/SUMPRODUCT(AX32:BH32,AX60:BH60))</f>
        <v>0</v>
      </c>
      <c r="AX53" s="103"/>
      <c r="AY53" s="1052">
        <f t="shared" ref="AY53:BG53" si="51">IF(OR(AY$19="",AY$24=0,AY$40=""),0,IF($G$6=FALSE,1,IF(AY54&lt;&gt;"",AY54,AY55)))</f>
        <v>0</v>
      </c>
      <c r="AZ53" s="1052">
        <f t="shared" si="51"/>
        <v>0</v>
      </c>
      <c r="BA53" s="1052">
        <f t="shared" si="51"/>
        <v>0</v>
      </c>
      <c r="BB53" s="1052">
        <f t="shared" si="51"/>
        <v>0</v>
      </c>
      <c r="BC53" s="1052">
        <f t="shared" si="51"/>
        <v>0</v>
      </c>
      <c r="BD53" s="1052">
        <f t="shared" si="51"/>
        <v>0</v>
      </c>
      <c r="BE53" s="1052">
        <f t="shared" si="51"/>
        <v>0</v>
      </c>
      <c r="BF53" s="1052">
        <f t="shared" si="51"/>
        <v>0</v>
      </c>
      <c r="BG53" s="1052">
        <f t="shared" si="51"/>
        <v>0</v>
      </c>
      <c r="BH53" s="261"/>
    </row>
    <row r="54" spans="1:60" s="2" customFormat="1" x14ac:dyDescent="0.2">
      <c r="A54" s="927"/>
      <c r="B54" s="741" t="s">
        <v>141</v>
      </c>
      <c r="C54" s="739" t="s">
        <v>127</v>
      </c>
      <c r="D54" s="748"/>
      <c r="E54" s="455" t="s">
        <v>165</v>
      </c>
      <c r="F54" s="687"/>
      <c r="G54" s="687"/>
      <c r="H54" s="929"/>
      <c r="I54" s="116"/>
      <c r="J54" s="930"/>
      <c r="K54" s="819"/>
      <c r="L54" s="819"/>
      <c r="M54" s="931"/>
      <c r="N54" s="294"/>
      <c r="O54" s="1054"/>
      <c r="P54" s="1054"/>
      <c r="Q54" s="1054"/>
      <c r="R54" s="1054"/>
      <c r="S54" s="1054"/>
      <c r="T54" s="1054"/>
      <c r="U54" s="1054"/>
      <c r="V54" s="1054"/>
      <c r="W54" s="1054"/>
      <c r="X54" s="211"/>
      <c r="Y54" s="931"/>
      <c r="Z54" s="294"/>
      <c r="AA54" s="1054"/>
      <c r="AB54" s="1054"/>
      <c r="AC54" s="1054"/>
      <c r="AD54" s="1054"/>
      <c r="AE54" s="1054"/>
      <c r="AF54" s="1054"/>
      <c r="AG54" s="1054"/>
      <c r="AH54" s="1054"/>
      <c r="AI54" s="1054"/>
      <c r="AJ54" s="211"/>
      <c r="AK54" s="931"/>
      <c r="AL54" s="294"/>
      <c r="AM54" s="1054"/>
      <c r="AN54" s="1054"/>
      <c r="AO54" s="1054"/>
      <c r="AP54" s="1054"/>
      <c r="AQ54" s="1054"/>
      <c r="AR54" s="1054"/>
      <c r="AS54" s="1054"/>
      <c r="AT54" s="1054"/>
      <c r="AU54" s="1054"/>
      <c r="AV54" s="211"/>
      <c r="AW54" s="931"/>
      <c r="AX54" s="294"/>
      <c r="AY54" s="1054"/>
      <c r="AZ54" s="1054"/>
      <c r="BA54" s="1054"/>
      <c r="BB54" s="1054"/>
      <c r="BC54" s="1054"/>
      <c r="BD54" s="1054"/>
      <c r="BE54" s="1054"/>
      <c r="BF54" s="1054"/>
      <c r="BG54" s="1054"/>
      <c r="BH54" s="261"/>
    </row>
    <row r="55" spans="1:60" s="2" customFormat="1" x14ac:dyDescent="0.2">
      <c r="A55" s="927"/>
      <c r="B55" s="741" t="s">
        <v>141</v>
      </c>
      <c r="C55" s="739" t="s">
        <v>127</v>
      </c>
      <c r="D55" s="748"/>
      <c r="E55" s="932" t="s">
        <v>166</v>
      </c>
      <c r="F55" s="933"/>
      <c r="G55" s="933"/>
      <c r="H55" s="934"/>
      <c r="I55" s="935"/>
      <c r="J55" s="936"/>
      <c r="K55" s="937"/>
      <c r="L55" s="937"/>
      <c r="M55" s="938"/>
      <c r="N55" s="718"/>
      <c r="O55" s="1055" t="str" cm="1">
        <f t="array" ref="O55">IF(O24=0,"",ROUND(INDEX(Correctiefactoren,ROWS(bibliotheek!$E$278:$E$279),MATCH(O$21,bibliotheek!$E$278:$U$278,0))*O$52^INDEX(Correctiefactoren,ROWS(bibliotheek!$E$278:$E$280),MATCH(O$21,bibliotheek!$E$278:$U$278,0)),2))</f>
        <v/>
      </c>
      <c r="P55" s="1055" t="str" cm="1">
        <f t="array" ref="P55">IF(P24=0,"",ROUND(INDEX(Correctiefactoren,ROWS(bibliotheek!$E$278:$E$279),MATCH(P$21,bibliotheek!$E$278:$U$278,0))*P$52^INDEX(Correctiefactoren,ROWS(bibliotheek!$E$278:$E$280),MATCH(P$21,bibliotheek!$E$278:$U$278,0)),2))</f>
        <v/>
      </c>
      <c r="Q55" s="1055" t="str" cm="1">
        <f t="array" ref="Q55">IF(Q24=0,"",ROUND(INDEX(Correctiefactoren,ROWS(bibliotheek!$E$278:$E$279),MATCH(Q$21,bibliotheek!$E$278:$U$278,0))*Q$52^INDEX(Correctiefactoren,ROWS(bibliotheek!$E$278:$E$280),MATCH(Q$21,bibliotheek!$E$278:$U$278,0)),2))</f>
        <v/>
      </c>
      <c r="R55" s="1055" t="str" cm="1">
        <f t="array" ref="R55">IF(R24=0,"",ROUND(INDEX(Correctiefactoren,ROWS(bibliotheek!$E$278:$E$279),MATCH(R$21,bibliotheek!$E$278:$U$278,0))*R$52^INDEX(Correctiefactoren,ROWS(bibliotheek!$E$278:$E$280),MATCH(R$21,bibliotheek!$E$278:$U$278,0)),2))</f>
        <v/>
      </c>
      <c r="S55" s="1055" t="str" cm="1">
        <f t="array" ref="S55">IF(S24=0,"",ROUND(INDEX(Correctiefactoren,ROWS(bibliotheek!$E$278:$E$279),MATCH(S$21,bibliotheek!$E$278:$U$278,0))*S$52^INDEX(Correctiefactoren,ROWS(bibliotheek!$E$278:$E$280),MATCH(S$21,bibliotheek!$E$278:$U$278,0)),2))</f>
        <v/>
      </c>
      <c r="T55" s="1055" t="str" cm="1">
        <f t="array" ref="T55">IF(T24=0,"",ROUND(INDEX(Correctiefactoren,ROWS(bibliotheek!$E$278:$E$279),MATCH(T$21,bibliotheek!$E$278:$U$278,0))*T$52^INDEX(Correctiefactoren,ROWS(bibliotheek!$E$278:$E$280),MATCH(T$21,bibliotheek!$E$278:$U$278,0)),2))</f>
        <v/>
      </c>
      <c r="U55" s="1055" t="str" cm="1">
        <f t="array" ref="U55">IF(U24=0,"",ROUND(INDEX(Correctiefactoren,ROWS(bibliotheek!$E$278:$E$279),MATCH(U$21,bibliotheek!$E$278:$U$278,0))*U$52^INDEX(Correctiefactoren,ROWS(bibliotheek!$E$278:$E$280),MATCH(U$21,bibliotheek!$E$278:$U$278,0)),2))</f>
        <v/>
      </c>
      <c r="V55" s="1055" t="str" cm="1">
        <f t="array" ref="V55">IF(V24=0,"",ROUND(INDEX(Correctiefactoren,ROWS(bibliotheek!$E$278:$E$279),MATCH(V$21,bibliotheek!$E$278:$U$278,0))*V$52^INDEX(Correctiefactoren,ROWS(bibliotheek!$E$278:$E$280),MATCH(V$21,bibliotheek!$E$278:$U$278,0)),2))</f>
        <v/>
      </c>
      <c r="W55" s="1055" t="str" cm="1">
        <f t="array" ref="W55">IF(W24=0,"",ROUND(INDEX(Correctiefactoren,ROWS(bibliotheek!$E$278:$E$279),MATCH(W$21,bibliotheek!$E$278:$U$278,0))*W$52^INDEX(Correctiefactoren,ROWS(bibliotheek!$E$278:$E$280),MATCH(W$21,bibliotheek!$E$278:$U$278,0)),2))</f>
        <v/>
      </c>
      <c r="X55" s="939"/>
      <c r="Y55" s="938"/>
      <c r="Z55" s="718"/>
      <c r="AA55" s="1057" t="str" cm="1">
        <f t="array" ref="AA55">IF(AA24=0,"",ROUND(INDEX(Correctiefactoren,ROWS(bibliotheek!$E$278:$E$279),MATCH(AA$21,bibliotheek!$E$278:$U$278,0))*AA$52^INDEX(Correctiefactoren,ROWS(bibliotheek!$E$278:$E$280),MATCH(AA$21,bibliotheek!$E$278:$U$278,0)),2))</f>
        <v/>
      </c>
      <c r="AB55" s="1057" t="str" cm="1">
        <f t="array" ref="AB55">IF(AB24=0,"",ROUND(INDEX(Correctiefactoren,ROWS(bibliotheek!$E$278:$E$279),MATCH(AB$21,bibliotheek!$E$278:$U$278,0))*AB$52^INDEX(Correctiefactoren,ROWS(bibliotheek!$E$278:$E$280),MATCH(AB$21,bibliotheek!$E$278:$U$278,0)),2))</f>
        <v/>
      </c>
      <c r="AC55" s="1057" t="str" cm="1">
        <f t="array" ref="AC55">IF(AC24=0,"",ROUND(INDEX(Correctiefactoren,ROWS(bibliotheek!$E$278:$E$279),MATCH(AC$21,bibliotheek!$E$278:$U$278,0))*AC$52^INDEX(Correctiefactoren,ROWS(bibliotheek!$E$278:$E$280),MATCH(AC$21,bibliotheek!$E$278:$U$278,0)),2))</f>
        <v/>
      </c>
      <c r="AD55" s="1057" t="str" cm="1">
        <f t="array" ref="AD55">IF(AD24=0,"",ROUND(INDEX(Correctiefactoren,ROWS(bibliotheek!$E$278:$E$279),MATCH(AD$21,bibliotheek!$E$278:$U$278,0))*AD$52^INDEX(Correctiefactoren,ROWS(bibliotheek!$E$278:$E$280),MATCH(AD$21,bibliotheek!$E$278:$U$278,0)),2))</f>
        <v/>
      </c>
      <c r="AE55" s="1057" t="str" cm="1">
        <f t="array" ref="AE55">IF(AE24=0,"",ROUND(INDEX(Correctiefactoren,ROWS(bibliotheek!$E$278:$E$279),MATCH(AE$21,bibliotheek!$E$278:$U$278,0))*AE$52^INDEX(Correctiefactoren,ROWS(bibliotheek!$E$278:$E$280),MATCH(AE$21,bibliotheek!$E$278:$U$278,0)),2))</f>
        <v/>
      </c>
      <c r="AF55" s="1057" t="str" cm="1">
        <f t="array" ref="AF55">IF(AF24=0,"",ROUND(INDEX(Correctiefactoren,ROWS(bibliotheek!$E$278:$E$279),MATCH(AF$21,bibliotheek!$E$278:$U$278,0))*AF$52^INDEX(Correctiefactoren,ROWS(bibliotheek!$E$278:$E$280),MATCH(AF$21,bibliotheek!$E$278:$U$278,0)),2))</f>
        <v/>
      </c>
      <c r="AG55" s="1057" t="str" cm="1">
        <f t="array" ref="AG55">IF(AG24=0,"",ROUND(INDEX(Correctiefactoren,ROWS(bibliotheek!$E$278:$E$279),MATCH(AG$21,bibliotheek!$E$278:$U$278,0))*AG$52^INDEX(Correctiefactoren,ROWS(bibliotheek!$E$278:$E$280),MATCH(AG$21,bibliotheek!$E$278:$U$278,0)),2))</f>
        <v/>
      </c>
      <c r="AH55" s="1057" t="str" cm="1">
        <f t="array" ref="AH55">IF(AH24=0,"",ROUND(INDEX(Correctiefactoren,ROWS(bibliotheek!$E$278:$E$279),MATCH(AH$21,bibliotheek!$E$278:$U$278,0))*AH$52^INDEX(Correctiefactoren,ROWS(bibliotheek!$E$278:$E$280),MATCH(AH$21,bibliotheek!$E$278:$U$278,0)),2))</f>
        <v/>
      </c>
      <c r="AI55" s="1057" t="str" cm="1">
        <f t="array" ref="AI55">IF(AI24=0,"",ROUND(INDEX(Correctiefactoren,ROWS(bibliotheek!$E$278:$E$279),MATCH(AI$21,bibliotheek!$E$278:$U$278,0))*AI$52^INDEX(Correctiefactoren,ROWS(bibliotheek!$E$278:$E$280),MATCH(AI$21,bibliotheek!$E$278:$U$278,0)),2))</f>
        <v/>
      </c>
      <c r="AJ55" s="939"/>
      <c r="AK55" s="938"/>
      <c r="AL55" s="718"/>
      <c r="AM55" s="1057" t="str" cm="1">
        <f t="array" ref="AM55">IF(AM24=0,"",ROUND(INDEX(Correctiefactoren,ROWS(bibliotheek!$E$278:$E$279),MATCH(AM$21,bibliotheek!$E$278:$U$278,0))*AM$52^INDEX(Correctiefactoren,ROWS(bibliotheek!$E$278:$E$280),MATCH(AM$21,bibliotheek!$E$278:$U$278,0)),2))</f>
        <v/>
      </c>
      <c r="AN55" s="1057" t="str" cm="1">
        <f t="array" ref="AN55">IF(AN24=0,"",ROUND(INDEX(Correctiefactoren,ROWS(bibliotheek!$E$278:$E$279),MATCH(AN$21,bibliotheek!$E$278:$U$278,0))*AN$52^INDEX(Correctiefactoren,ROWS(bibliotheek!$E$278:$E$280),MATCH(AN$21,bibliotheek!$E$278:$U$278,0)),2))</f>
        <v/>
      </c>
      <c r="AO55" s="1057" t="str" cm="1">
        <f t="array" ref="AO55">IF(AO24=0,"",ROUND(INDEX(Correctiefactoren,ROWS(bibliotheek!$E$278:$E$279),MATCH(AO$21,bibliotheek!$E$278:$U$278,0))*AO$52^INDEX(Correctiefactoren,ROWS(bibliotheek!$E$278:$E$280),MATCH(AO$21,bibliotheek!$E$278:$U$278,0)),2))</f>
        <v/>
      </c>
      <c r="AP55" s="1057" t="str" cm="1">
        <f t="array" ref="AP55">IF(AP24=0,"",ROUND(INDEX(Correctiefactoren,ROWS(bibliotheek!$E$278:$E$279),MATCH(AP$21,bibliotheek!$E$278:$U$278,0))*AP$52^INDEX(Correctiefactoren,ROWS(bibliotheek!$E$278:$E$280),MATCH(AP$21,bibliotheek!$E$278:$U$278,0)),2))</f>
        <v/>
      </c>
      <c r="AQ55" s="1057" t="str" cm="1">
        <f t="array" ref="AQ55">IF(AQ24=0,"",ROUND(INDEX(Correctiefactoren,ROWS(bibliotheek!$E$278:$E$279),MATCH(AQ$21,bibliotheek!$E$278:$U$278,0))*AQ$52^INDEX(Correctiefactoren,ROWS(bibliotheek!$E$278:$E$280),MATCH(AQ$21,bibliotheek!$E$278:$U$278,0)),2))</f>
        <v/>
      </c>
      <c r="AR55" s="1057" t="str" cm="1">
        <f t="array" ref="AR55">IF(AR24=0,"",ROUND(INDEX(Correctiefactoren,ROWS(bibliotheek!$E$278:$E$279),MATCH(AR$21,bibliotheek!$E$278:$U$278,0))*AR$52^INDEX(Correctiefactoren,ROWS(bibliotheek!$E$278:$E$280),MATCH(AR$21,bibliotheek!$E$278:$U$278,0)),2))</f>
        <v/>
      </c>
      <c r="AS55" s="1057" t="str" cm="1">
        <f t="array" ref="AS55">IF(AS24=0,"",ROUND(INDEX(Correctiefactoren,ROWS(bibliotheek!$E$278:$E$279),MATCH(AS$21,bibliotheek!$E$278:$U$278,0))*AS$52^INDEX(Correctiefactoren,ROWS(bibliotheek!$E$278:$E$280),MATCH(AS$21,bibliotheek!$E$278:$U$278,0)),2))</f>
        <v/>
      </c>
      <c r="AT55" s="1057" t="str" cm="1">
        <f t="array" ref="AT55">IF(AT24=0,"",ROUND(INDEX(Correctiefactoren,ROWS(bibliotheek!$E$278:$E$279),MATCH(AT$21,bibliotheek!$E$278:$U$278,0))*AT$52^INDEX(Correctiefactoren,ROWS(bibliotheek!$E$278:$E$280),MATCH(AT$21,bibliotheek!$E$278:$U$278,0)),2))</f>
        <v/>
      </c>
      <c r="AU55" s="1057" t="str" cm="1">
        <f t="array" ref="AU55">IF(AU24=0,"",ROUND(INDEX(Correctiefactoren,ROWS(bibliotheek!$E$278:$E$279),MATCH(AU$21,bibliotheek!$E$278:$U$278,0))*AU$52^INDEX(Correctiefactoren,ROWS(bibliotheek!$E$278:$E$280),MATCH(AU$21,bibliotheek!$E$278:$U$278,0)),2))</f>
        <v/>
      </c>
      <c r="AV55" s="939"/>
      <c r="AW55" s="938"/>
      <c r="AX55" s="718"/>
      <c r="AY55" s="1057" t="str" cm="1">
        <f t="array" ref="AY55">IF(AY24=0,"",ROUND(INDEX(Correctiefactoren,ROWS(bibliotheek!$E$278:$E$279),MATCH(AY$21,bibliotheek!$E$278:$U$278,0))*AY$52^INDEX(Correctiefactoren,ROWS(bibliotheek!$E$278:$E$280),MATCH(AY$21,bibliotheek!$E$278:$U$278,0)),2))</f>
        <v/>
      </c>
      <c r="AZ55" s="1057" t="str" cm="1">
        <f t="array" ref="AZ55">IF(AZ24=0,"",ROUND(INDEX(Correctiefactoren,ROWS(bibliotheek!$E$278:$E$279),MATCH(AZ$21,bibliotheek!$E$278:$U$278,0))*AZ$52^INDEX(Correctiefactoren,ROWS(bibliotheek!$E$278:$E$280),MATCH(AZ$21,bibliotheek!$E$278:$U$278,0)),2))</f>
        <v/>
      </c>
      <c r="BA55" s="1057" t="str" cm="1">
        <f t="array" ref="BA55">IF(BA24=0,"",ROUND(INDEX(Correctiefactoren,ROWS(bibliotheek!$E$278:$E$279),MATCH(BA$21,bibliotheek!$E$278:$U$278,0))*BA$52^INDEX(Correctiefactoren,ROWS(bibliotheek!$E$278:$E$280),MATCH(BA$21,bibliotheek!$E$278:$U$278,0)),2))</f>
        <v/>
      </c>
      <c r="BB55" s="1057" t="str" cm="1">
        <f t="array" ref="BB55">IF(BB24=0,"",ROUND(INDEX(Correctiefactoren,ROWS(bibliotheek!$E$278:$E$279),MATCH(BB$21,bibliotheek!$E$278:$U$278,0))*BB$52^INDEX(Correctiefactoren,ROWS(bibliotheek!$E$278:$E$280),MATCH(BB$21,bibliotheek!$E$278:$U$278,0)),2))</f>
        <v/>
      </c>
      <c r="BC55" s="1057" t="str" cm="1">
        <f t="array" ref="BC55">IF(BC24=0,"",ROUND(INDEX(Correctiefactoren,ROWS(bibliotheek!$E$278:$E$279),MATCH(BC$21,bibliotheek!$E$278:$U$278,0))*BC$52^INDEX(Correctiefactoren,ROWS(bibliotheek!$E$278:$E$280),MATCH(BC$21,bibliotheek!$E$278:$U$278,0)),2))</f>
        <v/>
      </c>
      <c r="BD55" s="1057" t="str" cm="1">
        <f t="array" ref="BD55">IF(BD24=0,"",ROUND(INDEX(Correctiefactoren,ROWS(bibliotheek!$E$278:$E$279),MATCH(BD$21,bibliotheek!$E$278:$U$278,0))*BD$52^INDEX(Correctiefactoren,ROWS(bibliotheek!$E$278:$E$280),MATCH(BD$21,bibliotheek!$E$278:$U$278,0)),2))</f>
        <v/>
      </c>
      <c r="BE55" s="1057" t="str" cm="1">
        <f t="array" ref="BE55">IF(BE24=0,"",ROUND(INDEX(Correctiefactoren,ROWS(bibliotheek!$E$278:$E$279),MATCH(BE$21,bibliotheek!$E$278:$U$278,0))*BE$52^INDEX(Correctiefactoren,ROWS(bibliotheek!$E$278:$E$280),MATCH(BE$21,bibliotheek!$E$278:$U$278,0)),2))</f>
        <v/>
      </c>
      <c r="BF55" s="1057" t="str" cm="1">
        <f t="array" ref="BF55">IF(BF24=0,"",ROUND(INDEX(Correctiefactoren,ROWS(bibliotheek!$E$278:$E$279),MATCH(BF$21,bibliotheek!$E$278:$U$278,0))*BF$52^INDEX(Correctiefactoren,ROWS(bibliotheek!$E$278:$E$280),MATCH(BF$21,bibliotheek!$E$278:$U$278,0)),2))</f>
        <v/>
      </c>
      <c r="BG55" s="1057" t="str" cm="1">
        <f t="array" ref="BG55">IF(BG24=0,"",ROUND(INDEX(Correctiefactoren,ROWS(bibliotheek!$E$278:$E$279),MATCH(BG$21,bibliotheek!$E$278:$U$278,0))*BG$52^INDEX(Correctiefactoren,ROWS(bibliotheek!$E$278:$E$280),MATCH(BG$21,bibliotheek!$E$278:$U$278,0)),2))</f>
        <v/>
      </c>
      <c r="BH55" s="261"/>
    </row>
    <row r="56" spans="1:60" x14ac:dyDescent="0.2">
      <c r="A56" s="653"/>
      <c r="B56" s="492" t="s">
        <v>158</v>
      </c>
      <c r="C56" s="656" t="s">
        <v>104</v>
      </c>
      <c r="D56" s="747"/>
      <c r="E56" s="90"/>
      <c r="F56" s="90"/>
      <c r="G56" s="90"/>
      <c r="H56" s="96"/>
      <c r="I56" s="116"/>
      <c r="J56" s="93"/>
      <c r="K56" s="819"/>
      <c r="L56" s="819"/>
      <c r="M56" s="93"/>
      <c r="N56" s="93"/>
      <c r="O56" s="93"/>
      <c r="P56" s="93"/>
      <c r="Q56" s="93"/>
      <c r="R56" s="93"/>
      <c r="S56" s="93"/>
      <c r="T56" s="93"/>
      <c r="U56" s="93"/>
      <c r="V56" s="93"/>
      <c r="W56" s="93"/>
      <c r="X56" s="93"/>
      <c r="Y56" s="93"/>
      <c r="Z56" s="90"/>
      <c r="AA56" s="93"/>
      <c r="AB56" s="93"/>
      <c r="AC56" s="93"/>
      <c r="AD56" s="93"/>
      <c r="AE56" s="93"/>
      <c r="AF56" s="93"/>
      <c r="AG56" s="93"/>
      <c r="AH56" s="93"/>
      <c r="AI56" s="93"/>
      <c r="AJ56" s="93"/>
      <c r="AK56" s="93"/>
      <c r="AL56" s="90"/>
      <c r="AM56" s="93"/>
      <c r="AN56" s="93"/>
      <c r="AO56" s="93"/>
      <c r="AP56" s="93"/>
      <c r="AQ56" s="93"/>
      <c r="AR56" s="93"/>
      <c r="AS56" s="93"/>
      <c r="AT56" s="93"/>
      <c r="AU56" s="93"/>
      <c r="AV56" s="93"/>
      <c r="AW56" s="93"/>
      <c r="AX56" s="90"/>
      <c r="AY56" s="93"/>
      <c r="AZ56" s="93"/>
      <c r="BA56" s="93"/>
      <c r="BB56" s="93"/>
      <c r="BC56" s="93"/>
      <c r="BD56" s="93"/>
      <c r="BE56" s="93"/>
      <c r="BF56" s="93"/>
      <c r="BG56" s="93"/>
      <c r="BH56" s="1"/>
    </row>
    <row r="57" spans="1:60" x14ac:dyDescent="0.2">
      <c r="A57" s="653"/>
      <c r="B57" s="492" t="s">
        <v>158</v>
      </c>
      <c r="C57" s="739" t="s">
        <v>104</v>
      </c>
      <c r="D57" s="747"/>
      <c r="E57" s="90"/>
      <c r="F57" s="90"/>
      <c r="G57" s="90"/>
      <c r="H57" s="96"/>
      <c r="I57" s="90"/>
      <c r="J57" s="93"/>
      <c r="K57" s="90"/>
      <c r="L57" s="90"/>
      <c r="M57" s="93"/>
      <c r="N57" s="93"/>
      <c r="O57" s="93"/>
      <c r="P57" s="93"/>
      <c r="Q57" s="93"/>
      <c r="R57" s="93"/>
      <c r="S57" s="93"/>
      <c r="T57" s="93"/>
      <c r="U57" s="93"/>
      <c r="V57" s="93"/>
      <c r="W57" s="93"/>
      <c r="X57" s="93"/>
      <c r="Y57" s="93"/>
      <c r="Z57" s="90"/>
      <c r="AA57" s="93"/>
      <c r="AB57" s="93"/>
      <c r="AC57" s="93"/>
      <c r="AD57" s="93"/>
      <c r="AE57" s="93"/>
      <c r="AF57" s="93"/>
      <c r="AG57" s="93"/>
      <c r="AH57" s="93"/>
      <c r="AI57" s="93"/>
      <c r="AJ57" s="93"/>
      <c r="AK57" s="93"/>
      <c r="AL57" s="90"/>
      <c r="AM57" s="93"/>
      <c r="AN57" s="93"/>
      <c r="AO57" s="93"/>
      <c r="AP57" s="93"/>
      <c r="AQ57" s="93"/>
      <c r="AR57" s="93"/>
      <c r="AS57" s="93"/>
      <c r="AT57" s="93"/>
      <c r="AU57" s="93"/>
      <c r="AV57" s="93"/>
      <c r="AW57" s="93"/>
      <c r="AX57" s="90"/>
      <c r="AY57" s="93"/>
      <c r="AZ57" s="93"/>
      <c r="BA57" s="93"/>
      <c r="BB57" s="93"/>
      <c r="BC57" s="93"/>
      <c r="BD57" s="93"/>
      <c r="BE57" s="93"/>
      <c r="BF57" s="93"/>
      <c r="BG57" s="93"/>
      <c r="BH57" s="1"/>
    </row>
    <row r="58" spans="1:60" s="2" customFormat="1" ht="21" x14ac:dyDescent="0.2">
      <c r="A58" s="654"/>
      <c r="B58" s="492" t="s">
        <v>158</v>
      </c>
      <c r="C58" s="739" t="s">
        <v>104</v>
      </c>
      <c r="D58" s="749"/>
      <c r="E58" s="253" t="s">
        <v>167</v>
      </c>
      <c r="F58" s="253"/>
      <c r="G58" s="253"/>
      <c r="H58" s="253"/>
      <c r="I58" s="146"/>
      <c r="J58" s="318" t="str">
        <f>J$10&amp;" MWh"</f>
        <v>totaal MWh</v>
      </c>
      <c r="K58" s="142"/>
      <c r="L58" s="142"/>
      <c r="M58" s="319" t="str">
        <f>M$10&amp;" MWh"</f>
        <v>totaal MWh</v>
      </c>
      <c r="N58" s="234"/>
      <c r="O58" s="320" t="str">
        <f t="shared" ref="O58:W58" si="52">O$17</f>
        <v/>
      </c>
      <c r="P58" s="320" t="str">
        <f t="shared" si="52"/>
        <v/>
      </c>
      <c r="Q58" s="320" t="str">
        <f t="shared" si="52"/>
        <v/>
      </c>
      <c r="R58" s="320" t="str">
        <f t="shared" si="52"/>
        <v/>
      </c>
      <c r="S58" s="320" t="str">
        <f t="shared" si="52"/>
        <v/>
      </c>
      <c r="T58" s="320" t="str">
        <f t="shared" si="52"/>
        <v/>
      </c>
      <c r="U58" s="320" t="str">
        <f t="shared" si="52"/>
        <v/>
      </c>
      <c r="V58" s="320" t="str">
        <f t="shared" si="52"/>
        <v/>
      </c>
      <c r="W58" s="320" t="str">
        <f t="shared" si="52"/>
        <v/>
      </c>
      <c r="X58" s="214"/>
      <c r="Y58" s="319" t="str">
        <f>Y$10&amp;" MWh"</f>
        <v>totaal MWh</v>
      </c>
      <c r="Z58" s="234"/>
      <c r="AA58" s="320" t="str">
        <f t="shared" ref="AA58:AI58" si="53">AA$17</f>
        <v/>
      </c>
      <c r="AB58" s="320" t="str">
        <f t="shared" si="53"/>
        <v/>
      </c>
      <c r="AC58" s="320" t="str">
        <f t="shared" si="53"/>
        <v/>
      </c>
      <c r="AD58" s="320" t="str">
        <f t="shared" si="53"/>
        <v/>
      </c>
      <c r="AE58" s="320" t="str">
        <f t="shared" si="53"/>
        <v/>
      </c>
      <c r="AF58" s="320" t="str">
        <f t="shared" si="53"/>
        <v/>
      </c>
      <c r="AG58" s="320" t="str">
        <f t="shared" si="53"/>
        <v/>
      </c>
      <c r="AH58" s="320" t="str">
        <f t="shared" si="53"/>
        <v/>
      </c>
      <c r="AI58" s="320" t="str">
        <f t="shared" si="53"/>
        <v/>
      </c>
      <c r="AJ58" s="214"/>
      <c r="AK58" s="319" t="str">
        <f>AK$10&amp;" MWh"</f>
        <v>totaal MWh</v>
      </c>
      <c r="AL58" s="234"/>
      <c r="AM58" s="320" t="str">
        <f>AM$17</f>
        <v/>
      </c>
      <c r="AN58" s="320" t="str">
        <f t="shared" ref="AN58:AU58" si="54">AN$17</f>
        <v/>
      </c>
      <c r="AO58" s="320" t="str">
        <f t="shared" si="54"/>
        <v/>
      </c>
      <c r="AP58" s="320" t="str">
        <f t="shared" si="54"/>
        <v/>
      </c>
      <c r="AQ58" s="320" t="str">
        <f t="shared" si="54"/>
        <v/>
      </c>
      <c r="AR58" s="320" t="str">
        <f t="shared" si="54"/>
        <v/>
      </c>
      <c r="AS58" s="320" t="str">
        <f t="shared" si="54"/>
        <v/>
      </c>
      <c r="AT58" s="320" t="str">
        <f t="shared" si="54"/>
        <v/>
      </c>
      <c r="AU58" s="320" t="str">
        <f t="shared" si="54"/>
        <v/>
      </c>
      <c r="AV58" s="214"/>
      <c r="AW58" s="319" t="str">
        <f>AW$10&amp;" MWh"</f>
        <v>totaal MWh</v>
      </c>
      <c r="AX58" s="234"/>
      <c r="AY58" s="320" t="str">
        <f>AY$17</f>
        <v/>
      </c>
      <c r="AZ58" s="320" t="str">
        <f t="shared" ref="AZ58:BG58" si="55">AZ$17</f>
        <v/>
      </c>
      <c r="BA58" s="320" t="str">
        <f t="shared" si="55"/>
        <v/>
      </c>
      <c r="BB58" s="320" t="str">
        <f t="shared" si="55"/>
        <v/>
      </c>
      <c r="BC58" s="320" t="str">
        <f t="shared" si="55"/>
        <v/>
      </c>
      <c r="BD58" s="320" t="str">
        <f t="shared" si="55"/>
        <v/>
      </c>
      <c r="BE58" s="320" t="str">
        <f t="shared" si="55"/>
        <v/>
      </c>
      <c r="BF58" s="320" t="str">
        <f t="shared" si="55"/>
        <v/>
      </c>
      <c r="BG58" s="320" t="str">
        <f t="shared" si="55"/>
        <v/>
      </c>
      <c r="BH58" s="1"/>
    </row>
    <row r="59" spans="1:60" ht="18.75" x14ac:dyDescent="0.2">
      <c r="A59" s="653"/>
      <c r="B59" s="492" t="s">
        <v>158</v>
      </c>
      <c r="C59" s="739" t="s">
        <v>104</v>
      </c>
      <c r="D59" s="749"/>
      <c r="E59" s="708" t="s">
        <v>168</v>
      </c>
      <c r="F59" s="167"/>
      <c r="G59" s="167"/>
      <c r="H59" s="89"/>
      <c r="I59" s="169"/>
      <c r="J59" s="170"/>
      <c r="K59" s="142"/>
      <c r="L59" s="142"/>
      <c r="M59" s="186"/>
      <c r="N59" s="186"/>
      <c r="O59" s="186"/>
      <c r="P59" s="186"/>
      <c r="Q59" s="186"/>
      <c r="R59" s="186"/>
      <c r="S59" s="186"/>
      <c r="T59" s="186"/>
      <c r="U59" s="186"/>
      <c r="V59" s="186"/>
      <c r="W59" s="186"/>
      <c r="X59" s="173"/>
      <c r="Y59" s="172"/>
      <c r="Z59" s="172"/>
      <c r="AA59" s="172"/>
      <c r="AB59" s="172"/>
      <c r="AC59" s="172"/>
      <c r="AD59" s="172"/>
      <c r="AE59" s="172"/>
      <c r="AF59" s="172"/>
      <c r="AG59" s="172"/>
      <c r="AH59" s="172"/>
      <c r="AI59" s="172"/>
      <c r="AJ59" s="173"/>
      <c r="AK59" s="172"/>
      <c r="AL59" s="172"/>
      <c r="AM59" s="172"/>
      <c r="AN59" s="172"/>
      <c r="AO59" s="172"/>
      <c r="AP59" s="172"/>
      <c r="AQ59" s="172"/>
      <c r="AR59" s="172"/>
      <c r="AS59" s="172"/>
      <c r="AT59" s="172"/>
      <c r="AU59" s="172"/>
      <c r="AV59" s="173"/>
      <c r="AW59" s="172"/>
      <c r="AX59" s="172"/>
      <c r="AY59" s="172"/>
      <c r="AZ59" s="172"/>
      <c r="BA59" s="172"/>
      <c r="BB59" s="172"/>
      <c r="BC59" s="172"/>
      <c r="BD59" s="172"/>
      <c r="BE59" s="172"/>
      <c r="BF59" s="172"/>
      <c r="BG59" s="172"/>
      <c r="BH59" s="263"/>
    </row>
    <row r="60" spans="1:60" x14ac:dyDescent="0.2">
      <c r="A60" s="653"/>
      <c r="B60" s="492" t="s">
        <v>158</v>
      </c>
      <c r="C60" s="656" t="s">
        <v>113</v>
      </c>
      <c r="D60" s="750" t="s">
        <v>50</v>
      </c>
      <c r="E60" s="482" t="str">
        <f>$O$10</f>
        <v>verwarming</v>
      </c>
      <c r="F60" s="359"/>
      <c r="G60" s="359"/>
      <c r="H60" s="358" t="s">
        <v>169</v>
      </c>
      <c r="I60" s="321"/>
      <c r="J60" s="323">
        <f t="shared" ref="J60:J66" si="56">M60+Y60+AK60+AW60</f>
        <v>0</v>
      </c>
      <c r="K60" s="142"/>
      <c r="L60" s="142"/>
      <c r="M60" s="323">
        <f t="shared" ref="M60:M66" si="57">SUMPRODUCT(N$24:X$24,N$31:X$31,N60:X60)/1000</f>
        <v>0</v>
      </c>
      <c r="N60" s="321"/>
      <c r="O60" s="322">
        <f t="shared" ref="O60:W60" si="58">IF(OR(O$19="",O$40="",O$42=""),0,O$53*MAX(warmtebehoefte_verwarming_ondergrens,
VLOOKUP(O$42,warmtebehoefte_verwarming_snijpunt,MATCH(O$21,warmtebehoefte_verwarming_gebruiksfuncties,0),FALSE)+
VLOOKUP(O$42,warmtebehoefte_verwarming_C,MATCH(O$21,warmtebehoefte_verwarming_gebruiksfuncties,0),FALSE)*
O$52*O$34^VLOOKUP(O$42,warmtebehoefte_verwarming_n,MATCH(O$21,warmtebehoefte_verwarming_gebruiksfuncties,0),FALSE)))</f>
        <v>0</v>
      </c>
      <c r="P60" s="322">
        <f t="shared" si="58"/>
        <v>0</v>
      </c>
      <c r="Q60" s="322">
        <f t="shared" si="58"/>
        <v>0</v>
      </c>
      <c r="R60" s="322">
        <f t="shared" si="58"/>
        <v>0</v>
      </c>
      <c r="S60" s="322">
        <f t="shared" si="58"/>
        <v>0</v>
      </c>
      <c r="T60" s="322">
        <f t="shared" si="58"/>
        <v>0</v>
      </c>
      <c r="U60" s="322">
        <f t="shared" si="58"/>
        <v>0</v>
      </c>
      <c r="V60" s="322">
        <f t="shared" si="58"/>
        <v>0</v>
      </c>
      <c r="W60" s="322">
        <f t="shared" si="58"/>
        <v>0</v>
      </c>
      <c r="X60" s="142"/>
      <c r="Y60" s="323">
        <f t="shared" ref="Y60:Y66" si="59">SUMPRODUCT(Z$24:AJ$24,Z$31:AJ$31,Z60:AJ60)/1000</f>
        <v>0</v>
      </c>
      <c r="Z60" s="321"/>
      <c r="AA60" s="322">
        <f t="shared" ref="AA60:AI60" si="60">IF(OR(AA$19="",AA$40="",AA$42=""),0,AA$53*MAX(warmtebehoefte_verwarming_ondergrens,
VLOOKUP(AA$42,warmtebehoefte_verwarming_snijpunt,MATCH(AA$21,warmtebehoefte_verwarming_gebruiksfuncties,0),FALSE)+
VLOOKUP(AA$42,warmtebehoefte_verwarming_C,MATCH(AA$21,warmtebehoefte_verwarming_gebruiksfuncties,0),FALSE)*
AA$52*AA$34^VLOOKUP(AA$42,warmtebehoefte_verwarming_n,MATCH(AA$21,warmtebehoefte_verwarming_gebruiksfuncties,0),FALSE)))</f>
        <v>0</v>
      </c>
      <c r="AB60" s="322">
        <f t="shared" si="60"/>
        <v>0</v>
      </c>
      <c r="AC60" s="322">
        <f t="shared" si="60"/>
        <v>0</v>
      </c>
      <c r="AD60" s="322">
        <f t="shared" si="60"/>
        <v>0</v>
      </c>
      <c r="AE60" s="322">
        <f t="shared" si="60"/>
        <v>0</v>
      </c>
      <c r="AF60" s="322">
        <f t="shared" si="60"/>
        <v>0</v>
      </c>
      <c r="AG60" s="322">
        <f t="shared" si="60"/>
        <v>0</v>
      </c>
      <c r="AH60" s="322">
        <f t="shared" si="60"/>
        <v>0</v>
      </c>
      <c r="AI60" s="322">
        <f t="shared" si="60"/>
        <v>0</v>
      </c>
      <c r="AJ60" s="142"/>
      <c r="AK60" s="323">
        <f t="shared" ref="AK60:AK66" si="61">SUMPRODUCT(AL$24:AV$24,AL$31:AV$31,AL60:AV60)/1000</f>
        <v>0</v>
      </c>
      <c r="AL60" s="321"/>
      <c r="AM60" s="322">
        <f t="shared" ref="AM60:AU60" si="62">IF(OR(AM$19="",AM$40="",AM$42=""),0,AM$53*MAX(warmtebehoefte_verwarming_ondergrens,
VLOOKUP(AM$42,warmtebehoefte_verwarming_snijpunt,MATCH(AM$21,warmtebehoefte_verwarming_gebruiksfuncties,0),FALSE)+
VLOOKUP(AM$42,warmtebehoefte_verwarming_C,MATCH(AM$21,warmtebehoefte_verwarming_gebruiksfuncties,0),FALSE)*
AM$52*AM$34^VLOOKUP(AM$42,warmtebehoefte_verwarming_n,MATCH(AM$21,warmtebehoefte_verwarming_gebruiksfuncties,0),FALSE)))</f>
        <v>0</v>
      </c>
      <c r="AN60" s="322">
        <f t="shared" si="62"/>
        <v>0</v>
      </c>
      <c r="AO60" s="322">
        <f t="shared" si="62"/>
        <v>0</v>
      </c>
      <c r="AP60" s="322">
        <f t="shared" si="62"/>
        <v>0</v>
      </c>
      <c r="AQ60" s="322">
        <f t="shared" si="62"/>
        <v>0</v>
      </c>
      <c r="AR60" s="322">
        <f t="shared" si="62"/>
        <v>0</v>
      </c>
      <c r="AS60" s="322">
        <f t="shared" si="62"/>
        <v>0</v>
      </c>
      <c r="AT60" s="322">
        <f t="shared" si="62"/>
        <v>0</v>
      </c>
      <c r="AU60" s="322">
        <f t="shared" si="62"/>
        <v>0</v>
      </c>
      <c r="AV60" s="142"/>
      <c r="AW60" s="323">
        <f t="shared" ref="AW60:AW66" si="63">SUMPRODUCT(AX$24:BH$24,AX$31:BH$31,AX60:BH60)/1000</f>
        <v>0</v>
      </c>
      <c r="AX60" s="321"/>
      <c r="AY60" s="322">
        <f t="shared" ref="AY60:BG60" si="64">IF(OR(AY$19="",AY$40="",AY$42=""),0,AY$53*MAX(warmtebehoefte_verwarming_ondergrens,
VLOOKUP(AY$42,warmtebehoefte_verwarming_snijpunt,MATCH(AY$21,warmtebehoefte_verwarming_gebruiksfuncties,0),FALSE)+
VLOOKUP(AY$42,warmtebehoefte_verwarming_C,MATCH(AY$21,warmtebehoefte_verwarming_gebruiksfuncties,0),FALSE)*
AY$52*AY$34^VLOOKUP(AY$42,warmtebehoefte_verwarming_n,MATCH(AY$21,warmtebehoefte_verwarming_gebruiksfuncties,0),FALSE)))</f>
        <v>0</v>
      </c>
      <c r="AZ60" s="322">
        <f t="shared" si="64"/>
        <v>0</v>
      </c>
      <c r="BA60" s="322">
        <f t="shared" si="64"/>
        <v>0</v>
      </c>
      <c r="BB60" s="322">
        <f t="shared" si="64"/>
        <v>0</v>
      </c>
      <c r="BC60" s="322">
        <f t="shared" si="64"/>
        <v>0</v>
      </c>
      <c r="BD60" s="322">
        <f t="shared" si="64"/>
        <v>0</v>
      </c>
      <c r="BE60" s="322">
        <f t="shared" si="64"/>
        <v>0</v>
      </c>
      <c r="BF60" s="322">
        <f t="shared" si="64"/>
        <v>0</v>
      </c>
      <c r="BG60" s="322">
        <f t="shared" si="64"/>
        <v>0</v>
      </c>
      <c r="BH60" s="255"/>
    </row>
    <row r="61" spans="1:60" x14ac:dyDescent="0.2">
      <c r="A61" s="653"/>
      <c r="B61" s="492" t="s">
        <v>158</v>
      </c>
      <c r="C61" s="656" t="s">
        <v>113</v>
      </c>
      <c r="D61" s="750" t="s">
        <v>50</v>
      </c>
      <c r="E61" s="358" t="str">
        <f>$P$10</f>
        <v>koeling</v>
      </c>
      <c r="F61" s="359"/>
      <c r="G61" s="359"/>
      <c r="H61" s="358" t="s">
        <v>169</v>
      </c>
      <c r="I61" s="321"/>
      <c r="J61" s="323">
        <f t="shared" si="56"/>
        <v>0</v>
      </c>
      <c r="K61" s="142"/>
      <c r="L61" s="142"/>
      <c r="M61" s="323">
        <f t="shared" si="57"/>
        <v>0</v>
      </c>
      <c r="N61" s="321"/>
      <c r="O61" s="322">
        <f t="shared" ref="O61:W61" si="65">IF(OR(O$19="",O$40="",O$42=""),0,MAX(koudebehoefte_koeling_ondergrens,
VLOOKUP(O$42,koudebehoefte_snijpunt,MATCH(O$21,warmtebehoefte_verwarming_gebruiksfuncties,0),FALSE)
+VLOOKUP(O$42,koudebehoefte_C1,MATCH(O$21,warmtebehoefte_verwarming_gebruiksfuncties,0),FALSE)
*O$31^VLOOKUP(O$42,koudebehoefte_n1,MATCH(O$21,warmtebehoefte_verwarming_gebruiksfuncties,0),FALSE)
+VLOOKUP(O$42,koudebehoefte_C2,MATCH(O$21,warmtebehoefte_verwarming_gebruiksfuncties,0),FALSE)
*O$34^VLOOKUP(O$42,koudebehoefte_n2,MATCH(O$21,warmtebehoefte_verwarming_gebruiksfuncties,0),FALSE)
+VLOOKUP(O$42,koudebehoefte_C3,MATCH(O$21,warmtebehoefte_verwarming_gebruiksfuncties,0),FALSE)
*O$52^VLOOKUP(O$42,koudebehoefte_n3,MATCH(O$21,warmtebehoefte_verwarming_gebruiksfuncties,0),FALSE)
+VLOOKUP(O$42,koudebehoefte_C4,MATCH(O$21,warmtebehoefte_verwarming_gebruiksfuncties,0),FALSE)
*O$35^VLOOKUP(O$42,koudebehoefte_n4,MATCH(O$21,warmtebehoefte_verwarming_gebruiksfuncties,0),FALSE)))</f>
        <v>0</v>
      </c>
      <c r="P61" s="322">
        <f t="shared" si="65"/>
        <v>0</v>
      </c>
      <c r="Q61" s="322">
        <f t="shared" si="65"/>
        <v>0</v>
      </c>
      <c r="R61" s="322">
        <f t="shared" si="65"/>
        <v>0</v>
      </c>
      <c r="S61" s="322">
        <f t="shared" si="65"/>
        <v>0</v>
      </c>
      <c r="T61" s="322">
        <f t="shared" si="65"/>
        <v>0</v>
      </c>
      <c r="U61" s="322">
        <f t="shared" si="65"/>
        <v>0</v>
      </c>
      <c r="V61" s="322">
        <f t="shared" si="65"/>
        <v>0</v>
      </c>
      <c r="W61" s="322">
        <f t="shared" si="65"/>
        <v>0</v>
      </c>
      <c r="X61" s="142"/>
      <c r="Y61" s="323">
        <f t="shared" si="59"/>
        <v>0</v>
      </c>
      <c r="Z61" s="321"/>
      <c r="AA61" s="322">
        <f t="shared" ref="AA61:AI61" si="66">IF(OR(AA$19="",AA$40="",AA$42=""),0,MAX(koudebehoefte_koeling_ondergrens,
VLOOKUP(AA$42,koudebehoefte_snijpunt,MATCH(AA$21,warmtebehoefte_verwarming_gebruiksfuncties,0),FALSE)
+VLOOKUP(AA$42,koudebehoefte_C1,MATCH(AA$21,warmtebehoefte_verwarming_gebruiksfuncties,0),FALSE)
*AA$31^VLOOKUP(AA$42,koudebehoefte_n1,MATCH(AA$21,warmtebehoefte_verwarming_gebruiksfuncties,0),FALSE)
+VLOOKUP(AA$42,koudebehoefte_C2,MATCH(AA$21,warmtebehoefte_verwarming_gebruiksfuncties,0),FALSE)
*AA$34^VLOOKUP(AA$42,koudebehoefte_n2,MATCH(AA$21,warmtebehoefte_verwarming_gebruiksfuncties,0),FALSE)
+VLOOKUP(AA$42,koudebehoefte_C3,MATCH(AA$21,warmtebehoefte_verwarming_gebruiksfuncties,0),FALSE)
*AA$52^VLOOKUP(AA$42,koudebehoefte_n3,MATCH(AA$21,warmtebehoefte_verwarming_gebruiksfuncties,0),FALSE)
+VLOOKUP(AA$42,koudebehoefte_C4,MATCH(AA$21,warmtebehoefte_verwarming_gebruiksfuncties,0),FALSE)
*AA$35^VLOOKUP(AA$42,koudebehoefte_n4,MATCH(AA$21,warmtebehoefte_verwarming_gebruiksfuncties,0),FALSE)))</f>
        <v>0</v>
      </c>
      <c r="AB61" s="322">
        <f t="shared" si="66"/>
        <v>0</v>
      </c>
      <c r="AC61" s="322">
        <f t="shared" si="66"/>
        <v>0</v>
      </c>
      <c r="AD61" s="322">
        <f t="shared" si="66"/>
        <v>0</v>
      </c>
      <c r="AE61" s="322">
        <f t="shared" si="66"/>
        <v>0</v>
      </c>
      <c r="AF61" s="322">
        <f t="shared" si="66"/>
        <v>0</v>
      </c>
      <c r="AG61" s="322">
        <f t="shared" si="66"/>
        <v>0</v>
      </c>
      <c r="AH61" s="322">
        <f t="shared" si="66"/>
        <v>0</v>
      </c>
      <c r="AI61" s="322">
        <f t="shared" si="66"/>
        <v>0</v>
      </c>
      <c r="AJ61" s="142"/>
      <c r="AK61" s="323">
        <f t="shared" si="61"/>
        <v>0</v>
      </c>
      <c r="AL61" s="321"/>
      <c r="AM61" s="322">
        <f t="shared" ref="AM61:AU61" si="67">IF(OR(AM$19="",AM$40="",AM$42=""),0,MAX(koudebehoefte_koeling_ondergrens,
VLOOKUP(AM$42,koudebehoefte_snijpunt,MATCH(AM$21,warmtebehoefte_verwarming_gebruiksfuncties,0),FALSE)
+VLOOKUP(AM$42,koudebehoefte_C1,MATCH(AM$21,warmtebehoefte_verwarming_gebruiksfuncties,0),FALSE)
*AM$31^VLOOKUP(AM$42,koudebehoefte_n1,MATCH(AM$21,warmtebehoefte_verwarming_gebruiksfuncties,0),FALSE)
+VLOOKUP(AM$42,koudebehoefte_C2,MATCH(AM$21,warmtebehoefte_verwarming_gebruiksfuncties,0),FALSE)
*AM$34^VLOOKUP(AM$42,koudebehoefte_n2,MATCH(AM$21,warmtebehoefte_verwarming_gebruiksfuncties,0),FALSE)
+VLOOKUP(AM$42,koudebehoefte_C3,MATCH(AM$21,warmtebehoefte_verwarming_gebruiksfuncties,0),FALSE)
*AM$52^VLOOKUP(AM$42,koudebehoefte_n3,MATCH(AM$21,warmtebehoefte_verwarming_gebruiksfuncties,0),FALSE)
+VLOOKUP(AM$42,koudebehoefte_C4,MATCH(AM$21,warmtebehoefte_verwarming_gebruiksfuncties,0),FALSE)
*AM$35^VLOOKUP(AM$42,koudebehoefte_n4,MATCH(AM$21,warmtebehoefte_verwarming_gebruiksfuncties,0),FALSE)))</f>
        <v>0</v>
      </c>
      <c r="AN61" s="322">
        <f t="shared" si="67"/>
        <v>0</v>
      </c>
      <c r="AO61" s="322">
        <f t="shared" si="67"/>
        <v>0</v>
      </c>
      <c r="AP61" s="322">
        <f t="shared" si="67"/>
        <v>0</v>
      </c>
      <c r="AQ61" s="322">
        <f t="shared" si="67"/>
        <v>0</v>
      </c>
      <c r="AR61" s="322">
        <f t="shared" si="67"/>
        <v>0</v>
      </c>
      <c r="AS61" s="322">
        <f t="shared" si="67"/>
        <v>0</v>
      </c>
      <c r="AT61" s="322">
        <f t="shared" si="67"/>
        <v>0</v>
      </c>
      <c r="AU61" s="322">
        <f t="shared" si="67"/>
        <v>0</v>
      </c>
      <c r="AV61" s="142"/>
      <c r="AW61" s="323">
        <f t="shared" si="63"/>
        <v>0</v>
      </c>
      <c r="AX61" s="321"/>
      <c r="AY61" s="322">
        <f t="shared" ref="AY61:BG61" si="68">IF(OR(AY$19="",AY$40="",AY$42=""),0,MAX(koudebehoefte_koeling_ondergrens,
VLOOKUP(AY$42,koudebehoefte_snijpunt,MATCH(AY$21,warmtebehoefte_verwarming_gebruiksfuncties,0),FALSE)
+VLOOKUP(AY$42,koudebehoefte_C1,MATCH(AY$21,warmtebehoefte_verwarming_gebruiksfuncties,0),FALSE)
*AY$31^VLOOKUP(AY$42,koudebehoefte_n1,MATCH(AY$21,warmtebehoefte_verwarming_gebruiksfuncties,0),FALSE)
+VLOOKUP(AY$42,koudebehoefte_C2,MATCH(AY$21,warmtebehoefte_verwarming_gebruiksfuncties,0),FALSE)
*AY$34^VLOOKUP(AY$42,koudebehoefte_n2,MATCH(AY$21,warmtebehoefte_verwarming_gebruiksfuncties,0),FALSE)
+VLOOKUP(AY$42,koudebehoefte_C3,MATCH(AY$21,warmtebehoefte_verwarming_gebruiksfuncties,0),FALSE)
*AY$52^VLOOKUP(AY$42,koudebehoefte_n3,MATCH(AY$21,warmtebehoefte_verwarming_gebruiksfuncties,0),FALSE)
+VLOOKUP(AY$42,koudebehoefte_C4,MATCH(AY$21,warmtebehoefte_verwarming_gebruiksfuncties,0),FALSE)
*AY$35^VLOOKUP(AY$42,koudebehoefte_n4,MATCH(AY$21,warmtebehoefte_verwarming_gebruiksfuncties,0),FALSE)))</f>
        <v>0</v>
      </c>
      <c r="AZ61" s="322">
        <f t="shared" si="68"/>
        <v>0</v>
      </c>
      <c r="BA61" s="322">
        <f t="shared" si="68"/>
        <v>0</v>
      </c>
      <c r="BB61" s="322">
        <f t="shared" si="68"/>
        <v>0</v>
      </c>
      <c r="BC61" s="322">
        <f t="shared" si="68"/>
        <v>0</v>
      </c>
      <c r="BD61" s="322">
        <f t="shared" si="68"/>
        <v>0</v>
      </c>
      <c r="BE61" s="322">
        <f t="shared" si="68"/>
        <v>0</v>
      </c>
      <c r="BF61" s="322">
        <f t="shared" si="68"/>
        <v>0</v>
      </c>
      <c r="BG61" s="322">
        <f t="shared" si="68"/>
        <v>0</v>
      </c>
      <c r="BH61" s="255"/>
    </row>
    <row r="62" spans="1:60" x14ac:dyDescent="0.2">
      <c r="A62" s="653"/>
      <c r="B62" s="492" t="s">
        <v>158</v>
      </c>
      <c r="C62" s="656" t="s">
        <v>113</v>
      </c>
      <c r="D62" s="750" t="s">
        <v>50</v>
      </c>
      <c r="E62" s="358" t="str">
        <f>$Q$10</f>
        <v>tapwater</v>
      </c>
      <c r="F62" s="359"/>
      <c r="G62" s="359"/>
      <c r="H62" s="358" t="s">
        <v>169</v>
      </c>
      <c r="I62" s="321"/>
      <c r="J62" s="323">
        <f t="shared" si="56"/>
        <v>0</v>
      </c>
      <c r="K62" s="142"/>
      <c r="L62" s="142"/>
      <c r="M62" s="323">
        <f t="shared" si="57"/>
        <v>0</v>
      </c>
      <c r="N62" s="321"/>
      <c r="O62" s="322">
        <f t="shared" ref="O62:W62" si="69">IF(OR(O$19="",O$31=0),0,
IF(OR(O$21=woning,O$21=woongebouw),IF(O$31&gt;100,1.28+0.01*O$31,MAX(1,2.28-1.28/70*(100-O$31)))*856/O$31,
INDEX(warmtapwater_specifieke_warmtebehoefte_waarden,MATCH(O$21,warmtapwater_specifieke_warmtebehoefte_gebruiksfuncties,0)))*O$44)</f>
        <v>0</v>
      </c>
      <c r="P62" s="322">
        <f t="shared" si="69"/>
        <v>0</v>
      </c>
      <c r="Q62" s="322">
        <f t="shared" si="69"/>
        <v>0</v>
      </c>
      <c r="R62" s="322">
        <f t="shared" si="69"/>
        <v>0</v>
      </c>
      <c r="S62" s="322">
        <f t="shared" si="69"/>
        <v>0</v>
      </c>
      <c r="T62" s="322">
        <f t="shared" si="69"/>
        <v>0</v>
      </c>
      <c r="U62" s="322">
        <f t="shared" si="69"/>
        <v>0</v>
      </c>
      <c r="V62" s="322">
        <f t="shared" si="69"/>
        <v>0</v>
      </c>
      <c r="W62" s="322">
        <f t="shared" si="69"/>
        <v>0</v>
      </c>
      <c r="X62" s="142"/>
      <c r="Y62" s="323">
        <f t="shared" si="59"/>
        <v>0</v>
      </c>
      <c r="Z62" s="321"/>
      <c r="AA62" s="322">
        <f t="shared" ref="AA62:AI62" si="70">IF(OR(AA$19="",AA$31=0),0,
IF(OR(AA$21=woning,AA$21=woongebouw),IF(AA$31&gt;100,1.28+0.01*AA$31,MAX(1,2.28-1.28/70*(100-AA$31)))*856/AA$31,
INDEX(warmtapwater_specifieke_warmtebehoefte_waarden,MATCH(AA$21,warmtapwater_specifieke_warmtebehoefte_gebruiksfuncties,0)))*AA$44)</f>
        <v>0</v>
      </c>
      <c r="AB62" s="322">
        <f t="shared" si="70"/>
        <v>0</v>
      </c>
      <c r="AC62" s="322">
        <f t="shared" si="70"/>
        <v>0</v>
      </c>
      <c r="AD62" s="322">
        <f t="shared" si="70"/>
        <v>0</v>
      </c>
      <c r="AE62" s="322">
        <f t="shared" si="70"/>
        <v>0</v>
      </c>
      <c r="AF62" s="322">
        <f t="shared" si="70"/>
        <v>0</v>
      </c>
      <c r="AG62" s="322">
        <f t="shared" si="70"/>
        <v>0</v>
      </c>
      <c r="AH62" s="322">
        <f t="shared" si="70"/>
        <v>0</v>
      </c>
      <c r="AI62" s="322">
        <f t="shared" si="70"/>
        <v>0</v>
      </c>
      <c r="AJ62" s="142"/>
      <c r="AK62" s="323">
        <f t="shared" si="61"/>
        <v>0</v>
      </c>
      <c r="AL62" s="321"/>
      <c r="AM62" s="322">
        <f t="shared" ref="AM62:AU62" si="71">IF(OR(AM$19="",AM$31=0),0,
IF(OR(AM$21=woning,AM$21=woongebouw),IF(AM$31&gt;100,1.28+0.01*AM$31,MAX(1,2.28-1.28/70*(100-AM$31)))*856/AM$31,
INDEX(warmtapwater_specifieke_warmtebehoefte_waarden,MATCH(AM$21,warmtapwater_specifieke_warmtebehoefte_gebruiksfuncties,0)))*AM$44)</f>
        <v>0</v>
      </c>
      <c r="AN62" s="322">
        <f t="shared" si="71"/>
        <v>0</v>
      </c>
      <c r="AO62" s="322">
        <f t="shared" si="71"/>
        <v>0</v>
      </c>
      <c r="AP62" s="322">
        <f t="shared" si="71"/>
        <v>0</v>
      </c>
      <c r="AQ62" s="322">
        <f t="shared" si="71"/>
        <v>0</v>
      </c>
      <c r="AR62" s="322">
        <f t="shared" si="71"/>
        <v>0</v>
      </c>
      <c r="AS62" s="322">
        <f t="shared" si="71"/>
        <v>0</v>
      </c>
      <c r="AT62" s="322">
        <f t="shared" si="71"/>
        <v>0</v>
      </c>
      <c r="AU62" s="322">
        <f t="shared" si="71"/>
        <v>0</v>
      </c>
      <c r="AV62" s="142"/>
      <c r="AW62" s="323">
        <f t="shared" si="63"/>
        <v>0</v>
      </c>
      <c r="AX62" s="321"/>
      <c r="AY62" s="322">
        <f t="shared" ref="AY62:BG62" si="72">IF(OR(AY$19="",AY$31=0),0,
IF(OR(AY$21=woning,AY$21=woongebouw),IF(AY$31&gt;100,1.28+0.01*AY$31,MAX(1,2.28-1.28/70*(100-AY$31)))*856/AY$31,
INDEX(warmtapwater_specifieke_warmtebehoefte_waarden,MATCH(AY$21,warmtapwater_specifieke_warmtebehoefte_gebruiksfuncties,0)))*AY$44)</f>
        <v>0</v>
      </c>
      <c r="AZ62" s="322">
        <f t="shared" si="72"/>
        <v>0</v>
      </c>
      <c r="BA62" s="322">
        <f t="shared" si="72"/>
        <v>0</v>
      </c>
      <c r="BB62" s="322">
        <f t="shared" si="72"/>
        <v>0</v>
      </c>
      <c r="BC62" s="322">
        <f t="shared" si="72"/>
        <v>0</v>
      </c>
      <c r="BD62" s="322">
        <f t="shared" si="72"/>
        <v>0</v>
      </c>
      <c r="BE62" s="322">
        <f t="shared" si="72"/>
        <v>0</v>
      </c>
      <c r="BF62" s="322">
        <f t="shared" si="72"/>
        <v>0</v>
      </c>
      <c r="BG62" s="322">
        <f t="shared" si="72"/>
        <v>0</v>
      </c>
      <c r="BH62" s="255"/>
    </row>
    <row r="63" spans="1:60" x14ac:dyDescent="0.2">
      <c r="A63" s="653"/>
      <c r="B63" s="492" t="s">
        <v>158</v>
      </c>
      <c r="C63" s="656" t="s">
        <v>113</v>
      </c>
      <c r="D63" s="750" t="s">
        <v>50</v>
      </c>
      <c r="E63" s="358" t="str">
        <f>$R$10</f>
        <v>verlichting</v>
      </c>
      <c r="F63" s="359"/>
      <c r="G63" s="359"/>
      <c r="H63" s="358" t="s">
        <v>169</v>
      </c>
      <c r="I63" s="321"/>
      <c r="J63" s="323">
        <f t="shared" si="56"/>
        <v>0</v>
      </c>
      <c r="K63" s="142"/>
      <c r="L63" s="142"/>
      <c r="M63" s="323">
        <f t="shared" si="57"/>
        <v>0</v>
      </c>
      <c r="N63" s="321"/>
      <c r="O63" s="322">
        <f t="shared" ref="O63:W63" si="73">IF(OR(O$19="",AND(O$21&lt;&gt;woning,O$21&lt;&gt;woongebouw,O$46="")),0,
(INDEX(verlichting_parameters_a,MATCH(O$21,verlichting_parameters_gebruiksfuncties,0))+
INDEX(verlichting_parameters_b,MATCH(O$21,verlichting_parameters_gebruiksfuncties,0))*IF(O$45="",INDEX(verlichting_vermogen_forfaitair,MATCH(O$21,verlichting_parameters_gebruiksfuncties,0)),O$45))*
IF(OR(O$21=woning,O$21=woongebouw),1,INDEX(verlichtingsregeling_waarden,MATCH(O$46,verlichtingsregeling_kopregel,0))))</f>
        <v>0</v>
      </c>
      <c r="P63" s="322">
        <f t="shared" si="73"/>
        <v>0</v>
      </c>
      <c r="Q63" s="322">
        <f t="shared" si="73"/>
        <v>0</v>
      </c>
      <c r="R63" s="322">
        <f t="shared" si="73"/>
        <v>0</v>
      </c>
      <c r="S63" s="322">
        <f t="shared" si="73"/>
        <v>0</v>
      </c>
      <c r="T63" s="322">
        <f t="shared" si="73"/>
        <v>0</v>
      </c>
      <c r="U63" s="322">
        <f t="shared" si="73"/>
        <v>0</v>
      </c>
      <c r="V63" s="322">
        <f t="shared" si="73"/>
        <v>0</v>
      </c>
      <c r="W63" s="322">
        <f t="shared" si="73"/>
        <v>0</v>
      </c>
      <c r="X63" s="142"/>
      <c r="Y63" s="323">
        <f t="shared" si="59"/>
        <v>0</v>
      </c>
      <c r="Z63" s="321"/>
      <c r="AA63" s="322">
        <f t="shared" ref="AA63:AI63" si="74">IF(OR(AA$19="",AND(AA$21&lt;&gt;woning,AA$21&lt;&gt;woongebouw,AA$46="")),0,
(INDEX(verlichting_parameters_a,MATCH(AA$21,verlichting_parameters_gebruiksfuncties,0))+
INDEX(verlichting_parameters_b,MATCH(AA$21,verlichting_parameters_gebruiksfuncties,0))*IF(AA$45="",INDEX(verlichting_vermogen_forfaitair,MATCH(AA$21,verlichting_parameters_gebruiksfuncties,0)),AA$45))*
IF(OR(AA$21=woning,AA$21=woongebouw),1,INDEX(verlichtingsregeling_waarden,MATCH(AA$46,verlichtingsregeling_kopregel,0))))</f>
        <v>0</v>
      </c>
      <c r="AB63" s="322">
        <f t="shared" si="74"/>
        <v>0</v>
      </c>
      <c r="AC63" s="322">
        <f t="shared" si="74"/>
        <v>0</v>
      </c>
      <c r="AD63" s="322">
        <f t="shared" si="74"/>
        <v>0</v>
      </c>
      <c r="AE63" s="322">
        <f t="shared" si="74"/>
        <v>0</v>
      </c>
      <c r="AF63" s="322">
        <f t="shared" si="74"/>
        <v>0</v>
      </c>
      <c r="AG63" s="322">
        <f t="shared" si="74"/>
        <v>0</v>
      </c>
      <c r="AH63" s="322">
        <f t="shared" si="74"/>
        <v>0</v>
      </c>
      <c r="AI63" s="322">
        <f t="shared" si="74"/>
        <v>0</v>
      </c>
      <c r="AJ63" s="142"/>
      <c r="AK63" s="323">
        <f t="shared" si="61"/>
        <v>0</v>
      </c>
      <c r="AL63" s="321"/>
      <c r="AM63" s="322">
        <f t="shared" ref="AM63:AU63" si="75">IF(OR(AM$19="",AND(AM$21&lt;&gt;woning,AM$21&lt;&gt;woongebouw,AM$46="")),0,
(INDEX(verlichting_parameters_a,MATCH(AM$21,verlichting_parameters_gebruiksfuncties,0))+
INDEX(verlichting_parameters_b,MATCH(AM$21,verlichting_parameters_gebruiksfuncties,0))*IF(AM$45="",INDEX(verlichting_vermogen_forfaitair,MATCH(AM$21,verlichting_parameters_gebruiksfuncties,0)),AM$45))*
IF(OR(AM$21=woning,AM$21=woongebouw),1,INDEX(verlichtingsregeling_waarden,MATCH(AM$46,verlichtingsregeling_kopregel,0))))</f>
        <v>0</v>
      </c>
      <c r="AN63" s="322">
        <f t="shared" si="75"/>
        <v>0</v>
      </c>
      <c r="AO63" s="322">
        <f t="shared" si="75"/>
        <v>0</v>
      </c>
      <c r="AP63" s="322">
        <f t="shared" si="75"/>
        <v>0</v>
      </c>
      <c r="AQ63" s="322">
        <f t="shared" si="75"/>
        <v>0</v>
      </c>
      <c r="AR63" s="322">
        <f t="shared" si="75"/>
        <v>0</v>
      </c>
      <c r="AS63" s="322">
        <f t="shared" si="75"/>
        <v>0</v>
      </c>
      <c r="AT63" s="322">
        <f t="shared" si="75"/>
        <v>0</v>
      </c>
      <c r="AU63" s="322">
        <f t="shared" si="75"/>
        <v>0</v>
      </c>
      <c r="AV63" s="142"/>
      <c r="AW63" s="323">
        <f t="shared" si="63"/>
        <v>0</v>
      </c>
      <c r="AX63" s="321"/>
      <c r="AY63" s="322">
        <f t="shared" ref="AY63:BG63" si="76">IF(OR(AY$19="",AND(AY$21&lt;&gt;woning,AY$21&lt;&gt;woongebouw,AY$46="")),0,
(INDEX(verlichting_parameters_a,MATCH(AY$21,verlichting_parameters_gebruiksfuncties,0))+
INDEX(verlichting_parameters_b,MATCH(AY$21,verlichting_parameters_gebruiksfuncties,0))*IF(AY$45="",INDEX(verlichting_vermogen_forfaitair,MATCH(AY$21,verlichting_parameters_gebruiksfuncties,0)),AY$45))*
IF(OR(AY$21=woning,AY$21=woongebouw),1,INDEX(verlichtingsregeling_waarden,MATCH(AY$46,verlichtingsregeling_kopregel,0))))</f>
        <v>0</v>
      </c>
      <c r="AZ63" s="322">
        <f t="shared" si="76"/>
        <v>0</v>
      </c>
      <c r="BA63" s="322">
        <f t="shared" si="76"/>
        <v>0</v>
      </c>
      <c r="BB63" s="322">
        <f t="shared" si="76"/>
        <v>0</v>
      </c>
      <c r="BC63" s="322">
        <f t="shared" si="76"/>
        <v>0</v>
      </c>
      <c r="BD63" s="322">
        <f t="shared" si="76"/>
        <v>0</v>
      </c>
      <c r="BE63" s="322">
        <f t="shared" si="76"/>
        <v>0</v>
      </c>
      <c r="BF63" s="322">
        <f t="shared" si="76"/>
        <v>0</v>
      </c>
      <c r="BG63" s="322">
        <f t="shared" si="76"/>
        <v>0</v>
      </c>
      <c r="BH63" s="255"/>
    </row>
    <row r="64" spans="1:60" x14ac:dyDescent="0.2">
      <c r="A64" s="653"/>
      <c r="B64" s="492" t="s">
        <v>158</v>
      </c>
      <c r="C64" s="656" t="s">
        <v>113</v>
      </c>
      <c r="D64" s="750" t="s">
        <v>50</v>
      </c>
      <c r="E64" s="358" t="str">
        <f>$S$10</f>
        <v>ventilatoren</v>
      </c>
      <c r="F64" s="359"/>
      <c r="G64" s="359"/>
      <c r="H64" s="358" t="s">
        <v>169</v>
      </c>
      <c r="I64" s="321"/>
      <c r="J64" s="323">
        <f t="shared" si="56"/>
        <v>0</v>
      </c>
      <c r="K64" s="142"/>
      <c r="L64" s="142"/>
      <c r="M64" s="323">
        <f t="shared" si="57"/>
        <v>0</v>
      </c>
      <c r="N64" s="321"/>
      <c r="O64" s="322">
        <f t="shared" ref="O64:W64" si="77">IFERROR(IF(OR(O$19="",O$42=""),0,
IF(INDEX(ventilatiesystemen_code_eenvoudig,MATCH(O$42,ventilatiesystemen_namen,0))="A",0,
IF(INDEX(ventilatiesystemen_code_eenvoudig,MATCH(O$42,ventilatiesystemen_namen,0))="C",VLOOKUP(O$43,ventilatorenergie_ventilatiesysteem_B_C,MATCH(O$21,ventilatorenergie_ventilatiesysteem_B_C_kopregel,0),FALSE),
VLOOKUP(O$43,ventilatorenergie_ventilatiesysteem_D,MATCH(O$21,ventilatorenergie_ventilatiesysteem_D_kopregel,0),FALSE)  ))),0)</f>
        <v>0</v>
      </c>
      <c r="P64" s="322">
        <f t="shared" si="77"/>
        <v>0</v>
      </c>
      <c r="Q64" s="322">
        <f t="shared" si="77"/>
        <v>0</v>
      </c>
      <c r="R64" s="322">
        <f t="shared" si="77"/>
        <v>0</v>
      </c>
      <c r="S64" s="322">
        <f t="shared" si="77"/>
        <v>0</v>
      </c>
      <c r="T64" s="322">
        <f t="shared" si="77"/>
        <v>0</v>
      </c>
      <c r="U64" s="322">
        <f t="shared" si="77"/>
        <v>0</v>
      </c>
      <c r="V64" s="322">
        <f t="shared" si="77"/>
        <v>0</v>
      </c>
      <c r="W64" s="322">
        <f t="shared" si="77"/>
        <v>0</v>
      </c>
      <c r="X64" s="142"/>
      <c r="Y64" s="323">
        <f t="shared" si="59"/>
        <v>0</v>
      </c>
      <c r="Z64" s="321"/>
      <c r="AA64" s="322">
        <f t="shared" ref="AA64:AI64" si="78">IFERROR(IF(OR(AA$19="",AA$42=""),0,
IF(INDEX(ventilatiesystemen_code_eenvoudig,MATCH(AA$42,ventilatiesystemen_namen,0))="A",0,
IF(INDEX(ventilatiesystemen_code_eenvoudig,MATCH(AA$42,ventilatiesystemen_namen,0))="C",VLOOKUP(AA$43,ventilatorenergie_ventilatiesysteem_B_C,MATCH(AA$21,ventilatorenergie_ventilatiesysteem_B_C_kopregel,0),FALSE),
VLOOKUP(AA$43,ventilatorenergie_ventilatiesysteem_D,MATCH(AA$21,ventilatorenergie_ventilatiesysteem_D_kopregel,0),FALSE)  ))),0)</f>
        <v>0</v>
      </c>
      <c r="AB64" s="322">
        <f t="shared" si="78"/>
        <v>0</v>
      </c>
      <c r="AC64" s="322">
        <f t="shared" si="78"/>
        <v>0</v>
      </c>
      <c r="AD64" s="322">
        <f t="shared" si="78"/>
        <v>0</v>
      </c>
      <c r="AE64" s="322">
        <f t="shared" si="78"/>
        <v>0</v>
      </c>
      <c r="AF64" s="322">
        <f t="shared" si="78"/>
        <v>0</v>
      </c>
      <c r="AG64" s="322">
        <f t="shared" si="78"/>
        <v>0</v>
      </c>
      <c r="AH64" s="322">
        <f t="shared" si="78"/>
        <v>0</v>
      </c>
      <c r="AI64" s="322">
        <f t="shared" si="78"/>
        <v>0</v>
      </c>
      <c r="AJ64" s="142"/>
      <c r="AK64" s="323">
        <f t="shared" si="61"/>
        <v>0</v>
      </c>
      <c r="AL64" s="321"/>
      <c r="AM64" s="322">
        <f t="shared" ref="AM64:AU64" si="79">IFERROR(IF(OR(AM$19="",AM$42=""),0,
IF(INDEX(ventilatiesystemen_code_eenvoudig,MATCH(AM$42,ventilatiesystemen_namen,0))="A",0,
IF(INDEX(ventilatiesystemen_code_eenvoudig,MATCH(AM$42,ventilatiesystemen_namen,0))="C",VLOOKUP(AM$43,ventilatorenergie_ventilatiesysteem_B_C,MATCH(AM$21,ventilatorenergie_ventilatiesysteem_B_C_kopregel,0),FALSE),
VLOOKUP(AM$43,ventilatorenergie_ventilatiesysteem_D,MATCH(AM$21,ventilatorenergie_ventilatiesysteem_D_kopregel,0),FALSE)  ))),0)</f>
        <v>0</v>
      </c>
      <c r="AN64" s="322">
        <f t="shared" si="79"/>
        <v>0</v>
      </c>
      <c r="AO64" s="322">
        <f t="shared" si="79"/>
        <v>0</v>
      </c>
      <c r="AP64" s="322">
        <f t="shared" si="79"/>
        <v>0</v>
      </c>
      <c r="AQ64" s="322">
        <f t="shared" si="79"/>
        <v>0</v>
      </c>
      <c r="AR64" s="322">
        <f t="shared" si="79"/>
        <v>0</v>
      </c>
      <c r="AS64" s="322">
        <f t="shared" si="79"/>
        <v>0</v>
      </c>
      <c r="AT64" s="322">
        <f t="shared" si="79"/>
        <v>0</v>
      </c>
      <c r="AU64" s="322">
        <f t="shared" si="79"/>
        <v>0</v>
      </c>
      <c r="AV64" s="142"/>
      <c r="AW64" s="323">
        <f t="shared" si="63"/>
        <v>0</v>
      </c>
      <c r="AX64" s="321"/>
      <c r="AY64" s="322">
        <f t="shared" ref="AY64:BG64" si="80">IFERROR(IF(OR(AY$19="",AY$42=""),0,
IF(INDEX(ventilatiesystemen_code_eenvoudig,MATCH(AY$42,ventilatiesystemen_namen,0))="A",0,
IF(INDEX(ventilatiesystemen_code_eenvoudig,MATCH(AY$42,ventilatiesystemen_namen,0))="C",VLOOKUP(AY$43,ventilatorenergie_ventilatiesysteem_B_C,MATCH(AY$21,ventilatorenergie_ventilatiesysteem_B_C_kopregel,0),FALSE),
VLOOKUP(AY$43,ventilatorenergie_ventilatiesysteem_D,MATCH(AY$21,ventilatorenergie_ventilatiesysteem_D_kopregel,0),FALSE)  ))),0)</f>
        <v>0</v>
      </c>
      <c r="AZ64" s="322">
        <f t="shared" si="80"/>
        <v>0</v>
      </c>
      <c r="BA64" s="322">
        <f t="shared" si="80"/>
        <v>0</v>
      </c>
      <c r="BB64" s="322">
        <f t="shared" si="80"/>
        <v>0</v>
      </c>
      <c r="BC64" s="322">
        <f t="shared" si="80"/>
        <v>0</v>
      </c>
      <c r="BD64" s="322">
        <f t="shared" si="80"/>
        <v>0</v>
      </c>
      <c r="BE64" s="322">
        <f t="shared" si="80"/>
        <v>0</v>
      </c>
      <c r="BF64" s="322">
        <f t="shared" si="80"/>
        <v>0</v>
      </c>
      <c r="BG64" s="322">
        <f t="shared" si="80"/>
        <v>0</v>
      </c>
      <c r="BH64" s="255"/>
    </row>
    <row r="65" spans="1:60" x14ac:dyDescent="0.2">
      <c r="A65" s="653"/>
      <c r="B65" s="492" t="s">
        <v>158</v>
      </c>
      <c r="C65" s="656" t="s">
        <v>113</v>
      </c>
      <c r="D65" s="750" t="s">
        <v>50</v>
      </c>
      <c r="E65" s="482" t="str">
        <f>$T$10</f>
        <v>kookgas</v>
      </c>
      <c r="F65" s="359"/>
      <c r="G65" s="359"/>
      <c r="H65" s="358" t="s">
        <v>169</v>
      </c>
      <c r="I65" s="321"/>
      <c r="J65" s="323">
        <f t="shared" si="56"/>
        <v>0</v>
      </c>
      <c r="K65" s="142"/>
      <c r="L65" s="142"/>
      <c r="M65" s="323">
        <f t="shared" si="57"/>
        <v>0</v>
      </c>
      <c r="N65" s="321"/>
      <c r="O65" s="322">
        <f t="shared" ref="O65:W65" si="81">IF(OR(O$19="",O$31=0,O$47=elektriciteit,AND(O$21&lt;&gt;woning,O$21&lt;&gt;woongebouw)),0,koken_gas/O$31)</f>
        <v>0</v>
      </c>
      <c r="P65" s="322">
        <f t="shared" si="81"/>
        <v>0</v>
      </c>
      <c r="Q65" s="322">
        <f t="shared" si="81"/>
        <v>0</v>
      </c>
      <c r="R65" s="322">
        <f t="shared" si="81"/>
        <v>0</v>
      </c>
      <c r="S65" s="322">
        <f t="shared" si="81"/>
        <v>0</v>
      </c>
      <c r="T65" s="322">
        <f t="shared" si="81"/>
        <v>0</v>
      </c>
      <c r="U65" s="322">
        <f t="shared" si="81"/>
        <v>0</v>
      </c>
      <c r="V65" s="322">
        <f t="shared" si="81"/>
        <v>0</v>
      </c>
      <c r="W65" s="322">
        <f t="shared" si="81"/>
        <v>0</v>
      </c>
      <c r="X65" s="142"/>
      <c r="Y65" s="323">
        <f t="shared" si="59"/>
        <v>0</v>
      </c>
      <c r="Z65" s="321"/>
      <c r="AA65" s="322">
        <f t="shared" ref="AA65:AI65" si="82">IF(OR(AA$19="",AA$31=0,AA$47=elektriciteit,AND(AA$21&lt;&gt;woning,AA$21&lt;&gt;woongebouw)),0,koken_gas/AA$31)</f>
        <v>0</v>
      </c>
      <c r="AB65" s="322">
        <f t="shared" si="82"/>
        <v>0</v>
      </c>
      <c r="AC65" s="322">
        <f t="shared" si="82"/>
        <v>0</v>
      </c>
      <c r="AD65" s="322">
        <f t="shared" si="82"/>
        <v>0</v>
      </c>
      <c r="AE65" s="322">
        <f t="shared" si="82"/>
        <v>0</v>
      </c>
      <c r="AF65" s="322">
        <f t="shared" si="82"/>
        <v>0</v>
      </c>
      <c r="AG65" s="322">
        <f t="shared" si="82"/>
        <v>0</v>
      </c>
      <c r="AH65" s="322">
        <f t="shared" si="82"/>
        <v>0</v>
      </c>
      <c r="AI65" s="322">
        <f t="shared" si="82"/>
        <v>0</v>
      </c>
      <c r="AJ65" s="142"/>
      <c r="AK65" s="323">
        <f t="shared" si="61"/>
        <v>0</v>
      </c>
      <c r="AL65" s="321"/>
      <c r="AM65" s="322">
        <f t="shared" ref="AM65:AU65" si="83">IF(OR(AM$19="",AM$31=0,AM$47=elektriciteit,AND(AM$21&lt;&gt;woning,AM$21&lt;&gt;woongebouw)),0,koken_gas/AM$31)</f>
        <v>0</v>
      </c>
      <c r="AN65" s="322">
        <f t="shared" si="83"/>
        <v>0</v>
      </c>
      <c r="AO65" s="322">
        <f t="shared" si="83"/>
        <v>0</v>
      </c>
      <c r="AP65" s="322">
        <f t="shared" si="83"/>
        <v>0</v>
      </c>
      <c r="AQ65" s="322">
        <f t="shared" si="83"/>
        <v>0</v>
      </c>
      <c r="AR65" s="322">
        <f t="shared" si="83"/>
        <v>0</v>
      </c>
      <c r="AS65" s="322">
        <f t="shared" si="83"/>
        <v>0</v>
      </c>
      <c r="AT65" s="322">
        <f t="shared" si="83"/>
        <v>0</v>
      </c>
      <c r="AU65" s="322">
        <f t="shared" si="83"/>
        <v>0</v>
      </c>
      <c r="AV65" s="142"/>
      <c r="AW65" s="323">
        <f t="shared" si="63"/>
        <v>0</v>
      </c>
      <c r="AX65" s="321"/>
      <c r="AY65" s="322">
        <f t="shared" ref="AY65:BG65" si="84">IF(OR(AY$19="",AY$31=0,AY$47=elektriciteit,AND(AY$21&lt;&gt;woning,AY$21&lt;&gt;woongebouw)),0,koken_gas/AY$31)</f>
        <v>0</v>
      </c>
      <c r="AZ65" s="322">
        <f t="shared" si="84"/>
        <v>0</v>
      </c>
      <c r="BA65" s="322">
        <f t="shared" si="84"/>
        <v>0</v>
      </c>
      <c r="BB65" s="322">
        <f t="shared" si="84"/>
        <v>0</v>
      </c>
      <c r="BC65" s="322">
        <f t="shared" si="84"/>
        <v>0</v>
      </c>
      <c r="BD65" s="322">
        <f t="shared" si="84"/>
        <v>0</v>
      </c>
      <c r="BE65" s="322">
        <f t="shared" si="84"/>
        <v>0</v>
      </c>
      <c r="BF65" s="322">
        <f t="shared" si="84"/>
        <v>0</v>
      </c>
      <c r="BG65" s="322">
        <f t="shared" si="84"/>
        <v>0</v>
      </c>
      <c r="BH65" s="255"/>
    </row>
    <row r="66" spans="1:60" x14ac:dyDescent="0.2">
      <c r="A66" s="653"/>
      <c r="B66" s="492" t="s">
        <v>158</v>
      </c>
      <c r="C66" s="656" t="s">
        <v>113</v>
      </c>
      <c r="D66" s="750" t="s">
        <v>50</v>
      </c>
      <c r="E66" s="358" t="str">
        <f>$U$10</f>
        <v>overig elektra</v>
      </c>
      <c r="F66" s="359"/>
      <c r="G66" s="359"/>
      <c r="H66" s="358" t="s">
        <v>169</v>
      </c>
      <c r="I66" s="321"/>
      <c r="J66" s="323">
        <f t="shared" si="56"/>
        <v>0</v>
      </c>
      <c r="K66" s="142"/>
      <c r="L66" s="142"/>
      <c r="M66" s="323">
        <f t="shared" si="57"/>
        <v>0</v>
      </c>
      <c r="N66" s="321"/>
      <c r="O66" s="322">
        <f t="shared" ref="O66:W66" si="85">IF(O$19="",0,
IF(OR(O$21=woning,O$21=woongebouw),(1-O$48)*niet_gebouwgebonden_elektriciteitgebruik_woningen_per_m2+IF(O$47=elektriciteit,koken_elektriciteit/O$31,0),
(1-O$48)*INDEX(specifiek_niet_gebouwgebonden_elektriciteitsgebruik_waarden,MATCH(O$21,specifiek_niet_gebouwgebonden_elektriciteitsgebruik_gebruiksfuncties,0))))</f>
        <v>0</v>
      </c>
      <c r="P66" s="322">
        <f t="shared" si="85"/>
        <v>0</v>
      </c>
      <c r="Q66" s="322">
        <f t="shared" si="85"/>
        <v>0</v>
      </c>
      <c r="R66" s="322">
        <f t="shared" si="85"/>
        <v>0</v>
      </c>
      <c r="S66" s="322">
        <f t="shared" si="85"/>
        <v>0</v>
      </c>
      <c r="T66" s="322">
        <f t="shared" si="85"/>
        <v>0</v>
      </c>
      <c r="U66" s="322">
        <f t="shared" si="85"/>
        <v>0</v>
      </c>
      <c r="V66" s="322">
        <f t="shared" si="85"/>
        <v>0</v>
      </c>
      <c r="W66" s="322">
        <f t="shared" si="85"/>
        <v>0</v>
      </c>
      <c r="X66" s="142"/>
      <c r="Y66" s="323">
        <f t="shared" si="59"/>
        <v>0</v>
      </c>
      <c r="Z66" s="321"/>
      <c r="AA66" s="322">
        <f t="shared" ref="AA66:AI66" si="86">IF(AA$19="",0,
IF(OR(AA$21=woning,AA$21=woongebouw),(1-AA$48)*niet_gebouwgebonden_elektriciteitgebruik_woningen_per_m2+IF(AA$47=elektriciteit,koken_elektriciteit/AA$31,0),
(1-AA$48)*INDEX(specifiek_niet_gebouwgebonden_elektriciteitsgebruik_waarden,MATCH(AA$21,specifiek_niet_gebouwgebonden_elektriciteitsgebruik_gebruiksfuncties,0))))</f>
        <v>0</v>
      </c>
      <c r="AB66" s="322">
        <f t="shared" si="86"/>
        <v>0</v>
      </c>
      <c r="AC66" s="322">
        <f t="shared" si="86"/>
        <v>0</v>
      </c>
      <c r="AD66" s="322">
        <f t="shared" si="86"/>
        <v>0</v>
      </c>
      <c r="AE66" s="322">
        <f t="shared" si="86"/>
        <v>0</v>
      </c>
      <c r="AF66" s="322">
        <f t="shared" si="86"/>
        <v>0</v>
      </c>
      <c r="AG66" s="322">
        <f t="shared" si="86"/>
        <v>0</v>
      </c>
      <c r="AH66" s="322">
        <f t="shared" si="86"/>
        <v>0</v>
      </c>
      <c r="AI66" s="322">
        <f t="shared" si="86"/>
        <v>0</v>
      </c>
      <c r="AJ66" s="142"/>
      <c r="AK66" s="323">
        <f t="shared" si="61"/>
        <v>0</v>
      </c>
      <c r="AL66" s="321"/>
      <c r="AM66" s="322">
        <f t="shared" ref="AM66:AU66" si="87">IF(AM$19="",0,
IF(OR(AM$21=woning,AM$21=woongebouw),(1-AM$48)*niet_gebouwgebonden_elektriciteitgebruik_woningen_per_m2+IF(AM$47=elektriciteit,koken_elektriciteit/AM$31,0),
(1-AM$48)*INDEX(specifiek_niet_gebouwgebonden_elektriciteitsgebruik_waarden,MATCH(AM$21,specifiek_niet_gebouwgebonden_elektriciteitsgebruik_gebruiksfuncties,0))))</f>
        <v>0</v>
      </c>
      <c r="AN66" s="322">
        <f t="shared" si="87"/>
        <v>0</v>
      </c>
      <c r="AO66" s="322">
        <f t="shared" si="87"/>
        <v>0</v>
      </c>
      <c r="AP66" s="322">
        <f t="shared" si="87"/>
        <v>0</v>
      </c>
      <c r="AQ66" s="322">
        <f t="shared" si="87"/>
        <v>0</v>
      </c>
      <c r="AR66" s="322">
        <f t="shared" si="87"/>
        <v>0</v>
      </c>
      <c r="AS66" s="322">
        <f t="shared" si="87"/>
        <v>0</v>
      </c>
      <c r="AT66" s="322">
        <f t="shared" si="87"/>
        <v>0</v>
      </c>
      <c r="AU66" s="322">
        <f t="shared" si="87"/>
        <v>0</v>
      </c>
      <c r="AV66" s="142"/>
      <c r="AW66" s="323">
        <f t="shared" si="63"/>
        <v>0</v>
      </c>
      <c r="AX66" s="321"/>
      <c r="AY66" s="322">
        <f t="shared" ref="AY66:BG66" si="88">IF(AY$19="",0,
IF(OR(AY$21=woning,AY$21=woongebouw),(1-AY$48)*niet_gebouwgebonden_elektriciteitgebruik_woningen_per_m2+IF(AY$47=elektriciteit,koken_elektriciteit/AY$31,0),
(1-AY$48)*INDEX(specifiek_niet_gebouwgebonden_elektriciteitsgebruik_waarden,MATCH(AY$21,specifiek_niet_gebouwgebonden_elektriciteitsgebruik_gebruiksfuncties,0))))</f>
        <v>0</v>
      </c>
      <c r="AZ66" s="322">
        <f t="shared" si="88"/>
        <v>0</v>
      </c>
      <c r="BA66" s="322">
        <f t="shared" si="88"/>
        <v>0</v>
      </c>
      <c r="BB66" s="322">
        <f t="shared" si="88"/>
        <v>0</v>
      </c>
      <c r="BC66" s="322">
        <f t="shared" si="88"/>
        <v>0</v>
      </c>
      <c r="BD66" s="322">
        <f t="shared" si="88"/>
        <v>0</v>
      </c>
      <c r="BE66" s="322">
        <f t="shared" si="88"/>
        <v>0</v>
      </c>
      <c r="BF66" s="322">
        <f t="shared" si="88"/>
        <v>0</v>
      </c>
      <c r="BG66" s="322">
        <f t="shared" si="88"/>
        <v>0</v>
      </c>
      <c r="BH66" s="255"/>
    </row>
    <row r="67" spans="1:60" ht="18.75" x14ac:dyDescent="0.2">
      <c r="A67" s="653"/>
      <c r="B67" s="492" t="s">
        <v>158</v>
      </c>
      <c r="C67" s="739" t="s">
        <v>104</v>
      </c>
      <c r="D67" s="750"/>
      <c r="E67" s="166" t="s">
        <v>170</v>
      </c>
      <c r="F67" s="167"/>
      <c r="G67" s="167"/>
      <c r="H67" s="168"/>
      <c r="I67" s="169"/>
      <c r="J67" s="170"/>
      <c r="K67" s="142"/>
      <c r="L67" s="142"/>
      <c r="M67" s="172"/>
      <c r="N67" s="172"/>
      <c r="O67" s="172"/>
      <c r="P67" s="172"/>
      <c r="Q67" s="172"/>
      <c r="R67" s="172"/>
      <c r="S67" s="172"/>
      <c r="T67" s="172"/>
      <c r="U67" s="172"/>
      <c r="V67" s="172"/>
      <c r="W67" s="172"/>
      <c r="X67" s="173"/>
      <c r="Y67" s="172"/>
      <c r="Z67" s="172"/>
      <c r="AA67" s="172"/>
      <c r="AB67" s="172"/>
      <c r="AC67" s="172"/>
      <c r="AD67" s="172"/>
      <c r="AE67" s="172"/>
      <c r="AF67" s="172"/>
      <c r="AG67" s="172"/>
      <c r="AH67" s="172"/>
      <c r="AI67" s="172"/>
      <c r="AJ67" s="173"/>
      <c r="AK67" s="172"/>
      <c r="AL67" s="172"/>
      <c r="AM67" s="172"/>
      <c r="AN67" s="172"/>
      <c r="AO67" s="172"/>
      <c r="AP67" s="172"/>
      <c r="AQ67" s="172"/>
      <c r="AR67" s="172"/>
      <c r="AS67" s="172"/>
      <c r="AT67" s="172"/>
      <c r="AU67" s="172"/>
      <c r="AV67" s="173"/>
      <c r="AW67" s="172"/>
      <c r="AX67" s="172"/>
      <c r="AY67" s="172"/>
      <c r="AZ67" s="172"/>
      <c r="BA67" s="172"/>
      <c r="BB67" s="172"/>
      <c r="BC67" s="172"/>
      <c r="BD67" s="172"/>
      <c r="BE67" s="172"/>
      <c r="BF67" s="172"/>
      <c r="BG67" s="172"/>
      <c r="BH67" s="263"/>
    </row>
    <row r="68" spans="1:60" x14ac:dyDescent="0.2">
      <c r="A68" s="653"/>
      <c r="B68" s="492" t="s">
        <v>158</v>
      </c>
      <c r="C68" s="656" t="s">
        <v>127</v>
      </c>
      <c r="D68" s="750" t="s">
        <v>50</v>
      </c>
      <c r="E68" s="358" t="str">
        <f>$V$10</f>
        <v>mobiliteit</v>
      </c>
      <c r="F68" s="359"/>
      <c r="G68" s="359"/>
      <c r="H68" s="358" t="s">
        <v>171</v>
      </c>
      <c r="I68" s="321"/>
      <c r="J68" s="323">
        <f>M68+Y68+AK68+AW68</f>
        <v>0</v>
      </c>
      <c r="K68" s="142"/>
      <c r="L68" s="142"/>
      <c r="M68" s="323">
        <f>SUMPRODUCT(N$24:X$24,N68:X68)/1000</f>
        <v>0</v>
      </c>
      <c r="N68" s="321"/>
      <c r="O68" s="449"/>
      <c r="P68" s="449"/>
      <c r="Q68" s="449"/>
      <c r="R68" s="449"/>
      <c r="S68" s="449"/>
      <c r="T68" s="449"/>
      <c r="U68" s="449"/>
      <c r="V68" s="449"/>
      <c r="W68" s="449"/>
      <c r="X68" s="142"/>
      <c r="Y68" s="323">
        <f>SUMPRODUCT(Z$24:AJ$24,Z68:AJ68)/1000</f>
        <v>0</v>
      </c>
      <c r="Z68" s="321"/>
      <c r="AA68" s="449"/>
      <c r="AB68" s="449"/>
      <c r="AC68" s="449"/>
      <c r="AD68" s="449"/>
      <c r="AE68" s="449"/>
      <c r="AF68" s="449"/>
      <c r="AG68" s="449"/>
      <c r="AH68" s="449"/>
      <c r="AI68" s="449"/>
      <c r="AJ68" s="142"/>
      <c r="AK68" s="323">
        <f>SUMPRODUCT(AL$24:AV$24,AL68:AV68)/1000</f>
        <v>0</v>
      </c>
      <c r="AL68" s="321"/>
      <c r="AM68" s="449"/>
      <c r="AN68" s="449"/>
      <c r="AO68" s="449"/>
      <c r="AP68" s="449"/>
      <c r="AQ68" s="449"/>
      <c r="AR68" s="449"/>
      <c r="AS68" s="449"/>
      <c r="AT68" s="449"/>
      <c r="AU68" s="449"/>
      <c r="AV68" s="142"/>
      <c r="AW68" s="323">
        <f>SUMPRODUCT(AX$24:BH$24,AX68:BH68)/1000</f>
        <v>0</v>
      </c>
      <c r="AX68" s="321"/>
      <c r="AY68" s="449"/>
      <c r="AZ68" s="449"/>
      <c r="BA68" s="449"/>
      <c r="BB68" s="449"/>
      <c r="BC68" s="449"/>
      <c r="BD68" s="449"/>
      <c r="BE68" s="449"/>
      <c r="BF68" s="449"/>
      <c r="BG68" s="449"/>
      <c r="BH68" s="255"/>
    </row>
    <row r="69" spans="1:60" ht="18.75" x14ac:dyDescent="0.2">
      <c r="A69" s="648"/>
      <c r="B69" s="492" t="s">
        <v>158</v>
      </c>
      <c r="C69" s="739" t="s">
        <v>104</v>
      </c>
      <c r="D69" s="750"/>
      <c r="E69" s="915" t="s">
        <v>172</v>
      </c>
      <c r="F69" s="916"/>
      <c r="G69" s="916"/>
      <c r="H69" s="168"/>
      <c r="I69" s="169"/>
      <c r="J69" s="170"/>
      <c r="K69" s="171"/>
      <c r="L69" s="171"/>
      <c r="M69" s="172"/>
      <c r="N69" s="172"/>
      <c r="O69" s="172"/>
      <c r="P69" s="172"/>
      <c r="Q69" s="172"/>
      <c r="R69" s="172"/>
      <c r="S69" s="172"/>
      <c r="T69" s="172"/>
      <c r="U69" s="172"/>
      <c r="V69" s="172"/>
      <c r="W69" s="172"/>
      <c r="X69" s="173"/>
      <c r="Y69" s="172"/>
      <c r="Z69" s="172"/>
      <c r="AA69" s="172"/>
      <c r="AB69" s="172"/>
      <c r="AC69" s="172"/>
      <c r="AD69" s="172"/>
      <c r="AE69" s="172"/>
      <c r="AF69" s="172"/>
      <c r="AG69" s="172"/>
      <c r="AH69" s="172"/>
      <c r="AI69" s="172"/>
      <c r="AJ69" s="173"/>
      <c r="AK69" s="172"/>
      <c r="AL69" s="172"/>
      <c r="AM69" s="172"/>
      <c r="AN69" s="172"/>
      <c r="AO69" s="172"/>
      <c r="AP69" s="172"/>
      <c r="AQ69" s="172"/>
      <c r="AR69" s="172"/>
      <c r="AS69" s="172"/>
      <c r="AT69" s="172"/>
      <c r="AU69" s="172"/>
      <c r="AV69" s="173"/>
      <c r="AW69" s="172"/>
      <c r="AX69" s="172"/>
      <c r="AY69" s="172"/>
      <c r="AZ69" s="172"/>
      <c r="BA69" s="172"/>
      <c r="BB69" s="172"/>
      <c r="BC69" s="172"/>
      <c r="BD69" s="172"/>
      <c r="BE69" s="172"/>
      <c r="BF69" s="172"/>
      <c r="BG69" s="172"/>
      <c r="BH69" s="263"/>
    </row>
    <row r="70" spans="1:60" x14ac:dyDescent="0.2">
      <c r="A70" s="648"/>
      <c r="B70" s="492" t="s">
        <v>158</v>
      </c>
      <c r="C70" s="656" t="s">
        <v>127</v>
      </c>
      <c r="D70" s="750" t="s">
        <v>50</v>
      </c>
      <c r="E70" s="358" t="s">
        <v>173</v>
      </c>
      <c r="F70" s="359"/>
      <c r="G70" s="359"/>
      <c r="H70" s="358" t="s">
        <v>171</v>
      </c>
      <c r="I70" s="321"/>
      <c r="J70" s="323">
        <f>M70+Y70+AK70+AW70</f>
        <v>0</v>
      </c>
      <c r="K70" s="142"/>
      <c r="L70" s="142"/>
      <c r="M70" s="323">
        <f>SUMPRODUCT(N$24:X$24,N70:X70)/1000</f>
        <v>0</v>
      </c>
      <c r="N70" s="321"/>
      <c r="O70" s="449"/>
      <c r="P70" s="449"/>
      <c r="Q70" s="449"/>
      <c r="R70" s="449"/>
      <c r="S70" s="449"/>
      <c r="T70" s="449"/>
      <c r="U70" s="449"/>
      <c r="V70" s="449"/>
      <c r="W70" s="449"/>
      <c r="X70" s="142"/>
      <c r="Y70" s="323">
        <f>SUMPRODUCT(Z$24:AJ$24,Z70:AJ70)/1000</f>
        <v>0</v>
      </c>
      <c r="Z70" s="321"/>
      <c r="AA70" s="449"/>
      <c r="AB70" s="449"/>
      <c r="AC70" s="449"/>
      <c r="AD70" s="449"/>
      <c r="AE70" s="449"/>
      <c r="AF70" s="449"/>
      <c r="AG70" s="449"/>
      <c r="AH70" s="449"/>
      <c r="AI70" s="449"/>
      <c r="AJ70" s="142"/>
      <c r="AK70" s="323">
        <f>SUMPRODUCT(AL$24:AV$24,AL70:AV70)/1000</f>
        <v>0</v>
      </c>
      <c r="AL70" s="321"/>
      <c r="AM70" s="449"/>
      <c r="AN70" s="449"/>
      <c r="AO70" s="449"/>
      <c r="AP70" s="449"/>
      <c r="AQ70" s="449"/>
      <c r="AR70" s="449"/>
      <c r="AS70" s="449"/>
      <c r="AT70" s="449"/>
      <c r="AU70" s="449"/>
      <c r="AV70" s="142"/>
      <c r="AW70" s="323">
        <f>SUMPRODUCT(AX$24:BH$24,AX70:BH70)/1000</f>
        <v>0</v>
      </c>
      <c r="AX70" s="321"/>
      <c r="AY70" s="449"/>
      <c r="AZ70" s="449"/>
      <c r="BA70" s="449"/>
      <c r="BB70" s="449"/>
      <c r="BC70" s="449"/>
      <c r="BD70" s="449"/>
      <c r="BE70" s="449"/>
      <c r="BF70" s="449"/>
      <c r="BG70" s="449"/>
      <c r="BH70" s="255"/>
    </row>
    <row r="71" spans="1:60" x14ac:dyDescent="0.2">
      <c r="A71" s="648"/>
      <c r="B71" s="492" t="s">
        <v>158</v>
      </c>
      <c r="C71" s="656" t="s">
        <v>127</v>
      </c>
      <c r="D71" s="747"/>
      <c r="E71" s="90"/>
      <c r="F71" s="90"/>
      <c r="G71" s="90"/>
      <c r="H71" s="96"/>
      <c r="I71" s="90"/>
      <c r="J71" s="93"/>
      <c r="K71" s="90"/>
      <c r="L71" s="90"/>
      <c r="M71" s="93"/>
      <c r="N71" s="90"/>
      <c r="O71" s="117"/>
      <c r="P71" s="93"/>
      <c r="Q71" s="117"/>
      <c r="R71" s="117"/>
      <c r="S71" s="117"/>
      <c r="T71" s="117"/>
      <c r="U71" s="117"/>
      <c r="V71" s="117"/>
      <c r="W71" s="117"/>
      <c r="X71" s="93"/>
      <c r="Y71" s="93"/>
      <c r="Z71" s="90"/>
      <c r="AA71" s="117"/>
      <c r="AB71" s="93"/>
      <c r="AC71" s="117"/>
      <c r="AD71" s="117"/>
      <c r="AE71" s="117"/>
      <c r="AF71" s="117"/>
      <c r="AG71" s="117"/>
      <c r="AH71" s="117"/>
      <c r="AI71" s="117"/>
      <c r="AJ71" s="93"/>
      <c r="AK71" s="93"/>
      <c r="AL71" s="90"/>
      <c r="AM71" s="117"/>
      <c r="AN71" s="93"/>
      <c r="AO71" s="117"/>
      <c r="AP71" s="117"/>
      <c r="AQ71" s="117"/>
      <c r="AR71" s="117"/>
      <c r="AS71" s="117"/>
      <c r="AT71" s="117"/>
      <c r="AU71" s="117"/>
      <c r="AV71" s="93"/>
      <c r="AW71" s="93"/>
      <c r="AX71" s="90"/>
      <c r="AY71" s="93"/>
      <c r="AZ71" s="93"/>
      <c r="BA71" s="93"/>
      <c r="BB71" s="93"/>
      <c r="BC71" s="93"/>
      <c r="BD71" s="93"/>
      <c r="BE71" s="93"/>
      <c r="BF71" s="93"/>
      <c r="BG71" s="93"/>
      <c r="BH71" s="1"/>
    </row>
    <row r="72" spans="1:60" x14ac:dyDescent="0.2">
      <c r="A72" s="648"/>
      <c r="B72" s="492" t="s">
        <v>158</v>
      </c>
      <c r="C72" s="656" t="s">
        <v>104</v>
      </c>
      <c r="D72" s="747"/>
      <c r="E72" s="90"/>
      <c r="F72" s="90"/>
      <c r="G72" s="90"/>
      <c r="H72" s="96"/>
      <c r="I72" s="90"/>
      <c r="J72" s="93"/>
      <c r="K72" s="90"/>
      <c r="L72" s="90"/>
      <c r="M72" s="93"/>
      <c r="N72" s="90"/>
      <c r="O72" s="117"/>
      <c r="P72" s="93"/>
      <c r="Q72" s="117"/>
      <c r="R72" s="117"/>
      <c r="S72" s="117"/>
      <c r="T72" s="117"/>
      <c r="U72" s="117"/>
      <c r="V72" s="117"/>
      <c r="W72" s="117"/>
      <c r="X72" s="93"/>
      <c r="Y72" s="93"/>
      <c r="Z72" s="90"/>
      <c r="AA72" s="117"/>
      <c r="AB72" s="93"/>
      <c r="AC72" s="117"/>
      <c r="AD72" s="117"/>
      <c r="AE72" s="117"/>
      <c r="AF72" s="117"/>
      <c r="AG72" s="117"/>
      <c r="AH72" s="117"/>
      <c r="AI72" s="117"/>
      <c r="AJ72" s="93"/>
      <c r="AK72" s="93"/>
      <c r="AL72" s="90"/>
      <c r="AM72" s="117"/>
      <c r="AN72" s="93"/>
      <c r="AO72" s="117"/>
      <c r="AP72" s="117"/>
      <c r="AQ72" s="117"/>
      <c r="AR72" s="117"/>
      <c r="AS72" s="117"/>
      <c r="AT72" s="117"/>
      <c r="AU72" s="117"/>
      <c r="AV72" s="93"/>
      <c r="AW72" s="93"/>
      <c r="AX72" s="90"/>
      <c r="AY72" s="93"/>
      <c r="AZ72" s="93"/>
      <c r="BA72" s="93"/>
      <c r="BB72" s="93"/>
      <c r="BC72" s="93"/>
      <c r="BD72" s="93"/>
      <c r="BE72" s="93"/>
      <c r="BF72" s="93"/>
      <c r="BG72" s="93"/>
      <c r="BH72" s="1"/>
    </row>
    <row r="73" spans="1:60" ht="21" x14ac:dyDescent="0.2">
      <c r="A73" s="648"/>
      <c r="B73" s="492" t="s">
        <v>158</v>
      </c>
      <c r="C73" s="739" t="s">
        <v>104</v>
      </c>
      <c r="D73" s="752"/>
      <c r="E73" s="240" t="s">
        <v>174</v>
      </c>
      <c r="F73" s="240"/>
      <c r="G73" s="240"/>
      <c r="H73" s="240"/>
      <c r="I73" s="88"/>
      <c r="J73" s="241" t="str">
        <f>J$10&amp;" MWh"</f>
        <v>totaal MWh</v>
      </c>
      <c r="K73" s="142"/>
      <c r="L73" s="142"/>
      <c r="M73" s="216" t="str">
        <f>M$10&amp;" MWh"</f>
        <v>totaal MWh</v>
      </c>
      <c r="N73" s="222"/>
      <c r="O73" s="217" t="str">
        <f t="shared" ref="O73:W73" si="89">O$10</f>
        <v>verwarming</v>
      </c>
      <c r="P73" s="217" t="str">
        <f t="shared" si="89"/>
        <v>koeling</v>
      </c>
      <c r="Q73" s="217" t="str">
        <f t="shared" si="89"/>
        <v>tapwater</v>
      </c>
      <c r="R73" s="217" t="str">
        <f t="shared" si="89"/>
        <v>verlichting</v>
      </c>
      <c r="S73" s="217" t="str">
        <f t="shared" si="89"/>
        <v>ventilatoren</v>
      </c>
      <c r="T73" s="217" t="str">
        <f t="shared" si="89"/>
        <v>kookgas</v>
      </c>
      <c r="U73" s="217" t="str">
        <f t="shared" si="89"/>
        <v>overig elektra</v>
      </c>
      <c r="V73" s="217" t="str">
        <f t="shared" si="89"/>
        <v>mobiliteit</v>
      </c>
      <c r="W73" s="217" t="str">
        <f t="shared" si="89"/>
        <v>zonnepanelen</v>
      </c>
      <c r="X73" s="214"/>
      <c r="Y73" s="216" t="str">
        <f>Y$10&amp;" MWh"</f>
        <v>totaal MWh</v>
      </c>
      <c r="Z73" s="222"/>
      <c r="AA73" s="217" t="str">
        <f t="shared" ref="AA73:AI73" si="90">AA$10</f>
        <v>verwarming</v>
      </c>
      <c r="AB73" s="217" t="str">
        <f t="shared" si="90"/>
        <v>koeling</v>
      </c>
      <c r="AC73" s="217" t="str">
        <f t="shared" si="90"/>
        <v>tapwater</v>
      </c>
      <c r="AD73" s="217" t="str">
        <f t="shared" si="90"/>
        <v>verlichting</v>
      </c>
      <c r="AE73" s="217" t="str">
        <f t="shared" si="90"/>
        <v>ventilatoren</v>
      </c>
      <c r="AF73" s="217" t="str">
        <f t="shared" si="90"/>
        <v>kookgas</v>
      </c>
      <c r="AG73" s="217" t="str">
        <f t="shared" si="90"/>
        <v>overig elektra</v>
      </c>
      <c r="AH73" s="217" t="str">
        <f t="shared" si="90"/>
        <v>mobiliteit</v>
      </c>
      <c r="AI73" s="217" t="str">
        <f t="shared" si="90"/>
        <v>zonnepanelen</v>
      </c>
      <c r="AJ73" s="214"/>
      <c r="AK73" s="216" t="str">
        <f>AK$10&amp;" MWh"</f>
        <v>totaal MWh</v>
      </c>
      <c r="AL73" s="222"/>
      <c r="AM73" s="217" t="str">
        <f>AM$10</f>
        <v>verwarming</v>
      </c>
      <c r="AN73" s="217" t="str">
        <f t="shared" ref="AN73:AU73" si="91">AN$10</f>
        <v>koeling</v>
      </c>
      <c r="AO73" s="217" t="str">
        <f t="shared" si="91"/>
        <v>tapwater</v>
      </c>
      <c r="AP73" s="217" t="str">
        <f t="shared" si="91"/>
        <v>verlichting</v>
      </c>
      <c r="AQ73" s="217" t="str">
        <f t="shared" si="91"/>
        <v>ventilatoren</v>
      </c>
      <c r="AR73" s="217" t="str">
        <f t="shared" si="91"/>
        <v>kookgas</v>
      </c>
      <c r="AS73" s="217" t="str">
        <f t="shared" si="91"/>
        <v>overig elektra</v>
      </c>
      <c r="AT73" s="217" t="str">
        <f t="shared" si="91"/>
        <v>mobiliteit</v>
      </c>
      <c r="AU73" s="217" t="str">
        <f t="shared" si="91"/>
        <v>zonnepanelen</v>
      </c>
      <c r="AV73" s="214"/>
      <c r="AW73" s="216" t="str">
        <f>AW$10&amp;" MWh"</f>
        <v>totaal MWh</v>
      </c>
      <c r="AX73" s="222"/>
      <c r="AY73" s="217" t="str">
        <f>AY$10</f>
        <v>verwarming</v>
      </c>
      <c r="AZ73" s="217" t="str">
        <f t="shared" ref="AZ73:BG73" si="92">AZ$10</f>
        <v>koeling</v>
      </c>
      <c r="BA73" s="217" t="str">
        <f t="shared" si="92"/>
        <v>tapwater</v>
      </c>
      <c r="BB73" s="217" t="str">
        <f t="shared" si="92"/>
        <v>verlichting</v>
      </c>
      <c r="BC73" s="217" t="str">
        <f t="shared" si="92"/>
        <v>ventilatoren</v>
      </c>
      <c r="BD73" s="217" t="str">
        <f t="shared" si="92"/>
        <v>kookgas</v>
      </c>
      <c r="BE73" s="217" t="str">
        <f t="shared" si="92"/>
        <v>overig elektra</v>
      </c>
      <c r="BF73" s="217" t="str">
        <f t="shared" si="92"/>
        <v>mobiliteit</v>
      </c>
      <c r="BG73" s="217" t="str">
        <f t="shared" si="92"/>
        <v>zonnepanelen</v>
      </c>
      <c r="BH73" s="1"/>
    </row>
    <row r="74" spans="1:60" ht="18.75" x14ac:dyDescent="0.2">
      <c r="A74" s="648"/>
      <c r="B74" s="492" t="s">
        <v>158</v>
      </c>
      <c r="C74" s="739" t="s">
        <v>104</v>
      </c>
      <c r="D74" s="750"/>
      <c r="E74" s="174" t="s">
        <v>175</v>
      </c>
      <c r="F74" s="175"/>
      <c r="G74" s="175"/>
      <c r="H74" s="176"/>
      <c r="I74" s="177"/>
      <c r="J74" s="141"/>
      <c r="K74" s="178"/>
      <c r="L74" s="178"/>
      <c r="M74" s="141"/>
      <c r="N74" s="141"/>
      <c r="O74" s="141"/>
      <c r="P74" s="141"/>
      <c r="Q74" s="141"/>
      <c r="R74" s="141"/>
      <c r="S74" s="141"/>
      <c r="T74" s="141"/>
      <c r="U74" s="141"/>
      <c r="V74" s="141"/>
      <c r="W74" s="141"/>
      <c r="X74" s="179"/>
      <c r="Y74" s="141"/>
      <c r="Z74" s="141"/>
      <c r="AA74" s="141"/>
      <c r="AB74" s="141"/>
      <c r="AC74" s="141"/>
      <c r="AD74" s="141"/>
      <c r="AE74" s="141"/>
      <c r="AF74" s="141"/>
      <c r="AG74" s="141"/>
      <c r="AH74" s="141"/>
      <c r="AI74" s="141"/>
      <c r="AJ74" s="179"/>
      <c r="AK74" s="141"/>
      <c r="AL74" s="141"/>
      <c r="AM74" s="141"/>
      <c r="AN74" s="141"/>
      <c r="AO74" s="141"/>
      <c r="AP74" s="141"/>
      <c r="AQ74" s="141"/>
      <c r="AR74" s="141"/>
      <c r="AS74" s="141"/>
      <c r="AT74" s="141"/>
      <c r="AU74" s="141"/>
      <c r="AV74" s="179"/>
      <c r="AW74" s="141"/>
      <c r="AX74" s="141"/>
      <c r="AY74" s="141"/>
      <c r="AZ74" s="141"/>
      <c r="BA74" s="141"/>
      <c r="BB74" s="141"/>
      <c r="BC74" s="141"/>
      <c r="BD74" s="141"/>
      <c r="BE74" s="141"/>
      <c r="BF74" s="141"/>
      <c r="BG74" s="141"/>
      <c r="BH74" s="263"/>
    </row>
    <row r="75" spans="1:60" x14ac:dyDescent="0.2">
      <c r="A75" s="648"/>
      <c r="B75" s="492" t="s">
        <v>158</v>
      </c>
      <c r="C75" s="656" t="s">
        <v>113</v>
      </c>
      <c r="D75" s="750" t="s">
        <v>50</v>
      </c>
      <c r="E75" s="358" t="s">
        <v>176</v>
      </c>
      <c r="F75" s="359"/>
      <c r="G75" s="359"/>
      <c r="H75" s="358" t="s">
        <v>177</v>
      </c>
      <c r="I75" s="321"/>
      <c r="J75" s="323">
        <f>M75+Y75+AK75+AW75</f>
        <v>0</v>
      </c>
      <c r="K75" s="142"/>
      <c r="L75" s="142"/>
      <c r="M75" s="323">
        <f>SUM(N75:X75)</f>
        <v>0</v>
      </c>
      <c r="N75" s="321"/>
      <c r="O75" s="322">
        <f>SUMPRODUCT(N24:X24,N31:X31,N60:X60)/1000</f>
        <v>0</v>
      </c>
      <c r="P75" s="322">
        <f>SUMPRODUCT(N24:X24,N31:X31,N61:X61)/1000</f>
        <v>0</v>
      </c>
      <c r="Q75" s="322">
        <f>SUMPRODUCT(N24:X24,N31:X31,N62:X62)/1000</f>
        <v>0</v>
      </c>
      <c r="R75" s="322">
        <f>SUMPRODUCT(N24:X24,N31:X31,N63:X63)/1000</f>
        <v>0</v>
      </c>
      <c r="S75" s="322">
        <f>SUMPRODUCT(N24:X24,N31:X31,N64:X64)/1000</f>
        <v>0</v>
      </c>
      <c r="T75" s="322">
        <f>SUMPRODUCT(N24:X24,N31:X31,N65:X65)/1000</f>
        <v>0</v>
      </c>
      <c r="U75" s="322">
        <f>SUMPRODUCT(N24:X24,N31:X31,N66:X66)/1000</f>
        <v>0</v>
      </c>
      <c r="V75" s="322">
        <f>SUMPRODUCT(N24:X24,N68:X68)/1000</f>
        <v>0</v>
      </c>
      <c r="W75" s="322">
        <f>-SUMPRODUCT(N24:X24,N70:X70)/1000</f>
        <v>0</v>
      </c>
      <c r="X75" s="142"/>
      <c r="Y75" s="323">
        <f>SUM(Z75:AJ75)</f>
        <v>0</v>
      </c>
      <c r="Z75" s="321"/>
      <c r="AA75" s="322">
        <f>SUMPRODUCT(Z24:AJ24,Z31:AJ31,Z60:AJ60)/1000</f>
        <v>0</v>
      </c>
      <c r="AB75" s="322">
        <f>SUMPRODUCT(Z24:AJ24,Z31:AJ31,Z61:AJ61)/1000</f>
        <v>0</v>
      </c>
      <c r="AC75" s="322">
        <f>SUMPRODUCT(Z24:AJ24,Z31:AJ31,Z62:AJ62)/1000</f>
        <v>0</v>
      </c>
      <c r="AD75" s="322">
        <f>SUMPRODUCT(Z24:AJ24,Z31:AJ31,Z63:AJ63)/1000</f>
        <v>0</v>
      </c>
      <c r="AE75" s="322">
        <f>SUMPRODUCT(Z24:AJ24,Z31:AJ31,Z64:AJ64)/1000</f>
        <v>0</v>
      </c>
      <c r="AF75" s="322">
        <f>SUMPRODUCT(Z24:AJ24,Z31:AJ31,Z65:AJ65)/1000</f>
        <v>0</v>
      </c>
      <c r="AG75" s="322">
        <f>SUMPRODUCT(Z24:AJ24,Z31:AJ31,Z66:AJ66)/1000</f>
        <v>0</v>
      </c>
      <c r="AH75" s="322">
        <f>SUMPRODUCT(Z24:AJ24,Z68:AJ68)/1000</f>
        <v>0</v>
      </c>
      <c r="AI75" s="322">
        <f>-SUMPRODUCT(Z24:AJ24,Z70:AJ70)/1000</f>
        <v>0</v>
      </c>
      <c r="AJ75" s="142"/>
      <c r="AK75" s="323">
        <f>SUM(AL75:AV75)</f>
        <v>0</v>
      </c>
      <c r="AL75" s="321"/>
      <c r="AM75" s="322">
        <f>SUMPRODUCT(AL24:AV24,AL31:AV31,AL60:AV60)/1000</f>
        <v>0</v>
      </c>
      <c r="AN75" s="322">
        <f>SUMPRODUCT(AL24:AV24,AL31:AV31,AL61:AV61)/1000</f>
        <v>0</v>
      </c>
      <c r="AO75" s="322">
        <f>SUMPRODUCT(AL24:AV24,AL31:AV31,AL62:AV62)/1000</f>
        <v>0</v>
      </c>
      <c r="AP75" s="322">
        <f>SUMPRODUCT(AL24:AV24,AL31:AV31,AL63:AV63)/1000</f>
        <v>0</v>
      </c>
      <c r="AQ75" s="322">
        <f>SUMPRODUCT(AL24:AV24,AL31:AV31,AL64:AV64)/1000</f>
        <v>0</v>
      </c>
      <c r="AR75" s="322">
        <f>SUMPRODUCT(AL24:AV24,AL31:AV31,AL65:AV65)/1000</f>
        <v>0</v>
      </c>
      <c r="AS75" s="322">
        <f>SUMPRODUCT(AL24:AV24,AL31:AV31,AL66:AV66)/1000</f>
        <v>0</v>
      </c>
      <c r="AT75" s="322">
        <f>SUMPRODUCT(AL24:AV24,AL68:AV68)/1000</f>
        <v>0</v>
      </c>
      <c r="AU75" s="322">
        <f>-SUMPRODUCT(AL24:AV24,AL70:AV70)/1000</f>
        <v>0</v>
      </c>
      <c r="AV75" s="142"/>
      <c r="AW75" s="323">
        <f>SUM(AX75:BH75)</f>
        <v>0</v>
      </c>
      <c r="AX75" s="321"/>
      <c r="AY75" s="322">
        <f>SUMPRODUCT(AX24:BH24,AX31:BH31,AX60:BH60)/1000</f>
        <v>0</v>
      </c>
      <c r="AZ75" s="322">
        <f>SUMPRODUCT(AX24:BH24,AX31:BH31,AX61:BH61)/1000</f>
        <v>0</v>
      </c>
      <c r="BA75" s="322">
        <f>SUMPRODUCT(AX24:BH24,AX31:BH31,AX62:BH62)/1000</f>
        <v>0</v>
      </c>
      <c r="BB75" s="322">
        <f>SUMPRODUCT(AX24:BH24,AX31:BH31,AX63:BH63)/1000</f>
        <v>0</v>
      </c>
      <c r="BC75" s="322">
        <f>SUMPRODUCT(AX24:BH24,AX31:BH31,AX64:BH64)/1000</f>
        <v>0</v>
      </c>
      <c r="BD75" s="322">
        <f>SUMPRODUCT(AX24:BH24,AX31:BH31,AX65:BH65)/1000</f>
        <v>0</v>
      </c>
      <c r="BE75" s="322">
        <f>SUMPRODUCT(AX24:BH24,AX31:BH31,AX66:BH66)/1000</f>
        <v>0</v>
      </c>
      <c r="BF75" s="322">
        <f>SUMPRODUCT(AX24:BH24,AX68:BH68)/1000</f>
        <v>0</v>
      </c>
      <c r="BG75" s="322">
        <f>-SUMPRODUCT(AX24:BH24,AX70:BH70)/1000</f>
        <v>0</v>
      </c>
      <c r="BH75" s="255"/>
    </row>
    <row r="76" spans="1:60" x14ac:dyDescent="0.2">
      <c r="A76" s="648"/>
      <c r="B76" s="492" t="s">
        <v>158</v>
      </c>
      <c r="C76" s="739" t="s">
        <v>104</v>
      </c>
      <c r="D76" s="747"/>
      <c r="E76" s="90"/>
      <c r="F76" s="90"/>
      <c r="G76" s="90"/>
      <c r="H76" s="96"/>
      <c r="I76" s="90"/>
      <c r="J76" s="93"/>
      <c r="K76" s="90"/>
      <c r="L76" s="90"/>
      <c r="M76" s="93"/>
      <c r="N76" s="90"/>
      <c r="O76" s="93"/>
      <c r="P76" s="93"/>
      <c r="Q76" s="93"/>
      <c r="R76" s="93"/>
      <c r="S76" s="93"/>
      <c r="T76" s="93"/>
      <c r="U76" s="93"/>
      <c r="V76" s="93"/>
      <c r="W76" s="93"/>
      <c r="X76" s="93"/>
      <c r="Y76" s="93"/>
      <c r="Z76" s="90"/>
      <c r="AA76" s="122"/>
      <c r="AB76" s="93"/>
      <c r="AC76" s="122"/>
      <c r="AD76" s="93"/>
      <c r="AE76" s="93"/>
      <c r="AF76" s="93"/>
      <c r="AG76" s="93"/>
      <c r="AH76" s="93"/>
      <c r="AI76" s="93"/>
      <c r="AJ76" s="93"/>
      <c r="AK76" s="93"/>
      <c r="AL76" s="90"/>
      <c r="AM76" s="93"/>
      <c r="AN76" s="93"/>
      <c r="AO76" s="93"/>
      <c r="AP76" s="93"/>
      <c r="AQ76" s="93"/>
      <c r="AR76" s="93"/>
      <c r="AS76" s="93"/>
      <c r="AT76" s="93"/>
      <c r="AU76" s="93"/>
      <c r="AV76" s="93"/>
      <c r="AW76" s="93"/>
      <c r="AX76" s="90"/>
      <c r="AY76" s="93"/>
      <c r="AZ76" s="93"/>
      <c r="BA76" s="93"/>
      <c r="BB76" s="93"/>
      <c r="BC76" s="93"/>
      <c r="BD76" s="93"/>
      <c r="BE76" s="93"/>
      <c r="BF76" s="93"/>
      <c r="BG76" s="93"/>
      <c r="BH76" s="1"/>
    </row>
    <row r="77" spans="1:60" x14ac:dyDescent="0.2">
      <c r="A77" s="648"/>
      <c r="B77" s="492" t="s">
        <v>178</v>
      </c>
      <c r="C77" s="656" t="s">
        <v>104</v>
      </c>
      <c r="D77" s="747"/>
      <c r="E77" s="90"/>
      <c r="F77" s="90"/>
      <c r="G77" s="90"/>
      <c r="H77" s="96"/>
      <c r="I77" s="90"/>
      <c r="J77" s="93"/>
      <c r="K77" s="90"/>
      <c r="L77" s="90"/>
      <c r="M77" s="93"/>
      <c r="N77" s="90"/>
      <c r="O77" s="93"/>
      <c r="P77" s="93"/>
      <c r="Q77" s="93"/>
      <c r="R77" s="93"/>
      <c r="S77" s="93"/>
      <c r="T77" s="93"/>
      <c r="U77" s="93"/>
      <c r="V77" s="93"/>
      <c r="W77" s="93"/>
      <c r="X77" s="93"/>
      <c r="Y77" s="93"/>
      <c r="Z77" s="90"/>
      <c r="AA77" s="122"/>
      <c r="AB77" s="122"/>
      <c r="AC77" s="93"/>
      <c r="AD77" s="93"/>
      <c r="AE77" s="93"/>
      <c r="AF77" s="93"/>
      <c r="AG77" s="93"/>
      <c r="AH77" s="93"/>
      <c r="AI77" s="93"/>
      <c r="AJ77" s="93"/>
      <c r="AK77" s="93"/>
      <c r="AL77" s="90"/>
      <c r="AM77" s="93"/>
      <c r="AN77" s="93"/>
      <c r="AO77" s="93"/>
      <c r="AP77" s="93"/>
      <c r="AQ77" s="93"/>
      <c r="AR77" s="93"/>
      <c r="AS77" s="93"/>
      <c r="AT77" s="93"/>
      <c r="AU77" s="93"/>
      <c r="AV77" s="93"/>
      <c r="AW77" s="93"/>
      <c r="AX77" s="90"/>
      <c r="AY77" s="93"/>
      <c r="AZ77" s="93"/>
      <c r="BA77" s="93"/>
      <c r="BB77" s="93"/>
      <c r="BC77" s="93"/>
      <c r="BD77" s="93"/>
      <c r="BE77" s="93"/>
      <c r="BF77" s="93"/>
      <c r="BG77" s="93"/>
      <c r="BH77" s="1"/>
    </row>
    <row r="78" spans="1:60" ht="21" x14ac:dyDescent="0.2">
      <c r="A78" s="648"/>
      <c r="B78" s="492" t="s">
        <v>178</v>
      </c>
      <c r="C78" s="739" t="s">
        <v>104</v>
      </c>
      <c r="D78" s="750" t="s">
        <v>50</v>
      </c>
      <c r="E78" s="240" t="s">
        <v>179</v>
      </c>
      <c r="F78" s="240"/>
      <c r="G78" s="240"/>
      <c r="H78" s="240"/>
      <c r="I78" s="88"/>
      <c r="J78" s="241"/>
      <c r="K78" s="142"/>
      <c r="L78" s="142"/>
      <c r="M78" s="216"/>
      <c r="N78" s="222"/>
      <c r="O78" s="217"/>
      <c r="P78" s="217"/>
      <c r="Q78" s="217"/>
      <c r="R78" s="217"/>
      <c r="S78" s="217"/>
      <c r="T78" s="217"/>
      <c r="U78" s="217"/>
      <c r="V78" s="217"/>
      <c r="W78" s="217"/>
      <c r="X78" s="214"/>
      <c r="Y78" s="216"/>
      <c r="Z78" s="222"/>
      <c r="AA78" s="217"/>
      <c r="AB78" s="217"/>
      <c r="AC78" s="217"/>
      <c r="AD78" s="217"/>
      <c r="AE78" s="217"/>
      <c r="AF78" s="217"/>
      <c r="AG78" s="217"/>
      <c r="AH78" s="217"/>
      <c r="AI78" s="217"/>
      <c r="AJ78" s="214"/>
      <c r="AK78" s="216"/>
      <c r="AL78" s="222"/>
      <c r="AM78" s="217"/>
      <c r="AN78" s="217"/>
      <c r="AO78" s="217"/>
      <c r="AP78" s="217"/>
      <c r="AQ78" s="217"/>
      <c r="AR78" s="217"/>
      <c r="AS78" s="217"/>
      <c r="AT78" s="217"/>
      <c r="AU78" s="217"/>
      <c r="AV78" s="214"/>
      <c r="AW78" s="216"/>
      <c r="AX78" s="222"/>
      <c r="AY78" s="217"/>
      <c r="AZ78" s="217"/>
      <c r="BA78" s="217"/>
      <c r="BB78" s="217"/>
      <c r="BC78" s="217"/>
      <c r="BD78" s="217"/>
      <c r="BE78" s="217"/>
      <c r="BF78" s="217"/>
      <c r="BG78" s="217"/>
      <c r="BH78" s="1"/>
    </row>
    <row r="79" spans="1:60" ht="18.75" x14ac:dyDescent="0.2">
      <c r="A79" s="648"/>
      <c r="B79" s="492" t="s">
        <v>178</v>
      </c>
      <c r="C79" s="739" t="s">
        <v>104</v>
      </c>
      <c r="D79" s="750" t="s">
        <v>50</v>
      </c>
      <c r="E79" s="174" t="s">
        <v>180</v>
      </c>
      <c r="F79" s="175"/>
      <c r="G79" s="175"/>
      <c r="H79" s="176"/>
      <c r="I79" s="177"/>
      <c r="J79" s="141"/>
      <c r="K79" s="178"/>
      <c r="L79" s="178"/>
      <c r="M79" s="141"/>
      <c r="N79" s="141"/>
      <c r="O79" s="141"/>
      <c r="P79" s="141"/>
      <c r="Q79" s="141"/>
      <c r="R79" s="141">
        <v>1</v>
      </c>
      <c r="S79" s="141">
        <v>1</v>
      </c>
      <c r="T79" s="141"/>
      <c r="U79" s="141"/>
      <c r="V79" s="141"/>
      <c r="W79" s="141"/>
      <c r="X79" s="179"/>
      <c r="Y79" s="141"/>
      <c r="Z79" s="141"/>
      <c r="AA79" s="141"/>
      <c r="AB79" s="141"/>
      <c r="AC79" s="141"/>
      <c r="AD79" s="141"/>
      <c r="AE79" s="141"/>
      <c r="AF79" s="141"/>
      <c r="AG79" s="141"/>
      <c r="AH79" s="141"/>
      <c r="AI79" s="141"/>
      <c r="AJ79" s="179"/>
      <c r="AK79" s="141"/>
      <c r="AL79" s="141"/>
      <c r="AM79" s="141"/>
      <c r="AN79" s="141"/>
      <c r="AO79" s="141"/>
      <c r="AP79" s="141"/>
      <c r="AQ79" s="141"/>
      <c r="AR79" s="141"/>
      <c r="AS79" s="141"/>
      <c r="AT79" s="141"/>
      <c r="AU79" s="141"/>
      <c r="AV79" s="179"/>
      <c r="AW79" s="141"/>
      <c r="AX79" s="141"/>
      <c r="AY79" s="141"/>
      <c r="AZ79" s="141"/>
      <c r="BA79" s="141"/>
      <c r="BB79" s="141"/>
      <c r="BC79" s="141"/>
      <c r="BD79" s="141"/>
      <c r="BE79" s="141"/>
      <c r="BF79" s="141"/>
      <c r="BG79" s="141"/>
      <c r="BH79" s="263"/>
    </row>
    <row r="80" spans="1:60" ht="38.25" x14ac:dyDescent="0.2">
      <c r="A80" s="648"/>
      <c r="B80" s="492" t="s">
        <v>178</v>
      </c>
      <c r="C80" s="656" t="s">
        <v>127</v>
      </c>
      <c r="D80" s="747"/>
      <c r="E80" s="183" t="s">
        <v>181</v>
      </c>
      <c r="F80" s="357"/>
      <c r="G80" s="357"/>
      <c r="H80" s="183" t="s">
        <v>70</v>
      </c>
      <c r="I80" s="188"/>
      <c r="J80" s="330" t="str">
        <f>IF(AND(M$31&gt;0,COUNTBLANK(O80:Q80)&gt;0),"kies installatie locatie 1",
IF(AND(Y$31&gt;0,COUNTBLANK(AA80:AC80)&gt;0),"kies installatie locatie 2",
IF(AND(AK$31&gt;0,COUNTBLANK(AM80:AO80)&gt;0),"kies installatie locatie 3",
IF(AND(AW$31&gt;0,COUNTBLANK(AY80:BA80)&gt;0),"kies installatie locatie 4",
"OK"))))</f>
        <v>OK</v>
      </c>
      <c r="K80" s="820"/>
      <c r="L80" s="820"/>
      <c r="M80" s="330"/>
      <c r="N80" s="136"/>
      <c r="O80" s="1038" t="s">
        <v>561</v>
      </c>
      <c r="P80" s="1038" t="s">
        <v>183</v>
      </c>
      <c r="Q80" s="1038" t="s">
        <v>561</v>
      </c>
      <c r="R80" s="190"/>
      <c r="S80" s="190"/>
      <c r="T80" s="190"/>
      <c r="U80" s="190"/>
      <c r="V80" s="190"/>
      <c r="W80" s="190"/>
      <c r="X80" s="179"/>
      <c r="Y80" s="189"/>
      <c r="Z80" s="136"/>
      <c r="AA80" s="1038" t="s">
        <v>561</v>
      </c>
      <c r="AB80" s="1038" t="s">
        <v>183</v>
      </c>
      <c r="AC80" s="1038" t="s">
        <v>561</v>
      </c>
      <c r="AD80" s="190"/>
      <c r="AE80" s="190"/>
      <c r="AF80" s="190"/>
      <c r="AG80" s="190"/>
      <c r="AH80" s="190"/>
      <c r="AI80" s="190"/>
      <c r="AJ80" s="179"/>
      <c r="AK80" s="189"/>
      <c r="AL80" s="136"/>
      <c r="AM80" s="1038" t="s">
        <v>561</v>
      </c>
      <c r="AN80" s="1038" t="s">
        <v>183</v>
      </c>
      <c r="AO80" s="1038" t="s">
        <v>561</v>
      </c>
      <c r="AP80" s="190"/>
      <c r="AQ80" s="190"/>
      <c r="AR80" s="190"/>
      <c r="AS80" s="190"/>
      <c r="AT80" s="190"/>
      <c r="AU80" s="190"/>
      <c r="AV80" s="179"/>
      <c r="AW80" s="189"/>
      <c r="AX80" s="141"/>
      <c r="AY80" s="1038" t="s">
        <v>561</v>
      </c>
      <c r="AZ80" s="1038" t="s">
        <v>183</v>
      </c>
      <c r="BA80" s="1038" t="s">
        <v>561</v>
      </c>
      <c r="BB80" s="190"/>
      <c r="BC80" s="190"/>
      <c r="BD80" s="190"/>
      <c r="BE80" s="190"/>
      <c r="BF80" s="190"/>
      <c r="BG80" s="190"/>
      <c r="BH80" s="263"/>
    </row>
    <row r="81" spans="1:60" x14ac:dyDescent="0.2">
      <c r="A81" s="648"/>
      <c r="B81" s="492" t="s">
        <v>178</v>
      </c>
      <c r="C81" s="656" t="s">
        <v>127</v>
      </c>
      <c r="D81" s="747"/>
      <c r="E81" s="221" t="str">
        <f>bibliotheek!$E$81</f>
        <v>geografisch niveau installatie [keuzelijst]</v>
      </c>
      <c r="F81" s="220"/>
      <c r="G81" s="220"/>
      <c r="H81" s="221" t="s">
        <v>70</v>
      </c>
      <c r="I81" s="146"/>
      <c r="J81" s="230"/>
      <c r="K81" s="121"/>
      <c r="L81" s="121"/>
      <c r="M81" s="230"/>
      <c r="N81" s="129"/>
      <c r="O81" s="348" t="str">
        <f>HLOOKUP(IF(O$80="",referentie_verwarming,O$80),toestellen_RV,ROWS(bibliotheek!$E$79:$E$81),FALSE)</f>
        <v>gebouw</v>
      </c>
      <c r="P81" s="348" t="str">
        <f>HLOOKUP(IF(P$80="",referentie_koeling,P$80),toestellen_KOEL,ROWS(bibliotheek!$E$170:$E$172),FALSE)</f>
        <v>gebouw</v>
      </c>
      <c r="Q81" s="348" t="str">
        <f>HLOOKUP(IF(Q$80="",referentie_warmtapwater,Q$80),toestellen_TAP,ROWS(bibliotheek!$E$136:$E$138),FALSE)</f>
        <v>gebouw</v>
      </c>
      <c r="R81" s="193"/>
      <c r="S81" s="193"/>
      <c r="T81" s="193"/>
      <c r="U81" s="193"/>
      <c r="V81" s="193"/>
      <c r="W81" s="193"/>
      <c r="X81" s="179"/>
      <c r="Y81" s="145"/>
      <c r="Z81" s="129"/>
      <c r="AA81" s="348" t="str">
        <f>HLOOKUP(IF(AA$80="",referentie_verwarming,AA$80),toestellen_RV,ROWS(bibliotheek!$E$79:$E$81),FALSE)</f>
        <v>gebouw</v>
      </c>
      <c r="AB81" s="348" t="str">
        <f>HLOOKUP(IF(AB$80="",referentie_koeling,AB$80),toestellen_KOEL,ROWS(bibliotheek!$E$170:$E$172),FALSE)</f>
        <v>gebouw</v>
      </c>
      <c r="AC81" s="348" t="str">
        <f>HLOOKUP(IF(AC$80="",referentie_warmtapwater,AC$80),toestellen_TAP,ROWS(bibliotheek!$E$136:$E$138),FALSE)</f>
        <v>gebouw</v>
      </c>
      <c r="AD81" s="193"/>
      <c r="AE81" s="193"/>
      <c r="AF81" s="193"/>
      <c r="AG81" s="193"/>
      <c r="AH81" s="193"/>
      <c r="AI81" s="193"/>
      <c r="AJ81" s="179"/>
      <c r="AK81" s="145"/>
      <c r="AL81" s="136"/>
      <c r="AM81" s="348" t="str">
        <f>HLOOKUP(IF(AM$80="",referentie_verwarming,AM$80),toestellen_RV,ROWS(bibliotheek!$E$79:$E$81),FALSE)</f>
        <v>gebouw</v>
      </c>
      <c r="AN81" s="348" t="str">
        <f>HLOOKUP(IF(AN$80="",referentie_koeling,AN$80),toestellen_KOEL,ROWS(bibliotheek!$E$170:$E$172),FALSE)</f>
        <v>gebouw</v>
      </c>
      <c r="AO81" s="348" t="str">
        <f>HLOOKUP(IF(AO$80="",referentie_warmtapwater,AO$80),toestellen_TAP,ROWS(bibliotheek!$E$136:$E$138),FALSE)</f>
        <v>gebouw</v>
      </c>
      <c r="AP81" s="193"/>
      <c r="AQ81" s="193"/>
      <c r="AR81" s="193"/>
      <c r="AS81" s="193"/>
      <c r="AT81" s="193"/>
      <c r="AU81" s="193"/>
      <c r="AV81" s="179"/>
      <c r="AW81" s="145"/>
      <c r="AX81" s="141"/>
      <c r="AY81" s="348" t="str">
        <f>HLOOKUP(IF(AY$80="",referentie_verwarming,AY$80),toestellen_RV,ROWS(bibliotheek!$E$79:$E$81),FALSE)</f>
        <v>gebouw</v>
      </c>
      <c r="AZ81" s="348" t="str">
        <f>HLOOKUP(IF(AZ$80="",referentie_koeling,AZ$80),toestellen_KOEL,ROWS(bibliotheek!$E$170:$E$172),FALSE)</f>
        <v>gebouw</v>
      </c>
      <c r="BA81" s="348" t="str">
        <f>HLOOKUP(IF(BA$80="",referentie_warmtapwater,BA$80),toestellen_TAP,ROWS(bibliotheek!$E$136:$E$138),FALSE)</f>
        <v>gebouw</v>
      </c>
      <c r="BB81" s="193"/>
      <c r="BC81" s="193"/>
      <c r="BD81" s="193"/>
      <c r="BE81" s="193"/>
      <c r="BF81" s="193"/>
      <c r="BG81" s="193"/>
      <c r="BH81" s="214"/>
    </row>
    <row r="82" spans="1:60" ht="18.75" x14ac:dyDescent="0.2">
      <c r="A82" s="648"/>
      <c r="B82" s="492" t="s">
        <v>178</v>
      </c>
      <c r="C82" s="739" t="s">
        <v>104</v>
      </c>
      <c r="D82" s="750" t="s">
        <v>50</v>
      </c>
      <c r="E82" s="194" t="s">
        <v>186</v>
      </c>
      <c r="F82" s="202"/>
      <c r="G82" s="202"/>
      <c r="H82" s="203"/>
      <c r="I82" s="204"/>
      <c r="J82" s="205"/>
      <c r="K82" s="138"/>
      <c r="L82" s="138"/>
      <c r="M82" s="205"/>
      <c r="N82" s="205"/>
      <c r="O82" s="205"/>
      <c r="P82" s="205"/>
      <c r="Q82" s="205"/>
      <c r="R82" s="205"/>
      <c r="S82" s="205"/>
      <c r="T82" s="205"/>
      <c r="U82" s="205"/>
      <c r="V82" s="205"/>
      <c r="W82" s="205"/>
      <c r="X82" s="179"/>
      <c r="Y82" s="205"/>
      <c r="Z82" s="205"/>
      <c r="AA82" s="214"/>
      <c r="AB82" s="214"/>
      <c r="AC82" s="214"/>
      <c r="AD82" s="205"/>
      <c r="AE82" s="205"/>
      <c r="AF82" s="205"/>
      <c r="AG82" s="205"/>
      <c r="AH82" s="205"/>
      <c r="AI82" s="205"/>
      <c r="AJ82" s="179"/>
      <c r="AK82" s="205"/>
      <c r="AL82" s="205"/>
      <c r="AM82" s="205"/>
      <c r="AN82" s="205"/>
      <c r="AO82" s="205"/>
      <c r="AP82" s="205"/>
      <c r="AQ82" s="205"/>
      <c r="AR82" s="205"/>
      <c r="AS82" s="205"/>
      <c r="AT82" s="205"/>
      <c r="AU82" s="205"/>
      <c r="AV82" s="179"/>
      <c r="AW82" s="205"/>
      <c r="AX82" s="141"/>
      <c r="AY82" s="205"/>
      <c r="AZ82" s="205"/>
      <c r="BA82" s="205"/>
      <c r="BB82" s="205"/>
      <c r="BC82" s="205"/>
      <c r="BD82" s="205"/>
      <c r="BE82" s="205"/>
      <c r="BF82" s="205"/>
      <c r="BG82" s="205"/>
      <c r="BH82" s="214"/>
    </row>
    <row r="83" spans="1:60" x14ac:dyDescent="0.2">
      <c r="A83" s="648"/>
      <c r="B83" s="492" t="s">
        <v>178</v>
      </c>
      <c r="C83" s="739" t="s">
        <v>127</v>
      </c>
      <c r="D83" s="747"/>
      <c r="E83" s="354" t="s">
        <v>187</v>
      </c>
      <c r="F83" s="316"/>
      <c r="G83" s="316"/>
      <c r="H83" s="354" t="s">
        <v>70</v>
      </c>
      <c r="I83" s="151"/>
      <c r="J83" s="229"/>
      <c r="K83" s="121"/>
      <c r="L83" s="121"/>
      <c r="M83" s="229"/>
      <c r="N83" s="131"/>
      <c r="O83" s="452">
        <f>IF(O84&lt;&gt;"",O84,HLOOKUP(IF(O$80="",referentie_verwarming,O$80),toestellen_RV,ROWS(bibliotheek!$E$79:$E$86),FALSE))</f>
        <v>1</v>
      </c>
      <c r="P83" s="155">
        <v>1</v>
      </c>
      <c r="Q83" s="452">
        <f>IF(Q84&lt;&gt;"",Q84,HLOOKUP(IF(Q$80="",referentie_warmtapwater,Q$80),toestellen_TAP,ROWS(bibliotheek!$E$136:$E$143),FALSE))</f>
        <v>0.85</v>
      </c>
      <c r="R83" s="156"/>
      <c r="S83" s="156"/>
      <c r="T83" s="156"/>
      <c r="U83" s="156"/>
      <c r="V83" s="156"/>
      <c r="W83" s="156"/>
      <c r="X83" s="87"/>
      <c r="Y83" s="150"/>
      <c r="Z83" s="151"/>
      <c r="AA83" s="452">
        <f>IF(AA84&lt;&gt;"",AA84,HLOOKUP(IF(AA$80="",referentie_verwarming,AA$80),toestellen_RV,ROWS(bibliotheek!$E$79:$E$86),FALSE))</f>
        <v>1</v>
      </c>
      <c r="AB83" s="155">
        <f>1</f>
        <v>1</v>
      </c>
      <c r="AC83" s="452">
        <f>IF(AC84&lt;&gt;"",AC84,HLOOKUP(IF(AC$80="",referentie_warmtapwater,AC$80),toestellen_TAP,ROWS(bibliotheek!$E$136:$E$143),FALSE))</f>
        <v>0.85</v>
      </c>
      <c r="AD83" s="156"/>
      <c r="AE83" s="156"/>
      <c r="AF83" s="156"/>
      <c r="AG83" s="156"/>
      <c r="AH83" s="156"/>
      <c r="AI83" s="156"/>
      <c r="AJ83" s="87"/>
      <c r="AK83" s="150"/>
      <c r="AL83" s="151"/>
      <c r="AM83" s="452">
        <f>IF(AM84&lt;&gt;"",AM84,HLOOKUP(IF(AM$80="",referentie_verwarming,AM$80),toestellen_RV,ROWS(bibliotheek!$E$79:$E$86),FALSE))</f>
        <v>1</v>
      </c>
      <c r="AN83" s="155">
        <f>1</f>
        <v>1</v>
      </c>
      <c r="AO83" s="452">
        <f>IF(AO84&lt;&gt;"",AO84,HLOOKUP(IF(AO$80="",referentie_warmtapwater,AO$80),toestellen_TAP,ROWS(bibliotheek!$E$136:$E$143),FALSE))</f>
        <v>0.85</v>
      </c>
      <c r="AP83" s="156"/>
      <c r="AQ83" s="156"/>
      <c r="AR83" s="156"/>
      <c r="AS83" s="156"/>
      <c r="AT83" s="156"/>
      <c r="AU83" s="156"/>
      <c r="AV83" s="87"/>
      <c r="AW83" s="150"/>
      <c r="AX83" s="151"/>
      <c r="AY83" s="452">
        <f>IF(AY84&lt;&gt;"",AY84,HLOOKUP(IF(AY$80="",referentie_verwarming,AY$80),toestellen_RV,ROWS(bibliotheek!$E$79:$E$86),FALSE))</f>
        <v>1</v>
      </c>
      <c r="AZ83" s="155">
        <f>1</f>
        <v>1</v>
      </c>
      <c r="BA83" s="452">
        <f>IF(BA84&lt;&gt;"",BA84,HLOOKUP(IF(BA$80="",referentie_warmtapwater,BA$80),toestellen_TAP,ROWS(bibliotheek!$E$136:$E$143),FALSE))</f>
        <v>0.85</v>
      </c>
      <c r="BB83" s="195"/>
      <c r="BC83" s="195"/>
      <c r="BD83" s="195"/>
      <c r="BE83" s="195"/>
      <c r="BF83" s="195"/>
      <c r="BG83" s="195"/>
      <c r="BH83" s="255"/>
    </row>
    <row r="84" spans="1:60" x14ac:dyDescent="0.2">
      <c r="A84" s="648"/>
      <c r="B84" s="492" t="s">
        <v>178</v>
      </c>
      <c r="C84" s="739" t="s">
        <v>127</v>
      </c>
      <c r="D84" s="747"/>
      <c r="E84" s="412" t="s">
        <v>188</v>
      </c>
      <c r="F84" s="317"/>
      <c r="G84" s="317"/>
      <c r="H84" s="355" t="s">
        <v>70</v>
      </c>
      <c r="I84" s="153"/>
      <c r="J84" s="362"/>
      <c r="K84" s="121"/>
      <c r="L84" s="121"/>
      <c r="M84" s="239"/>
      <c r="N84" s="196"/>
      <c r="O84" s="337"/>
      <c r="P84" s="343"/>
      <c r="Q84" s="337"/>
      <c r="R84" s="197"/>
      <c r="S84" s="197"/>
      <c r="T84" s="197"/>
      <c r="U84" s="197"/>
      <c r="V84" s="197"/>
      <c r="W84" s="197"/>
      <c r="X84" s="125"/>
      <c r="Y84" s="349"/>
      <c r="Z84" s="196"/>
      <c r="AA84" s="337"/>
      <c r="AB84" s="343"/>
      <c r="AC84" s="337"/>
      <c r="AD84" s="197"/>
      <c r="AE84" s="197"/>
      <c r="AF84" s="197"/>
      <c r="AG84" s="197"/>
      <c r="AH84" s="197"/>
      <c r="AI84" s="197"/>
      <c r="AJ84" s="125"/>
      <c r="AK84" s="349"/>
      <c r="AL84" s="196"/>
      <c r="AM84" s="337"/>
      <c r="AN84" s="343"/>
      <c r="AO84" s="337"/>
      <c r="AP84" s="197"/>
      <c r="AQ84" s="197"/>
      <c r="AR84" s="197"/>
      <c r="AS84" s="197"/>
      <c r="AT84" s="197"/>
      <c r="AU84" s="197"/>
      <c r="AV84" s="125"/>
      <c r="AW84" s="349"/>
      <c r="AX84" s="196"/>
      <c r="AY84" s="337"/>
      <c r="AZ84" s="343"/>
      <c r="BA84" s="337"/>
      <c r="BB84" s="197"/>
      <c r="BC84" s="197"/>
      <c r="BD84" s="197"/>
      <c r="BE84" s="197"/>
      <c r="BF84" s="197"/>
      <c r="BG84" s="197"/>
      <c r="BH84" s="255"/>
    </row>
    <row r="85" spans="1:60" x14ac:dyDescent="0.2">
      <c r="A85" s="648"/>
      <c r="B85" s="492" t="s">
        <v>178</v>
      </c>
      <c r="C85" s="739" t="s">
        <v>127</v>
      </c>
      <c r="D85" s="750"/>
      <c r="E85" s="221" t="s">
        <v>189</v>
      </c>
      <c r="F85" s="220"/>
      <c r="G85" s="220"/>
      <c r="H85" s="221" t="s">
        <v>177</v>
      </c>
      <c r="I85" s="146"/>
      <c r="J85" s="230"/>
      <c r="K85" s="121"/>
      <c r="L85" s="121"/>
      <c r="M85" s="230"/>
      <c r="N85" s="129"/>
      <c r="O85" s="251">
        <f>IF(O$75=0,0,O$75/O$83-O$75)</f>
        <v>0</v>
      </c>
      <c r="P85" s="251">
        <f>IF(P$75=0,0,P$75/P$83-P$75)</f>
        <v>0</v>
      </c>
      <c r="Q85" s="251">
        <f>IF(Q$75=0,0,Q$75/Q$83-Q$75)</f>
        <v>0</v>
      </c>
      <c r="R85" s="147"/>
      <c r="S85" s="147"/>
      <c r="T85" s="147"/>
      <c r="U85" s="147"/>
      <c r="V85" s="147"/>
      <c r="W85" s="147"/>
      <c r="X85" s="125"/>
      <c r="Y85" s="149"/>
      <c r="Z85" s="129"/>
      <c r="AA85" s="251">
        <f>IF(AA$75=0,0,AA$75/AA$83-AA$75)</f>
        <v>0</v>
      </c>
      <c r="AB85" s="251">
        <f>IF(AB$75=0,0,AB$75/AB$83-AB$75)</f>
        <v>0</v>
      </c>
      <c r="AC85" s="251">
        <f>IF(AC$75=0,0,AC$75/AC$83-AC$75)</f>
        <v>0</v>
      </c>
      <c r="AD85" s="147"/>
      <c r="AE85" s="147"/>
      <c r="AF85" s="147"/>
      <c r="AG85" s="147"/>
      <c r="AH85" s="147"/>
      <c r="AI85" s="147"/>
      <c r="AJ85" s="125"/>
      <c r="AK85" s="149"/>
      <c r="AL85" s="129"/>
      <c r="AM85" s="251">
        <f>IF(AM$75=0,0,AM$75/AM$83-AM$75)</f>
        <v>0</v>
      </c>
      <c r="AN85" s="251">
        <f>IF(AN$75=0,0,AN$75/AN$83-AN$75)</f>
        <v>0</v>
      </c>
      <c r="AO85" s="251">
        <f>IF(AO$75=0,0,AO$75/AO$83-AO$75)</f>
        <v>0</v>
      </c>
      <c r="AP85" s="147"/>
      <c r="AQ85" s="147"/>
      <c r="AR85" s="147"/>
      <c r="AS85" s="147"/>
      <c r="AT85" s="147"/>
      <c r="AU85" s="147"/>
      <c r="AV85" s="125"/>
      <c r="AW85" s="149"/>
      <c r="AX85" s="129"/>
      <c r="AY85" s="251">
        <f>IF(AY$75=0,0,AY$75/AY$83-AY$75)</f>
        <v>0</v>
      </c>
      <c r="AZ85" s="251">
        <f>IF(AZ$75=0,0,AZ$75/AZ$83-AZ$75)</f>
        <v>0</v>
      </c>
      <c r="BA85" s="251">
        <f>IF(BA$75=0,0,BA$75/BA$83-BA$75)</f>
        <v>0</v>
      </c>
      <c r="BB85" s="147"/>
      <c r="BC85" s="147"/>
      <c r="BD85" s="147"/>
      <c r="BE85" s="147"/>
      <c r="BF85" s="147"/>
      <c r="BG85" s="147"/>
      <c r="BH85" s="255"/>
    </row>
    <row r="86" spans="1:60" ht="18.75" x14ac:dyDescent="0.2">
      <c r="A86" s="648"/>
      <c r="B86" s="492" t="s">
        <v>178</v>
      </c>
      <c r="C86" s="739" t="s">
        <v>104</v>
      </c>
      <c r="D86" s="750" t="s">
        <v>50</v>
      </c>
      <c r="E86" s="194" t="s">
        <v>190</v>
      </c>
      <c r="F86" s="202"/>
      <c r="G86" s="202"/>
      <c r="H86" s="203"/>
      <c r="I86" s="204"/>
      <c r="J86" s="205"/>
      <c r="K86" s="138"/>
      <c r="L86" s="138"/>
      <c r="M86" s="205"/>
      <c r="N86" s="205"/>
      <c r="O86" s="205"/>
      <c r="P86" s="205"/>
      <c r="Q86" s="205"/>
      <c r="R86" s="205"/>
      <c r="S86" s="205"/>
      <c r="T86" s="205"/>
      <c r="U86" s="205"/>
      <c r="V86" s="205"/>
      <c r="W86" s="205"/>
      <c r="X86" s="163"/>
      <c r="Y86" s="205"/>
      <c r="Z86" s="205"/>
      <c r="AA86" s="205"/>
      <c r="AB86" s="205"/>
      <c r="AC86" s="205"/>
      <c r="AD86" s="205"/>
      <c r="AE86" s="205"/>
      <c r="AF86" s="205"/>
      <c r="AG86" s="205"/>
      <c r="AH86" s="205"/>
      <c r="AI86" s="205"/>
      <c r="AJ86" s="163"/>
      <c r="AK86" s="205"/>
      <c r="AL86" s="205"/>
      <c r="AM86" s="205"/>
      <c r="AN86" s="205"/>
      <c r="AO86" s="205"/>
      <c r="AP86" s="205"/>
      <c r="AQ86" s="205"/>
      <c r="AR86" s="205"/>
      <c r="AS86" s="205"/>
      <c r="AT86" s="205"/>
      <c r="AU86" s="205"/>
      <c r="AV86" s="163"/>
      <c r="AW86" s="205"/>
      <c r="AX86" s="205"/>
      <c r="AY86" s="205"/>
      <c r="AZ86" s="205"/>
      <c r="BA86" s="205"/>
      <c r="BB86" s="205"/>
      <c r="BC86" s="205"/>
      <c r="BD86" s="205"/>
      <c r="BE86" s="205"/>
      <c r="BF86" s="205"/>
      <c r="BG86" s="205"/>
      <c r="BH86" s="214"/>
    </row>
    <row r="87" spans="1:60" x14ac:dyDescent="0.2">
      <c r="A87" s="648"/>
      <c r="B87" s="492" t="s">
        <v>178</v>
      </c>
      <c r="C87" s="739" t="s">
        <v>127</v>
      </c>
      <c r="D87" s="747"/>
      <c r="E87" s="221" t="s">
        <v>190</v>
      </c>
      <c r="F87" s="220"/>
      <c r="G87" s="220"/>
      <c r="H87" s="221" t="s">
        <v>70</v>
      </c>
      <c r="I87" s="146"/>
      <c r="J87" s="230"/>
      <c r="K87" s="121"/>
      <c r="L87" s="121"/>
      <c r="M87" s="230"/>
      <c r="N87" s="129"/>
      <c r="O87" s="1039" t="s">
        <v>191</v>
      </c>
      <c r="P87" s="192"/>
      <c r="Q87" s="1039" t="s">
        <v>191</v>
      </c>
      <c r="R87" s="193"/>
      <c r="S87" s="193"/>
      <c r="T87" s="193"/>
      <c r="U87" s="193"/>
      <c r="V87" s="193"/>
      <c r="W87" s="193"/>
      <c r="X87" s="87"/>
      <c r="Y87" s="145"/>
      <c r="Z87" s="129"/>
      <c r="AA87" s="1039" t="s">
        <v>191</v>
      </c>
      <c r="AB87" s="192"/>
      <c r="AC87" s="1039" t="s">
        <v>191</v>
      </c>
      <c r="AD87" s="193"/>
      <c r="AE87" s="193"/>
      <c r="AF87" s="193"/>
      <c r="AG87" s="193"/>
      <c r="AH87" s="193"/>
      <c r="AI87" s="193"/>
      <c r="AJ87" s="87"/>
      <c r="AK87" s="145"/>
      <c r="AL87" s="129"/>
      <c r="AM87" s="1039" t="s">
        <v>191</v>
      </c>
      <c r="AN87" s="192"/>
      <c r="AO87" s="1039" t="s">
        <v>191</v>
      </c>
      <c r="AP87" s="193"/>
      <c r="AQ87" s="193"/>
      <c r="AR87" s="193"/>
      <c r="AS87" s="193"/>
      <c r="AT87" s="193"/>
      <c r="AU87" s="193"/>
      <c r="AV87" s="87"/>
      <c r="AW87" s="145"/>
      <c r="AX87" s="129"/>
      <c r="AY87" s="1039" t="s">
        <v>191</v>
      </c>
      <c r="AZ87" s="192"/>
      <c r="BA87" s="1039" t="s">
        <v>191</v>
      </c>
      <c r="BB87" s="193"/>
      <c r="BC87" s="193"/>
      <c r="BD87" s="193"/>
      <c r="BE87" s="193"/>
      <c r="BF87" s="193"/>
      <c r="BG87" s="193"/>
      <c r="BH87" s="214"/>
    </row>
    <row r="88" spans="1:60" x14ac:dyDescent="0.2">
      <c r="A88" s="648"/>
      <c r="B88" s="492" t="s">
        <v>178</v>
      </c>
      <c r="C88" s="739" t="s">
        <v>127</v>
      </c>
      <c r="D88" s="750" t="s">
        <v>50</v>
      </c>
      <c r="E88" s="221" t="s">
        <v>192</v>
      </c>
      <c r="F88" s="220"/>
      <c r="G88" s="220"/>
      <c r="H88" s="221" t="s">
        <v>177</v>
      </c>
      <c r="I88" s="146"/>
      <c r="J88" s="230"/>
      <c r="K88" s="121"/>
      <c r="L88" s="121"/>
      <c r="M88" s="230"/>
      <c r="N88" s="129"/>
      <c r="O88" s="207">
        <f>IF(O87="nee",0,(O75+O85)*bijdrage_thermische_zonne_energie_RV)</f>
        <v>0</v>
      </c>
      <c r="P88" s="207"/>
      <c r="Q88" s="207">
        <f>IF(Q87="nee",0,(Q75+Q85)*bijdrage_thermische_zonne_energie_TAP)</f>
        <v>0</v>
      </c>
      <c r="R88" s="147"/>
      <c r="S88" s="147"/>
      <c r="T88" s="147"/>
      <c r="U88" s="147"/>
      <c r="V88" s="147"/>
      <c r="W88" s="147"/>
      <c r="X88" s="684"/>
      <c r="Y88" s="147"/>
      <c r="Z88" s="100"/>
      <c r="AA88" s="207">
        <f>IF(AA87="nee",0,(AA75+AA85)*bijdrage_thermische_zonne_energie_RV)</f>
        <v>0</v>
      </c>
      <c r="AB88" s="207"/>
      <c r="AC88" s="207">
        <f>IF(AC87="nee",0,(AC75+AC85)*bijdrage_thermische_zonne_energie_TAP)</f>
        <v>0</v>
      </c>
      <c r="AD88" s="147"/>
      <c r="AE88" s="147"/>
      <c r="AF88" s="147"/>
      <c r="AG88" s="147"/>
      <c r="AH88" s="147"/>
      <c r="AI88" s="147"/>
      <c r="AJ88" s="684"/>
      <c r="AK88" s="147"/>
      <c r="AL88" s="685"/>
      <c r="AM88" s="207">
        <f>IF(AM87="nee",0,(AM75+AM85)*bijdrage_thermische_zonne_energie_RV)</f>
        <v>0</v>
      </c>
      <c r="AN88" s="207"/>
      <c r="AO88" s="207">
        <f>IF(AO87="nee",0,(AO75+AO85)*bijdrage_thermische_zonne_energie_TAP)</f>
        <v>0</v>
      </c>
      <c r="AP88" s="147"/>
      <c r="AQ88" s="147"/>
      <c r="AR88" s="147"/>
      <c r="AS88" s="147"/>
      <c r="AT88" s="147"/>
      <c r="AU88" s="147"/>
      <c r="AV88" s="684"/>
      <c r="AW88" s="147"/>
      <c r="AX88" s="686"/>
      <c r="AY88" s="207">
        <f>IF(AY87="nee",0,(AY75+AY85)*bijdrage_thermische_zonne_energie_RV)</f>
        <v>0</v>
      </c>
      <c r="AZ88" s="207"/>
      <c r="BA88" s="207">
        <f>IF(BA87="nee",0,(BA75+BA85)*bijdrage_thermische_zonne_energie_TAP)</f>
        <v>0</v>
      </c>
      <c r="BB88" s="193"/>
      <c r="BC88" s="193"/>
      <c r="BD88" s="193"/>
      <c r="BE88" s="193"/>
      <c r="BF88" s="193"/>
      <c r="BG88" s="193"/>
      <c r="BH88" s="214"/>
    </row>
    <row r="89" spans="1:60" ht="18.75" x14ac:dyDescent="0.2">
      <c r="A89" s="648"/>
      <c r="B89" s="492" t="s">
        <v>178</v>
      </c>
      <c r="C89" s="739" t="s">
        <v>104</v>
      </c>
      <c r="D89" s="750" t="s">
        <v>50</v>
      </c>
      <c r="E89" s="194" t="s">
        <v>193</v>
      </c>
      <c r="F89" s="202"/>
      <c r="G89" s="202"/>
      <c r="H89" s="203"/>
      <c r="I89" s="204"/>
      <c r="J89" s="205"/>
      <c r="K89" s="138"/>
      <c r="L89" s="138"/>
      <c r="M89" s="205"/>
      <c r="N89" s="205"/>
      <c r="O89" s="710"/>
      <c r="P89" s="710"/>
      <c r="Q89" s="710"/>
      <c r="R89" s="205"/>
      <c r="S89" s="205"/>
      <c r="T89" s="205"/>
      <c r="U89" s="205"/>
      <c r="V89" s="205"/>
      <c r="W89" s="205"/>
      <c r="X89" s="206"/>
      <c r="Y89" s="205"/>
      <c r="Z89" s="205"/>
      <c r="AA89" s="339"/>
      <c r="AB89" s="339"/>
      <c r="AC89" s="339"/>
      <c r="AD89" s="205"/>
      <c r="AE89" s="205"/>
      <c r="AF89" s="205"/>
      <c r="AG89" s="205"/>
      <c r="AH89" s="205"/>
      <c r="AI89" s="205"/>
      <c r="AJ89" s="206"/>
      <c r="AK89" s="205"/>
      <c r="AL89" s="205"/>
      <c r="AM89" s="339"/>
      <c r="AN89" s="339"/>
      <c r="AO89" s="339"/>
      <c r="AP89" s="205"/>
      <c r="AQ89" s="205"/>
      <c r="AR89" s="205"/>
      <c r="AS89" s="205"/>
      <c r="AT89" s="205"/>
      <c r="AU89" s="205"/>
      <c r="AV89" s="206"/>
      <c r="AW89" s="205"/>
      <c r="AX89" s="205"/>
      <c r="AY89" s="339"/>
      <c r="AZ89" s="339"/>
      <c r="BA89" s="339"/>
      <c r="BB89" s="205"/>
      <c r="BC89" s="205"/>
      <c r="BD89" s="205"/>
      <c r="BE89" s="205"/>
      <c r="BF89" s="205"/>
      <c r="BG89" s="205"/>
      <c r="BH89" s="214"/>
    </row>
    <row r="90" spans="1:60" x14ac:dyDescent="0.2">
      <c r="A90" s="648"/>
      <c r="B90" s="492" t="s">
        <v>178</v>
      </c>
      <c r="C90" s="739" t="s">
        <v>127</v>
      </c>
      <c r="D90" s="747"/>
      <c r="E90" s="354" t="s">
        <v>194</v>
      </c>
      <c r="F90" s="316"/>
      <c r="G90" s="316"/>
      <c r="H90" s="354" t="s">
        <v>195</v>
      </c>
      <c r="I90" s="151"/>
      <c r="J90" s="229"/>
      <c r="K90" s="121"/>
      <c r="L90" s="121"/>
      <c r="M90" s="229"/>
      <c r="N90" s="131"/>
      <c r="O90" s="621">
        <f>IF(M24=0,0,IF(O91&lt;&gt;"",O91,
(HLOOKUP(O80,toestellen_RV,ROWS(bibliotheek!$E$79:$E$88),FALSE)*M26+
HLOOKUP(O80,toestellen_RV,ROWS(bibliotheek!$E$79:$E$89),FALSE)*M27+
HLOOKUP(O80,toestellen_RV,ROWS(bibliotheek!$E$79:$E$90),FALSE)*M28)/M24))</f>
        <v>0</v>
      </c>
      <c r="P90" s="484"/>
      <c r="Q90" s="621">
        <f>IF(M24=0,0,IF(Q91&lt;&gt;"",Q91,
(HLOOKUP(Q80,toestellen_TAP,ROWS(bibliotheek!$E$136:$E$145),FALSE)*M26+
HLOOKUP(Q80,toestellen_TAP,ROWS(bibliotheek!$E$136:$E$146),FALSE)*M27+
HLOOKUP(Q80,toestellen_TAP,ROWS(bibliotheek!$E$136:$E$147),FALSE)*M28)/M24))</f>
        <v>0</v>
      </c>
      <c r="R90" s="195"/>
      <c r="S90" s="195"/>
      <c r="T90" s="195"/>
      <c r="U90" s="195"/>
      <c r="V90" s="195"/>
      <c r="W90" s="195"/>
      <c r="X90" s="127"/>
      <c r="Y90" s="195"/>
      <c r="Z90" s="485"/>
      <c r="AA90" s="621">
        <f>IF(Y24=0,0,IF(AA91&lt;&gt;"",AA91,
(HLOOKUP(AA80,toestellen_RV,ROWS(bibliotheek!$E$79:$E$88),FALSE)*Y26+
HLOOKUP(AA80,toestellen_RV,ROWS(bibliotheek!$E$79:$E$89),FALSE)*Y27+
HLOOKUP(AA80,toestellen_RV,ROWS(bibliotheek!$E$79:$E$90),FALSE)*Y28)/Y24))</f>
        <v>0</v>
      </c>
      <c r="AB90" s="484"/>
      <c r="AC90" s="621">
        <f>IF(Y24=0,0,IF(AC91&lt;&gt;"",AC91,
(HLOOKUP(AC80,toestellen_TAP,ROWS(bibliotheek!$E$136:$E$145),FALSE)*Y26+
HLOOKUP(AC80,toestellen_TAP,ROWS(bibliotheek!$E$136:$E$146),FALSE)*Y27+
HLOOKUP(AC80,toestellen_TAP,ROWS(bibliotheek!$E$136:$E$147),FALSE)*Y28)/Y24))</f>
        <v>0</v>
      </c>
      <c r="AD90" s="195"/>
      <c r="AE90" s="195"/>
      <c r="AF90" s="195"/>
      <c r="AG90" s="195"/>
      <c r="AH90" s="195"/>
      <c r="AI90" s="195"/>
      <c r="AJ90" s="127"/>
      <c r="AK90" s="195"/>
      <c r="AL90" s="485"/>
      <c r="AM90" s="621">
        <f>IF(AK24=0,0,IF(AM91&lt;&gt;"",AM91,
(HLOOKUP(AM80,toestellen_RV,ROWS(bibliotheek!$E$79:$E$88),FALSE)*AK26+
HLOOKUP(AM80,toestellen_RV,ROWS(bibliotheek!$E$79:$E$89),FALSE)*AK27+
HLOOKUP(AM80,toestellen_RV,ROWS(bibliotheek!$E$79:$E$90),FALSE)*AK28)/AK24))</f>
        <v>0</v>
      </c>
      <c r="AN90" s="484"/>
      <c r="AO90" s="621">
        <f>IF(AK24=0,0,IF(AO91&lt;&gt;"",AO91,
(HLOOKUP(AO80,toestellen_TAP,ROWS(bibliotheek!$E$136:$E$145),FALSE)*AK26+
HLOOKUP(AO80,toestellen_TAP,ROWS(bibliotheek!$E$136:$E$146),FALSE)*AK27+
HLOOKUP(AO80,toestellen_TAP,ROWS(bibliotheek!$E$136:$E$147),FALSE)*AK28)/AK24))</f>
        <v>0</v>
      </c>
      <c r="AP90" s="195"/>
      <c r="AQ90" s="195"/>
      <c r="AR90" s="195"/>
      <c r="AS90" s="195"/>
      <c r="AT90" s="195"/>
      <c r="AU90" s="195"/>
      <c r="AV90" s="127"/>
      <c r="AW90" s="195"/>
      <c r="AX90" s="485"/>
      <c r="AY90" s="621">
        <f>IF(AW24=0,0,IF(AY91&lt;&gt;"",AY91,
(HLOOKUP(AY80,toestellen_RV,ROWS(bibliotheek!$E$79:$E$88),FALSE)*AW26+
HLOOKUP(AY80,toestellen_RV,ROWS(bibliotheek!$E$79:$E$89),FALSE)*AW27+
HLOOKUP(AY80,toestellen_RV,ROWS(bibliotheek!$E$79:$E$90),FALSE)*AW28)/AW24))</f>
        <v>0</v>
      </c>
      <c r="AZ90" s="484"/>
      <c r="BA90" s="621">
        <f>IF(AW24=0,0,IF(BA91&lt;&gt;"",BA91,
(HLOOKUP(BA80,toestellen_TAP,ROWS(bibliotheek!$E$136:$E$145),FALSE)*AW26+
HLOOKUP(BA80,toestellen_TAP,ROWS(bibliotheek!$E$136:$E$146),FALSE)*AW27+
HLOOKUP(BA80,toestellen_TAP,ROWS(bibliotheek!$E$136:$E$147),FALSE)*AW28)/AW24))</f>
        <v>0</v>
      </c>
      <c r="BB90" s="195"/>
      <c r="BC90" s="195"/>
      <c r="BD90" s="195"/>
      <c r="BE90" s="195"/>
      <c r="BF90" s="195"/>
      <c r="BG90" s="195"/>
      <c r="BH90" s="255"/>
    </row>
    <row r="91" spans="1:60" x14ac:dyDescent="0.2">
      <c r="A91" s="648"/>
      <c r="B91" s="492" t="s">
        <v>178</v>
      </c>
      <c r="C91" s="739" t="s">
        <v>127</v>
      </c>
      <c r="D91" s="747"/>
      <c r="E91" s="412" t="s">
        <v>196</v>
      </c>
      <c r="F91" s="317"/>
      <c r="G91" s="317"/>
      <c r="H91" s="355" t="s">
        <v>195</v>
      </c>
      <c r="I91" s="153"/>
      <c r="J91" s="362"/>
      <c r="K91" s="121"/>
      <c r="L91" s="121"/>
      <c r="M91" s="239"/>
      <c r="N91" s="196"/>
      <c r="O91" s="338"/>
      <c r="P91" s="344"/>
      <c r="Q91" s="338"/>
      <c r="R91" s="198"/>
      <c r="S91" s="198"/>
      <c r="T91" s="198"/>
      <c r="U91" s="198"/>
      <c r="V91" s="198"/>
      <c r="W91" s="198"/>
      <c r="X91" s="125"/>
      <c r="Y91" s="454"/>
      <c r="Z91" s="371"/>
      <c r="AA91" s="338"/>
      <c r="AB91" s="344"/>
      <c r="AC91" s="338"/>
      <c r="AD91" s="198"/>
      <c r="AE91" s="198"/>
      <c r="AF91" s="198"/>
      <c r="AG91" s="198"/>
      <c r="AH91" s="198"/>
      <c r="AI91" s="198"/>
      <c r="AJ91" s="125"/>
      <c r="AK91" s="454"/>
      <c r="AL91" s="371"/>
      <c r="AM91" s="338"/>
      <c r="AN91" s="344"/>
      <c r="AO91" s="338"/>
      <c r="AP91" s="198"/>
      <c r="AQ91" s="198"/>
      <c r="AR91" s="198"/>
      <c r="AS91" s="198"/>
      <c r="AT91" s="198"/>
      <c r="AU91" s="198"/>
      <c r="AV91" s="125"/>
      <c r="AW91" s="454"/>
      <c r="AX91" s="371"/>
      <c r="AY91" s="338"/>
      <c r="AZ91" s="344"/>
      <c r="BA91" s="338"/>
      <c r="BB91" s="199"/>
      <c r="BC91" s="199"/>
      <c r="BD91" s="199"/>
      <c r="BE91" s="199"/>
      <c r="BF91" s="199"/>
      <c r="BG91" s="199"/>
      <c r="BH91" s="255"/>
    </row>
    <row r="92" spans="1:60" x14ac:dyDescent="0.2">
      <c r="A92" s="648"/>
      <c r="B92" s="492" t="s">
        <v>178</v>
      </c>
      <c r="C92" s="739" t="s">
        <v>127</v>
      </c>
      <c r="D92" s="747"/>
      <c r="E92" s="221" t="s">
        <v>197</v>
      </c>
      <c r="F92" s="220"/>
      <c r="G92" s="220"/>
      <c r="H92" s="221" t="s">
        <v>177</v>
      </c>
      <c r="I92" s="146"/>
      <c r="J92" s="230"/>
      <c r="K92" s="121"/>
      <c r="L92" s="121"/>
      <c r="M92" s="230"/>
      <c r="N92" s="100"/>
      <c r="O92" s="251">
        <f>O$90*M$24</f>
        <v>0</v>
      </c>
      <c r="P92" s="147"/>
      <c r="Q92" s="251">
        <f>Q$90*M$24</f>
        <v>0</v>
      </c>
      <c r="R92" s="147"/>
      <c r="S92" s="147"/>
      <c r="T92" s="147"/>
      <c r="U92" s="147"/>
      <c r="V92" s="147"/>
      <c r="W92" s="147"/>
      <c r="X92" s="125"/>
      <c r="Y92" s="149"/>
      <c r="Z92" s="129"/>
      <c r="AA92" s="251">
        <f>AA$90*Y$24</f>
        <v>0</v>
      </c>
      <c r="AB92" s="147"/>
      <c r="AC92" s="251">
        <f>AC$90*Y$24</f>
        <v>0</v>
      </c>
      <c r="AD92" s="147"/>
      <c r="AE92" s="147"/>
      <c r="AF92" s="147"/>
      <c r="AG92" s="147"/>
      <c r="AH92" s="147"/>
      <c r="AI92" s="147"/>
      <c r="AJ92" s="125"/>
      <c r="AK92" s="149"/>
      <c r="AL92" s="129"/>
      <c r="AM92" s="251">
        <f>AM$90*AK$24</f>
        <v>0</v>
      </c>
      <c r="AN92" s="147"/>
      <c r="AO92" s="251">
        <f>AO$90*AK$24</f>
        <v>0</v>
      </c>
      <c r="AP92" s="147"/>
      <c r="AQ92" s="147"/>
      <c r="AR92" s="147"/>
      <c r="AS92" s="147"/>
      <c r="AT92" s="147"/>
      <c r="AU92" s="147"/>
      <c r="AV92" s="125"/>
      <c r="AW92" s="149"/>
      <c r="AX92" s="129"/>
      <c r="AY92" s="251">
        <f>AY$90*AW$24</f>
        <v>0</v>
      </c>
      <c r="AZ92" s="147"/>
      <c r="BA92" s="251">
        <f>BA$90*AW$24</f>
        <v>0</v>
      </c>
      <c r="BB92" s="147"/>
      <c r="BC92" s="147"/>
      <c r="BD92" s="147"/>
      <c r="BE92" s="147"/>
      <c r="BF92" s="147"/>
      <c r="BG92" s="147"/>
      <c r="BH92" s="255"/>
    </row>
    <row r="93" spans="1:60" ht="18.75" x14ac:dyDescent="0.2">
      <c r="A93" s="648"/>
      <c r="B93" s="492" t="s">
        <v>178</v>
      </c>
      <c r="C93" s="739" t="s">
        <v>104</v>
      </c>
      <c r="D93" s="750" t="s">
        <v>50</v>
      </c>
      <c r="E93" s="194" t="s">
        <v>198</v>
      </c>
      <c r="F93" s="202"/>
      <c r="G93" s="202"/>
      <c r="H93" s="203"/>
      <c r="I93" s="204"/>
      <c r="J93" s="205"/>
      <c r="K93" s="138"/>
      <c r="L93" s="138"/>
      <c r="M93" s="205"/>
      <c r="N93" s="205"/>
      <c r="O93" s="205"/>
      <c r="P93" s="205"/>
      <c r="Q93" s="205"/>
      <c r="R93" s="205"/>
      <c r="S93" s="205"/>
      <c r="T93" s="205"/>
      <c r="U93" s="205"/>
      <c r="V93" s="205"/>
      <c r="W93" s="205"/>
      <c r="X93" s="206"/>
      <c r="Y93" s="205"/>
      <c r="Z93" s="205"/>
      <c r="AA93" s="205"/>
      <c r="AB93" s="205"/>
      <c r="AC93" s="205"/>
      <c r="AD93" s="205"/>
      <c r="AE93" s="205"/>
      <c r="AF93" s="205"/>
      <c r="AG93" s="205"/>
      <c r="AH93" s="205"/>
      <c r="AI93" s="205"/>
      <c r="AJ93" s="206"/>
      <c r="AK93" s="205"/>
      <c r="AL93" s="205"/>
      <c r="AM93" s="205"/>
      <c r="AN93" s="205"/>
      <c r="AO93" s="205"/>
      <c r="AP93" s="205"/>
      <c r="AQ93" s="205"/>
      <c r="AR93" s="205"/>
      <c r="AS93" s="205"/>
      <c r="AT93" s="205"/>
      <c r="AU93" s="205"/>
      <c r="AV93" s="206"/>
      <c r="AW93" s="205"/>
      <c r="AX93" s="205"/>
      <c r="AY93" s="205"/>
      <c r="AZ93" s="205"/>
      <c r="BA93" s="205"/>
      <c r="BB93" s="205"/>
      <c r="BC93" s="205"/>
      <c r="BD93" s="205"/>
      <c r="BE93" s="205"/>
      <c r="BF93" s="205"/>
      <c r="BG93" s="205"/>
      <c r="BH93" s="214"/>
    </row>
    <row r="94" spans="1:60" hidden="1" x14ac:dyDescent="0.2">
      <c r="A94" s="648"/>
      <c r="B94" s="492" t="s">
        <v>178</v>
      </c>
      <c r="C94" s="739" t="s">
        <v>199</v>
      </c>
      <c r="D94" s="747"/>
      <c r="E94" s="221" t="s">
        <v>200</v>
      </c>
      <c r="F94" s="220"/>
      <c r="G94" s="220"/>
      <c r="H94" s="221" t="s">
        <v>177</v>
      </c>
      <c r="I94" s="146"/>
      <c r="J94" s="230"/>
      <c r="K94" s="121"/>
      <c r="L94" s="121"/>
      <c r="M94" s="230"/>
      <c r="N94" s="129"/>
      <c r="O94" s="251">
        <f>IF(O$80="geen",0,O75+O85-O88+O92)</f>
        <v>0</v>
      </c>
      <c r="P94" s="251">
        <f>IF(P$80="geen",0,P75+P85-P88+P92)</f>
        <v>0</v>
      </c>
      <c r="Q94" s="251">
        <f>IF(Q$80="geen",0,Q75+Q85-Q88+Q92)</f>
        <v>0</v>
      </c>
      <c r="R94" s="147"/>
      <c r="S94" s="147"/>
      <c r="T94" s="147"/>
      <c r="U94" s="147"/>
      <c r="V94" s="147"/>
      <c r="W94" s="147"/>
      <c r="X94" s="125"/>
      <c r="Y94" s="149"/>
      <c r="Z94" s="129"/>
      <c r="AA94" s="251">
        <f>IF(AA$80="geen",0,AA75+AA85-AA88+AA92)</f>
        <v>0</v>
      </c>
      <c r="AB94" s="251">
        <f>IF(AB$80="geen",0,AB75+AB85-AB88+AB92)</f>
        <v>0</v>
      </c>
      <c r="AC94" s="251">
        <f>IF(AC$80="geen",0,AC75+AC85-AC88+AC92)</f>
        <v>0</v>
      </c>
      <c r="AD94" s="147"/>
      <c r="AE94" s="147"/>
      <c r="AF94" s="147"/>
      <c r="AG94" s="147"/>
      <c r="AH94" s="147"/>
      <c r="AI94" s="147"/>
      <c r="AJ94" s="125"/>
      <c r="AK94" s="149"/>
      <c r="AL94" s="129"/>
      <c r="AM94" s="251">
        <f>IF(AM$80="geen",0,AM75+AM85-AM88+AM92)</f>
        <v>0</v>
      </c>
      <c r="AN94" s="251">
        <f>IF(AN$80="geen",0,AN75+AN85-AN88+AN92)</f>
        <v>0</v>
      </c>
      <c r="AO94" s="251">
        <f>IF(AO$80="geen",0,AO75+AO85-AO88+AO92)</f>
        <v>0</v>
      </c>
      <c r="AP94" s="147"/>
      <c r="AQ94" s="147"/>
      <c r="AR94" s="147"/>
      <c r="AS94" s="147"/>
      <c r="AT94" s="147"/>
      <c r="AU94" s="147"/>
      <c r="AV94" s="125"/>
      <c r="AW94" s="149"/>
      <c r="AX94" s="129"/>
      <c r="AY94" s="251">
        <f>IF(AY$80="geen",0,AY75+AY85-AY88+AY92)</f>
        <v>0</v>
      </c>
      <c r="AZ94" s="251">
        <f>IF(AZ$80="geen",0,AZ75+AZ85-AZ88+AZ92)</f>
        <v>0</v>
      </c>
      <c r="BA94" s="251">
        <f>IF(BA$80="geen",0,BA75+BA85-BA88+BA92)</f>
        <v>0</v>
      </c>
      <c r="BB94" s="147"/>
      <c r="BC94" s="147"/>
      <c r="BD94" s="147"/>
      <c r="BE94" s="147"/>
      <c r="BF94" s="147"/>
      <c r="BG94" s="147"/>
      <c r="BH94" s="255"/>
    </row>
    <row r="95" spans="1:60" hidden="1" x14ac:dyDescent="0.2">
      <c r="A95" s="648"/>
      <c r="B95" s="492" t="s">
        <v>178</v>
      </c>
      <c r="C95" s="739" t="s">
        <v>199</v>
      </c>
      <c r="D95" s="750" t="s">
        <v>50</v>
      </c>
      <c r="E95" s="221" t="s">
        <v>201</v>
      </c>
      <c r="F95" s="220"/>
      <c r="G95" s="220"/>
      <c r="H95" s="221" t="s">
        <v>202</v>
      </c>
      <c r="I95" s="146"/>
      <c r="J95" s="230"/>
      <c r="K95" s="121"/>
      <c r="L95" s="121"/>
      <c r="M95" s="230"/>
      <c r="N95" s="129"/>
      <c r="O95" s="622">
        <f>IF(OR(O80="geen",O94=0),0,IF(O81=gebouw,O$29,1))</f>
        <v>0</v>
      </c>
      <c r="P95" s="622">
        <f>IF(OR(P80="geen",P94=0),0,IF(P81=gebouw,P$29,1))</f>
        <v>0</v>
      </c>
      <c r="Q95" s="622" t="s">
        <v>70</v>
      </c>
      <c r="R95" s="145"/>
      <c r="S95" s="145"/>
      <c r="T95" s="145"/>
      <c r="U95" s="145"/>
      <c r="V95" s="145"/>
      <c r="W95" s="145"/>
      <c r="X95" s="486"/>
      <c r="Y95" s="149"/>
      <c r="Z95" s="135"/>
      <c r="AA95" s="622">
        <f>IF(OR(AA80="geen",AA94=0),0,IF(AA81=gebouw,AA$29,1))</f>
        <v>0</v>
      </c>
      <c r="AB95" s="622">
        <f>IF(OR(AB80="geen",AB94=0),0,IF(AB81=gebouw,AB$29,1))</f>
        <v>0</v>
      </c>
      <c r="AC95" s="622" t="s">
        <v>70</v>
      </c>
      <c r="AD95" s="145"/>
      <c r="AE95" s="145"/>
      <c r="AF95" s="145"/>
      <c r="AG95" s="145"/>
      <c r="AH95" s="145"/>
      <c r="AI95" s="145"/>
      <c r="AJ95" s="486"/>
      <c r="AK95" s="149"/>
      <c r="AL95" s="135"/>
      <c r="AM95" s="622">
        <f>IF(OR(AM80="geen",AM94=0),0,IF(AM81=gebouw,AM$29,1))</f>
        <v>0</v>
      </c>
      <c r="AN95" s="622">
        <f>IF(OR(AN80="geen",AN94=0),0,IF(AN81=gebouw,AN$29,1))</f>
        <v>0</v>
      </c>
      <c r="AO95" s="622" t="s">
        <v>70</v>
      </c>
      <c r="AP95" s="145"/>
      <c r="AQ95" s="145"/>
      <c r="AR95" s="145"/>
      <c r="AS95" s="145"/>
      <c r="AT95" s="145"/>
      <c r="AU95" s="145"/>
      <c r="AV95" s="486"/>
      <c r="AW95" s="149"/>
      <c r="AX95" s="135"/>
      <c r="AY95" s="622">
        <f>IF(OR(AY80="geen",AY94=0),0,IF(AY81=gebouw,AY$29,1))</f>
        <v>0</v>
      </c>
      <c r="AZ95" s="622">
        <f>IF(OR(AZ80="geen",AZ94=0),0,IF(AZ81=gebouw,AZ$29,1))</f>
        <v>0</v>
      </c>
      <c r="BA95" s="622" t="s">
        <v>70</v>
      </c>
      <c r="BB95" s="147"/>
      <c r="BC95" s="147"/>
      <c r="BD95" s="147"/>
      <c r="BE95" s="147"/>
      <c r="BF95" s="147"/>
      <c r="BG95" s="147"/>
      <c r="BH95" s="255"/>
    </row>
    <row r="96" spans="1:60" hidden="1" x14ac:dyDescent="0.2">
      <c r="A96" s="648"/>
      <c r="B96" s="492" t="s">
        <v>178</v>
      </c>
      <c r="C96" s="739" t="s">
        <v>199</v>
      </c>
      <c r="D96" s="750" t="s">
        <v>50</v>
      </c>
      <c r="E96" s="221" t="s">
        <v>203</v>
      </c>
      <c r="F96" s="220"/>
      <c r="G96" s="220"/>
      <c r="H96" s="221" t="s">
        <v>204</v>
      </c>
      <c r="I96" s="146"/>
      <c r="J96" s="230"/>
      <c r="K96" s="121"/>
      <c r="L96" s="121"/>
      <c r="M96" s="230"/>
      <c r="N96" s="129"/>
      <c r="O96" s="622">
        <f>MROUND(((bibliotheek!$I$121*(O94*1000))/(0.001*bibliotheek!$I$122)*((bibliotheek!$I$123-bibliotheek!$I$125)/(bibliotheek!$I$123-bibliotheek!$I$124))+(O31^0.5*4*3+O31)*bibliotheek!$I$126)/1000,50)</f>
        <v>0</v>
      </c>
      <c r="P96" s="622">
        <f>IF(P80="geen",0,MROUND((P94*1000)*bibliotheek!$I$196,1))</f>
        <v>0</v>
      </c>
      <c r="Q96" s="622" t="s">
        <v>70</v>
      </c>
      <c r="R96" s="145"/>
      <c r="S96" s="145"/>
      <c r="T96" s="145"/>
      <c r="U96" s="145"/>
      <c r="V96" s="145"/>
      <c r="W96" s="145"/>
      <c r="X96" s="486"/>
      <c r="Y96" s="149"/>
      <c r="Z96" s="135"/>
      <c r="AA96" s="622">
        <f>MROUND(((bibliotheek!$I$121*(AA94*1000))/(0.001*bibliotheek!$I$122)*((bibliotheek!$I$123-bibliotheek!$I$125)/(bibliotheek!$I$123-bibliotheek!$I$124))+(AA31^0.5*4*3+AA31)*bibliotheek!$I$126)/1000,50)</f>
        <v>0</v>
      </c>
      <c r="AB96" s="622">
        <f>IF(AB80="geen",0,MROUND((AB94*1000)*bibliotheek!$I$196,1))</f>
        <v>0</v>
      </c>
      <c r="AC96" s="622" t="s">
        <v>70</v>
      </c>
      <c r="AD96" s="145"/>
      <c r="AE96" s="145"/>
      <c r="AF96" s="145"/>
      <c r="AG96" s="145"/>
      <c r="AH96" s="145"/>
      <c r="AI96" s="145"/>
      <c r="AJ96" s="486"/>
      <c r="AK96" s="149"/>
      <c r="AL96" s="135"/>
      <c r="AM96" s="622">
        <f>MROUND(((bibliotheek!$I$121*(AM94*1000))/(0.001*bibliotheek!$I$122)*((bibliotheek!$I$123-bibliotheek!$I$125)/(bibliotheek!$I$123-bibliotheek!$I$124))+(AM31^0.5*4*3+AM31)*bibliotheek!$I$126)/1000,50)</f>
        <v>0</v>
      </c>
      <c r="AN96" s="622">
        <f>IF(AN80="geen",0,MROUND((AN94*1000)*bibliotheek!$I$196,1))</f>
        <v>0</v>
      </c>
      <c r="AO96" s="622" t="s">
        <v>70</v>
      </c>
      <c r="AP96" s="145"/>
      <c r="AQ96" s="145"/>
      <c r="AR96" s="145"/>
      <c r="AS96" s="145"/>
      <c r="AT96" s="145"/>
      <c r="AU96" s="145"/>
      <c r="AV96" s="486"/>
      <c r="AW96" s="149"/>
      <c r="AX96" s="135"/>
      <c r="AY96" s="622">
        <f>MROUND(((bibliotheek!$I$121*(AY94*1000))/(0.001*bibliotheek!$I$122)*((bibliotheek!$I$123-bibliotheek!$I$125)/(bibliotheek!$I$123-bibliotheek!$I$124))+(AY31^0.5*4*3+AY31)*bibliotheek!$I$126)/1000,50)</f>
        <v>0</v>
      </c>
      <c r="AZ96" s="622">
        <f>IF(AZ80="geen",0,MROUND((AZ94*1000)*bibliotheek!$I$196,1))</f>
        <v>0</v>
      </c>
      <c r="BA96" s="622" t="s">
        <v>70</v>
      </c>
      <c r="BB96" s="147"/>
      <c r="BC96" s="147"/>
      <c r="BD96" s="147"/>
      <c r="BE96" s="147"/>
      <c r="BF96" s="147"/>
      <c r="BG96" s="147"/>
      <c r="BH96" s="255"/>
    </row>
    <row r="97" spans="1:60" hidden="1" x14ac:dyDescent="0.2">
      <c r="A97" s="648"/>
      <c r="B97" s="492" t="s">
        <v>178</v>
      </c>
      <c r="C97" s="656" t="s">
        <v>199</v>
      </c>
      <c r="D97" s="747"/>
      <c r="E97" s="90"/>
      <c r="F97" s="90"/>
      <c r="G97" s="90"/>
      <c r="H97" s="96"/>
      <c r="I97" s="90"/>
      <c r="J97" s="93"/>
      <c r="K97" s="90"/>
      <c r="L97" s="90"/>
      <c r="M97" s="93"/>
      <c r="N97" s="90"/>
      <c r="O97" s="93"/>
      <c r="P97" s="93"/>
      <c r="Q97" s="93"/>
      <c r="R97" s="93"/>
      <c r="S97" s="93"/>
      <c r="T97" s="93"/>
      <c r="U97" s="93"/>
      <c r="V97" s="93"/>
      <c r="W97" s="93"/>
      <c r="X97" s="93"/>
      <c r="Y97" s="93"/>
      <c r="Z97" s="90"/>
      <c r="AA97" s="122"/>
      <c r="AB97" s="117"/>
      <c r="AC97" s="122"/>
      <c r="AD97" s="93"/>
      <c r="AE97" s="93"/>
      <c r="AF97" s="93"/>
      <c r="AG97" s="93"/>
      <c r="AH97" s="93"/>
      <c r="AI97" s="93"/>
      <c r="AJ97" s="93"/>
      <c r="AK97" s="93"/>
      <c r="AL97" s="90"/>
      <c r="AM97" s="93"/>
      <c r="AN97" s="117"/>
      <c r="AO97" s="93"/>
      <c r="AP97" s="93"/>
      <c r="AQ97" s="93"/>
      <c r="AR97" s="93"/>
      <c r="AS97" s="93"/>
      <c r="AT97" s="93"/>
      <c r="AU97" s="93"/>
      <c r="AV97" s="93"/>
      <c r="AW97" s="93"/>
      <c r="AX97" s="90"/>
      <c r="AY97" s="93"/>
      <c r="AZ97" s="117"/>
      <c r="BA97" s="93"/>
      <c r="BB97" s="93"/>
      <c r="BC97" s="93"/>
      <c r="BD97" s="93"/>
      <c r="BE97" s="93"/>
      <c r="BF97" s="93"/>
      <c r="BG97" s="93"/>
      <c r="BH97" s="1"/>
    </row>
    <row r="98" spans="1:60" x14ac:dyDescent="0.2">
      <c r="A98" s="648"/>
      <c r="B98" s="492" t="s">
        <v>205</v>
      </c>
      <c r="C98" s="656" t="s">
        <v>104</v>
      </c>
      <c r="D98" s="747"/>
      <c r="E98" s="90"/>
      <c r="F98" s="90"/>
      <c r="G98" s="90"/>
      <c r="H98" s="96"/>
      <c r="I98" s="90"/>
      <c r="J98" s="93"/>
      <c r="K98" s="90"/>
      <c r="L98" s="90"/>
      <c r="M98" s="93"/>
      <c r="N98" s="90"/>
      <c r="O98" s="489"/>
      <c r="P98" s="93"/>
      <c r="Q98" s="93"/>
      <c r="R98" s="93"/>
      <c r="S98" s="93"/>
      <c r="T98" s="93"/>
      <c r="U98" s="93"/>
      <c r="V98" s="93"/>
      <c r="W98" s="93"/>
      <c r="X98" s="93"/>
      <c r="Y98" s="93"/>
      <c r="Z98" s="90"/>
      <c r="AA98" s="93"/>
      <c r="AB98" s="93"/>
      <c r="AC98" s="93"/>
      <c r="AD98" s="93"/>
      <c r="AE98" s="93"/>
      <c r="AF98" s="93"/>
      <c r="AG98" s="93"/>
      <c r="AH98" s="93"/>
      <c r="AI98" s="93"/>
      <c r="AJ98" s="93"/>
      <c r="AK98" s="93"/>
      <c r="AL98" s="90"/>
      <c r="AM98" s="93"/>
      <c r="AN98" s="93"/>
      <c r="AO98" s="93"/>
      <c r="AP98" s="93"/>
      <c r="AQ98" s="93"/>
      <c r="AR98" s="93"/>
      <c r="AS98" s="93"/>
      <c r="AT98" s="93"/>
      <c r="AU98" s="93"/>
      <c r="AV98" s="93"/>
      <c r="AW98" s="93"/>
      <c r="AX98" s="90"/>
      <c r="AY98" s="93"/>
      <c r="AZ98" s="93"/>
      <c r="BA98" s="93"/>
      <c r="BB98" s="93"/>
      <c r="BC98" s="93"/>
      <c r="BD98" s="93"/>
      <c r="BE98" s="93"/>
      <c r="BF98" s="93"/>
      <c r="BG98" s="93"/>
      <c r="BH98" s="1"/>
    </row>
    <row r="99" spans="1:60" ht="21" x14ac:dyDescent="0.2">
      <c r="A99" s="648"/>
      <c r="B99" s="492" t="s">
        <v>205</v>
      </c>
      <c r="C99" s="739" t="s">
        <v>104</v>
      </c>
      <c r="D99" s="750" t="s">
        <v>50</v>
      </c>
      <c r="E99" s="240" t="s">
        <v>206</v>
      </c>
      <c r="F99" s="240"/>
      <c r="G99" s="240"/>
      <c r="H99" s="240"/>
      <c r="I99" s="88"/>
      <c r="J99" s="241" t="str">
        <f>J$10</f>
        <v>totaal</v>
      </c>
      <c r="K99" s="142"/>
      <c r="L99" s="142"/>
      <c r="M99" s="216" t="str">
        <f>M$10</f>
        <v>totaal</v>
      </c>
      <c r="N99" s="222"/>
      <c r="O99" s="217" t="str">
        <f>O$10</f>
        <v>verwarming</v>
      </c>
      <c r="P99" s="217" t="str">
        <f>P$10</f>
        <v>koeling</v>
      </c>
      <c r="Q99" s="217" t="str">
        <f>Q$10</f>
        <v>tapwater</v>
      </c>
      <c r="R99" s="217"/>
      <c r="S99" s="217"/>
      <c r="T99" s="217"/>
      <c r="U99" s="217"/>
      <c r="V99" s="217"/>
      <c r="W99" s="217"/>
      <c r="X99" s="214"/>
      <c r="Y99" s="216" t="str">
        <f>Y$10</f>
        <v>totaal</v>
      </c>
      <c r="Z99" s="222"/>
      <c r="AA99" s="217" t="str">
        <f>AA$10</f>
        <v>verwarming</v>
      </c>
      <c r="AB99" s="217" t="str">
        <f>AB$10</f>
        <v>koeling</v>
      </c>
      <c r="AC99" s="217" t="str">
        <f>AC$10</f>
        <v>tapwater</v>
      </c>
      <c r="AD99" s="217"/>
      <c r="AE99" s="217"/>
      <c r="AF99" s="217"/>
      <c r="AG99" s="217"/>
      <c r="AH99" s="217"/>
      <c r="AI99" s="217"/>
      <c r="AJ99" s="214"/>
      <c r="AK99" s="216" t="str">
        <f>AK$10</f>
        <v>totaal</v>
      </c>
      <c r="AL99" s="222"/>
      <c r="AM99" s="217" t="str">
        <f>AM$10</f>
        <v>verwarming</v>
      </c>
      <c r="AN99" s="217" t="str">
        <f>AN$10</f>
        <v>koeling</v>
      </c>
      <c r="AO99" s="217" t="str">
        <f>AO$10</f>
        <v>tapwater</v>
      </c>
      <c r="AP99" s="217"/>
      <c r="AQ99" s="217"/>
      <c r="AR99" s="217"/>
      <c r="AS99" s="217"/>
      <c r="AT99" s="217"/>
      <c r="AU99" s="217"/>
      <c r="AV99" s="214"/>
      <c r="AW99" s="216" t="str">
        <f>AW$10</f>
        <v>totaal</v>
      </c>
      <c r="AX99" s="222"/>
      <c r="AY99" s="217" t="str">
        <f>AY$10</f>
        <v>verwarming</v>
      </c>
      <c r="AZ99" s="217" t="str">
        <f>AZ$10</f>
        <v>koeling</v>
      </c>
      <c r="BA99" s="217" t="str">
        <f>BA$10</f>
        <v>tapwater</v>
      </c>
      <c r="BB99" s="217"/>
      <c r="BC99" s="217"/>
      <c r="BD99" s="217"/>
      <c r="BE99" s="217"/>
      <c r="BF99" s="217"/>
      <c r="BG99" s="217"/>
      <c r="BH99" s="1"/>
    </row>
    <row r="100" spans="1:60" ht="18.75" x14ac:dyDescent="0.2">
      <c r="A100" s="648"/>
      <c r="B100" s="492" t="s">
        <v>205</v>
      </c>
      <c r="C100" s="739" t="s">
        <v>104</v>
      </c>
      <c r="D100" s="750"/>
      <c r="E100" s="315" t="s">
        <v>207</v>
      </c>
      <c r="F100" s="175"/>
      <c r="G100" s="175"/>
      <c r="H100" s="176"/>
      <c r="I100" s="177"/>
      <c r="J100" s="141"/>
      <c r="K100" s="178"/>
      <c r="L100" s="178"/>
      <c r="M100" s="141"/>
      <c r="N100" s="141"/>
      <c r="O100" s="141"/>
      <c r="P100" s="141"/>
      <c r="Q100" s="141"/>
      <c r="R100" s="141">
        <v>1</v>
      </c>
      <c r="S100" s="141">
        <v>1</v>
      </c>
      <c r="T100" s="141"/>
      <c r="U100" s="141"/>
      <c r="V100" s="141"/>
      <c r="W100" s="141"/>
      <c r="X100" s="179"/>
      <c r="Y100" s="141"/>
      <c r="Z100" s="141"/>
      <c r="AA100" s="141"/>
      <c r="AB100" s="141"/>
      <c r="AC100" s="141"/>
      <c r="AD100" s="141"/>
      <c r="AE100" s="141"/>
      <c r="AF100" s="141"/>
      <c r="AG100" s="141"/>
      <c r="AH100" s="141"/>
      <c r="AI100" s="141"/>
      <c r="AJ100" s="179"/>
      <c r="AK100" s="141"/>
      <c r="AL100" s="141"/>
      <c r="AM100" s="141"/>
      <c r="AN100" s="141"/>
      <c r="AO100" s="141"/>
      <c r="AP100" s="141"/>
      <c r="AQ100" s="141"/>
      <c r="AR100" s="141"/>
      <c r="AS100" s="141"/>
      <c r="AT100" s="141"/>
      <c r="AU100" s="141"/>
      <c r="AV100" s="179"/>
      <c r="AW100" s="141"/>
      <c r="AX100" s="141"/>
      <c r="AY100" s="141"/>
      <c r="AZ100" s="141"/>
      <c r="BA100" s="141"/>
      <c r="BB100" s="141"/>
      <c r="BC100" s="141"/>
      <c r="BD100" s="141"/>
      <c r="BE100" s="141"/>
      <c r="BF100" s="141"/>
      <c r="BG100" s="141"/>
      <c r="BH100" s="263"/>
    </row>
    <row r="101" spans="1:60" ht="38.25" x14ac:dyDescent="0.2">
      <c r="A101" s="648"/>
      <c r="B101" s="492" t="s">
        <v>205</v>
      </c>
      <c r="C101" s="656" t="s">
        <v>127</v>
      </c>
      <c r="D101" s="747"/>
      <c r="E101" s="183" t="s">
        <v>181</v>
      </c>
      <c r="F101" s="357"/>
      <c r="G101" s="357"/>
      <c r="H101" s="183" t="s">
        <v>70</v>
      </c>
      <c r="I101" s="188"/>
      <c r="J101" s="330"/>
      <c r="K101" s="820"/>
      <c r="L101" s="820"/>
      <c r="M101" s="330"/>
      <c r="N101" s="136"/>
      <c r="O101" s="390" t="str">
        <f>O80</f>
        <v>ind WP, ind bodem, elek bijstook</v>
      </c>
      <c r="P101" s="390" t="str">
        <f>P80</f>
        <v>geen</v>
      </c>
      <c r="Q101" s="390" t="str">
        <f>Q80</f>
        <v>ind WP, ind bodem, elek bijstook</v>
      </c>
      <c r="R101" s="190"/>
      <c r="S101" s="190"/>
      <c r="T101" s="190"/>
      <c r="U101" s="190"/>
      <c r="V101" s="190"/>
      <c r="W101" s="190"/>
      <c r="X101" s="191"/>
      <c r="Y101" s="330"/>
      <c r="Z101" s="136"/>
      <c r="AA101" s="390" t="str">
        <f>AA80</f>
        <v>ind WP, ind bodem, elek bijstook</v>
      </c>
      <c r="AB101" s="390" t="str">
        <f>AB80</f>
        <v>geen</v>
      </c>
      <c r="AC101" s="390" t="str">
        <f>AC80</f>
        <v>ind WP, ind bodem, elek bijstook</v>
      </c>
      <c r="AD101" s="190"/>
      <c r="AE101" s="190"/>
      <c r="AF101" s="190"/>
      <c r="AG101" s="190"/>
      <c r="AH101" s="190"/>
      <c r="AI101" s="190"/>
      <c r="AJ101" s="191"/>
      <c r="AK101" s="330"/>
      <c r="AL101" s="136"/>
      <c r="AM101" s="390" t="str">
        <f>AM80</f>
        <v>ind WP, ind bodem, elek bijstook</v>
      </c>
      <c r="AN101" s="390" t="str">
        <f>AN80</f>
        <v>geen</v>
      </c>
      <c r="AO101" s="390" t="str">
        <f>AO80</f>
        <v>ind WP, ind bodem, elek bijstook</v>
      </c>
      <c r="AP101" s="190"/>
      <c r="AQ101" s="190"/>
      <c r="AR101" s="190"/>
      <c r="AS101" s="190"/>
      <c r="AT101" s="190"/>
      <c r="AU101" s="190"/>
      <c r="AV101" s="191"/>
      <c r="AW101" s="330"/>
      <c r="AX101" s="136"/>
      <c r="AY101" s="390" t="str">
        <f>AY80</f>
        <v>ind WP, ind bodem, elek bijstook</v>
      </c>
      <c r="AZ101" s="390" t="str">
        <f>AZ80</f>
        <v>geen</v>
      </c>
      <c r="BA101" s="390" t="str">
        <f>BA80</f>
        <v>ind WP, ind bodem, elek bijstook</v>
      </c>
      <c r="BB101" s="190"/>
      <c r="BC101" s="190"/>
      <c r="BD101" s="190"/>
      <c r="BE101" s="190"/>
      <c r="BF101" s="190"/>
      <c r="BG101" s="190"/>
      <c r="BH101" s="263"/>
    </row>
    <row r="102" spans="1:60" s="38" customFormat="1" hidden="1" x14ac:dyDescent="0.2">
      <c r="A102" s="648"/>
      <c r="B102" s="492" t="s">
        <v>205</v>
      </c>
      <c r="C102" s="656" t="s">
        <v>199</v>
      </c>
      <c r="D102" s="747"/>
      <c r="E102" s="183" t="s">
        <v>208</v>
      </c>
      <c r="F102" s="182"/>
      <c r="G102" s="182"/>
      <c r="H102" s="183" t="s">
        <v>70</v>
      </c>
      <c r="I102" s="340"/>
      <c r="J102" s="350"/>
      <c r="K102" s="821"/>
      <c r="L102" s="821"/>
      <c r="M102" s="350"/>
      <c r="N102" s="235"/>
      <c r="O102" s="390" t="str">
        <f>HLOOKUP(IF(O$80="",referentie_verwarming,O$80),toestellen_RV,ROWS(bibliotheek!$E$79:$E$92),FALSE)</f>
        <v>elektriciteit</v>
      </c>
      <c r="P102" s="390" t="str">
        <f>HLOOKUP(IF(P$80="",referentie_koeling,P$80),toestellen_KOEL,ROWS(bibliotheek!$E$170:$E$177),FALSE)</f>
        <v>nvt</v>
      </c>
      <c r="Q102" s="390" t="str">
        <f>HLOOKUP(IF(Q$80="",referentie_warmtapwater,Q$80),toestellen_TAP,ROWS(bibliotheek!$E$136:$E$149),FALSE)</f>
        <v>elektriciteit</v>
      </c>
      <c r="R102" s="341"/>
      <c r="S102" s="341"/>
      <c r="T102" s="341"/>
      <c r="U102" s="341"/>
      <c r="V102" s="341"/>
      <c r="W102" s="341"/>
      <c r="X102" s="342"/>
      <c r="Y102" s="350"/>
      <c r="Z102" s="235"/>
      <c r="AA102" s="390" t="str">
        <f>HLOOKUP(IF(AA$80="",referentie_verwarming,AA$80),toestellen_RV,ROWS(bibliotheek!$E$79:$E$92),FALSE)</f>
        <v>elektriciteit</v>
      </c>
      <c r="AB102" s="390" t="str">
        <f>HLOOKUP(IF(AB$80="",referentie_koeling,AB$80),toestellen_KOEL,ROWS(bibliotheek!$E$170:$E$177),FALSE)</f>
        <v>nvt</v>
      </c>
      <c r="AC102" s="390" t="str">
        <f>HLOOKUP(IF(AC$80="",referentie_warmtapwater,AC$80),toestellen_TAP,ROWS(bibliotheek!$E$136:$E$149),FALSE)</f>
        <v>elektriciteit</v>
      </c>
      <c r="AD102" s="341"/>
      <c r="AE102" s="341"/>
      <c r="AF102" s="341"/>
      <c r="AG102" s="341"/>
      <c r="AH102" s="341"/>
      <c r="AI102" s="341"/>
      <c r="AJ102" s="342"/>
      <c r="AK102" s="350"/>
      <c r="AL102" s="235"/>
      <c r="AM102" s="390" t="str">
        <f>HLOOKUP(IF(AM$80="",referentie_verwarming,AM$80),toestellen_RV,ROWS(bibliotheek!$E$79:$E$92),FALSE)</f>
        <v>elektriciteit</v>
      </c>
      <c r="AN102" s="390" t="str">
        <f>HLOOKUP(IF(AN$80="",referentie_koeling,AN$80),toestellen_KOEL,ROWS(bibliotheek!$E$170:$E$177),FALSE)</f>
        <v>nvt</v>
      </c>
      <c r="AO102" s="390" t="str">
        <f>HLOOKUP(IF(AO$80="",referentie_warmtapwater,AO$80),toestellen_TAP,ROWS(bibliotheek!$E$136:$E$149),FALSE)</f>
        <v>elektriciteit</v>
      </c>
      <c r="AP102" s="341"/>
      <c r="AQ102" s="341"/>
      <c r="AR102" s="341"/>
      <c r="AS102" s="341"/>
      <c r="AT102" s="341"/>
      <c r="AU102" s="341"/>
      <c r="AV102" s="342"/>
      <c r="AW102" s="350"/>
      <c r="AX102" s="235"/>
      <c r="AY102" s="390" t="str">
        <f>HLOOKUP(IF(AY$80="",referentie_verwarming,AY$80),toestellen_RV,ROWS(bibliotheek!$E$79:$E$92),FALSE)</f>
        <v>elektriciteit</v>
      </c>
      <c r="AZ102" s="390" t="str">
        <f>HLOOKUP(IF(AZ$80="",referentie_koeling,AZ$80),toestellen_KOEL,ROWS(bibliotheek!$E$170:$E$177),FALSE)</f>
        <v>nvt</v>
      </c>
      <c r="BA102" s="390" t="str">
        <f>HLOOKUP(IF(BA$80="",referentie_warmtapwater,BA$80),toestellen_TAP,ROWS(bibliotheek!$E$136:$E$149),FALSE)</f>
        <v>elektriciteit</v>
      </c>
      <c r="BB102" s="341"/>
      <c r="BC102" s="341"/>
      <c r="BD102" s="341"/>
      <c r="BE102" s="341"/>
      <c r="BF102" s="341"/>
      <c r="BG102" s="341"/>
      <c r="BH102" s="268"/>
    </row>
    <row r="103" spans="1:60" hidden="1" x14ac:dyDescent="0.2">
      <c r="A103" s="648"/>
      <c r="B103" s="492" t="s">
        <v>205</v>
      </c>
      <c r="C103" s="739" t="s">
        <v>199</v>
      </c>
      <c r="D103" s="747"/>
      <c r="E103" s="221" t="s">
        <v>209</v>
      </c>
      <c r="F103" s="220"/>
      <c r="G103" s="220"/>
      <c r="H103" s="221" t="s">
        <v>70</v>
      </c>
      <c r="I103" s="146"/>
      <c r="J103" s="230"/>
      <c r="K103" s="822"/>
      <c r="L103" s="822"/>
      <c r="M103" s="230"/>
      <c r="N103" s="129"/>
      <c r="O103" s="623" t="str">
        <f>INDEX(energiedragers_index_fPren,MATCH(O102,energiedragers_namen,0))</f>
        <v>nren</v>
      </c>
      <c r="P103" s="623" t="str">
        <f>INDEX(energiedragers_index_fPren,MATCH(P102,energiedragers_namen,0))</f>
        <v>nren</v>
      </c>
      <c r="Q103" s="623" t="str">
        <f>INDEX(energiedragers_index_fPren,MATCH(Q102,energiedragers_namen,0))</f>
        <v>nren</v>
      </c>
      <c r="R103" s="200"/>
      <c r="S103" s="200"/>
      <c r="T103" s="200"/>
      <c r="U103" s="200"/>
      <c r="V103" s="200"/>
      <c r="W103" s="200"/>
      <c r="X103" s="201"/>
      <c r="Y103" s="230"/>
      <c r="Z103" s="129"/>
      <c r="AA103" s="623" t="str">
        <f>INDEX(energiedragers_index_fPren,MATCH(AA102,energiedragers_namen,0))</f>
        <v>nren</v>
      </c>
      <c r="AB103" s="623" t="str">
        <f>INDEX(energiedragers_index_fPren,MATCH(AB102,energiedragers_namen,0))</f>
        <v>nren</v>
      </c>
      <c r="AC103" s="623" t="str">
        <f>INDEX(energiedragers_index_fPren,MATCH(AC102,energiedragers_namen,0))</f>
        <v>nren</v>
      </c>
      <c r="AD103" s="200"/>
      <c r="AE103" s="200"/>
      <c r="AF103" s="200"/>
      <c r="AG103" s="200"/>
      <c r="AH103" s="200"/>
      <c r="AI103" s="200"/>
      <c r="AJ103" s="201"/>
      <c r="AK103" s="230"/>
      <c r="AL103" s="129"/>
      <c r="AM103" s="623" t="str">
        <f>INDEX(energiedragers_index_fPren,MATCH(AM102,energiedragers_namen,0))</f>
        <v>nren</v>
      </c>
      <c r="AN103" s="623" t="str">
        <f>INDEX(energiedragers_index_fPren,MATCH(AN102,energiedragers_namen,0))</f>
        <v>nren</v>
      </c>
      <c r="AO103" s="623" t="str">
        <f>INDEX(energiedragers_index_fPren,MATCH(AO102,energiedragers_namen,0))</f>
        <v>nren</v>
      </c>
      <c r="AP103" s="200"/>
      <c r="AQ103" s="200"/>
      <c r="AR103" s="200"/>
      <c r="AS103" s="200"/>
      <c r="AT103" s="200"/>
      <c r="AU103" s="200"/>
      <c r="AV103" s="201"/>
      <c r="AW103" s="230"/>
      <c r="AX103" s="129"/>
      <c r="AY103" s="623" t="str">
        <f>INDEX(energiedragers_index_fPren,MATCH(AY102,energiedragers_namen,0))</f>
        <v>nren</v>
      </c>
      <c r="AZ103" s="623" t="str">
        <f>INDEX(energiedragers_index_fPren,MATCH(AZ102,energiedragers_namen,0))</f>
        <v>nren</v>
      </c>
      <c r="BA103" s="623" t="str">
        <f>INDEX(energiedragers_index_fPren,MATCH(BA102,energiedragers_namen,0))</f>
        <v>nren</v>
      </c>
      <c r="BB103" s="200"/>
      <c r="BC103" s="200"/>
      <c r="BD103" s="200"/>
      <c r="BE103" s="200"/>
      <c r="BF103" s="200"/>
      <c r="BG103" s="200"/>
      <c r="BH103" s="264"/>
    </row>
    <row r="104" spans="1:60" ht="18.75" x14ac:dyDescent="0.2">
      <c r="A104" s="648"/>
      <c r="B104" s="492" t="s">
        <v>205</v>
      </c>
      <c r="C104" s="739" t="s">
        <v>104</v>
      </c>
      <c r="D104" s="747"/>
      <c r="E104" s="144" t="s">
        <v>210</v>
      </c>
      <c r="F104" s="119"/>
      <c r="G104" s="119"/>
      <c r="H104" s="89"/>
      <c r="I104" s="120"/>
      <c r="J104" s="141"/>
      <c r="K104" s="124"/>
      <c r="L104" s="124"/>
      <c r="M104" s="141"/>
      <c r="N104" s="141"/>
      <c r="O104" s="141"/>
      <c r="P104" s="141"/>
      <c r="Q104" s="141"/>
      <c r="R104" s="141"/>
      <c r="S104" s="141"/>
      <c r="T104" s="141"/>
      <c r="U104" s="141"/>
      <c r="V104" s="141"/>
      <c r="W104" s="141"/>
      <c r="X104" s="143"/>
      <c r="Y104" s="141"/>
      <c r="Z104" s="141"/>
      <c r="AA104" s="141"/>
      <c r="AB104" s="141"/>
      <c r="AC104" s="141"/>
      <c r="AD104" s="141"/>
      <c r="AE104" s="141"/>
      <c r="AF104" s="141"/>
      <c r="AG104" s="141"/>
      <c r="AH104" s="141"/>
      <c r="AI104" s="141"/>
      <c r="AJ104" s="143"/>
      <c r="AK104" s="141"/>
      <c r="AL104" s="141"/>
      <c r="AM104" s="141"/>
      <c r="AN104" s="141"/>
      <c r="AO104" s="141"/>
      <c r="AP104" s="141"/>
      <c r="AQ104" s="141"/>
      <c r="AR104" s="141"/>
      <c r="AS104" s="141"/>
      <c r="AT104" s="141"/>
      <c r="AU104" s="141"/>
      <c r="AV104" s="143"/>
      <c r="AW104" s="141"/>
      <c r="AX104" s="141"/>
      <c r="AY104" s="141"/>
      <c r="AZ104" s="141"/>
      <c r="BA104" s="141"/>
      <c r="BB104" s="141"/>
      <c r="BC104" s="141"/>
      <c r="BD104" s="141"/>
      <c r="BE104" s="141"/>
      <c r="BF104" s="141"/>
      <c r="BG104" s="141"/>
      <c r="BH104" s="263"/>
    </row>
    <row r="105" spans="1:60" x14ac:dyDescent="0.2">
      <c r="A105" s="648"/>
      <c r="B105" s="492" t="s">
        <v>205</v>
      </c>
      <c r="C105" s="656" t="s">
        <v>127</v>
      </c>
      <c r="D105" s="747"/>
      <c r="E105" s="354" t="s">
        <v>211</v>
      </c>
      <c r="F105" s="316"/>
      <c r="G105" s="316"/>
      <c r="H105" s="354" t="s">
        <v>150</v>
      </c>
      <c r="I105" s="88"/>
      <c r="J105" s="229"/>
      <c r="K105" s="121"/>
      <c r="L105" s="121"/>
      <c r="M105" s="229"/>
      <c r="N105" s="90"/>
      <c r="O105" s="624">
        <f>IF(HLOOKUP(IF(O$80="",referentie_verwarming,O$80),toestellen_RV,ROWS(bibliotheek!$E$79:$E$94),FALSE)=1,1,IF(O106&lt;&gt;"",O106,HLOOKUP(IF(O$80="",referentie_verwarming,O$80),toestellen_RV,ROWS(bibliotheek!$E$79:$E$94),FALSE)))</f>
        <v>0.9</v>
      </c>
      <c r="P105" s="624">
        <f>IF(HLOOKUP(IF(P$80="",referentie_koeling,P$80),toestellen_KOEL,ROWS(bibliotheek!$E$170:$E$179),FALSE)=1,1,IF(P106&lt;&gt;"",P106,HLOOKUP(IF(P$80="",referentie_koeling,P$80),toestellen_KOEL,ROWS(bibliotheek!$E$170:$E$179),FALSE)))</f>
        <v>1</v>
      </c>
      <c r="Q105" s="624">
        <f>IF(HLOOKUP(IF(Q$80="",referentie_warmtapwater,Q$80),toestellen_TAP,ROWS(bibliotheek!$E$136:$E$151),FALSE)=1,1,IF(Q106&lt;&gt;"",Q106,HLOOKUP(IF(Q$80="",referentie_warmtapwater,Q$80),toestellen_TAP,ROWS(bibliotheek!$E$136:$E$151),FALSE)))</f>
        <v>0.9</v>
      </c>
      <c r="R105" s="152"/>
      <c r="S105" s="152"/>
      <c r="T105" s="152"/>
      <c r="U105" s="152"/>
      <c r="V105" s="152"/>
      <c r="W105" s="152"/>
      <c r="X105" s="87"/>
      <c r="Y105" s="229"/>
      <c r="Z105" s="90"/>
      <c r="AA105" s="624">
        <f>IF(HLOOKUP(IF(AA$80="",referentie_verwarming,AA$80),toestellen_RV,ROWS(bibliotheek!$E$79:$E$94),FALSE)=1,1,IF(AA106&lt;&gt;"",AA106,HLOOKUP(IF(AA$80="",referentie_verwarming,AA$80),toestellen_RV,ROWS(bibliotheek!$E$79:$E$94),FALSE)))</f>
        <v>0.9</v>
      </c>
      <c r="AB105" s="624">
        <f>IF(HLOOKUP(IF(AB$80="",referentie_koeling,AB$80),toestellen_KOEL,ROWS(bibliotheek!$E$170:$E$179),FALSE)=1,1,IF(AB106&lt;&gt;"",AB106,HLOOKUP(IF(AB$80="",referentie_koeling,AB$80),toestellen_KOEL,ROWS(bibliotheek!$E$170:$E$179),FALSE)))</f>
        <v>1</v>
      </c>
      <c r="AC105" s="624">
        <f>IF(HLOOKUP(IF(AC$80="",referentie_warmtapwater,AC$80),toestellen_TAP,ROWS(bibliotheek!$E$136:$E$151),FALSE)=1,1,IF(AC106&lt;&gt;"",AC106,HLOOKUP(IF(AC$80="",referentie_warmtapwater,AC$80),toestellen_TAP,ROWS(bibliotheek!$E$136:$E$151),FALSE)))</f>
        <v>0.9</v>
      </c>
      <c r="AD105" s="152"/>
      <c r="AE105" s="152"/>
      <c r="AF105" s="152"/>
      <c r="AG105" s="152"/>
      <c r="AH105" s="152"/>
      <c r="AI105" s="152"/>
      <c r="AJ105" s="87"/>
      <c r="AK105" s="229"/>
      <c r="AL105" s="90"/>
      <c r="AM105" s="624">
        <f>IF(HLOOKUP(IF(AM$80="",referentie_verwarming,AM$80),toestellen_RV,ROWS(bibliotheek!$E$79:$E$94),FALSE)=1,1,IF(AM106&lt;&gt;"",AM106,HLOOKUP(IF(AM$80="",referentie_verwarming,AM$80),toestellen_RV,ROWS(bibliotheek!$E$79:$E$94),FALSE)))</f>
        <v>0.9</v>
      </c>
      <c r="AN105" s="624">
        <f>IF(HLOOKUP(IF(AN$80="",referentie_koeling,AN$80),toestellen_KOEL,ROWS(bibliotheek!$E$170:$E$179),FALSE)=1,1,IF(AN106&lt;&gt;"",AN106,HLOOKUP(IF(AN$80="",referentie_koeling,AN$80),toestellen_KOEL,ROWS(bibliotheek!$E$170:$E$179),FALSE)))</f>
        <v>1</v>
      </c>
      <c r="AO105" s="624">
        <f>IF(HLOOKUP(IF(AO$80="",referentie_warmtapwater,AO$80),toestellen_TAP,ROWS(bibliotheek!$E$136:$E$151),FALSE)=1,1,IF(AO106&lt;&gt;"",AO106,HLOOKUP(IF(AO$80="",referentie_warmtapwater,AO$80),toestellen_TAP,ROWS(bibliotheek!$E$136:$E$151),FALSE)))</f>
        <v>0.9</v>
      </c>
      <c r="AP105" s="152"/>
      <c r="AQ105" s="152"/>
      <c r="AR105" s="152"/>
      <c r="AS105" s="152"/>
      <c r="AT105" s="152"/>
      <c r="AU105" s="152"/>
      <c r="AV105" s="87"/>
      <c r="AW105" s="229"/>
      <c r="AX105" s="90"/>
      <c r="AY105" s="624">
        <f>IF(HLOOKUP(IF(AY$80="",referentie_verwarming,AY$80),toestellen_RV,ROWS(bibliotheek!$E$79:$E$94),FALSE)=1,1,IF(AY106&lt;&gt;"",AY106,HLOOKUP(IF(AY$80="",referentie_verwarming,AY$80),toestellen_RV,ROWS(bibliotheek!$E$79:$E$94),FALSE)))</f>
        <v>0.9</v>
      </c>
      <c r="AZ105" s="624">
        <f>IF(HLOOKUP(IF(AZ$80="",referentie_koeling,AZ$80),toestellen_KOEL,ROWS(bibliotheek!$E$170:$E$179),FALSE)=1,1,IF(AZ106&lt;&gt;"",AZ106,HLOOKUP(IF(AZ$80="",referentie_koeling,AZ$80),toestellen_KOEL,ROWS(bibliotheek!$E$170:$E$179),FALSE)))</f>
        <v>1</v>
      </c>
      <c r="BA105" s="624">
        <f>IF(HLOOKUP(IF(BA$80="",referentie_warmtapwater,BA$80),toestellen_TAP,ROWS(bibliotheek!$E$136:$E$151),FALSE)=1,1,IF(BA106&lt;&gt;"",BA106,HLOOKUP(IF(BA$80="",referentie_warmtapwater,BA$80),toestellen_TAP,ROWS(bibliotheek!$E$136:$E$151),FALSE)))</f>
        <v>0.9</v>
      </c>
      <c r="BB105" s="152"/>
      <c r="BC105" s="152"/>
      <c r="BD105" s="152"/>
      <c r="BE105" s="152"/>
      <c r="BF105" s="152"/>
      <c r="BG105" s="152"/>
      <c r="BH105" s="214"/>
    </row>
    <row r="106" spans="1:60" x14ac:dyDescent="0.2">
      <c r="A106" s="648"/>
      <c r="B106" s="492" t="s">
        <v>205</v>
      </c>
      <c r="C106" s="656" t="s">
        <v>127</v>
      </c>
      <c r="D106" s="747"/>
      <c r="E106" s="412" t="s">
        <v>212</v>
      </c>
      <c r="F106" s="317"/>
      <c r="G106" s="317"/>
      <c r="H106" s="355"/>
      <c r="I106" s="88"/>
      <c r="J106" s="362"/>
      <c r="K106" s="121"/>
      <c r="L106" s="121"/>
      <c r="M106" s="239"/>
      <c r="N106" s="90"/>
      <c r="O106" s="345"/>
      <c r="P106" s="345"/>
      <c r="Q106" s="345"/>
      <c r="R106" s="154"/>
      <c r="S106" s="154"/>
      <c r="T106" s="154"/>
      <c r="U106" s="154"/>
      <c r="V106" s="154"/>
      <c r="W106" s="154"/>
      <c r="X106" s="87"/>
      <c r="Y106" s="239"/>
      <c r="Z106" s="90"/>
      <c r="AA106" s="345"/>
      <c r="AB106" s="345"/>
      <c r="AC106" s="345"/>
      <c r="AD106" s="154"/>
      <c r="AE106" s="154"/>
      <c r="AF106" s="154"/>
      <c r="AG106" s="154"/>
      <c r="AH106" s="154"/>
      <c r="AI106" s="154"/>
      <c r="AJ106" s="87"/>
      <c r="AK106" s="239"/>
      <c r="AL106" s="90"/>
      <c r="AM106" s="345"/>
      <c r="AN106" s="345"/>
      <c r="AO106" s="345"/>
      <c r="AP106" s="154"/>
      <c r="AQ106" s="154"/>
      <c r="AR106" s="154"/>
      <c r="AS106" s="154"/>
      <c r="AT106" s="154"/>
      <c r="AU106" s="154"/>
      <c r="AV106" s="87"/>
      <c r="AW106" s="239"/>
      <c r="AX106" s="90"/>
      <c r="AY106" s="345"/>
      <c r="AZ106" s="345"/>
      <c r="BA106" s="345"/>
      <c r="BB106" s="154"/>
      <c r="BC106" s="154"/>
      <c r="BD106" s="154"/>
      <c r="BE106" s="154"/>
      <c r="BF106" s="154"/>
      <c r="BG106" s="154"/>
      <c r="BH106" s="265"/>
    </row>
    <row r="107" spans="1:60" hidden="1" x14ac:dyDescent="0.2">
      <c r="A107" s="650"/>
      <c r="B107" s="492" t="s">
        <v>205</v>
      </c>
      <c r="C107" s="740" t="s">
        <v>199</v>
      </c>
      <c r="D107" s="752"/>
      <c r="E107" s="242" t="s">
        <v>213</v>
      </c>
      <c r="F107" s="298"/>
      <c r="G107" s="298"/>
      <c r="H107" s="242" t="s">
        <v>177</v>
      </c>
      <c r="I107" s="121"/>
      <c r="J107" s="243">
        <f>M107+Y107+AK107+AW107</f>
        <v>0</v>
      </c>
      <c r="K107" s="293"/>
      <c r="L107" s="293"/>
      <c r="M107" s="243">
        <f>SUM(O107:X107)</f>
        <v>0</v>
      </c>
      <c r="N107" s="294"/>
      <c r="O107" s="207">
        <f>O$94*O105</f>
        <v>0</v>
      </c>
      <c r="P107" s="207">
        <f>P$94*P105</f>
        <v>0</v>
      </c>
      <c r="Q107" s="207">
        <f>Q$94*Q105</f>
        <v>0</v>
      </c>
      <c r="R107" s="147"/>
      <c r="S107" s="147"/>
      <c r="T107" s="147"/>
      <c r="U107" s="147"/>
      <c r="V107" s="147"/>
      <c r="W107" s="147"/>
      <c r="X107" s="125"/>
      <c r="Y107" s="243">
        <f>SUM(AA107:AJ107)</f>
        <v>0</v>
      </c>
      <c r="Z107" s="294"/>
      <c r="AA107" s="207">
        <f>AA$94*AA105</f>
        <v>0</v>
      </c>
      <c r="AB107" s="207">
        <f>AB$94*AB105</f>
        <v>0</v>
      </c>
      <c r="AC107" s="207">
        <f>AC$94*AC105</f>
        <v>0</v>
      </c>
      <c r="AD107" s="147"/>
      <c r="AE107" s="147"/>
      <c r="AF107" s="147"/>
      <c r="AG107" s="147"/>
      <c r="AH107" s="147"/>
      <c r="AI107" s="147"/>
      <c r="AJ107" s="125"/>
      <c r="AK107" s="243">
        <f>SUM(AM107:AV107)</f>
        <v>0</v>
      </c>
      <c r="AL107" s="294"/>
      <c r="AM107" s="207">
        <f>AM$94*AM105</f>
        <v>0</v>
      </c>
      <c r="AN107" s="207">
        <f>AN$94*AN105</f>
        <v>0</v>
      </c>
      <c r="AO107" s="207">
        <f>AO$94*AO105</f>
        <v>0</v>
      </c>
      <c r="AP107" s="147"/>
      <c r="AQ107" s="147"/>
      <c r="AR107" s="147"/>
      <c r="AS107" s="147"/>
      <c r="AT107" s="147"/>
      <c r="AU107" s="147"/>
      <c r="AV107" s="125"/>
      <c r="AW107" s="243">
        <f>SUM(AY107:BH107)</f>
        <v>0</v>
      </c>
      <c r="AX107" s="294"/>
      <c r="AY107" s="207">
        <f>AY$94*AY105</f>
        <v>0</v>
      </c>
      <c r="AZ107" s="207">
        <f>AZ$94*AZ105</f>
        <v>0</v>
      </c>
      <c r="BA107" s="207">
        <f>BA$94*BA105</f>
        <v>0</v>
      </c>
      <c r="BB107" s="147"/>
      <c r="BC107" s="147"/>
      <c r="BD107" s="147"/>
      <c r="BE107" s="147"/>
      <c r="BF107" s="147"/>
      <c r="BG107" s="147"/>
      <c r="BH107" s="214"/>
    </row>
    <row r="108" spans="1:60" x14ac:dyDescent="0.2">
      <c r="A108" s="648"/>
      <c r="B108" s="492" t="s">
        <v>205</v>
      </c>
      <c r="C108" s="656" t="s">
        <v>127</v>
      </c>
      <c r="D108" s="750" t="s">
        <v>50</v>
      </c>
      <c r="E108" s="354" t="s">
        <v>214</v>
      </c>
      <c r="F108" s="316"/>
      <c r="G108" s="316"/>
      <c r="H108" s="354" t="s">
        <v>70</v>
      </c>
      <c r="I108" s="88"/>
      <c r="J108" s="351"/>
      <c r="K108" s="296"/>
      <c r="L108" s="296"/>
      <c r="M108" s="351"/>
      <c r="N108" s="297"/>
      <c r="O108" s="445">
        <f>IF(O109&lt;&gt;"",O109,HLOOKUP(IF(O$80="",referentie_verwarming,O$80),toestellen_RV,ROWS(bibliotheek!$E$79:$E$95),FALSE))</f>
        <v>4.55</v>
      </c>
      <c r="P108" s="445">
        <f>IF(P109&lt;&gt;"",P109,HLOOKUP(IF(P$80="",referentie_koeling,P$80),toestellen_KOEL,ROWS(bibliotheek!$E$170:$E$180),FALSE))</f>
        <v>0</v>
      </c>
      <c r="Q108" s="445">
        <f>IF(Q109&lt;&gt;"",Q109,HLOOKUP(IF(Q$80="",referentie_warmtapwater,Q$80),toestellen_TAP,ROWS(bibliotheek!$E$136:$E$152),FALSE))</f>
        <v>2.4</v>
      </c>
      <c r="R108" s="158"/>
      <c r="S108" s="158"/>
      <c r="T108" s="158"/>
      <c r="U108" s="158"/>
      <c r="V108" s="158"/>
      <c r="W108" s="158"/>
      <c r="X108" s="414"/>
      <c r="Y108" s="351"/>
      <c r="Z108" s="297"/>
      <c r="AA108" s="445">
        <f>IF(AA109&lt;&gt;"",AA109,HLOOKUP(IF(AA$80="",referentie_verwarming,AA$80),toestellen_RV,ROWS(bibliotheek!$E$79:$E$95),FALSE))</f>
        <v>4.55</v>
      </c>
      <c r="AB108" s="445">
        <f>IF(AB109&lt;&gt;"",AB109,HLOOKUP(IF(AB$80="",referentie_koeling,AB$80),toestellen_KOEL,ROWS(bibliotheek!$E$170:$E$180),FALSE))</f>
        <v>0</v>
      </c>
      <c r="AC108" s="445">
        <f>IF(AC109&lt;&gt;"",AC109,HLOOKUP(IF(AC$80="",referentie_warmtapwater,AC$80),toestellen_TAP,ROWS(bibliotheek!$E$136:$E$152),FALSE))</f>
        <v>2.4</v>
      </c>
      <c r="AD108" s="158"/>
      <c r="AE108" s="158"/>
      <c r="AF108" s="158"/>
      <c r="AG108" s="158"/>
      <c r="AH108" s="158"/>
      <c r="AI108" s="158"/>
      <c r="AJ108" s="414"/>
      <c r="AK108" s="351"/>
      <c r="AL108" s="297"/>
      <c r="AM108" s="445">
        <f>IF(AM109&lt;&gt;"",AM109,HLOOKUP(IF(AM$80="",referentie_verwarming,AM$80),toestellen_RV,ROWS(bibliotheek!$E$79:$E$95),FALSE))</f>
        <v>4.55</v>
      </c>
      <c r="AN108" s="445">
        <f>IF(AN109&lt;&gt;"",AN109,HLOOKUP(IF(AN$80="",referentie_koeling,AN$80),toestellen_KOEL,ROWS(bibliotheek!$E$170:$E$180),FALSE))</f>
        <v>0</v>
      </c>
      <c r="AO108" s="445">
        <f>IF(AO109&lt;&gt;"",AO109,HLOOKUP(IF(AO$80="",referentie_warmtapwater,AO$80),toestellen_TAP,ROWS(bibliotheek!$E$136:$E$152),FALSE))</f>
        <v>2.4</v>
      </c>
      <c r="AP108" s="158"/>
      <c r="AQ108" s="158"/>
      <c r="AR108" s="158"/>
      <c r="AS108" s="158"/>
      <c r="AT108" s="158"/>
      <c r="AU108" s="158"/>
      <c r="AV108" s="414"/>
      <c r="AW108" s="351"/>
      <c r="AX108" s="297"/>
      <c r="AY108" s="445">
        <f>IF(AY109&lt;&gt;"",AY109,HLOOKUP(IF(AY$80="",referentie_verwarming,AY$80),toestellen_RV,ROWS(bibliotheek!$E$79:$E$95),FALSE))</f>
        <v>4.55</v>
      </c>
      <c r="AZ108" s="445">
        <f>IF(AZ109&lt;&gt;"",AZ109,HLOOKUP(IF(AZ$80="",referentie_koeling,AZ$80),toestellen_KOEL,ROWS(bibliotheek!$E$170:$E$180),FALSE))</f>
        <v>0</v>
      </c>
      <c r="BA108" s="445">
        <f>IF(BA109&lt;&gt;"",BA109,HLOOKUP(IF(BA$80="",referentie_warmtapwater,BA$80),toestellen_TAP,ROWS(bibliotheek!$E$136:$E$152),FALSE))</f>
        <v>2.4</v>
      </c>
      <c r="BB108" s="158"/>
      <c r="BC108" s="158"/>
      <c r="BD108" s="158"/>
      <c r="BE108" s="158"/>
      <c r="BF108" s="158"/>
      <c r="BG108" s="158"/>
      <c r="BH108" s="214"/>
    </row>
    <row r="109" spans="1:60" x14ac:dyDescent="0.2">
      <c r="A109" s="648"/>
      <c r="B109" s="492" t="s">
        <v>205</v>
      </c>
      <c r="C109" s="656" t="s">
        <v>127</v>
      </c>
      <c r="D109" s="747"/>
      <c r="E109" s="412" t="s">
        <v>215</v>
      </c>
      <c r="F109" s="355"/>
      <c r="G109" s="355"/>
      <c r="H109" s="355"/>
      <c r="I109" s="88"/>
      <c r="J109" s="362"/>
      <c r="K109" s="296"/>
      <c r="L109" s="296"/>
      <c r="M109" s="239"/>
      <c r="N109" s="297"/>
      <c r="O109" s="420"/>
      <c r="P109" s="420"/>
      <c r="Q109" s="420"/>
      <c r="R109" s="483"/>
      <c r="S109" s="483"/>
      <c r="T109" s="483"/>
      <c r="U109" s="483"/>
      <c r="V109" s="483"/>
      <c r="W109" s="483"/>
      <c r="X109" s="448"/>
      <c r="Y109" s="239"/>
      <c r="Z109" s="297"/>
      <c r="AA109" s="420"/>
      <c r="AB109" s="420"/>
      <c r="AC109" s="420"/>
      <c r="AD109" s="483"/>
      <c r="AE109" s="483"/>
      <c r="AF109" s="483"/>
      <c r="AG109" s="483"/>
      <c r="AH109" s="483"/>
      <c r="AI109" s="483"/>
      <c r="AJ109" s="448"/>
      <c r="AK109" s="239"/>
      <c r="AL109" s="297"/>
      <c r="AM109" s="420"/>
      <c r="AN109" s="420"/>
      <c r="AO109" s="420"/>
      <c r="AP109" s="483"/>
      <c r="AQ109" s="483"/>
      <c r="AR109" s="483"/>
      <c r="AS109" s="483"/>
      <c r="AT109" s="483"/>
      <c r="AU109" s="483"/>
      <c r="AV109" s="448"/>
      <c r="AW109" s="239"/>
      <c r="AX109" s="297"/>
      <c r="AY109" s="420"/>
      <c r="AZ109" s="420"/>
      <c r="BA109" s="420"/>
      <c r="BB109" s="483"/>
      <c r="BC109" s="483"/>
      <c r="BD109" s="483"/>
      <c r="BE109" s="483"/>
      <c r="BF109" s="483"/>
      <c r="BG109" s="483"/>
      <c r="BH109" s="265"/>
    </row>
    <row r="110" spans="1:60" hidden="1" x14ac:dyDescent="0.2">
      <c r="A110" s="648"/>
      <c r="B110" s="492" t="s">
        <v>205</v>
      </c>
      <c r="C110" s="656" t="s">
        <v>199</v>
      </c>
      <c r="D110" s="750" t="s">
        <v>50</v>
      </c>
      <c r="E110" s="221" t="s">
        <v>216</v>
      </c>
      <c r="F110" s="220"/>
      <c r="G110" s="220"/>
      <c r="H110" s="221" t="s">
        <v>70</v>
      </c>
      <c r="I110" s="88"/>
      <c r="J110" s="230"/>
      <c r="K110" s="121"/>
      <c r="L110" s="121"/>
      <c r="M110" s="230"/>
      <c r="N110" s="90"/>
      <c r="O110" s="273">
        <f>INDEX(installaties_RV_verlies_elek_prod_aftapwarmte,MATCH(IF(O101="",referentie_verwarming,O101),toestellen_RV_kopregel,0))</f>
        <v>0</v>
      </c>
      <c r="P110" s="720"/>
      <c r="Q110" s="273">
        <f>INDEX(installaties_TAP_verlies_elek_prod_aftapwarmte,MATCH(IF(Q101="",referentie_verwarming,Q101),toestellen_TAP_kopregel,0))</f>
        <v>0</v>
      </c>
      <c r="R110" s="720"/>
      <c r="S110" s="720"/>
      <c r="T110" s="720"/>
      <c r="U110" s="720"/>
      <c r="V110" s="720"/>
      <c r="W110" s="720"/>
      <c r="X110" s="721"/>
      <c r="Y110" s="423"/>
      <c r="Z110" s="722"/>
      <c r="AA110" s="273">
        <f>INDEX(installaties_RV_verlies_elek_prod_aftapwarmte,MATCH(IF(AA101="",referentie_verwarming,AA101),toestellen_RV_kopregel,0))</f>
        <v>0</v>
      </c>
      <c r="AB110" s="720"/>
      <c r="AC110" s="273">
        <f>INDEX(installaties_TAP_verlies_elek_prod_aftapwarmte,MATCH(IF(AC101="",referentie_verwarming,AC101),toestellen_TAP_kopregel,0))</f>
        <v>0</v>
      </c>
      <c r="AD110" s="720"/>
      <c r="AE110" s="720"/>
      <c r="AF110" s="720"/>
      <c r="AG110" s="720"/>
      <c r="AH110" s="720"/>
      <c r="AI110" s="720"/>
      <c r="AJ110" s="721"/>
      <c r="AK110" s="423"/>
      <c r="AL110" s="722"/>
      <c r="AM110" s="273">
        <f>INDEX(installaties_RV_verlies_elek_prod_aftapwarmte,MATCH(IF(AM101="",referentie_verwarming,AM101),toestellen_RV_kopregel,0))</f>
        <v>0</v>
      </c>
      <c r="AN110" s="720"/>
      <c r="AO110" s="273">
        <f>INDEX(installaties_TAP_verlies_elek_prod_aftapwarmte,MATCH(IF(AO101="",referentie_verwarming,AO101),toestellen_TAP_kopregel,0))</f>
        <v>0</v>
      </c>
      <c r="AP110" s="720"/>
      <c r="AQ110" s="720"/>
      <c r="AR110" s="720"/>
      <c r="AS110" s="720"/>
      <c r="AT110" s="720"/>
      <c r="AU110" s="720"/>
      <c r="AV110" s="721"/>
      <c r="AW110" s="423"/>
      <c r="AX110" s="722"/>
      <c r="AY110" s="273">
        <f>INDEX(installaties_RV_verlies_elek_prod_aftapwarmte,MATCH(IF(AY101="",referentie_verwarming,AY101),toestellen_RV_kopregel,0))</f>
        <v>0</v>
      </c>
      <c r="AZ110" s="720"/>
      <c r="BA110" s="273">
        <f>INDEX(installaties_TAP_verlies_elek_prod_aftapwarmte,MATCH(IF(BA101="",referentie_verwarming,BA101),toestellen_TAP_kopregel,0))</f>
        <v>0</v>
      </c>
      <c r="BB110" s="148"/>
      <c r="BC110" s="148"/>
      <c r="BD110" s="148"/>
      <c r="BE110" s="148"/>
      <c r="BF110" s="148"/>
      <c r="BG110" s="148"/>
      <c r="BH110" s="255"/>
    </row>
    <row r="111" spans="1:60" hidden="1" x14ac:dyDescent="0.2">
      <c r="A111" s="648"/>
      <c r="B111" s="492" t="s">
        <v>205</v>
      </c>
      <c r="C111" s="656" t="s">
        <v>199</v>
      </c>
      <c r="D111" s="747"/>
      <c r="E111" s="221" t="s">
        <v>217</v>
      </c>
      <c r="F111" s="220"/>
      <c r="G111" s="220"/>
      <c r="H111" s="221" t="s">
        <v>70</v>
      </c>
      <c r="I111" s="88"/>
      <c r="J111" s="230"/>
      <c r="K111" s="121"/>
      <c r="L111" s="121"/>
      <c r="M111" s="230"/>
      <c r="N111" s="90"/>
      <c r="O111" s="273">
        <f>HLOOKUP(IF(O$80="",referentie_verwarming,O$80),toestellen_RV,ROWS(bibliotheek!$E$79:$E$96),FALSE)</f>
        <v>0</v>
      </c>
      <c r="P111" s="720"/>
      <c r="Q111" s="273">
        <f>HLOOKUP(IF(Q$80="",referentie_warmtapwater,Q$80),toestellen_TAP,ROWS(bibliotheek!$E$136:$E$153),FALSE)</f>
        <v>0</v>
      </c>
      <c r="R111" s="720"/>
      <c r="S111" s="720"/>
      <c r="T111" s="720"/>
      <c r="U111" s="720"/>
      <c r="V111" s="720"/>
      <c r="W111" s="720"/>
      <c r="X111" s="721"/>
      <c r="Y111" s="423"/>
      <c r="Z111" s="722"/>
      <c r="AA111" s="273">
        <f>HLOOKUP(IF(AA$80="",referentie_verwarming,AA$80),toestellen_RV,ROWS(bibliotheek!$E$79:$E$96),FALSE)</f>
        <v>0</v>
      </c>
      <c r="AB111" s="720"/>
      <c r="AC111" s="273">
        <f>HLOOKUP(IF(AC$80="",referentie_warmtapwater,AC$80),toestellen_TAP,ROWS(bibliotheek!$E$136:$E$153),FALSE)</f>
        <v>0</v>
      </c>
      <c r="AD111" s="720"/>
      <c r="AE111" s="720"/>
      <c r="AF111" s="720"/>
      <c r="AG111" s="720"/>
      <c r="AH111" s="720"/>
      <c r="AI111" s="720"/>
      <c r="AJ111" s="721"/>
      <c r="AK111" s="423"/>
      <c r="AL111" s="722"/>
      <c r="AM111" s="273">
        <f>HLOOKUP(IF(AM$80="",referentie_verwarming,AM$80),toestellen_RV,ROWS(bibliotheek!$E$79:$E$96),FALSE)</f>
        <v>0</v>
      </c>
      <c r="AN111" s="720"/>
      <c r="AO111" s="273">
        <f>HLOOKUP(IF(AO$80="",referentie_warmtapwater,AO$80),toestellen_TAP,ROWS(bibliotheek!$E$136:$E$153),FALSE)</f>
        <v>0</v>
      </c>
      <c r="AP111" s="720"/>
      <c r="AQ111" s="720"/>
      <c r="AR111" s="720"/>
      <c r="AS111" s="720"/>
      <c r="AT111" s="720"/>
      <c r="AU111" s="720"/>
      <c r="AV111" s="721"/>
      <c r="AW111" s="423"/>
      <c r="AX111" s="722"/>
      <c r="AY111" s="273">
        <f>HLOOKUP(IF(AY$80="",referentie_verwarming,AY$80),toestellen_RV,ROWS(bibliotheek!$E$79:$E$96),FALSE)</f>
        <v>0</v>
      </c>
      <c r="AZ111" s="720"/>
      <c r="BA111" s="273">
        <f>HLOOKUP(IF(BA$80="",referentie_warmtapwater,BA$80),toestellen_TAP,ROWS(bibliotheek!$E$136:$E$153),FALSE)</f>
        <v>0</v>
      </c>
      <c r="BB111" s="148"/>
      <c r="BC111" s="148"/>
      <c r="BD111" s="148"/>
      <c r="BE111" s="148"/>
      <c r="BF111" s="148"/>
      <c r="BG111" s="148"/>
      <c r="BH111" s="255"/>
    </row>
    <row r="112" spans="1:60" hidden="1" x14ac:dyDescent="0.2">
      <c r="A112" s="648"/>
      <c r="B112" s="492" t="s">
        <v>205</v>
      </c>
      <c r="C112" s="656" t="s">
        <v>199</v>
      </c>
      <c r="D112" s="747"/>
      <c r="E112" s="221" t="s">
        <v>218</v>
      </c>
      <c r="F112" s="220"/>
      <c r="G112" s="220"/>
      <c r="H112" s="221" t="s">
        <v>177</v>
      </c>
      <c r="I112" s="88"/>
      <c r="J112" s="243">
        <f>M112+Y112+AK112+AW112</f>
        <v>0</v>
      </c>
      <c r="K112" s="293"/>
      <c r="L112" s="293"/>
      <c r="M112" s="243">
        <f>SUM(O112:X112)</f>
        <v>0</v>
      </c>
      <c r="N112" s="294"/>
      <c r="O112" s="207">
        <f>IF(HLOOKUP(IF(O$80="",referentie_verwarming,O$80),toestellen_RV,ROWS(bibliotheek!$E$79:$E$84),FALSE)=1,O$94*O$105*((O$108-1)/O$108),0)</f>
        <v>0</v>
      </c>
      <c r="P112" s="207">
        <f>IF(HLOOKUP(IF(P$80="",referentie_koeling,P$80),toestellen_KOEL,ROWS(bibliotheek!$E$170:$E$174),FALSE)=1,P$94*P$105*((P$108-1)/P$108),0)</f>
        <v>0</v>
      </c>
      <c r="Q112" s="207">
        <f>IF(HLOOKUP(IF(Q$80="",referentie_warmtapwater,Q$80),toestellen_TAP,ROWS(bibliotheek!$E$136:$E$141),FALSE)=1,Q$94*Q$105*((Q$108-1)/Q$108),0)</f>
        <v>0</v>
      </c>
      <c r="R112" s="147"/>
      <c r="S112" s="147"/>
      <c r="T112" s="147"/>
      <c r="U112" s="147"/>
      <c r="V112" s="147"/>
      <c r="W112" s="147"/>
      <c r="X112" s="125"/>
      <c r="Y112" s="243">
        <f>SUM(AA112:AJ112)</f>
        <v>0</v>
      </c>
      <c r="Z112" s="294"/>
      <c r="AA112" s="207">
        <f>IF(HLOOKUP(IF(AA$80="",referentie_verwarming,AA$80),toestellen_RV,ROWS(bibliotheek!$E$79:$E$84),FALSE)=1,AA$94*AA$105*((AA$108-1)/AA$108),0)</f>
        <v>0</v>
      </c>
      <c r="AB112" s="207">
        <f>IF(HLOOKUP(IF(AB$80="",referentie_koeling,AB$80),toestellen_KOEL,ROWS(bibliotheek!$E$170:$E$174),FALSE)=1,AB$94*AB$105*((AB$108-1)/AB$108),0)</f>
        <v>0</v>
      </c>
      <c r="AC112" s="207">
        <f>IF(HLOOKUP(IF(AC$80="",referentie_warmtapwater,AC$80),toestellen_TAP,ROWS(bibliotheek!$E$136:$E$141),FALSE)=1,AC$94*AC$105*((AC$108-1)/AC$108),0)</f>
        <v>0</v>
      </c>
      <c r="AD112" s="147"/>
      <c r="AE112" s="147"/>
      <c r="AF112" s="147"/>
      <c r="AG112" s="147"/>
      <c r="AH112" s="147"/>
      <c r="AI112" s="147"/>
      <c r="AJ112" s="125"/>
      <c r="AK112" s="243">
        <f>SUM(AM112:AV112)</f>
        <v>0</v>
      </c>
      <c r="AL112" s="294"/>
      <c r="AM112" s="207">
        <f>IF(HLOOKUP(IF(AM$80="",referentie_verwarming,AM$80),toestellen_RV,ROWS(bibliotheek!$E$79:$E$84),FALSE)=1,AM$94*AM$105*((AM$108-1)/AM$108),0)</f>
        <v>0</v>
      </c>
      <c r="AN112" s="207">
        <f>IF(HLOOKUP(IF(AN$80="",referentie_koeling,AN$80),toestellen_KOEL,ROWS(bibliotheek!$E$170:$E$174),FALSE)=1,AN$94*AN$105*((AN$108-1)/AN$108),0)</f>
        <v>0</v>
      </c>
      <c r="AO112" s="207">
        <f>IF(HLOOKUP(IF(AO$80="",referentie_warmtapwater,AO$80),toestellen_TAP,ROWS(bibliotheek!$E$136:$E$141),FALSE)=1,AO$94*AO$105*((AO$108-1)/AO$108),0)</f>
        <v>0</v>
      </c>
      <c r="AP112" s="147"/>
      <c r="AQ112" s="147"/>
      <c r="AR112" s="147"/>
      <c r="AS112" s="147"/>
      <c r="AT112" s="147"/>
      <c r="AU112" s="147"/>
      <c r="AV112" s="125"/>
      <c r="AW112" s="243">
        <f>SUM(AY112:BH112)</f>
        <v>0</v>
      </c>
      <c r="AX112" s="294"/>
      <c r="AY112" s="207">
        <f>IF(HLOOKUP(IF(AY$80="",referentie_verwarming,AY$80),toestellen_RV,ROWS(bibliotheek!$E$79:$E$84),FALSE)=1,AY$94*AY$105*((AY$108-1)/AY$108),0)</f>
        <v>0</v>
      </c>
      <c r="AZ112" s="207">
        <f>IF(HLOOKUP(IF(AZ$80="",referentie_koeling,AZ$80),toestellen_KOEL,ROWS(bibliotheek!$E$170:$E$174),FALSE)=1,AZ$94*AZ$105*((AZ$108-1)/AZ$108),0)</f>
        <v>0</v>
      </c>
      <c r="BA112" s="207">
        <f>IF(HLOOKUP(IF(BA$80="",referentie_warmtapwater,BA$80),toestellen_TAP,ROWS(bibliotheek!$E$136:$E$141),FALSE)=1,BA$94*BA$105*((BA$108-1)/BA$108),0)</f>
        <v>0</v>
      </c>
      <c r="BB112" s="147"/>
      <c r="BC112" s="147"/>
      <c r="BD112" s="147"/>
      <c r="BE112" s="147"/>
      <c r="BF112" s="147"/>
      <c r="BG112" s="147"/>
      <c r="BH112" s="255"/>
    </row>
    <row r="113" spans="1:60" hidden="1" x14ac:dyDescent="0.2">
      <c r="A113" s="648"/>
      <c r="B113" s="492" t="s">
        <v>205</v>
      </c>
      <c r="C113" s="656" t="s">
        <v>199</v>
      </c>
      <c r="D113" s="747"/>
      <c r="E113" s="221" t="s">
        <v>219</v>
      </c>
      <c r="F113" s="220"/>
      <c r="G113" s="220"/>
      <c r="H113" s="221" t="s">
        <v>220</v>
      </c>
      <c r="I113" s="88"/>
      <c r="J113" s="243">
        <f>M113+Y113+AK113+AW113</f>
        <v>0</v>
      </c>
      <c r="K113" s="293"/>
      <c r="L113" s="293"/>
      <c r="M113" s="243">
        <f>SUM(O113:X113)</f>
        <v>0</v>
      </c>
      <c r="N113" s="294"/>
      <c r="O113" s="207">
        <f>IF(O$108=0,0,O$107/O$108)</f>
        <v>0</v>
      </c>
      <c r="P113" s="207">
        <f>IF(P$108=0,0,P$107/P$108)</f>
        <v>0</v>
      </c>
      <c r="Q113" s="207">
        <f>IF(Q$108=0,0,Q$107/Q$108)</f>
        <v>0</v>
      </c>
      <c r="R113" s="147"/>
      <c r="S113" s="147"/>
      <c r="T113" s="147"/>
      <c r="U113" s="147"/>
      <c r="V113" s="147"/>
      <c r="W113" s="147"/>
      <c r="X113" s="125"/>
      <c r="Y113" s="243">
        <f>SUM(AA113:AJ113)</f>
        <v>0</v>
      </c>
      <c r="Z113" s="294"/>
      <c r="AA113" s="207">
        <f>IF(AA$108=0,0,AA$107/AA$108)</f>
        <v>0</v>
      </c>
      <c r="AB113" s="207">
        <f>IF(AB$108=0,0,AB$107/AB$108)</f>
        <v>0</v>
      </c>
      <c r="AC113" s="207">
        <f>IF(AC$108=0,0,AC$107/AC$108)</f>
        <v>0</v>
      </c>
      <c r="AD113" s="147"/>
      <c r="AE113" s="147"/>
      <c r="AF113" s="147"/>
      <c r="AG113" s="147"/>
      <c r="AH113" s="147"/>
      <c r="AI113" s="147"/>
      <c r="AJ113" s="125"/>
      <c r="AK113" s="243">
        <f>SUM(AM113:AV113)</f>
        <v>0</v>
      </c>
      <c r="AL113" s="294"/>
      <c r="AM113" s="207">
        <f>IF(AM$108=0,0,AM$107/AM$108)</f>
        <v>0</v>
      </c>
      <c r="AN113" s="207">
        <f>IF(AN$108=0,0,AN$107/AN$108)</f>
        <v>0</v>
      </c>
      <c r="AO113" s="207">
        <f>IF(AO$108=0,0,AO$107/AO$108)</f>
        <v>0</v>
      </c>
      <c r="AP113" s="147"/>
      <c r="AQ113" s="147"/>
      <c r="AR113" s="147"/>
      <c r="AS113" s="147"/>
      <c r="AT113" s="147"/>
      <c r="AU113" s="147"/>
      <c r="AV113" s="125"/>
      <c r="AW113" s="243">
        <f>SUM(AY113:BH113)</f>
        <v>0</v>
      </c>
      <c r="AX113" s="294"/>
      <c r="AY113" s="207">
        <f>IF(AY$108=0,0,AY$107/AY$108)</f>
        <v>0</v>
      </c>
      <c r="AZ113" s="207">
        <f>IF(AZ$108=0,0,AZ$107/AZ$108)</f>
        <v>0</v>
      </c>
      <c r="BA113" s="207">
        <f>IF(BA$108=0,0,BA$107/BA$108)</f>
        <v>0</v>
      </c>
      <c r="BB113" s="147"/>
      <c r="BC113" s="147"/>
      <c r="BD113" s="147"/>
      <c r="BE113" s="147"/>
      <c r="BF113" s="147"/>
      <c r="BG113" s="147"/>
      <c r="BH113" s="255"/>
    </row>
    <row r="114" spans="1:60" ht="18.75" x14ac:dyDescent="0.2">
      <c r="A114" s="648"/>
      <c r="B114" s="492" t="s">
        <v>205</v>
      </c>
      <c r="C114" s="739" t="s">
        <v>104</v>
      </c>
      <c r="D114" s="750"/>
      <c r="E114" s="144" t="s">
        <v>114</v>
      </c>
      <c r="F114" s="160"/>
      <c r="G114" s="160"/>
      <c r="H114" s="161"/>
      <c r="I114" s="162"/>
      <c r="J114" s="163"/>
      <c r="K114" s="164"/>
      <c r="L114" s="164"/>
      <c r="M114" s="163"/>
      <c r="N114" s="163"/>
      <c r="O114" s="836"/>
      <c r="P114" s="163"/>
      <c r="Q114" s="163"/>
      <c r="R114" s="163"/>
      <c r="S114" s="163"/>
      <c r="T114" s="163"/>
      <c r="U114" s="163"/>
      <c r="V114" s="163"/>
      <c r="W114" s="163"/>
      <c r="X114" s="165"/>
      <c r="Y114" s="163"/>
      <c r="Z114" s="163"/>
      <c r="AA114" s="836"/>
      <c r="AB114" s="163"/>
      <c r="AC114" s="163"/>
      <c r="AD114" s="163"/>
      <c r="AE114" s="163"/>
      <c r="AF114" s="163"/>
      <c r="AG114" s="163"/>
      <c r="AH114" s="163"/>
      <c r="AI114" s="163"/>
      <c r="AJ114" s="165"/>
      <c r="AK114" s="163"/>
      <c r="AL114" s="163"/>
      <c r="AM114" s="836"/>
      <c r="AN114" s="163"/>
      <c r="AO114" s="163"/>
      <c r="AP114" s="163"/>
      <c r="AQ114" s="163"/>
      <c r="AR114" s="163"/>
      <c r="AS114" s="163"/>
      <c r="AT114" s="163"/>
      <c r="AU114" s="163"/>
      <c r="AV114" s="165"/>
      <c r="AW114" s="163"/>
      <c r="AX114" s="163"/>
      <c r="AY114" s="163"/>
      <c r="AZ114" s="163"/>
      <c r="BA114" s="163"/>
      <c r="BB114" s="163"/>
      <c r="BC114" s="163"/>
      <c r="BD114" s="163"/>
      <c r="BE114" s="163"/>
      <c r="BF114" s="163"/>
      <c r="BG114" s="163"/>
      <c r="BH114" s="263"/>
    </row>
    <row r="115" spans="1:60" hidden="1" x14ac:dyDescent="0.2">
      <c r="A115" s="648"/>
      <c r="B115" s="492" t="s">
        <v>205</v>
      </c>
      <c r="C115" s="656" t="s">
        <v>221</v>
      </c>
      <c r="D115" s="750" t="s">
        <v>50</v>
      </c>
      <c r="E115" s="356" t="s">
        <v>222</v>
      </c>
      <c r="F115" s="316"/>
      <c r="G115" s="316"/>
      <c r="H115" s="354" t="s">
        <v>223</v>
      </c>
      <c r="I115" s="88"/>
      <c r="J115" s="229"/>
      <c r="K115" s="121"/>
      <c r="L115" s="121"/>
      <c r="M115" s="229"/>
      <c r="N115" s="90"/>
      <c r="O115" s="445">
        <f>IF(O116&lt;&gt;"",O116,
IF(O$102=elektriciteit,$G$5,
INDEX(energiedragers_primaire_energiefactor,MATCH(O102,energiedragers_kopregel,0))
*IF(O110=0,1,
$G$5*INDEX(installaties_RV_verlies_elek_prod_aftapwarmte,MATCH(O101,toestellen_RV_kopregel,0)))))</f>
        <v>1.45</v>
      </c>
      <c r="P115" s="445">
        <f>IF(P116&lt;&gt;"",P116,IF(HLOOKUP(P102,ENERGIEDRAGERS,ROWS(bibliotheek!$E$221:$E$222),FALSE)=0,$G$5,HLOOKUP(P102,ENERGIEDRAGERS,ROWS(bibliotheek!$E$221:$E$223),FALSE)))</f>
        <v>1.45</v>
      </c>
      <c r="Q115" s="445">
        <f>IF(Q116&lt;&gt;"",Q116,
IF(Q$102=elektriciteit,$G$5,
INDEX(energiedragers_primaire_energiefactor,MATCH(Q102,energiedragers_kopregel,0))
*IF(Q110=0,1,
$G$5*INDEX(installaties_TAP_verlies_elek_prod_aftapwarmte,MATCH(Q101,toestellen_TAP_kopregel,0)))))</f>
        <v>1.45</v>
      </c>
      <c r="R115" s="158"/>
      <c r="S115" s="158"/>
      <c r="T115" s="158"/>
      <c r="U115" s="158"/>
      <c r="V115" s="158"/>
      <c r="W115" s="158"/>
      <c r="X115" s="414"/>
      <c r="Y115" s="352"/>
      <c r="Z115" s="722"/>
      <c r="AA115" s="445">
        <f>IF(AA116&lt;&gt;"",AA116,
IF(AA$102=elektriciteit,$G$5,
INDEX(energiedragers_primaire_energiefactor,MATCH(AA102,energiedragers_kopregel,0))
*IF(AA110=0,1,
$G$5*INDEX(installaties_RV_verlies_elek_prod_aftapwarmte,MATCH(AA101,toestellen_RV_kopregel,0)))))</f>
        <v>1.45</v>
      </c>
      <c r="AB115" s="445">
        <f>IF(AB116&lt;&gt;"",AB116,IF(HLOOKUP(AB102,ENERGIEDRAGERS,ROWS(bibliotheek!$E$221:$E$222),FALSE)=0,$G$5,HLOOKUP(AB102,ENERGIEDRAGERS,ROWS(bibliotheek!$E$221:$E$223),FALSE)))</f>
        <v>1.45</v>
      </c>
      <c r="AC115" s="445">
        <f>IF(AC116&lt;&gt;"",AC116,
IF(AC$102=elektriciteit,$G$5,
INDEX(energiedragers_primaire_energiefactor,MATCH(AC102,energiedragers_kopregel,0))
*IF(AC110=0,1,
$G$5*INDEX(installaties_TAP_verlies_elek_prod_aftapwarmte,MATCH(AC101,toestellen_TAP_kopregel,0)))))</f>
        <v>1.45</v>
      </c>
      <c r="AD115" s="158"/>
      <c r="AE115" s="158"/>
      <c r="AF115" s="158"/>
      <c r="AG115" s="158"/>
      <c r="AH115" s="158"/>
      <c r="AI115" s="158"/>
      <c r="AJ115" s="414"/>
      <c r="AK115" s="352"/>
      <c r="AL115" s="722"/>
      <c r="AM115" s="445">
        <f>IF(AM116&lt;&gt;"",AM116,
IF(AM$102=elektriciteit,$G$5,
INDEX(energiedragers_primaire_energiefactor,MATCH(AM102,energiedragers_kopregel,0))
*IF(AM110=0,1,
$G$5*INDEX(installaties_RV_verlies_elek_prod_aftapwarmte,MATCH(AM101,toestellen_RV_kopregel,0)))))</f>
        <v>1.45</v>
      </c>
      <c r="AN115" s="445">
        <f>IF(AN116&lt;&gt;"",AN116,IF(HLOOKUP(AN102,ENERGIEDRAGERS,ROWS(bibliotheek!$E$221:$E$222),FALSE)=0,$G$5,HLOOKUP(AN102,ENERGIEDRAGERS,ROWS(bibliotheek!$E$221:$E$223),FALSE)))</f>
        <v>1.45</v>
      </c>
      <c r="AO115" s="445">
        <f>IF(AO116&lt;&gt;"",AO116,
IF(AO$102=elektriciteit,$G$5,
INDEX(energiedragers_primaire_energiefactor,MATCH(AO102,energiedragers_kopregel,0))
*IF(AO110=0,1,
$G$5*INDEX(installaties_TAP_verlies_elek_prod_aftapwarmte,MATCH(AO101,toestellen_TAP_kopregel,0)))))</f>
        <v>1.45</v>
      </c>
      <c r="AP115" s="158"/>
      <c r="AQ115" s="158"/>
      <c r="AR115" s="158"/>
      <c r="AS115" s="158"/>
      <c r="AT115" s="158"/>
      <c r="AU115" s="158"/>
      <c r="AV115" s="414"/>
      <c r="AW115" s="352"/>
      <c r="AX115" s="722"/>
      <c r="AY115" s="445">
        <f>IF(AY116&lt;&gt;"",AY116,
IF(AY$102=elektriciteit,$G$5,
INDEX(energiedragers_primaire_energiefactor,MATCH(AY102,energiedragers_kopregel,0))
*IF(AY110=0,1,
$G$5*INDEX(installaties_RV_verlies_elek_prod_aftapwarmte,MATCH(AY101,toestellen_RV_kopregel,0)))))</f>
        <v>1.45</v>
      </c>
      <c r="AZ115" s="445">
        <f>IF(AZ116&lt;&gt;"",AZ116,IF(HLOOKUP(AZ102,ENERGIEDRAGERS,ROWS(bibliotheek!$E$221:$E$222),FALSE)=0,$G$5,HLOOKUP(AZ102,ENERGIEDRAGERS,ROWS(bibliotheek!$E$221:$E$223),FALSE)))</f>
        <v>1.45</v>
      </c>
      <c r="BA115" s="445">
        <f>IF(BA116&lt;&gt;"",BA116,
IF(BA$102=elektriciteit,$G$5,
INDEX(energiedragers_primaire_energiefactor,MATCH(BA102,energiedragers_kopregel,0))
*IF(BA110=0,1,
$G$5*INDEX(installaties_TAP_verlies_elek_prod_aftapwarmte,MATCH(BA101,toestellen_TAP_kopregel,0)))))</f>
        <v>1.45</v>
      </c>
      <c r="BB115" s="156"/>
      <c r="BC115" s="156"/>
      <c r="BD115" s="156"/>
      <c r="BE115" s="156"/>
      <c r="BF115" s="156"/>
      <c r="BG115" s="156"/>
      <c r="BH115" s="214"/>
    </row>
    <row r="116" spans="1:60" hidden="1" x14ac:dyDescent="0.2">
      <c r="A116" s="648"/>
      <c r="B116" s="492" t="s">
        <v>205</v>
      </c>
      <c r="C116" s="656" t="s">
        <v>221</v>
      </c>
      <c r="D116" s="750"/>
      <c r="E116" s="412" t="s">
        <v>224</v>
      </c>
      <c r="F116" s="317"/>
      <c r="G116" s="317"/>
      <c r="H116" s="355"/>
      <c r="I116" s="88"/>
      <c r="J116" s="362"/>
      <c r="K116" s="121"/>
      <c r="L116" s="121"/>
      <c r="M116" s="239"/>
      <c r="N116" s="90"/>
      <c r="O116" s="337"/>
      <c r="P116" s="712"/>
      <c r="Q116" s="337"/>
      <c r="R116" s="157"/>
      <c r="S116" s="157"/>
      <c r="T116" s="157"/>
      <c r="U116" s="157"/>
      <c r="V116" s="157"/>
      <c r="W116" s="157"/>
      <c r="X116" s="87"/>
      <c r="Y116" s="239"/>
      <c r="Z116" s="90"/>
      <c r="AA116" s="337"/>
      <c r="AB116" s="712"/>
      <c r="AC116" s="337"/>
      <c r="AD116" s="157"/>
      <c r="AE116" s="157"/>
      <c r="AF116" s="157"/>
      <c r="AG116" s="157"/>
      <c r="AH116" s="157"/>
      <c r="AI116" s="157"/>
      <c r="AJ116" s="87"/>
      <c r="AK116" s="239"/>
      <c r="AL116" s="90"/>
      <c r="AM116" s="337"/>
      <c r="AN116" s="712"/>
      <c r="AO116" s="337"/>
      <c r="AP116" s="157"/>
      <c r="AQ116" s="157"/>
      <c r="AR116" s="157"/>
      <c r="AS116" s="157"/>
      <c r="AT116" s="157"/>
      <c r="AU116" s="157"/>
      <c r="AV116" s="87"/>
      <c r="AW116" s="239"/>
      <c r="AX116" s="90"/>
      <c r="AY116" s="337"/>
      <c r="AZ116" s="712"/>
      <c r="BA116" s="337"/>
      <c r="BB116" s="157"/>
      <c r="BC116" s="157"/>
      <c r="BD116" s="157"/>
      <c r="BE116" s="157"/>
      <c r="BF116" s="157"/>
      <c r="BG116" s="157"/>
      <c r="BH116" s="214"/>
    </row>
    <row r="117" spans="1:60" x14ac:dyDescent="0.2">
      <c r="A117" s="648"/>
      <c r="B117" s="492" t="s">
        <v>205</v>
      </c>
      <c r="C117" s="656" t="s">
        <v>113</v>
      </c>
      <c r="D117" s="750"/>
      <c r="E117" s="221" t="s">
        <v>114</v>
      </c>
      <c r="F117" s="221"/>
      <c r="G117" s="221"/>
      <c r="H117" s="221" t="s">
        <v>115</v>
      </c>
      <c r="I117" s="88"/>
      <c r="J117" s="243">
        <f>M117+Y117+AK117+AW117</f>
        <v>0</v>
      </c>
      <c r="K117" s="295"/>
      <c r="L117" s="295"/>
      <c r="M117" s="243">
        <f>SUM(O117:X117)</f>
        <v>0</v>
      </c>
      <c r="N117" s="294"/>
      <c r="O117" s="207">
        <f>O$113*O$115</f>
        <v>0</v>
      </c>
      <c r="P117" s="207">
        <f>P$113*P$115</f>
        <v>0</v>
      </c>
      <c r="Q117" s="207">
        <f>Q$113*Q$115</f>
        <v>0</v>
      </c>
      <c r="R117" s="147"/>
      <c r="S117" s="147"/>
      <c r="T117" s="147"/>
      <c r="U117" s="147"/>
      <c r="V117" s="147"/>
      <c r="W117" s="147"/>
      <c r="X117" s="125"/>
      <c r="Y117" s="243">
        <f>SUM(AA117:AJ117)</f>
        <v>0</v>
      </c>
      <c r="Z117" s="294"/>
      <c r="AA117" s="207">
        <f>AA$113*AA$115</f>
        <v>0</v>
      </c>
      <c r="AB117" s="207">
        <f>AB$113*AB$115</f>
        <v>0</v>
      </c>
      <c r="AC117" s="207">
        <f>AC$113*AC$115</f>
        <v>0</v>
      </c>
      <c r="AD117" s="147"/>
      <c r="AE117" s="147"/>
      <c r="AF117" s="147"/>
      <c r="AG117" s="147"/>
      <c r="AH117" s="147"/>
      <c r="AI117" s="147"/>
      <c r="AJ117" s="125"/>
      <c r="AK117" s="243">
        <f>SUM(AM117:AV117)</f>
        <v>0</v>
      </c>
      <c r="AL117" s="294"/>
      <c r="AM117" s="207">
        <f>AM$113*AM$115</f>
        <v>0</v>
      </c>
      <c r="AN117" s="207">
        <f>AN$113*AN$115</f>
        <v>0</v>
      </c>
      <c r="AO117" s="207">
        <f>AO$113*AO$115</f>
        <v>0</v>
      </c>
      <c r="AP117" s="147"/>
      <c r="AQ117" s="147"/>
      <c r="AR117" s="147"/>
      <c r="AS117" s="147"/>
      <c r="AT117" s="147"/>
      <c r="AU117" s="147"/>
      <c r="AV117" s="125"/>
      <c r="AW117" s="243">
        <f>SUM(AY117:BH117)</f>
        <v>0</v>
      </c>
      <c r="AX117" s="294"/>
      <c r="AY117" s="207">
        <f>AY$113*AY$115</f>
        <v>0</v>
      </c>
      <c r="AZ117" s="207">
        <f>AZ$113*AZ$115</f>
        <v>0</v>
      </c>
      <c r="BA117" s="207">
        <f>BA$113*BA$115</f>
        <v>0</v>
      </c>
      <c r="BB117" s="147"/>
      <c r="BC117" s="147"/>
      <c r="BD117" s="147"/>
      <c r="BE117" s="147"/>
      <c r="BF117" s="147"/>
      <c r="BG117" s="147"/>
      <c r="BH117" s="255"/>
    </row>
    <row r="118" spans="1:60" ht="18.75" x14ac:dyDescent="0.2">
      <c r="A118" s="648"/>
      <c r="B118" s="492" t="s">
        <v>205</v>
      </c>
      <c r="C118" s="739" t="s">
        <v>104</v>
      </c>
      <c r="D118" s="750"/>
      <c r="E118" s="144" t="s">
        <v>116</v>
      </c>
      <c r="F118" s="160"/>
      <c r="G118" s="160"/>
      <c r="H118" s="161"/>
      <c r="I118" s="161"/>
      <c r="J118" s="161"/>
      <c r="K118" s="164"/>
      <c r="L118" s="164"/>
      <c r="M118" s="163"/>
      <c r="N118" s="163"/>
      <c r="P118" s="163"/>
      <c r="Q118" s="163"/>
      <c r="R118" s="163"/>
      <c r="S118" s="163"/>
      <c r="T118" s="163"/>
      <c r="U118" s="163"/>
      <c r="V118" s="163"/>
      <c r="W118" s="163"/>
      <c r="X118" s="165"/>
      <c r="Y118" s="163"/>
      <c r="Z118" s="163"/>
      <c r="AA118" s="836"/>
      <c r="AB118" s="163"/>
      <c r="AC118" s="163"/>
      <c r="AD118" s="163"/>
      <c r="AE118" s="163"/>
      <c r="AF118" s="163"/>
      <c r="AG118" s="163"/>
      <c r="AH118" s="163"/>
      <c r="AI118" s="163"/>
      <c r="AJ118" s="165"/>
      <c r="AK118" s="163"/>
      <c r="AL118" s="163"/>
      <c r="AM118" s="163"/>
      <c r="AN118" s="163"/>
      <c r="AO118" s="163"/>
      <c r="AP118" s="163"/>
      <c r="AQ118" s="163"/>
      <c r="AR118" s="163"/>
      <c r="AS118" s="163"/>
      <c r="AT118" s="163"/>
      <c r="AU118" s="163"/>
      <c r="AV118" s="165"/>
      <c r="AW118" s="163"/>
      <c r="AX118" s="163"/>
      <c r="AY118" s="163"/>
      <c r="AZ118" s="163"/>
      <c r="BA118" s="163"/>
      <c r="BB118" s="163"/>
      <c r="BC118" s="163"/>
      <c r="BD118" s="163"/>
      <c r="BE118" s="163"/>
      <c r="BF118" s="163"/>
      <c r="BG118" s="163"/>
      <c r="BH118" s="263"/>
    </row>
    <row r="119" spans="1:60" hidden="1" x14ac:dyDescent="0.2">
      <c r="A119" s="648"/>
      <c r="B119" s="492" t="s">
        <v>205</v>
      </c>
      <c r="C119" s="656" t="s">
        <v>221</v>
      </c>
      <c r="D119" s="750" t="s">
        <v>50</v>
      </c>
      <c r="E119" s="356" t="s">
        <v>225</v>
      </c>
      <c r="F119" s="316"/>
      <c r="G119" s="316"/>
      <c r="H119" s="354" t="s">
        <v>226</v>
      </c>
      <c r="I119" s="88"/>
      <c r="J119" s="229"/>
      <c r="K119" s="121"/>
      <c r="L119" s="121"/>
      <c r="M119" s="229"/>
      <c r="N119" s="90"/>
      <c r="O119" s="445">
        <f>IF(O120&lt;&gt;"",O120,
IF(O$102=elektriciteit,$H$5,
INDEX(energiedragers_CO2_emissiefactor,MATCH(O102,energiedragers_kopregel,0))
*IF(O110=0,1,
$G$5*INDEX(installaties_RV_verlies_elek_prod_aftapwarmte,MATCH(O101,toestellen_RV_kopregel,0)))))</f>
        <v>0.34</v>
      </c>
      <c r="P119" s="445">
        <f>IF(P120&lt;&gt;"",P120,
IF(P102=elektriciteit,$H$5,
HLOOKUP(P102,ENERGIEDRAGERS,ROWS(bibliotheek!$E$221:$E$224),FALSE)))</f>
        <v>0</v>
      </c>
      <c r="Q119" s="445">
        <f>IF(Q116&lt;&gt;"",Q116,
IF(Q$102=elektriciteit,$H$5,
INDEX(energiedragers_CO2_emissiefactor,MATCH(Q102,energiedragers_kopregel,0))
*IF(Q110=0,1,
$G$5*INDEX(installaties_TAP_verlies_elek_prod_aftapwarmte,MATCH(Q101,toestellen_TAP_kopregel,0)))))</f>
        <v>0.34</v>
      </c>
      <c r="R119" s="158"/>
      <c r="S119" s="158"/>
      <c r="T119" s="158"/>
      <c r="U119" s="158"/>
      <c r="V119" s="158"/>
      <c r="W119" s="158"/>
      <c r="X119" s="414"/>
      <c r="Y119" s="229"/>
      <c r="Z119" s="90"/>
      <c r="AA119" s="445">
        <f>IF(AA120&lt;&gt;"",AA120,
IF(AA$102=elektriciteit,$H$5,
INDEX(energiedragers_CO2_emissiefactor,MATCH(AA102,energiedragers_kopregel,0))
*IF(AA110=0,1,
$G$5*INDEX(installaties_RV_verlies_elek_prod_aftapwarmte,MATCH(AA101,toestellen_RV_kopregel,0)))))</f>
        <v>0.34</v>
      </c>
      <c r="AB119" s="445">
        <f>IF(AB120&lt;&gt;"",AB120,
IF(AB102=elektriciteit,$H$5,
HLOOKUP(AB102,ENERGIEDRAGERS,ROWS(bibliotheek!$E$221:$E$224),FALSE)))</f>
        <v>0</v>
      </c>
      <c r="AC119" s="445">
        <f>IF(AC116&lt;&gt;"",AC116,
IF(AC$102=elektriciteit,$H$5,
INDEX(energiedragers_CO2_emissiefactor,MATCH(AC102,energiedragers_kopregel,0))
*IF(AC110=0,1,
$G$5*INDEX(installaties_TAP_verlies_elek_prod_aftapwarmte,MATCH(AC101,toestellen_TAP_kopregel,0)))))</f>
        <v>0.34</v>
      </c>
      <c r="AD119" s="158"/>
      <c r="AE119" s="158"/>
      <c r="AF119" s="158"/>
      <c r="AG119" s="158"/>
      <c r="AH119" s="158"/>
      <c r="AI119" s="158"/>
      <c r="AJ119" s="414"/>
      <c r="AK119" s="229"/>
      <c r="AL119" s="90"/>
      <c r="AM119" s="445">
        <f>IF(AM120&lt;&gt;"",AM120,
IF(AM$102=elektriciteit,$H$5,
INDEX(energiedragers_CO2_emissiefactor,MATCH(AM102,energiedragers_kopregel,0))
*IF(AM110=0,1,
$G$5*INDEX(installaties_RV_verlies_elek_prod_aftapwarmte,MATCH(AM101,toestellen_RV_kopregel,0)))))</f>
        <v>0.34</v>
      </c>
      <c r="AN119" s="445">
        <f>IF(AN120&lt;&gt;"",AN120,
IF(AN102=elektriciteit,$H$5,
HLOOKUP(AN102,ENERGIEDRAGERS,ROWS(bibliotheek!$E$221:$E$224),FALSE)))</f>
        <v>0</v>
      </c>
      <c r="AO119" s="445">
        <f>IF(AO116&lt;&gt;"",AO116,
IF(AO$102=elektriciteit,$H$5,
INDEX(energiedragers_CO2_emissiefactor,MATCH(AO102,energiedragers_kopregel,0))
*IF(AO110=0,1,
$G$5*INDEX(installaties_TAP_verlies_elek_prod_aftapwarmte,MATCH(AO101,toestellen_TAP_kopregel,0)))))</f>
        <v>0.34</v>
      </c>
      <c r="AP119" s="158"/>
      <c r="AQ119" s="158"/>
      <c r="AR119" s="158"/>
      <c r="AS119" s="158"/>
      <c r="AT119" s="158"/>
      <c r="AU119" s="158"/>
      <c r="AV119" s="414"/>
      <c r="AW119" s="229"/>
      <c r="AX119" s="90"/>
      <c r="AY119" s="445">
        <f>IF(AY120&lt;&gt;"",AY120,
IF(AY$102=elektriciteit,$H$5,
INDEX(energiedragers_CO2_emissiefactor,MATCH(AY102,energiedragers_kopregel,0))
*IF(AY110=0,1,
$G$5*INDEX(installaties_RV_verlies_elek_prod_aftapwarmte,MATCH(AY101,toestellen_RV_kopregel,0)))))</f>
        <v>0.34</v>
      </c>
      <c r="AZ119" s="445">
        <f>IF(AZ120&lt;&gt;"",AZ120,
IF(AZ102=elektriciteit,$H$5,
HLOOKUP(AZ102,ENERGIEDRAGERS,ROWS(bibliotheek!$E$221:$E$224),FALSE)))</f>
        <v>0</v>
      </c>
      <c r="BA119" s="445">
        <f>IF(BA116&lt;&gt;"",BA116,
IF(BA$102=elektriciteit,$H$5,
INDEX(energiedragers_CO2_emissiefactor,MATCH(BA102,energiedragers_kopregel,0))
*IF(BA110=0,1,
$G$5*INDEX(installaties_TAP_verlies_elek_prod_aftapwarmte,MATCH(BA101,toestellen_TAP_kopregel,0)))))</f>
        <v>0.34</v>
      </c>
      <c r="BB119" s="158"/>
      <c r="BC119" s="158"/>
      <c r="BD119" s="158"/>
      <c r="BE119" s="158"/>
      <c r="BF119" s="158"/>
      <c r="BG119" s="158"/>
      <c r="BH119" s="214"/>
    </row>
    <row r="120" spans="1:60" hidden="1" x14ac:dyDescent="0.2">
      <c r="A120" s="648"/>
      <c r="B120" s="492" t="s">
        <v>205</v>
      </c>
      <c r="C120" s="656" t="s">
        <v>221</v>
      </c>
      <c r="D120" s="747"/>
      <c r="E120" s="412" t="s">
        <v>227</v>
      </c>
      <c r="F120" s="355"/>
      <c r="G120" s="355"/>
      <c r="H120" s="355"/>
      <c r="I120" s="88"/>
      <c r="J120" s="362"/>
      <c r="K120" s="121"/>
      <c r="L120" s="121"/>
      <c r="M120" s="239"/>
      <c r="N120" s="90"/>
      <c r="O120" s="337"/>
      <c r="P120" s="420"/>
      <c r="Q120" s="420"/>
      <c r="R120" s="483"/>
      <c r="S120" s="483"/>
      <c r="T120" s="483"/>
      <c r="U120" s="483"/>
      <c r="V120" s="483"/>
      <c r="W120" s="483"/>
      <c r="X120" s="448"/>
      <c r="Y120" s="239"/>
      <c r="Z120" s="90"/>
      <c r="AA120" s="420"/>
      <c r="AB120" s="420"/>
      <c r="AC120" s="420"/>
      <c r="AD120" s="483"/>
      <c r="AE120" s="483"/>
      <c r="AF120" s="483"/>
      <c r="AG120" s="483"/>
      <c r="AH120" s="483"/>
      <c r="AI120" s="483"/>
      <c r="AJ120" s="448"/>
      <c r="AK120" s="239"/>
      <c r="AL120" s="90"/>
      <c r="AM120" s="420"/>
      <c r="AN120" s="420"/>
      <c r="AO120" s="420"/>
      <c r="AP120" s="483"/>
      <c r="AQ120" s="483"/>
      <c r="AR120" s="483"/>
      <c r="AS120" s="483"/>
      <c r="AT120" s="483"/>
      <c r="AU120" s="483"/>
      <c r="AV120" s="448"/>
      <c r="AW120" s="239"/>
      <c r="AX120" s="90"/>
      <c r="AY120" s="420"/>
      <c r="AZ120" s="420"/>
      <c r="BA120" s="420"/>
      <c r="BB120" s="483"/>
      <c r="BC120" s="483"/>
      <c r="BD120" s="483"/>
      <c r="BE120" s="483"/>
      <c r="BF120" s="483"/>
      <c r="BG120" s="483"/>
      <c r="BH120" s="214"/>
    </row>
    <row r="121" spans="1:60" x14ac:dyDescent="0.2">
      <c r="A121" s="648"/>
      <c r="B121" s="492" t="s">
        <v>205</v>
      </c>
      <c r="C121" s="656" t="s">
        <v>113</v>
      </c>
      <c r="D121" s="747"/>
      <c r="E121" s="221" t="s">
        <v>116</v>
      </c>
      <c r="F121" s="221"/>
      <c r="G121" s="221"/>
      <c r="H121" s="221" t="s">
        <v>228</v>
      </c>
      <c r="I121" s="88"/>
      <c r="J121" s="243">
        <f>M121+Y121+AK121+AW121</f>
        <v>0</v>
      </c>
      <c r="K121" s="295"/>
      <c r="L121" s="295"/>
      <c r="M121" s="243">
        <f>SUM(O121:X121)</f>
        <v>0</v>
      </c>
      <c r="N121" s="294"/>
      <c r="O121" s="207">
        <f>O$113*O$119</f>
        <v>0</v>
      </c>
      <c r="P121" s="207">
        <f>P$113*P$119</f>
        <v>0</v>
      </c>
      <c r="Q121" s="207">
        <f>Q$113*Q$119</f>
        <v>0</v>
      </c>
      <c r="R121" s="147"/>
      <c r="S121" s="147"/>
      <c r="T121" s="147"/>
      <c r="U121" s="147"/>
      <c r="V121" s="147"/>
      <c r="W121" s="147"/>
      <c r="X121" s="125"/>
      <c r="Y121" s="243">
        <f>SUM(AA121:AJ121)</f>
        <v>0</v>
      </c>
      <c r="Z121" s="294"/>
      <c r="AA121" s="207">
        <f>AA$113*AA$119</f>
        <v>0</v>
      </c>
      <c r="AB121" s="207">
        <f>AB$113*AB$119</f>
        <v>0</v>
      </c>
      <c r="AC121" s="207">
        <f>AC$113*AC$119</f>
        <v>0</v>
      </c>
      <c r="AD121" s="147"/>
      <c r="AE121" s="147"/>
      <c r="AF121" s="147"/>
      <c r="AG121" s="147"/>
      <c r="AH121" s="147"/>
      <c r="AI121" s="147"/>
      <c r="AJ121" s="125"/>
      <c r="AK121" s="243">
        <f>SUM(AM121:AV121)</f>
        <v>0</v>
      </c>
      <c r="AL121" s="294"/>
      <c r="AM121" s="207">
        <f>AM$113*AM$119</f>
        <v>0</v>
      </c>
      <c r="AN121" s="207">
        <f>AN$113*AN$119</f>
        <v>0</v>
      </c>
      <c r="AO121" s="207">
        <f>AO$113*AO$119</f>
        <v>0</v>
      </c>
      <c r="AP121" s="147"/>
      <c r="AQ121" s="147"/>
      <c r="AR121" s="147"/>
      <c r="AS121" s="147"/>
      <c r="AT121" s="147"/>
      <c r="AU121" s="147"/>
      <c r="AV121" s="125"/>
      <c r="AW121" s="243">
        <f>SUM(AY121:BH121)</f>
        <v>0</v>
      </c>
      <c r="AX121" s="294"/>
      <c r="AY121" s="207">
        <f>AY$113*AY$119</f>
        <v>0</v>
      </c>
      <c r="AZ121" s="207">
        <f>AZ$113*AZ$119</f>
        <v>0</v>
      </c>
      <c r="BA121" s="207">
        <f>BA$113*BA$119</f>
        <v>0</v>
      </c>
      <c r="BB121" s="147"/>
      <c r="BC121" s="147"/>
      <c r="BD121" s="147"/>
      <c r="BE121" s="147"/>
      <c r="BF121" s="147"/>
      <c r="BG121" s="147"/>
      <c r="BH121" s="255"/>
    </row>
    <row r="122" spans="1:60" ht="18.75" x14ac:dyDescent="0.2">
      <c r="A122" s="648"/>
      <c r="B122" s="492" t="s">
        <v>205</v>
      </c>
      <c r="C122" s="739" t="s">
        <v>104</v>
      </c>
      <c r="D122" s="747"/>
      <c r="E122" s="144" t="s">
        <v>229</v>
      </c>
      <c r="F122" s="160"/>
      <c r="G122" s="160"/>
      <c r="H122" s="161"/>
      <c r="I122" s="162"/>
      <c r="J122" s="163"/>
      <c r="K122" s="164"/>
      <c r="L122" s="164"/>
      <c r="M122" s="163"/>
      <c r="N122" s="163"/>
      <c r="O122" s="163"/>
      <c r="P122" s="163"/>
      <c r="Q122" s="163"/>
      <c r="R122" s="163"/>
      <c r="S122" s="163"/>
      <c r="T122" s="163"/>
      <c r="U122" s="163"/>
      <c r="V122" s="163"/>
      <c r="W122" s="163"/>
      <c r="X122" s="165"/>
      <c r="Y122" s="163"/>
      <c r="Z122" s="163"/>
      <c r="AA122" s="163"/>
      <c r="AB122" s="163"/>
      <c r="AC122" s="163"/>
      <c r="AD122" s="163"/>
      <c r="AE122" s="163"/>
      <c r="AF122" s="163"/>
      <c r="AG122" s="163"/>
      <c r="AH122" s="163"/>
      <c r="AI122" s="163"/>
      <c r="AJ122" s="165"/>
      <c r="AK122" s="163"/>
      <c r="AL122" s="163"/>
      <c r="AM122" s="163"/>
      <c r="AN122" s="163"/>
      <c r="AO122" s="163"/>
      <c r="AP122" s="163"/>
      <c r="AQ122" s="163"/>
      <c r="AR122" s="163"/>
      <c r="AS122" s="163"/>
      <c r="AT122" s="163"/>
      <c r="AU122" s="163"/>
      <c r="AV122" s="165"/>
      <c r="AW122" s="163"/>
      <c r="AX122" s="163"/>
      <c r="AY122" s="163"/>
      <c r="AZ122" s="163"/>
      <c r="BA122" s="163"/>
      <c r="BB122" s="163"/>
      <c r="BC122" s="163"/>
      <c r="BD122" s="163"/>
      <c r="BE122" s="163"/>
      <c r="BF122" s="163"/>
      <c r="BG122" s="163"/>
      <c r="BH122" s="263"/>
    </row>
    <row r="123" spans="1:60" x14ac:dyDescent="0.2">
      <c r="A123" s="648"/>
      <c r="B123" s="492" t="s">
        <v>205</v>
      </c>
      <c r="C123" s="656" t="s">
        <v>127</v>
      </c>
      <c r="D123" s="747" t="s">
        <v>50</v>
      </c>
      <c r="E123" s="221" t="s">
        <v>230</v>
      </c>
      <c r="F123" s="221"/>
      <c r="G123" s="221"/>
      <c r="H123" s="221" t="s">
        <v>177</v>
      </c>
      <c r="I123" s="146"/>
      <c r="J123" s="243">
        <f>M123+Y123+AK123+AW123</f>
        <v>0</v>
      </c>
      <c r="K123" s="293"/>
      <c r="L123" s="293"/>
      <c r="M123" s="243">
        <f>SUM(O123:X123)</f>
        <v>0</v>
      </c>
      <c r="N123" s="294"/>
      <c r="O123" s="207">
        <f>IF(   AND(   HLOOKUP(IF(O$80="",referentie_verwarming,O$80),toestellen_RV,ROWS(bibliotheek!$E$79:$E$84),FALSE)=1,   O112+Q112&gt;P112   ),
ABS(O112+Q112-P112)*O$112/(O112+Q112),
0)</f>
        <v>0</v>
      </c>
      <c r="P123" s="207">
        <f>IF(AND(HLOOKUP(IF(P$80="",referentie_koeling,P$80),toestellen_KOEL,ROWS(bibliotheek!$E$170:$E$174),FALSE)=1,O112+Q112&lt;P112),ABS(O112+Q112-P112),0)</f>
        <v>0</v>
      </c>
      <c r="Q123" s="207">
        <f>IF(AND(HLOOKUP(IF(Q$80="",referentie_warmtapwater,Q$80),toestellen_TAP,ROWS(bibliotheek!$E$136:$E$141),FALSE)=1,O112+Q112&gt;P112),ABS(O112+Q112-P112)*Q$112/(O112+Q112),0)</f>
        <v>0</v>
      </c>
      <c r="R123" s="147"/>
      <c r="S123" s="147"/>
      <c r="T123" s="147"/>
      <c r="U123" s="147"/>
      <c r="V123" s="147"/>
      <c r="W123" s="147"/>
      <c r="X123" s="125"/>
      <c r="Y123" s="243">
        <f>SUM(AA123:AJ123)</f>
        <v>0</v>
      </c>
      <c r="Z123" s="294"/>
      <c r="AA123" s="207">
        <f>IF(   AND(   HLOOKUP(IF(AA$80="",referentie_verwarming,AA$80),toestellen_RV,ROWS(bibliotheek!$E$79:$E$84),FALSE)=1,   AA112+AC112&gt;AB112   ),
ABS(AA112+AC112-AB112)*AA$112/(AA112+AC112),
0)</f>
        <v>0</v>
      </c>
      <c r="AB123" s="207">
        <f>IF(AND(HLOOKUP(IF(AB$80="",referentie_koeling,AB$80),toestellen_KOEL,ROWS(bibliotheek!$E$170:$E$174),FALSE)=1,AA112+AC112&lt;AB112),ABS(AA112+AC112-AB112),0)</f>
        <v>0</v>
      </c>
      <c r="AC123" s="207">
        <f>IF(AND(HLOOKUP(IF(AC$80="",referentie_warmtapwater,AC$80),toestellen_TAP,ROWS(bibliotheek!$E$136:$E$141),FALSE)=1,AA112+AC112&gt;AB112),ABS(AA112+AC112-AB112)*AC$112/(AA112+AC112),0)</f>
        <v>0</v>
      </c>
      <c r="AD123" s="147"/>
      <c r="AE123" s="147"/>
      <c r="AF123" s="147"/>
      <c r="AG123" s="147"/>
      <c r="AH123" s="147"/>
      <c r="AI123" s="147"/>
      <c r="AJ123" s="125"/>
      <c r="AK123" s="243">
        <f>SUM(AM123:AV123)</f>
        <v>0</v>
      </c>
      <c r="AL123" s="294"/>
      <c r="AM123" s="207">
        <f>IF(   AND(   HLOOKUP(IF(AM$80="",referentie_verwarming,AM$80),toestellen_RV,ROWS(bibliotheek!$E$79:$E$84),FALSE)=1,   AM112+AO112&gt;AN112   ),
ABS(AM112+AO112-AN112)*AM$112/(AM112+AO112),
0)</f>
        <v>0</v>
      </c>
      <c r="AN123" s="207">
        <f>IF(AND(HLOOKUP(IF(AN$80="",referentie_koeling,AN$80),toestellen_KOEL,ROWS(bibliotheek!$E$170:$E$174),FALSE)=1,AM112+AO112&lt;AN112),ABS(AM112+AO112-AN112),0)</f>
        <v>0</v>
      </c>
      <c r="AO123" s="207">
        <f>IF(AND(HLOOKUP(IF(AO$80="",referentie_warmtapwater,AO$80),toestellen_TAP,ROWS(bibliotheek!$E$136:$E$141),FALSE)=1,AM112+AO112&gt;AN112),ABS(AM112+AO112-AN112)*AO$112/(AM112+AO112),0)</f>
        <v>0</v>
      </c>
      <c r="AP123" s="147"/>
      <c r="AQ123" s="147"/>
      <c r="AR123" s="147"/>
      <c r="AS123" s="147"/>
      <c r="AT123" s="147"/>
      <c r="AU123" s="147"/>
      <c r="AV123" s="125"/>
      <c r="AW123" s="243">
        <f>SUM(AY123:BH123)</f>
        <v>0</v>
      </c>
      <c r="AX123" s="294"/>
      <c r="AY123" s="207">
        <f>IF(   AND(   HLOOKUP(IF(AY$80="",referentie_verwarming,AY$80),toestellen_RV,ROWS(bibliotheek!$E$79:$E$84),FALSE)=1,   AY112+BA112&gt;AZ112   ),
ABS(AY112+BA112-AZ112)*AY$112/(AY112+BA112),
0)</f>
        <v>0</v>
      </c>
      <c r="AZ123" s="207">
        <f>IF(AND(HLOOKUP(IF(AZ$80="",referentie_koeling,AZ$80),toestellen_KOEL,ROWS(bibliotheek!$E$170:$E$174),FALSE)=1,AY112+BA112&lt;AZ112),ABS(AY112+BA112-AZ112),0)</f>
        <v>0</v>
      </c>
      <c r="BA123" s="207">
        <f>IF(AND(HLOOKUP(IF(BA$80="",referentie_warmtapwater,BA$80),toestellen_TAP,ROWS(bibliotheek!$E$136:$E$141),FALSE)=1,AY112+BA112&gt;AZ112),ABS(AY112+BA112-AZ112)*BA$112/(AY112+BA112),0)</f>
        <v>0</v>
      </c>
      <c r="BB123" s="147"/>
      <c r="BC123" s="147"/>
      <c r="BD123" s="147"/>
      <c r="BE123" s="147"/>
      <c r="BF123" s="147"/>
      <c r="BG123" s="147"/>
      <c r="BH123" s="255"/>
    </row>
    <row r="124" spans="1:60" hidden="1" x14ac:dyDescent="0.2">
      <c r="A124" s="648"/>
      <c r="B124" s="492" t="s">
        <v>205</v>
      </c>
      <c r="C124" s="656" t="s">
        <v>199</v>
      </c>
      <c r="D124" s="747"/>
      <c r="E124" s="221" t="s">
        <v>231</v>
      </c>
      <c r="F124" s="220"/>
      <c r="G124" s="220"/>
      <c r="H124" s="221" t="s">
        <v>232</v>
      </c>
      <c r="I124" s="146"/>
      <c r="J124" s="230"/>
      <c r="K124" s="121"/>
      <c r="L124" s="121"/>
      <c r="M124" s="230"/>
      <c r="N124" s="90"/>
      <c r="O124" s="625">
        <f>HLOOKUP(IF(O$80="",referentie_verwarming,O$80),toestellen_RV,ROWS(bibliotheek!$E$79:$E$113),FALSE)</f>
        <v>0</v>
      </c>
      <c r="P124" s="625">
        <f>HLOOKUP(IF(P$80="",referentie_koeling,P$80),toestellen_KOEL,ROWS(bibliotheek!$E$170:$E$188),FALSE)</f>
        <v>0</v>
      </c>
      <c r="Q124" s="625">
        <f>HLOOKUP(IF(Q$80="",referentie_warmtapwater,Q$80),toestellen_TAP,ROWS(bibliotheek!$E$136:$E$162),FALSE)</f>
        <v>0</v>
      </c>
      <c r="R124" s="447"/>
      <c r="S124" s="447"/>
      <c r="T124" s="447"/>
      <c r="U124" s="447"/>
      <c r="V124" s="447"/>
      <c r="W124" s="447"/>
      <c r="X124" s="487"/>
      <c r="Y124" s="230"/>
      <c r="Z124" s="90"/>
      <c r="AA124" s="625">
        <f>HLOOKUP(IF(AA$80="",referentie_verwarming,AA$80),toestellen_RV,ROWS(bibliotheek!$E$79:$E$113),FALSE)</f>
        <v>0</v>
      </c>
      <c r="AB124" s="625">
        <f>HLOOKUP(IF(AB$80="",referentie_koeling,AB$80),toestellen_KOEL,ROWS(bibliotheek!$E$170:$E$188),FALSE)</f>
        <v>0</v>
      </c>
      <c r="AC124" s="625">
        <f>HLOOKUP(IF(AC$80="",referentie_warmtapwater,AC$80),toestellen_TAP,ROWS(bibliotheek!$E$136:$E$162),FALSE)</f>
        <v>0</v>
      </c>
      <c r="AD124" s="447"/>
      <c r="AE124" s="447"/>
      <c r="AF124" s="447"/>
      <c r="AG124" s="447"/>
      <c r="AH124" s="447"/>
      <c r="AI124" s="447"/>
      <c r="AJ124" s="487"/>
      <c r="AK124" s="230"/>
      <c r="AL124" s="90"/>
      <c r="AM124" s="625">
        <f>HLOOKUP(IF(AM$80="",referentie_verwarming,AM$80),toestellen_RV,ROWS(bibliotheek!$E$79:$E$113),FALSE)</f>
        <v>0</v>
      </c>
      <c r="AN124" s="625">
        <f>HLOOKUP(IF(AN$80="",referentie_koeling,AN$80),toestellen_KOEL,ROWS(bibliotheek!$E$170:$E$188),FALSE)</f>
        <v>0</v>
      </c>
      <c r="AO124" s="625">
        <f>HLOOKUP(IF(AO$80="",referentie_warmtapwater,AO$80),toestellen_TAP,ROWS(bibliotheek!$E$136:$E$162),FALSE)</f>
        <v>0</v>
      </c>
      <c r="AP124" s="447"/>
      <c r="AQ124" s="447"/>
      <c r="AR124" s="447"/>
      <c r="AS124" s="447"/>
      <c r="AT124" s="447"/>
      <c r="AU124" s="447"/>
      <c r="AV124" s="487"/>
      <c r="AW124" s="230"/>
      <c r="AX124" s="90"/>
      <c r="AY124" s="625">
        <f>HLOOKUP(IF(AY$80="",referentie_verwarming,AY$80),toestellen_RV,ROWS(bibliotheek!$E$79:$E$113),FALSE)</f>
        <v>0</v>
      </c>
      <c r="AZ124" s="625">
        <f>HLOOKUP(IF(AZ$80="",referentie_koeling,AZ$80),toestellen_KOEL,ROWS(bibliotheek!$E$170:$E$188),FALSE)</f>
        <v>0</v>
      </c>
      <c r="BA124" s="625">
        <f>HLOOKUP(IF(BA$80="",referentie_warmtapwater,BA$80),toestellen_TAP,ROWS(bibliotheek!$E$136:$E$162),FALSE)</f>
        <v>0</v>
      </c>
      <c r="BB124" s="447"/>
      <c r="BC124" s="447"/>
      <c r="BD124" s="447"/>
      <c r="BE124" s="447"/>
      <c r="BF124" s="447"/>
      <c r="BG124" s="447"/>
      <c r="BH124" s="255"/>
    </row>
    <row r="125" spans="1:60" x14ac:dyDescent="0.2">
      <c r="A125" s="648"/>
      <c r="B125" s="492" t="s">
        <v>205</v>
      </c>
      <c r="C125" s="656" t="s">
        <v>127</v>
      </c>
      <c r="D125" s="747"/>
      <c r="E125" s="354" t="s">
        <v>233</v>
      </c>
      <c r="F125" s="316"/>
      <c r="G125" s="316"/>
      <c r="H125" s="354" t="s">
        <v>70</v>
      </c>
      <c r="I125" s="88"/>
      <c r="J125" s="352"/>
      <c r="K125" s="88"/>
      <c r="L125" s="88"/>
      <c r="M125" s="352"/>
      <c r="N125" s="90"/>
      <c r="O125" s="452">
        <f>IF(HLOOKUP(IF(O$80="",referentie_verwarming,O$80),toestellen_RV,ROWS(bibliotheek!$E$79:$E$97),FALSE)=0,0,IF(O126&lt;&gt;"",O126,HLOOKUP(IF(O$80="",referentie_verwarming,O$80),toestellen_RV,ROWS(bibliotheek!$E$79:$E$97),FALSE)))</f>
        <v>0</v>
      </c>
      <c r="P125" s="452">
        <f>IF(HLOOKUP(IF(P$80="",referentie_koeling,P$80),toestellen_KOEL,ROWS(bibliotheek!$E$170:$E$181),FALSE)=0,0,IF(P126&lt;&gt;"",P126,HLOOKUP(IF(P$80="",referentie_koeling,P$80),toestellen_KOEL,ROWS(bibliotheek!$E$170:$E$181),FALSE)))</f>
        <v>0</v>
      </c>
      <c r="Q125" s="452">
        <f>IF(HLOOKUP(IF(Q$80="",referentie_warmtapwater,Q$80),toestellen_TAP,ROWS(bibliotheek!$E$136:$E$154),FALSE)=0,0,IF(Q126&lt;&gt;"",Q126,HLOOKUP(IF(Q$80="",referentie_warmtapwater,Q$80),toestellen_TAP,ROWS(bibliotheek!$E$136:$E$154),FALSE)))</f>
        <v>0</v>
      </c>
      <c r="R125" s="156"/>
      <c r="S125" s="156"/>
      <c r="T125" s="156"/>
      <c r="U125" s="156"/>
      <c r="V125" s="156"/>
      <c r="W125" s="156"/>
      <c r="X125" s="126"/>
      <c r="Y125" s="352"/>
      <c r="Z125" s="90"/>
      <c r="AA125" s="452">
        <f>IF(HLOOKUP(IF(AA$80="",referentie_verwarming,AA$80),toestellen_RV,ROWS(bibliotheek!$E$79:$E$97),FALSE)=0,0,IF(AA126&lt;&gt;"",AA126,HLOOKUP(IF(AA$80="",referentie_verwarming,AA$80),toestellen_RV,ROWS(bibliotheek!$E$79:$E$97),FALSE)))</f>
        <v>0</v>
      </c>
      <c r="AB125" s="452">
        <f>IF(HLOOKUP(IF(AB$80="",referentie_koeling,AB$80),toestellen_KOEL,ROWS(bibliotheek!$E$170:$E$181),FALSE)=0,0,IF(AB126&lt;&gt;"",AB126,HLOOKUP(IF(AB$80="",referentie_koeling,AB$80),toestellen_KOEL,ROWS(bibliotheek!$E$170:$E$181),FALSE)))</f>
        <v>0</v>
      </c>
      <c r="AC125" s="452">
        <f>IF(HLOOKUP(IF(AC$80="",referentie_warmtapwater,AC$80),toestellen_TAP,ROWS(bibliotheek!$E$136:$E$154),FALSE)=0,0,IF(AC126&lt;&gt;"",AC126,HLOOKUP(IF(AC$80="",referentie_warmtapwater,AC$80),toestellen_TAP,ROWS(bibliotheek!$E$136:$E$154),FALSE)))</f>
        <v>0</v>
      </c>
      <c r="AD125" s="156"/>
      <c r="AE125" s="156"/>
      <c r="AF125" s="156"/>
      <c r="AG125" s="156"/>
      <c r="AH125" s="156"/>
      <c r="AI125" s="156"/>
      <c r="AJ125" s="126"/>
      <c r="AK125" s="352"/>
      <c r="AL125" s="90"/>
      <c r="AM125" s="452">
        <f>IF(HLOOKUP(IF(AM$80="",referentie_verwarming,AM$80),toestellen_RV,ROWS(bibliotheek!$E$79:$E$97),FALSE)=0,0,IF(AM126&lt;&gt;"",AM126,HLOOKUP(IF(AM$80="",referentie_verwarming,AM$80),toestellen_RV,ROWS(bibliotheek!$E$79:$E$97),FALSE)))</f>
        <v>0</v>
      </c>
      <c r="AN125" s="452">
        <f>IF(HLOOKUP(IF(AN$80="",referentie_koeling,AN$80),toestellen_KOEL,ROWS(bibliotheek!$E$170:$E$181),FALSE)=0,0,IF(AN126&lt;&gt;"",AN126,HLOOKUP(IF(AN$80="",referentie_koeling,AN$80),toestellen_KOEL,ROWS(bibliotheek!$E$170:$E$181),FALSE)))</f>
        <v>0</v>
      </c>
      <c r="AO125" s="452">
        <f>IF(HLOOKUP(IF(AO$80="",referentie_warmtapwater,AO$80),toestellen_TAP,ROWS(bibliotheek!$E$136:$E$154),FALSE)=0,0,IF(AO126&lt;&gt;"",AO126,HLOOKUP(IF(AO$80="",referentie_warmtapwater,AO$80),toestellen_TAP,ROWS(bibliotheek!$E$136:$E$154),FALSE)))</f>
        <v>0</v>
      </c>
      <c r="AP125" s="156"/>
      <c r="AQ125" s="156"/>
      <c r="AR125" s="156"/>
      <c r="AS125" s="156"/>
      <c r="AT125" s="156"/>
      <c r="AU125" s="156"/>
      <c r="AV125" s="126"/>
      <c r="AW125" s="352"/>
      <c r="AX125" s="90"/>
      <c r="AY125" s="452">
        <f>IF(HLOOKUP(IF(AY$80="",referentie_verwarming,AY$80),toestellen_RV,ROWS(bibliotheek!$E$79:$E$97),FALSE)=0,0,IF(AY126&lt;&gt;"",AY126,HLOOKUP(IF(AY$80="",referentie_verwarming,AY$80),toestellen_RV,ROWS(bibliotheek!$E$79:$E$97),FALSE)))</f>
        <v>0</v>
      </c>
      <c r="AZ125" s="452">
        <f>IF(HLOOKUP(IF(AZ$80="",referentie_koeling,AZ$80),toestellen_KOEL,ROWS(bibliotheek!$E$170:$E$181),FALSE)=0,0,IF(AZ126&lt;&gt;"",AZ126,HLOOKUP(IF(AZ$80="",referentie_koeling,AZ$80),toestellen_KOEL,ROWS(bibliotheek!$E$170:$E$181),FALSE)))</f>
        <v>0</v>
      </c>
      <c r="BA125" s="452">
        <f>IF(HLOOKUP(IF(BA$80="",referentie_warmtapwater,BA$80),toestellen_TAP,ROWS(bibliotheek!$E$136:$E$154),FALSE)=0,0,IF(BA126&lt;&gt;"",BA126,HLOOKUP(IF(BA$80="",referentie_warmtapwater,BA$80),toestellen_TAP,ROWS(bibliotheek!$E$136:$E$154),FALSE)))</f>
        <v>0</v>
      </c>
      <c r="BB125" s="156"/>
      <c r="BC125" s="156"/>
      <c r="BD125" s="156"/>
      <c r="BE125" s="156"/>
      <c r="BF125" s="156"/>
      <c r="BG125" s="156"/>
      <c r="BH125" s="214"/>
    </row>
    <row r="126" spans="1:60" x14ac:dyDescent="0.2">
      <c r="A126" s="648"/>
      <c r="B126" s="492" t="s">
        <v>205</v>
      </c>
      <c r="C126" s="656" t="s">
        <v>127</v>
      </c>
      <c r="D126" s="747"/>
      <c r="E126" s="412" t="s">
        <v>234</v>
      </c>
      <c r="F126" s="317"/>
      <c r="G126" s="317"/>
      <c r="H126" s="355"/>
      <c r="I126" s="88"/>
      <c r="J126" s="362"/>
      <c r="K126" s="88"/>
      <c r="L126" s="88"/>
      <c r="M126" s="239"/>
      <c r="N126" s="90"/>
      <c r="O126" s="337"/>
      <c r="P126" s="712"/>
      <c r="Q126" s="337"/>
      <c r="R126" s="157"/>
      <c r="S126" s="157"/>
      <c r="T126" s="157"/>
      <c r="U126" s="157"/>
      <c r="V126" s="157"/>
      <c r="W126" s="157"/>
      <c r="X126" s="87"/>
      <c r="Y126" s="239"/>
      <c r="Z126" s="90"/>
      <c r="AA126" s="337"/>
      <c r="AB126" s="712"/>
      <c r="AC126" s="337"/>
      <c r="AD126" s="157"/>
      <c r="AE126" s="157"/>
      <c r="AF126" s="157"/>
      <c r="AG126" s="157"/>
      <c r="AH126" s="157"/>
      <c r="AI126" s="157"/>
      <c r="AJ126" s="87"/>
      <c r="AK126" s="239"/>
      <c r="AL126" s="90"/>
      <c r="AM126" s="337"/>
      <c r="AN126" s="712"/>
      <c r="AO126" s="337"/>
      <c r="AP126" s="157"/>
      <c r="AQ126" s="157"/>
      <c r="AR126" s="157"/>
      <c r="AS126" s="157"/>
      <c r="AT126" s="157"/>
      <c r="AU126" s="157"/>
      <c r="AV126" s="87"/>
      <c r="AW126" s="239"/>
      <c r="AX126" s="90"/>
      <c r="AY126" s="337"/>
      <c r="AZ126" s="712"/>
      <c r="BA126" s="337"/>
      <c r="BB126" s="157"/>
      <c r="BC126" s="157"/>
      <c r="BD126" s="157"/>
      <c r="BE126" s="157"/>
      <c r="BF126" s="157"/>
      <c r="BG126" s="157"/>
      <c r="BH126" s="214"/>
    </row>
    <row r="127" spans="1:60" x14ac:dyDescent="0.2">
      <c r="A127" s="648"/>
      <c r="B127" s="492" t="s">
        <v>205</v>
      </c>
      <c r="C127" s="656" t="s">
        <v>104</v>
      </c>
      <c r="D127" s="747"/>
      <c r="E127" s="90"/>
      <c r="F127" s="90"/>
      <c r="G127" s="90"/>
      <c r="H127" s="96"/>
      <c r="I127" s="90"/>
      <c r="J127" s="93"/>
      <c r="K127" s="90"/>
      <c r="L127" s="90"/>
      <c r="M127" s="93"/>
      <c r="N127" s="93"/>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3"/>
      <c r="AN127" s="93"/>
      <c r="AO127" s="93"/>
      <c r="AP127" s="93"/>
      <c r="AQ127" s="93"/>
      <c r="AR127" s="93"/>
      <c r="AS127" s="93"/>
      <c r="AT127" s="93"/>
      <c r="AU127" s="93"/>
      <c r="AV127" s="93"/>
      <c r="AW127" s="93"/>
      <c r="AX127" s="93"/>
      <c r="AY127" s="93"/>
      <c r="AZ127" s="93"/>
      <c r="BA127" s="93"/>
      <c r="BB127" s="93"/>
      <c r="BC127" s="93"/>
      <c r="BD127" s="93"/>
      <c r="BE127" s="93"/>
      <c r="BF127" s="93"/>
      <c r="BG127" s="93"/>
      <c r="BH127" s="1"/>
    </row>
    <row r="128" spans="1:60" x14ac:dyDescent="0.2">
      <c r="A128" s="648"/>
      <c r="B128" s="492" t="s">
        <v>235</v>
      </c>
      <c r="C128" s="656" t="s">
        <v>104</v>
      </c>
      <c r="D128" s="747"/>
      <c r="E128" s="90"/>
      <c r="F128" s="90"/>
      <c r="G128" s="90"/>
      <c r="H128" s="96"/>
      <c r="I128" s="90"/>
      <c r="J128" s="93"/>
      <c r="K128" s="90"/>
      <c r="L128" s="90"/>
      <c r="M128" s="93"/>
      <c r="N128" s="93"/>
      <c r="O128" s="93"/>
      <c r="P128" s="93"/>
      <c r="Q128" s="93"/>
      <c r="R128" s="93"/>
      <c r="S128" s="93"/>
      <c r="T128" s="93"/>
      <c r="U128" s="93"/>
      <c r="V128" s="93"/>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1"/>
    </row>
    <row r="129" spans="1:60" ht="21" x14ac:dyDescent="0.2">
      <c r="A129" s="648"/>
      <c r="B129" s="492" t="s">
        <v>235</v>
      </c>
      <c r="C129" s="739" t="s">
        <v>104</v>
      </c>
      <c r="D129" s="750" t="s">
        <v>50</v>
      </c>
      <c r="E129" s="240" t="s">
        <v>236</v>
      </c>
      <c r="F129" s="240"/>
      <c r="G129" s="240"/>
      <c r="H129" s="240"/>
      <c r="I129" s="88"/>
      <c r="J129" s="241" t="s">
        <v>58</v>
      </c>
      <c r="K129" s="142"/>
      <c r="L129" s="142"/>
      <c r="M129" s="216" t="s">
        <v>237</v>
      </c>
      <c r="N129" s="222"/>
      <c r="O129" s="217" t="str">
        <f>$O$10</f>
        <v>verwarming</v>
      </c>
      <c r="P129" s="217" t="str">
        <f>$P$10</f>
        <v>koeling</v>
      </c>
      <c r="Q129" s="217" t="str">
        <f>$Q$10</f>
        <v>tapwater</v>
      </c>
      <c r="R129" s="217"/>
      <c r="S129" s="217"/>
      <c r="T129" s="217"/>
      <c r="U129" s="217"/>
      <c r="V129" s="217"/>
      <c r="W129" s="217"/>
      <c r="X129" s="214"/>
      <c r="Y129" s="216" t="s">
        <v>237</v>
      </c>
      <c r="Z129" s="222"/>
      <c r="AA129" s="217" t="str">
        <f>$O$10</f>
        <v>verwarming</v>
      </c>
      <c r="AB129" s="217" t="str">
        <f>$P$10</f>
        <v>koeling</v>
      </c>
      <c r="AC129" s="217" t="str">
        <f>$Q$10</f>
        <v>tapwater</v>
      </c>
      <c r="AD129" s="217"/>
      <c r="AE129" s="217"/>
      <c r="AF129" s="217"/>
      <c r="AG129" s="217"/>
      <c r="AH129" s="217"/>
      <c r="AI129" s="217"/>
      <c r="AJ129" s="214"/>
      <c r="AK129" s="216" t="s">
        <v>237</v>
      </c>
      <c r="AL129" s="222"/>
      <c r="AM129" s="217" t="str">
        <f>$O$10</f>
        <v>verwarming</v>
      </c>
      <c r="AN129" s="217" t="str">
        <f>$P$10</f>
        <v>koeling</v>
      </c>
      <c r="AO129" s="217" t="str">
        <f>$Q$10</f>
        <v>tapwater</v>
      </c>
      <c r="AP129" s="217"/>
      <c r="AQ129" s="217"/>
      <c r="AR129" s="217"/>
      <c r="AS129" s="217"/>
      <c r="AT129" s="217"/>
      <c r="AU129" s="217"/>
      <c r="AV129" s="214"/>
      <c r="AW129" s="216" t="s">
        <v>237</v>
      </c>
      <c r="AX129" s="222"/>
      <c r="AY129" s="217" t="str">
        <f>$O$10</f>
        <v>verwarming</v>
      </c>
      <c r="AZ129" s="217" t="str">
        <f>$P$10</f>
        <v>koeling</v>
      </c>
      <c r="BA129" s="217" t="str">
        <f>$Q$10</f>
        <v>tapwater</v>
      </c>
      <c r="BB129" s="217"/>
      <c r="BC129" s="217"/>
      <c r="BD129" s="217"/>
      <c r="BE129" s="217"/>
      <c r="BF129" s="217"/>
      <c r="BG129" s="217"/>
      <c r="BH129" s="1"/>
    </row>
    <row r="130" spans="1:60" ht="18.75" x14ac:dyDescent="0.2">
      <c r="A130" s="648"/>
      <c r="B130" s="492" t="s">
        <v>235</v>
      </c>
      <c r="C130" s="739" t="s">
        <v>104</v>
      </c>
      <c r="D130" s="747"/>
      <c r="E130" s="144" t="s">
        <v>210</v>
      </c>
      <c r="F130" s="231"/>
      <c r="G130" s="231"/>
      <c r="H130" s="89"/>
      <c r="I130" s="232"/>
      <c r="J130" s="231"/>
      <c r="K130" s="232"/>
      <c r="L130" s="232"/>
      <c r="M130" s="231"/>
      <c r="N130" s="232"/>
      <c r="O130" s="232"/>
      <c r="P130" s="232"/>
      <c r="Q130" s="232"/>
      <c r="R130" s="232"/>
      <c r="S130" s="232"/>
      <c r="T130" s="232"/>
      <c r="U130" s="232"/>
      <c r="V130" s="232"/>
      <c r="W130" s="232"/>
      <c r="X130" s="232"/>
      <c r="Y130" s="232"/>
      <c r="Z130" s="232"/>
      <c r="AA130" s="232"/>
      <c r="AB130" s="232"/>
      <c r="AC130" s="232"/>
      <c r="AD130" s="232"/>
      <c r="AE130" s="232"/>
      <c r="AF130" s="232"/>
      <c r="AG130" s="232"/>
      <c r="AH130" s="232"/>
      <c r="AI130" s="232"/>
      <c r="AJ130" s="232"/>
      <c r="AK130" s="232"/>
      <c r="AL130" s="232"/>
      <c r="AM130" s="232"/>
      <c r="AN130" s="232"/>
      <c r="AO130" s="232"/>
      <c r="AP130" s="232"/>
      <c r="AQ130" s="232"/>
      <c r="AR130" s="232"/>
      <c r="AS130" s="232"/>
      <c r="AT130" s="232"/>
      <c r="AU130" s="232"/>
      <c r="AV130" s="232"/>
      <c r="AW130" s="232"/>
      <c r="AX130" s="232"/>
      <c r="AY130" s="232"/>
      <c r="AZ130" s="232"/>
      <c r="BA130" s="232"/>
      <c r="BB130" s="232"/>
      <c r="BC130" s="232"/>
      <c r="BD130" s="232"/>
      <c r="BE130" s="232"/>
      <c r="BF130" s="232"/>
      <c r="BG130" s="232"/>
      <c r="BH130" s="38"/>
    </row>
    <row r="131" spans="1:60" ht="25.5" x14ac:dyDescent="0.2">
      <c r="A131" s="648"/>
      <c r="B131" s="492" t="s">
        <v>235</v>
      </c>
      <c r="C131" s="656" t="s">
        <v>127</v>
      </c>
      <c r="D131" s="747"/>
      <c r="E131" s="326" t="s">
        <v>238</v>
      </c>
      <c r="F131" s="326"/>
      <c r="G131" s="326"/>
      <c r="H131" s="327" t="s">
        <v>70</v>
      </c>
      <c r="I131" s="115"/>
      <c r="J131" s="330"/>
      <c r="K131" s="115"/>
      <c r="L131" s="115"/>
      <c r="M131" s="330" t="str">
        <f>IF(OR(M$12=0,O134=0),"-","RV: "&amp;O131)</f>
        <v>-</v>
      </c>
      <c r="N131" s="136"/>
      <c r="O131" s="346" t="str">
        <f>IF(O$105=1,geen,HLOOKUP(IF(O$80="",referentie_verwarming,O$80),toestellen_RV,ROWS(bibliotheek!$E$79:$E$100),FALSE))</f>
        <v>elektrisch element</v>
      </c>
      <c r="P131" s="346" t="str">
        <f>IF(OR(P$101=geen,P$105=1),geen,HLOOKUP(IF(P$80="",referentie_koeling,P$80),toestellen_KOEL,ROWS(bibliotheek!$E$170:$E$183),FALSE))</f>
        <v>geen</v>
      </c>
      <c r="Q131" s="346" t="str">
        <f>IF(Q105=1,geen,HLOOKUP(IF(Q$80="",referentie_warmtapwater,Q$80),toestellen_TAP,ROWS(bibliotheek!$E$136:$E$157),FALSE))</f>
        <v>elektrisch element</v>
      </c>
      <c r="R131" s="331"/>
      <c r="S131" s="331"/>
      <c r="T131" s="331"/>
      <c r="U131" s="331"/>
      <c r="V131" s="331"/>
      <c r="W131" s="331"/>
      <c r="X131" s="130"/>
      <c r="Y131" s="330" t="str">
        <f>IF(OR(Y$12=0,AA134=0),"-","RV: "&amp;AA131)</f>
        <v>-</v>
      </c>
      <c r="Z131" s="136"/>
      <c r="AA131" s="346" t="str">
        <f>IF(AA$105=1,geen,HLOOKUP(IF(AA$80="",referentie_verwarming,AA$80),toestellen_RV,ROWS(bibliotheek!$E$79:$E$100),FALSE))</f>
        <v>elektrisch element</v>
      </c>
      <c r="AB131" s="346" t="str">
        <f>IF(OR(AB$101=geen,AB$105=1),geen,HLOOKUP(IF(AB$80="",referentie_koeling,AB$80),toestellen_KOEL,ROWS(bibliotheek!$E$170:$E$183),FALSE))</f>
        <v>geen</v>
      </c>
      <c r="AC131" s="346" t="str">
        <f>IF(AC105=1,geen,HLOOKUP(IF(AC$80="",referentie_warmtapwater,AC$80),toestellen_TAP,ROWS(bibliotheek!$E$136:$E$157),FALSE))</f>
        <v>elektrisch element</v>
      </c>
      <c r="AD131" s="331"/>
      <c r="AE131" s="331"/>
      <c r="AF131" s="331"/>
      <c r="AG131" s="331"/>
      <c r="AH131" s="331"/>
      <c r="AI131" s="331"/>
      <c r="AJ131" s="130"/>
      <c r="AK131" s="330" t="str">
        <f>IF(OR(AK$12=0,AM134=0),"-","RV: "&amp;AM131)</f>
        <v>-</v>
      </c>
      <c r="AL131" s="136"/>
      <c r="AM131" s="346" t="str">
        <f>IF(AM$105=1,geen,HLOOKUP(IF(AM$80="",referentie_verwarming,AM$80),toestellen_RV,ROWS(bibliotheek!$E$79:$E$100),FALSE))</f>
        <v>elektrisch element</v>
      </c>
      <c r="AN131" s="346" t="str">
        <f>IF(OR(AN$101=geen,AN$105=1),geen,HLOOKUP(IF(AN$80="",referentie_koeling,AN$80),toestellen_KOEL,ROWS(bibliotheek!$E$170:$E$183),FALSE))</f>
        <v>geen</v>
      </c>
      <c r="AO131" s="346" t="str">
        <f>IF(AO105=1,geen,HLOOKUP(IF(AO$80="",referentie_warmtapwater,AO$80),toestellen_TAP,ROWS(bibliotheek!$E$136:$E$157),FALSE))</f>
        <v>elektrisch element</v>
      </c>
      <c r="AP131" s="331"/>
      <c r="AQ131" s="331"/>
      <c r="AR131" s="331"/>
      <c r="AS131" s="331"/>
      <c r="AT131" s="331"/>
      <c r="AU131" s="331"/>
      <c r="AV131" s="130"/>
      <c r="AW131" s="330" t="str">
        <f>IF(OR(AW$12=0,AY134=0),"-","RV: "&amp;AY131)</f>
        <v>-</v>
      </c>
      <c r="AX131" s="136"/>
      <c r="AY131" s="346" t="str">
        <f>IF(AY$105=1,geen,HLOOKUP(IF(AY$80="",referentie_verwarming,AY$80),toestellen_RV,ROWS(bibliotheek!$E$79:$E$100),FALSE))</f>
        <v>elektrisch element</v>
      </c>
      <c r="AZ131" s="346" t="str">
        <f>IF(OR(AZ$101=geen,AZ$105=1),geen,HLOOKUP(IF(AZ$80="",referentie_koeling,AZ$80),toestellen_KOEL,ROWS(bibliotheek!$E$170:$E$183),FALSE))</f>
        <v>geen</v>
      </c>
      <c r="BA131" s="346" t="str">
        <f>IF(BA105=1,geen,HLOOKUP(IF(BA$80="",referentie_warmtapwater,BA$80),toestellen_TAP,ROWS(bibliotheek!$E$136:$E$157),FALSE))</f>
        <v>elektrisch element</v>
      </c>
      <c r="BB131" s="331"/>
      <c r="BC131" s="331"/>
      <c r="BD131" s="331"/>
      <c r="BE131" s="331"/>
      <c r="BF131" s="331"/>
      <c r="BG131" s="331"/>
      <c r="BH131" s="266"/>
    </row>
    <row r="132" spans="1:60" hidden="1" x14ac:dyDescent="0.2">
      <c r="A132" s="648"/>
      <c r="B132" s="492" t="s">
        <v>235</v>
      </c>
      <c r="C132" s="656" t="s">
        <v>199</v>
      </c>
      <c r="D132" s="747"/>
      <c r="E132" s="220" t="s">
        <v>208</v>
      </c>
      <c r="F132" s="220"/>
      <c r="G132" s="220"/>
      <c r="H132" s="221" t="s">
        <v>70</v>
      </c>
      <c r="I132" s="90"/>
      <c r="J132" s="230"/>
      <c r="K132" s="90"/>
      <c r="L132" s="90"/>
      <c r="M132" s="230"/>
      <c r="N132" s="129"/>
      <c r="O132" s="347" t="str">
        <f>IF(O131=geen,nvt,HLOOKUP(IF(O$80="",referentie_verwarming,O$80),toestellen_RV,ROWS(bibliotheek!$E$79:$E$101),FALSE))</f>
        <v>elektriciteit</v>
      </c>
      <c r="P132" s="208" t="str">
        <f>IF(P131=geen,nvt,HLOOKUP(IF(P$80="",referentie_koeling,P$80),toestellen_KOEL,ROWS(bibliotheek!$E$170:$E$184),FALSE))</f>
        <v>nvt</v>
      </c>
      <c r="Q132" s="272" t="str">
        <f>IF(Q131=geen,nvt,HLOOKUP(IF(Q$80="",referentie_warmtapwater,Q$80),toestellen_TAP,ROWS(bibliotheek!$E$136:$E$158),FALSE))</f>
        <v>elektriciteit</v>
      </c>
      <c r="R132" s="332"/>
      <c r="S132" s="332"/>
      <c r="T132" s="332"/>
      <c r="U132" s="332"/>
      <c r="V132" s="332"/>
      <c r="W132" s="332"/>
      <c r="X132" s="122"/>
      <c r="Y132" s="230"/>
      <c r="Z132" s="129"/>
      <c r="AA132" s="347" t="str">
        <f>IF(AA131=geen,nvt,HLOOKUP(IF(AA$80="",referentie_verwarming,AA$80),toestellen_RV,ROWS(bibliotheek!$E$79:$E$101),FALSE))</f>
        <v>elektriciteit</v>
      </c>
      <c r="AB132" s="208" t="str">
        <f>IF(AB131=geen,nvt,HLOOKUP(IF(AB$80="",referentie_koeling,AB$80),toestellen_KOEL,ROWS(bibliotheek!$E$170:$E$184),FALSE))</f>
        <v>nvt</v>
      </c>
      <c r="AC132" s="272" t="str">
        <f>IF(AC131=geen,nvt,HLOOKUP(IF(AC$80="",referentie_warmtapwater,AC$80),toestellen_TAP,ROWS(bibliotheek!$E$136:$E$158),FALSE))</f>
        <v>elektriciteit</v>
      </c>
      <c r="AD132" s="332"/>
      <c r="AE132" s="332"/>
      <c r="AF132" s="332"/>
      <c r="AG132" s="332"/>
      <c r="AH132" s="332"/>
      <c r="AI132" s="332"/>
      <c r="AJ132" s="122"/>
      <c r="AK132" s="230"/>
      <c r="AL132" s="129"/>
      <c r="AM132" s="347" t="str">
        <f>IF(AM131=geen,nvt,HLOOKUP(IF(AM$80="",referentie_verwarming,AM$80),toestellen_RV,ROWS(bibliotheek!$E$79:$E$101),FALSE))</f>
        <v>elektriciteit</v>
      </c>
      <c r="AN132" s="208" t="str">
        <f>IF(AN131=geen,nvt,HLOOKUP(IF(AN$80="",referentie_koeling,AN$80),toestellen_KOEL,ROWS(bibliotheek!$E$170:$E$184),FALSE))</f>
        <v>nvt</v>
      </c>
      <c r="AO132" s="272" t="str">
        <f>IF(AO131=geen,nvt,HLOOKUP(IF(AO$80="",referentie_warmtapwater,AO$80),toestellen_TAP,ROWS(bibliotheek!$E$136:$E$158),FALSE))</f>
        <v>elektriciteit</v>
      </c>
      <c r="AP132" s="332"/>
      <c r="AQ132" s="332"/>
      <c r="AR132" s="332"/>
      <c r="AS132" s="332"/>
      <c r="AT132" s="332"/>
      <c r="AU132" s="332"/>
      <c r="AV132" s="122"/>
      <c r="AW132" s="230"/>
      <c r="AX132" s="129"/>
      <c r="AY132" s="347" t="str">
        <f>IF(AY131=geen,nvt,HLOOKUP(IF(AY$80="",referentie_verwarming,AY$80),toestellen_RV,ROWS(bibliotheek!$E$79:$E$101),FALSE))</f>
        <v>elektriciteit</v>
      </c>
      <c r="AZ132" s="208" t="str">
        <f>IF(AZ131=geen,nvt,HLOOKUP(IF(AZ$80="",referentie_koeling,AZ$80),toestellen_KOEL,ROWS(bibliotheek!$E$170:$E$184),FALSE))</f>
        <v>nvt</v>
      </c>
      <c r="BA132" s="272" t="str">
        <f>IF(BA131=geen,nvt,HLOOKUP(IF(BA$80="",referentie_warmtapwater,BA$80),toestellen_TAP,ROWS(bibliotheek!$E$136:$E$158),FALSE))</f>
        <v>elektriciteit</v>
      </c>
      <c r="BB132" s="332"/>
      <c r="BC132" s="332"/>
      <c r="BD132" s="332"/>
      <c r="BE132" s="332"/>
      <c r="BF132" s="332"/>
      <c r="BG132" s="332"/>
      <c r="BH132" s="214"/>
    </row>
    <row r="133" spans="1:60" hidden="1" x14ac:dyDescent="0.2">
      <c r="A133" s="648"/>
      <c r="B133" s="492" t="s">
        <v>235</v>
      </c>
      <c r="C133" s="739" t="s">
        <v>199</v>
      </c>
      <c r="D133" s="747"/>
      <c r="E133" s="221" t="s">
        <v>209</v>
      </c>
      <c r="F133" s="220"/>
      <c r="G133" s="220"/>
      <c r="H133" s="221" t="s">
        <v>70</v>
      </c>
      <c r="I133" s="146"/>
      <c r="J133" s="230"/>
      <c r="K133" s="822"/>
      <c r="L133" s="822"/>
      <c r="M133" s="230"/>
      <c r="N133" s="129"/>
      <c r="O133" s="347" t="str">
        <f>INDEX(energiedragers_index_fPren,MATCH(O132,energiedragers_namen,0))</f>
        <v>nren</v>
      </c>
      <c r="P133" s="208" t="str">
        <f>INDEX(energiedragers_index_fPren,MATCH(P132,energiedragers_namen,0))</f>
        <v>nren</v>
      </c>
      <c r="Q133" s="272" t="str">
        <f>INDEX(energiedragers_index_fPren,MATCH(Q132,energiedragers_namen,0))</f>
        <v>nren</v>
      </c>
      <c r="R133" s="333"/>
      <c r="S133" s="333"/>
      <c r="T133" s="333"/>
      <c r="U133" s="333"/>
      <c r="V133" s="333"/>
      <c r="W133" s="333"/>
      <c r="X133" s="889"/>
      <c r="Y133" s="230"/>
      <c r="Z133" s="129"/>
      <c r="AA133" s="347" t="str">
        <f>INDEX(energiedragers_index_fPren,MATCH(AA132,energiedragers_namen,0))</f>
        <v>nren</v>
      </c>
      <c r="AB133" s="208" t="str">
        <f>INDEX(energiedragers_index_fPren,MATCH(AB132,energiedragers_namen,0))</f>
        <v>nren</v>
      </c>
      <c r="AC133" s="272" t="str">
        <f>INDEX(energiedragers_index_fPren,MATCH(AC132,energiedragers_namen,0))</f>
        <v>nren</v>
      </c>
      <c r="AD133" s="333"/>
      <c r="AE133" s="333"/>
      <c r="AF133" s="333"/>
      <c r="AG133" s="333"/>
      <c r="AH133" s="333"/>
      <c r="AI133" s="333"/>
      <c r="AJ133" s="889"/>
      <c r="AK133" s="230"/>
      <c r="AL133" s="129"/>
      <c r="AM133" s="347" t="str">
        <f>INDEX(energiedragers_index_fPren,MATCH(AM132,energiedragers_namen,0))</f>
        <v>nren</v>
      </c>
      <c r="AN133" s="208" t="str">
        <f>INDEX(energiedragers_index_fPren,MATCH(AN132,energiedragers_namen,0))</f>
        <v>nren</v>
      </c>
      <c r="AO133" s="272" t="str">
        <f>INDEX(energiedragers_index_fPren,MATCH(AO132,energiedragers_namen,0))</f>
        <v>nren</v>
      </c>
      <c r="AP133" s="333"/>
      <c r="AQ133" s="333"/>
      <c r="AR133" s="333"/>
      <c r="AS133" s="333"/>
      <c r="AT133" s="333"/>
      <c r="AU133" s="333"/>
      <c r="AV133" s="889"/>
      <c r="AW133" s="230"/>
      <c r="AX133" s="129"/>
      <c r="AY133" s="347" t="str">
        <f>INDEX(energiedragers_index_fPren,MATCH(AY132,energiedragers_namen,0))</f>
        <v>nren</v>
      </c>
      <c r="AZ133" s="208" t="str">
        <f>INDEX(energiedragers_index_fPren,MATCH(AZ132,energiedragers_namen,0))</f>
        <v>nren</v>
      </c>
      <c r="BA133" s="272" t="str">
        <f>INDEX(energiedragers_index_fPren,MATCH(BA132,energiedragers_namen,0))</f>
        <v>nren</v>
      </c>
      <c r="BB133" s="333"/>
      <c r="BC133" s="333"/>
      <c r="BD133" s="333"/>
      <c r="BE133" s="333"/>
      <c r="BF133" s="333"/>
      <c r="BG133" s="333"/>
      <c r="BH133" s="264"/>
    </row>
    <row r="134" spans="1:60" hidden="1" x14ac:dyDescent="0.2">
      <c r="A134" s="648"/>
      <c r="B134" s="492" t="s">
        <v>235</v>
      </c>
      <c r="C134" s="656" t="s">
        <v>199</v>
      </c>
      <c r="D134" s="747"/>
      <c r="E134" s="220" t="s">
        <v>211</v>
      </c>
      <c r="F134" s="220"/>
      <c r="G134" s="220"/>
      <c r="H134" s="221" t="s">
        <v>70</v>
      </c>
      <c r="I134" s="90"/>
      <c r="J134" s="230"/>
      <c r="K134" s="115"/>
      <c r="L134" s="115"/>
      <c r="M134" s="230"/>
      <c r="N134" s="129"/>
      <c r="O134" s="348">
        <f>1-O105</f>
        <v>9.9999999999999978E-2</v>
      </c>
      <c r="P134" s="348">
        <f>1-P105</f>
        <v>0</v>
      </c>
      <c r="Q134" s="348">
        <f>1-Q105</f>
        <v>9.9999999999999978E-2</v>
      </c>
      <c r="R134" s="334"/>
      <c r="S134" s="334"/>
      <c r="T134" s="334"/>
      <c r="U134" s="334"/>
      <c r="V134" s="334"/>
      <c r="W134" s="334"/>
      <c r="X134" s="122"/>
      <c r="Y134" s="230"/>
      <c r="Z134" s="129"/>
      <c r="AA134" s="348">
        <f>1-AA105</f>
        <v>9.9999999999999978E-2</v>
      </c>
      <c r="AB134" s="348">
        <f>1-AB105</f>
        <v>0</v>
      </c>
      <c r="AC134" s="348">
        <f>1-AC105</f>
        <v>9.9999999999999978E-2</v>
      </c>
      <c r="AD134" s="334"/>
      <c r="AE134" s="334"/>
      <c r="AF134" s="334"/>
      <c r="AG134" s="334"/>
      <c r="AH134" s="334"/>
      <c r="AI134" s="334"/>
      <c r="AJ134" s="122"/>
      <c r="AK134" s="230"/>
      <c r="AL134" s="129"/>
      <c r="AM134" s="348">
        <f>1-AM105</f>
        <v>9.9999999999999978E-2</v>
      </c>
      <c r="AN134" s="348">
        <f>1-AN105</f>
        <v>0</v>
      </c>
      <c r="AO134" s="348">
        <f>1-AO105</f>
        <v>9.9999999999999978E-2</v>
      </c>
      <c r="AP134" s="334"/>
      <c r="AQ134" s="334"/>
      <c r="AR134" s="334"/>
      <c r="AS134" s="334"/>
      <c r="AT134" s="334"/>
      <c r="AU134" s="334"/>
      <c r="AV134" s="122"/>
      <c r="AW134" s="230"/>
      <c r="AX134" s="129"/>
      <c r="AY134" s="348">
        <f>1-AY105</f>
        <v>9.9999999999999978E-2</v>
      </c>
      <c r="AZ134" s="348">
        <f>1-AZ105</f>
        <v>0</v>
      </c>
      <c r="BA134" s="348">
        <f>1-BA105</f>
        <v>9.9999999999999978E-2</v>
      </c>
      <c r="BB134" s="334"/>
      <c r="BC134" s="334"/>
      <c r="BD134" s="334"/>
      <c r="BE134" s="334"/>
      <c r="BF134" s="334"/>
      <c r="BG134" s="334"/>
      <c r="BH134" s="214"/>
    </row>
    <row r="135" spans="1:60" hidden="1" x14ac:dyDescent="0.2">
      <c r="A135" s="648"/>
      <c r="B135" s="492" t="s">
        <v>235</v>
      </c>
      <c r="C135" s="656" t="s">
        <v>199</v>
      </c>
      <c r="D135" s="747"/>
      <c r="E135" s="220" t="s">
        <v>239</v>
      </c>
      <c r="F135" s="220"/>
      <c r="G135" s="220"/>
      <c r="H135" s="221" t="s">
        <v>177</v>
      </c>
      <c r="I135" s="90"/>
      <c r="J135" s="243">
        <f>M135+Y135+AK135+AW135</f>
        <v>0</v>
      </c>
      <c r="K135" s="294"/>
      <c r="L135" s="294"/>
      <c r="M135" s="243">
        <f>SUM(O135:X135)</f>
        <v>0</v>
      </c>
      <c r="N135" s="129"/>
      <c r="O135" s="207">
        <f>O$94*O134</f>
        <v>0</v>
      </c>
      <c r="P135" s="207">
        <f>P$94*P134</f>
        <v>0</v>
      </c>
      <c r="Q135" s="207">
        <f>Q$94*Q134</f>
        <v>0</v>
      </c>
      <c r="R135" s="335"/>
      <c r="S135" s="335"/>
      <c r="T135" s="335"/>
      <c r="U135" s="335"/>
      <c r="V135" s="335"/>
      <c r="W135" s="335"/>
      <c r="X135" s="118"/>
      <c r="Y135" s="243">
        <f>SUM(AA135:AJ135)</f>
        <v>0</v>
      </c>
      <c r="Z135" s="129"/>
      <c r="AA135" s="207">
        <f>AA$94*AA134</f>
        <v>0</v>
      </c>
      <c r="AB135" s="207">
        <f>AB$94*AB134</f>
        <v>0</v>
      </c>
      <c r="AC135" s="207">
        <f>AC$94*AC134</f>
        <v>0</v>
      </c>
      <c r="AD135" s="335"/>
      <c r="AE135" s="335"/>
      <c r="AF135" s="335"/>
      <c r="AG135" s="335"/>
      <c r="AH135" s="335"/>
      <c r="AI135" s="335"/>
      <c r="AJ135" s="118"/>
      <c r="AK135" s="243">
        <f>SUM(AM135:AV135)</f>
        <v>0</v>
      </c>
      <c r="AL135" s="129"/>
      <c r="AM135" s="207">
        <f>AM$94*AM134</f>
        <v>0</v>
      </c>
      <c r="AN135" s="207">
        <f>AN$94*AN134</f>
        <v>0</v>
      </c>
      <c r="AO135" s="207">
        <f>AO$94*AO134</f>
        <v>0</v>
      </c>
      <c r="AP135" s="335"/>
      <c r="AQ135" s="335"/>
      <c r="AR135" s="335"/>
      <c r="AS135" s="335"/>
      <c r="AT135" s="335"/>
      <c r="AU135" s="335"/>
      <c r="AV135" s="118"/>
      <c r="AW135" s="243">
        <f>SUM(AY135:BH135)</f>
        <v>0</v>
      </c>
      <c r="AX135" s="129"/>
      <c r="AY135" s="207">
        <f>AY$94*AY134</f>
        <v>0</v>
      </c>
      <c r="AZ135" s="207">
        <f>AZ$94*AZ134</f>
        <v>0</v>
      </c>
      <c r="BA135" s="207">
        <f>BA$94*BA134</f>
        <v>0</v>
      </c>
      <c r="BB135" s="335"/>
      <c r="BC135" s="335"/>
      <c r="BD135" s="335"/>
      <c r="BE135" s="335"/>
      <c r="BF135" s="335"/>
      <c r="BG135" s="335"/>
      <c r="BH135" s="255"/>
    </row>
    <row r="136" spans="1:60" x14ac:dyDescent="0.2">
      <c r="A136" s="648"/>
      <c r="B136" s="492" t="s">
        <v>235</v>
      </c>
      <c r="C136" s="656" t="s">
        <v>127</v>
      </c>
      <c r="D136" s="747"/>
      <c r="E136" s="316" t="s">
        <v>240</v>
      </c>
      <c r="F136" s="316"/>
      <c r="G136" s="316"/>
      <c r="H136" s="354" t="s">
        <v>70</v>
      </c>
      <c r="I136" s="90"/>
      <c r="J136" s="229"/>
      <c r="K136" s="90"/>
      <c r="L136" s="90"/>
      <c r="M136" s="229"/>
      <c r="N136" s="131"/>
      <c r="O136" s="415">
        <f>IF(O137&lt;&gt;"",O137,HLOOKUP(IF(O$80="",referentie_verwarming,O$80),toestellen_RV,ROWS(bibliotheek!$E$79:$E$103),FALSE))</f>
        <v>1</v>
      </c>
      <c r="P136" s="415">
        <f>IF(P137&lt;&gt;"",P137,HLOOKUP(IF(P$80="",referentie_koeling,P$80),toestellen_KOEL,ROWS(bibliotheek!$E$170:$E$186),FALSE))</f>
        <v>0</v>
      </c>
      <c r="Q136" s="415">
        <f>IF(Q137&lt;&gt;"",Q137,HLOOKUP(IF(Q$80="",referentie_warmtapwater,Q$80),toestellen_TAP,ROWS(bibliotheek!$E$136:$E$160),FALSE))</f>
        <v>1</v>
      </c>
      <c r="R136" s="416"/>
      <c r="S136" s="416"/>
      <c r="T136" s="416"/>
      <c r="U136" s="416"/>
      <c r="V136" s="416"/>
      <c r="W136" s="416"/>
      <c r="X136" s="417"/>
      <c r="Y136" s="418"/>
      <c r="Z136" s="129"/>
      <c r="AA136" s="415">
        <f>IF(AA137&lt;&gt;"",AA137,HLOOKUP(IF(AA$80="",referentie_verwarming,AA$80),toestellen_RV,ROWS(bibliotheek!$E$79:$E$103),FALSE))</f>
        <v>1</v>
      </c>
      <c r="AB136" s="415">
        <f>IF(AB137&lt;&gt;"",AB137,HLOOKUP(IF(AB$80="",referentie_koeling,AB$80),toestellen_KOEL,ROWS(bibliotheek!$E$170:$E$186),FALSE))</f>
        <v>0</v>
      </c>
      <c r="AC136" s="415">
        <f>IF(AC137&lt;&gt;"",AC137,HLOOKUP(IF(AC$80="",referentie_warmtapwater,AC$80),toestellen_TAP,ROWS(bibliotheek!$E$136:$E$160),FALSE))</f>
        <v>1</v>
      </c>
      <c r="AD136" s="416"/>
      <c r="AE136" s="416"/>
      <c r="AF136" s="416"/>
      <c r="AG136" s="416"/>
      <c r="AH136" s="416"/>
      <c r="AI136" s="416"/>
      <c r="AJ136" s="417"/>
      <c r="AK136" s="418"/>
      <c r="AL136" s="129"/>
      <c r="AM136" s="415">
        <f>IF(AM137&lt;&gt;"",AM137,HLOOKUP(IF(AM$80="",referentie_verwarming,AM$80),toestellen_RV,ROWS(bibliotheek!$E$79:$E$103),FALSE))</f>
        <v>1</v>
      </c>
      <c r="AN136" s="415">
        <f>IF(AN137&lt;&gt;"",AN137,HLOOKUP(IF(AN$80="",referentie_koeling,AN$80),toestellen_KOEL,ROWS(bibliotheek!$E$170:$E$186),FALSE))</f>
        <v>0</v>
      </c>
      <c r="AO136" s="415">
        <f>IF(AO137&lt;&gt;"",AO137,HLOOKUP(IF(AO$80="",referentie_warmtapwater,AO$80),toestellen_TAP,ROWS(bibliotheek!$E$136:$E$160),FALSE))</f>
        <v>1</v>
      </c>
      <c r="AP136" s="416"/>
      <c r="AQ136" s="416"/>
      <c r="AR136" s="416"/>
      <c r="AS136" s="416"/>
      <c r="AT136" s="416"/>
      <c r="AU136" s="416"/>
      <c r="AV136" s="417"/>
      <c r="AW136" s="418"/>
      <c r="AX136" s="129"/>
      <c r="AY136" s="415">
        <f>IF(AY137&lt;&gt;"",AY137,HLOOKUP(IF(AY$80="",referentie_verwarming,AY$80),toestellen_RV,ROWS(bibliotheek!$E$79:$E$103),FALSE))</f>
        <v>1</v>
      </c>
      <c r="AZ136" s="415">
        <f>IF(AZ137&lt;&gt;"",AZ137,HLOOKUP(IF(AZ$80="",referentie_koeling,AZ$80),toestellen_KOEL,ROWS(bibliotheek!$E$170:$E$186),FALSE))</f>
        <v>0</v>
      </c>
      <c r="BA136" s="415">
        <f>IF(BA137&lt;&gt;"",BA137,HLOOKUP(IF(BA$80="",referentie_warmtapwater,BA$80),toestellen_TAP,ROWS(bibliotheek!$E$136:$E$160),FALSE))</f>
        <v>1</v>
      </c>
      <c r="BB136" s="363"/>
      <c r="BC136" s="363"/>
      <c r="BD136" s="363"/>
      <c r="BE136" s="363"/>
      <c r="BF136" s="363"/>
      <c r="BG136" s="363"/>
      <c r="BH136" s="214"/>
    </row>
    <row r="137" spans="1:60" x14ac:dyDescent="0.2">
      <c r="A137" s="648"/>
      <c r="B137" s="492" t="s">
        <v>235</v>
      </c>
      <c r="C137" s="656" t="s">
        <v>127</v>
      </c>
      <c r="D137" s="747"/>
      <c r="E137" s="412" t="s">
        <v>215</v>
      </c>
      <c r="F137" s="317"/>
      <c r="G137" s="317"/>
      <c r="H137" s="355"/>
      <c r="I137" s="90"/>
      <c r="J137" s="362"/>
      <c r="K137" s="90"/>
      <c r="L137" s="90"/>
      <c r="M137" s="239"/>
      <c r="N137" s="196"/>
      <c r="O137" s="723"/>
      <c r="P137" s="724"/>
      <c r="Q137" s="723"/>
      <c r="R137" s="725"/>
      <c r="S137" s="725"/>
      <c r="T137" s="725"/>
      <c r="U137" s="725"/>
      <c r="V137" s="725"/>
      <c r="W137" s="725"/>
      <c r="X137" s="414"/>
      <c r="Y137" s="726"/>
      <c r="Z137" s="129"/>
      <c r="AA137" s="723"/>
      <c r="AB137" s="724"/>
      <c r="AC137" s="723"/>
      <c r="AD137" s="725"/>
      <c r="AE137" s="725"/>
      <c r="AF137" s="725"/>
      <c r="AG137" s="725"/>
      <c r="AH137" s="725"/>
      <c r="AI137" s="725"/>
      <c r="AJ137" s="414"/>
      <c r="AK137" s="726"/>
      <c r="AL137" s="129"/>
      <c r="AM137" s="723"/>
      <c r="AN137" s="724"/>
      <c r="AO137" s="723"/>
      <c r="AP137" s="725"/>
      <c r="AQ137" s="725"/>
      <c r="AR137" s="725"/>
      <c r="AS137" s="725"/>
      <c r="AT137" s="725"/>
      <c r="AU137" s="725"/>
      <c r="AV137" s="414"/>
      <c r="AW137" s="726"/>
      <c r="AX137" s="129"/>
      <c r="AY137" s="723"/>
      <c r="AZ137" s="724"/>
      <c r="BA137" s="723"/>
      <c r="BB137" s="364"/>
      <c r="BC137" s="364"/>
      <c r="BD137" s="364"/>
      <c r="BE137" s="364"/>
      <c r="BF137" s="364"/>
      <c r="BG137" s="364"/>
      <c r="BH137" s="214"/>
    </row>
    <row r="138" spans="1:60" hidden="1" x14ac:dyDescent="0.2">
      <c r="A138" s="648"/>
      <c r="B138" s="492" t="s">
        <v>235</v>
      </c>
      <c r="C138" s="656" t="s">
        <v>199</v>
      </c>
      <c r="D138" s="747"/>
      <c r="E138" s="220" t="s">
        <v>241</v>
      </c>
      <c r="F138" s="220"/>
      <c r="G138" s="220"/>
      <c r="H138" s="221" t="s">
        <v>220</v>
      </c>
      <c r="I138" s="90"/>
      <c r="J138" s="243">
        <f>M138+Y138+AK138+AW138</f>
        <v>0</v>
      </c>
      <c r="K138" s="294"/>
      <c r="L138" s="294"/>
      <c r="M138" s="243">
        <f>SUM(O138:X138)</f>
        <v>0</v>
      </c>
      <c r="N138" s="129"/>
      <c r="O138" s="207">
        <f>IF(O$136=0,0,O$135/O$136)</f>
        <v>0</v>
      </c>
      <c r="P138" s="207">
        <f>IF(P$136=0,0,P$135/P$136)</f>
        <v>0</v>
      </c>
      <c r="Q138" s="207">
        <f>IF(Q$136=0,0,Q$135/Q$136)</f>
        <v>0</v>
      </c>
      <c r="R138" s="335"/>
      <c r="S138" s="335"/>
      <c r="T138" s="335"/>
      <c r="U138" s="335"/>
      <c r="V138" s="335"/>
      <c r="W138" s="335"/>
      <c r="X138" s="118"/>
      <c r="Y138" s="243">
        <f>SUM(AA138:AJ138)</f>
        <v>0</v>
      </c>
      <c r="Z138" s="129"/>
      <c r="AA138" s="207">
        <f>IF(AA$136=0,0,AA$135/AA$136)</f>
        <v>0</v>
      </c>
      <c r="AB138" s="207">
        <f>IF(AB$136=0,0,AB$135/AB$136)</f>
        <v>0</v>
      </c>
      <c r="AC138" s="207">
        <f>IF(AC$136=0,0,AC$135/AC$136)</f>
        <v>0</v>
      </c>
      <c r="AD138" s="335"/>
      <c r="AE138" s="335"/>
      <c r="AF138" s="335"/>
      <c r="AG138" s="335"/>
      <c r="AH138" s="335"/>
      <c r="AI138" s="335"/>
      <c r="AJ138" s="118"/>
      <c r="AK138" s="243">
        <f>SUM(AM138:AV138)</f>
        <v>0</v>
      </c>
      <c r="AL138" s="129"/>
      <c r="AM138" s="207">
        <f>IF(AM$136=0,0,AM$135/AM$136)</f>
        <v>0</v>
      </c>
      <c r="AN138" s="207">
        <f>IF(AN$136=0,0,AN$135/AN$136)</f>
        <v>0</v>
      </c>
      <c r="AO138" s="207">
        <f>IF(AO$136=0,0,AO$135/AO$136)</f>
        <v>0</v>
      </c>
      <c r="AP138" s="335"/>
      <c r="AQ138" s="335"/>
      <c r="AR138" s="335"/>
      <c r="AS138" s="335"/>
      <c r="AT138" s="335"/>
      <c r="AU138" s="335"/>
      <c r="AV138" s="118"/>
      <c r="AW138" s="243">
        <f>SUM(AY138:BH138)</f>
        <v>0</v>
      </c>
      <c r="AX138" s="129"/>
      <c r="AY138" s="207">
        <f>IF(AY$136=0,0,AY$135/AY$136)</f>
        <v>0</v>
      </c>
      <c r="AZ138" s="207">
        <f>IF(AZ$136=0,0,AZ$135/AZ$136)</f>
        <v>0</v>
      </c>
      <c r="BA138" s="207">
        <f>IF(BA$136=0,0,BA$135/BA$136)</f>
        <v>0</v>
      </c>
      <c r="BB138" s="335"/>
      <c r="BC138" s="335"/>
      <c r="BD138" s="335"/>
      <c r="BE138" s="335"/>
      <c r="BF138" s="335"/>
      <c r="BG138" s="335"/>
      <c r="BH138" s="255"/>
    </row>
    <row r="139" spans="1:60" ht="18.75" x14ac:dyDescent="0.2">
      <c r="A139" s="648"/>
      <c r="B139" s="492" t="s">
        <v>235</v>
      </c>
      <c r="C139" s="739" t="s">
        <v>104</v>
      </c>
      <c r="D139" s="747"/>
      <c r="E139" s="144" t="s">
        <v>114</v>
      </c>
      <c r="F139" s="231"/>
      <c r="G139" s="231"/>
      <c r="H139" s="89"/>
      <c r="I139" s="232"/>
      <c r="J139" s="231"/>
      <c r="K139" s="232"/>
      <c r="L139" s="232"/>
      <c r="M139" s="231"/>
      <c r="N139" s="232"/>
      <c r="O139" s="232"/>
      <c r="P139" s="232"/>
      <c r="Q139" s="232"/>
      <c r="R139" s="232"/>
      <c r="S139" s="232"/>
      <c r="T139" s="232"/>
      <c r="U139" s="232"/>
      <c r="V139" s="232"/>
      <c r="W139" s="232"/>
      <c r="X139" s="232"/>
      <c r="Y139" s="231"/>
      <c r="Z139" s="232"/>
      <c r="AA139" s="232"/>
      <c r="AB139" s="232"/>
      <c r="AC139" s="232"/>
      <c r="AD139" s="232"/>
      <c r="AE139" s="232"/>
      <c r="AF139" s="232"/>
      <c r="AG139" s="232"/>
      <c r="AH139" s="232"/>
      <c r="AI139" s="232"/>
      <c r="AJ139" s="232"/>
      <c r="AK139" s="231"/>
      <c r="AL139" s="232"/>
      <c r="AM139" s="232"/>
      <c r="AN139" s="232"/>
      <c r="AO139" s="232"/>
      <c r="AP139" s="232"/>
      <c r="AQ139" s="232"/>
      <c r="AR139" s="232"/>
      <c r="AS139" s="232"/>
      <c r="AT139" s="232"/>
      <c r="AU139" s="232"/>
      <c r="AV139" s="232"/>
      <c r="AW139" s="231"/>
      <c r="AX139" s="232"/>
      <c r="AY139" s="232"/>
      <c r="AZ139" s="232"/>
      <c r="BA139" s="232"/>
      <c r="BB139" s="232"/>
      <c r="BC139" s="232"/>
      <c r="BD139" s="232"/>
      <c r="BE139" s="232"/>
      <c r="BF139" s="232"/>
      <c r="BG139" s="232"/>
      <c r="BH139" s="38"/>
    </row>
    <row r="140" spans="1:60" x14ac:dyDescent="0.2">
      <c r="A140" s="648"/>
      <c r="B140" s="492" t="s">
        <v>235</v>
      </c>
      <c r="C140" s="656" t="s">
        <v>127</v>
      </c>
      <c r="D140" s="750" t="s">
        <v>50</v>
      </c>
      <c r="E140" s="316" t="s">
        <v>222</v>
      </c>
      <c r="F140" s="316"/>
      <c r="G140" s="316"/>
      <c r="H140" s="354" t="s">
        <v>223</v>
      </c>
      <c r="I140" s="90"/>
      <c r="J140" s="229"/>
      <c r="K140" s="90"/>
      <c r="L140" s="90"/>
      <c r="M140" s="229"/>
      <c r="N140" s="131"/>
      <c r="O140" s="353">
        <f>IF(O135=0,0,IF(O141&lt;&gt;"",O141,IF(O132=elektriciteit,$G$5,HLOOKUP(O132,ENERGIEDRAGERS,ROWS(bibliotheek!$E$221:$E$223),FALSE))))</f>
        <v>0</v>
      </c>
      <c r="P140" s="353">
        <f>IF(P135=0,0,IF(P141&lt;&gt;"",P141,IF(HLOOKUP(P132,ENERGIEDRAGERS,ROWS(bibliotheek!$E$221:$E$222),FALSE)=0,$G$5,HLOOKUP(P132,ENERGIEDRAGERS,ROWS(bibliotheek!$E$221:$E$223),FALSE))))</f>
        <v>0</v>
      </c>
      <c r="Q140" s="353">
        <f>IF(Q135=0,0,IF(Q141&lt;&gt;"",Q141,IF(Q132=elektriciteit,$G$5,HLOOKUP(Q132,ENERGIEDRAGERS,ROWS(bibliotheek!$E$221:$E$223),FALSE))))</f>
        <v>0</v>
      </c>
      <c r="R140" s="365"/>
      <c r="S140" s="365"/>
      <c r="T140" s="365"/>
      <c r="U140" s="365"/>
      <c r="V140" s="365"/>
      <c r="W140" s="365"/>
      <c r="X140" s="122"/>
      <c r="Y140" s="229"/>
      <c r="Z140" s="131"/>
      <c r="AA140" s="353">
        <f>IF(AA135=0,0,IF(AA141&lt;&gt;"",AA141,IF(AA132=elektriciteit,$G$5,HLOOKUP(AA132,ENERGIEDRAGERS,ROWS(bibliotheek!$E$221:$E$223),FALSE))))</f>
        <v>0</v>
      </c>
      <c r="AB140" s="353">
        <f>IF(AB135=0,0,IF(AB141&lt;&gt;"",AB141,IF(HLOOKUP(AB132,ENERGIEDRAGERS,ROWS(bibliotheek!$E$221:$E$222),FALSE)=0,$G$5,HLOOKUP(AB132,ENERGIEDRAGERS,ROWS(bibliotheek!$E$221:$E$223),FALSE))))</f>
        <v>0</v>
      </c>
      <c r="AC140" s="353">
        <f>IF(AC135=0,0,IF(AC141&lt;&gt;"",AC141,IF(AC132=elektriciteit,$G$5,HLOOKUP(AC132,ENERGIEDRAGERS,ROWS(bibliotheek!$E$221:$E$223),FALSE))))</f>
        <v>0</v>
      </c>
      <c r="AD140" s="365"/>
      <c r="AE140" s="365"/>
      <c r="AF140" s="365"/>
      <c r="AG140" s="365"/>
      <c r="AH140" s="365"/>
      <c r="AI140" s="365"/>
      <c r="AJ140" s="122"/>
      <c r="AK140" s="229"/>
      <c r="AL140" s="131"/>
      <c r="AM140" s="353">
        <f>IF(AM135=0,0,IF(AM141&lt;&gt;"",AM141,IF(AM132=elektriciteit,$G$5,HLOOKUP(AM132,ENERGIEDRAGERS,ROWS(bibliotheek!$E$221:$E$223),FALSE))))</f>
        <v>0</v>
      </c>
      <c r="AN140" s="353">
        <f>IF(AN135=0,0,IF(AN141&lt;&gt;"",AN141,IF(HLOOKUP(AN132,ENERGIEDRAGERS,ROWS(bibliotheek!$E$221:$E$222),FALSE)=0,$G$5,HLOOKUP(AN132,ENERGIEDRAGERS,ROWS(bibliotheek!$E$221:$E$223),FALSE))))</f>
        <v>0</v>
      </c>
      <c r="AO140" s="353">
        <f>IF(AO135=0,0,IF(AO141&lt;&gt;"",AO141,IF(AO132=elektriciteit,$G$5,HLOOKUP(AO132,ENERGIEDRAGERS,ROWS(bibliotheek!$E$221:$E$223),FALSE))))</f>
        <v>0</v>
      </c>
      <c r="AP140" s="365"/>
      <c r="AQ140" s="365"/>
      <c r="AR140" s="365"/>
      <c r="AS140" s="365"/>
      <c r="AT140" s="365"/>
      <c r="AU140" s="365"/>
      <c r="AV140" s="122"/>
      <c r="AW140" s="229"/>
      <c r="AX140" s="131"/>
      <c r="AY140" s="353">
        <f>IF(AY135=0,0,IF(AY141&lt;&gt;"",AY141,IF(AY132=elektriciteit,$G$5,HLOOKUP(AY132,ENERGIEDRAGERS,ROWS(bibliotheek!$E$221:$E$223),FALSE))))</f>
        <v>0</v>
      </c>
      <c r="AZ140" s="353">
        <f>IF(AZ135=0,0,IF(AZ141&lt;&gt;"",AZ141,IF(HLOOKUP(AZ132,ENERGIEDRAGERS,ROWS(bibliotheek!$E$221:$E$222),FALSE)=0,$G$5,HLOOKUP(AZ132,ENERGIEDRAGERS,ROWS(bibliotheek!$E$221:$E$223),FALSE))))</f>
        <v>0</v>
      </c>
      <c r="BA140" s="353">
        <f>IF(BA135=0,0,IF(BA141&lt;&gt;"",BA141,IF(BA132=elektriciteit,$G$5,HLOOKUP(BA132,ENERGIEDRAGERS,ROWS(bibliotheek!$E$221:$E$223),FALSE))))</f>
        <v>0</v>
      </c>
      <c r="BB140" s="365"/>
      <c r="BC140" s="365"/>
      <c r="BD140" s="365"/>
      <c r="BE140" s="365"/>
      <c r="BF140" s="365"/>
      <c r="BG140" s="365"/>
      <c r="BH140" s="214"/>
    </row>
    <row r="141" spans="1:60" x14ac:dyDescent="0.2">
      <c r="A141" s="648"/>
      <c r="B141" s="492" t="s">
        <v>235</v>
      </c>
      <c r="C141" s="656" t="s">
        <v>127</v>
      </c>
      <c r="D141" s="747"/>
      <c r="E141" s="412" t="s">
        <v>224</v>
      </c>
      <c r="F141" s="317"/>
      <c r="G141" s="317"/>
      <c r="H141" s="355"/>
      <c r="I141" s="90"/>
      <c r="J141" s="362"/>
      <c r="K141" s="90"/>
      <c r="L141" s="90"/>
      <c r="M141" s="239"/>
      <c r="N141" s="196"/>
      <c r="O141" s="723"/>
      <c r="P141" s="724"/>
      <c r="Q141" s="723"/>
      <c r="R141" s="725"/>
      <c r="S141" s="725"/>
      <c r="T141" s="725"/>
      <c r="U141" s="725"/>
      <c r="V141" s="725"/>
      <c r="W141" s="725"/>
      <c r="X141" s="414"/>
      <c r="Y141" s="726"/>
      <c r="Z141" s="129"/>
      <c r="AA141" s="723"/>
      <c r="AB141" s="724"/>
      <c r="AC141" s="723"/>
      <c r="AD141" s="725"/>
      <c r="AE141" s="725"/>
      <c r="AF141" s="725"/>
      <c r="AG141" s="725"/>
      <c r="AH141" s="725"/>
      <c r="AI141" s="725"/>
      <c r="AJ141" s="414"/>
      <c r="AK141" s="726"/>
      <c r="AL141" s="129"/>
      <c r="AM141" s="723"/>
      <c r="AN141" s="724"/>
      <c r="AO141" s="723"/>
      <c r="AP141" s="725"/>
      <c r="AQ141" s="725"/>
      <c r="AR141" s="725"/>
      <c r="AS141" s="725"/>
      <c r="AT141" s="725"/>
      <c r="AU141" s="725"/>
      <c r="AV141" s="414"/>
      <c r="AW141" s="726"/>
      <c r="AX141" s="129"/>
      <c r="AY141" s="723"/>
      <c r="AZ141" s="724"/>
      <c r="BA141" s="723"/>
      <c r="BB141" s="364"/>
      <c r="BC141" s="364"/>
      <c r="BD141" s="364"/>
      <c r="BE141" s="364"/>
      <c r="BF141" s="364"/>
      <c r="BG141" s="364"/>
      <c r="BH141" s="214"/>
    </row>
    <row r="142" spans="1:60" x14ac:dyDescent="0.2">
      <c r="A142" s="648"/>
      <c r="B142" s="492" t="s">
        <v>235</v>
      </c>
      <c r="C142" s="656" t="s">
        <v>113</v>
      </c>
      <c r="D142" s="747"/>
      <c r="E142" s="220" t="s">
        <v>114</v>
      </c>
      <c r="F142" s="221"/>
      <c r="G142" s="221"/>
      <c r="H142" s="221" t="s">
        <v>115</v>
      </c>
      <c r="I142" s="90"/>
      <c r="J142" s="243">
        <f>M142+Y142+AK142+AW142</f>
        <v>0</v>
      </c>
      <c r="K142" s="823"/>
      <c r="L142" s="823"/>
      <c r="M142" s="243">
        <f>SUM(O142:X142)</f>
        <v>0</v>
      </c>
      <c r="N142" s="129"/>
      <c r="O142" s="207">
        <f>O$138*O$140</f>
        <v>0</v>
      </c>
      <c r="P142" s="207">
        <f>P$138*P$140</f>
        <v>0</v>
      </c>
      <c r="Q142" s="207">
        <f>Q$138*Q$140</f>
        <v>0</v>
      </c>
      <c r="R142" s="335"/>
      <c r="S142" s="335"/>
      <c r="T142" s="335"/>
      <c r="U142" s="335"/>
      <c r="V142" s="335"/>
      <c r="W142" s="335"/>
      <c r="X142" s="128"/>
      <c r="Y142" s="243">
        <f>SUM(AA142:AJ142)</f>
        <v>0</v>
      </c>
      <c r="Z142" s="129"/>
      <c r="AA142" s="207">
        <f>AA$138*AA$140</f>
        <v>0</v>
      </c>
      <c r="AB142" s="207">
        <f>AB$138*AB$140</f>
        <v>0</v>
      </c>
      <c r="AC142" s="207">
        <f>AC$138*AC$140</f>
        <v>0</v>
      </c>
      <c r="AD142" s="335"/>
      <c r="AE142" s="335"/>
      <c r="AF142" s="335"/>
      <c r="AG142" s="335"/>
      <c r="AH142" s="335"/>
      <c r="AI142" s="335"/>
      <c r="AJ142" s="128"/>
      <c r="AK142" s="243">
        <f>SUM(AM142:AV142)</f>
        <v>0</v>
      </c>
      <c r="AL142" s="129"/>
      <c r="AM142" s="207">
        <f>AM$138*AM$140</f>
        <v>0</v>
      </c>
      <c r="AN142" s="207">
        <f>AN$138*AN$140</f>
        <v>0</v>
      </c>
      <c r="AO142" s="207">
        <f>AO$138*AO$140</f>
        <v>0</v>
      </c>
      <c r="AP142" s="335"/>
      <c r="AQ142" s="335"/>
      <c r="AR142" s="335"/>
      <c r="AS142" s="335"/>
      <c r="AT142" s="335"/>
      <c r="AU142" s="335"/>
      <c r="AV142" s="128"/>
      <c r="AW142" s="243">
        <f>SUM(AY142:BH142)</f>
        <v>0</v>
      </c>
      <c r="AX142" s="129"/>
      <c r="AY142" s="207">
        <f>AY$138*AY$140</f>
        <v>0</v>
      </c>
      <c r="AZ142" s="207">
        <f>AZ$138*AZ$140</f>
        <v>0</v>
      </c>
      <c r="BA142" s="207">
        <f>BA$138*BA$140</f>
        <v>0</v>
      </c>
      <c r="BB142" s="335"/>
      <c r="BC142" s="335"/>
      <c r="BD142" s="335"/>
      <c r="BE142" s="335"/>
      <c r="BF142" s="335"/>
      <c r="BG142" s="335"/>
      <c r="BH142" s="255"/>
    </row>
    <row r="143" spans="1:60" ht="18.75" x14ac:dyDescent="0.2">
      <c r="A143" s="648"/>
      <c r="B143" s="492" t="s">
        <v>235</v>
      </c>
      <c r="C143" s="739" t="s">
        <v>104</v>
      </c>
      <c r="D143" s="747"/>
      <c r="E143" s="231" t="s">
        <v>116</v>
      </c>
      <c r="F143" s="231"/>
      <c r="G143" s="231"/>
      <c r="H143" s="89"/>
      <c r="I143" s="232"/>
      <c r="J143" s="231"/>
      <c r="K143" s="232"/>
      <c r="L143" s="232"/>
      <c r="M143" s="231"/>
      <c r="N143" s="232"/>
      <c r="O143" s="232"/>
      <c r="P143" s="232"/>
      <c r="Q143" s="232"/>
      <c r="R143" s="232"/>
      <c r="S143" s="232"/>
      <c r="T143" s="232"/>
      <c r="U143" s="232"/>
      <c r="V143" s="232"/>
      <c r="W143" s="232"/>
      <c r="X143" s="232"/>
      <c r="Y143" s="231"/>
      <c r="Z143" s="232"/>
      <c r="AA143" s="232"/>
      <c r="AB143" s="232"/>
      <c r="AC143" s="232"/>
      <c r="AD143" s="232"/>
      <c r="AE143" s="232"/>
      <c r="AF143" s="232"/>
      <c r="AG143" s="232"/>
      <c r="AH143" s="232"/>
      <c r="AI143" s="232"/>
      <c r="AJ143" s="232"/>
      <c r="AK143" s="231"/>
      <c r="AL143" s="232"/>
      <c r="AM143" s="232"/>
      <c r="AN143" s="232"/>
      <c r="AO143" s="232"/>
      <c r="AP143" s="232"/>
      <c r="AQ143" s="232"/>
      <c r="AR143" s="232"/>
      <c r="AS143" s="232"/>
      <c r="AT143" s="232"/>
      <c r="AU143" s="232"/>
      <c r="AV143" s="232"/>
      <c r="AW143" s="231"/>
      <c r="AX143" s="232"/>
      <c r="AY143" s="232"/>
      <c r="AZ143" s="232"/>
      <c r="BA143" s="232"/>
      <c r="BB143" s="232"/>
      <c r="BC143" s="232"/>
      <c r="BD143" s="232"/>
      <c r="BE143" s="232"/>
      <c r="BF143" s="232"/>
      <c r="BG143" s="232"/>
      <c r="BH143" s="38"/>
    </row>
    <row r="144" spans="1:60" x14ac:dyDescent="0.2">
      <c r="A144" s="648"/>
      <c r="B144" s="492" t="s">
        <v>235</v>
      </c>
      <c r="C144" s="656" t="s">
        <v>127</v>
      </c>
      <c r="D144" s="747"/>
      <c r="E144" s="366" t="s">
        <v>225</v>
      </c>
      <c r="F144" s="316"/>
      <c r="G144" s="316"/>
      <c r="H144" s="354" t="s">
        <v>226</v>
      </c>
      <c r="I144" s="90"/>
      <c r="J144" s="229"/>
      <c r="K144" s="90"/>
      <c r="L144" s="90"/>
      <c r="M144" s="229"/>
      <c r="N144" s="131"/>
      <c r="O144" s="415">
        <f>IF(O135=0,0,IF(O145&lt;&gt;"",O145,IF(O132=elektriciteit,$H$5,
HLOOKUP(O132,ENERGIEDRAGERS,ROWS(bibliotheek!$E$221:$E$224),FALSE))))</f>
        <v>0</v>
      </c>
      <c r="P144" s="415">
        <f>IF(P135=0,0,IF(P145&lt;&gt;"",P145,IF(P132=elektriciteit,$H$5,
HLOOKUP(P132,ENERGIEDRAGERS,ROWS(bibliotheek!$E$221:$E$224),FALSE))))</f>
        <v>0</v>
      </c>
      <c r="Q144" s="415">
        <f>IF(Q135=0,0,IF(Q145&lt;&gt;"",Q145,IF(Q132=elektriciteit,$H$5,
HLOOKUP(Q132,ENERGIEDRAGERS,ROWS(bibliotheek!$E$221:$E$224),FALSE))))</f>
        <v>0</v>
      </c>
      <c r="R144" s="416"/>
      <c r="S144" s="416"/>
      <c r="T144" s="416"/>
      <c r="U144" s="416"/>
      <c r="V144" s="416"/>
      <c r="W144" s="416"/>
      <c r="X144" s="417"/>
      <c r="Y144" s="229"/>
      <c r="Z144" s="419"/>
      <c r="AA144" s="415">
        <f>IF(AA135=0,0,IF(AA145&lt;&gt;"",AA145,IF(AA132=elektriciteit,$H$5,
HLOOKUP(AA132,ENERGIEDRAGERS,ROWS(bibliotheek!$E$221:$E$224),FALSE))))</f>
        <v>0</v>
      </c>
      <c r="AB144" s="415">
        <f>IF(AB135=0,0,IF(AB145&lt;&gt;"",AB145,IF(AB132=elektriciteit,$H$5,
HLOOKUP(AB132,ENERGIEDRAGERS,ROWS(bibliotheek!$E$221:$E$224),FALSE))))</f>
        <v>0</v>
      </c>
      <c r="AC144" s="415">
        <f>IF(AC135=0,0,IF(AC145&lt;&gt;"",AC145,IF(AC132=elektriciteit,$H$5,
HLOOKUP(AC132,ENERGIEDRAGERS,ROWS(bibliotheek!$E$221:$E$224),FALSE))))</f>
        <v>0</v>
      </c>
      <c r="AD144" s="416"/>
      <c r="AE144" s="416"/>
      <c r="AF144" s="416"/>
      <c r="AG144" s="416"/>
      <c r="AH144" s="416"/>
      <c r="AI144" s="416"/>
      <c r="AJ144" s="417"/>
      <c r="AK144" s="229"/>
      <c r="AL144" s="419"/>
      <c r="AM144" s="415">
        <f>IF(AM135=0,0,IF(AM145&lt;&gt;"",AM145,IF(AM132=elektriciteit,$H$5,
HLOOKUP(AM132,ENERGIEDRAGERS,ROWS(bibliotheek!$E$221:$E$224),FALSE))))</f>
        <v>0</v>
      </c>
      <c r="AN144" s="415">
        <f>IF(AN135=0,0,IF(AN145&lt;&gt;"",AN145,IF(AN132=elektriciteit,$H$5,
HLOOKUP(AN132,ENERGIEDRAGERS,ROWS(bibliotheek!$E$221:$E$224),FALSE))))</f>
        <v>0</v>
      </c>
      <c r="AO144" s="415">
        <f>IF(AO135=0,0,IF(AO145&lt;&gt;"",AO145,IF(AO132=elektriciteit,$H$5,
HLOOKUP(AO132,ENERGIEDRAGERS,ROWS(bibliotheek!$E$221:$E$224),FALSE))))</f>
        <v>0</v>
      </c>
      <c r="AP144" s="416"/>
      <c r="AQ144" s="416"/>
      <c r="AR144" s="416"/>
      <c r="AS144" s="416"/>
      <c r="AT144" s="416"/>
      <c r="AU144" s="416"/>
      <c r="AV144" s="417"/>
      <c r="AW144" s="229"/>
      <c r="AX144" s="419"/>
      <c r="AY144" s="415">
        <f>IF(AY135=0,0,IF(AY145&lt;&gt;"",AY145,IF(AY132=elektriciteit,$H$5,
HLOOKUP(AY132,ENERGIEDRAGERS,ROWS(bibliotheek!$E$221:$E$224),FALSE))))</f>
        <v>0</v>
      </c>
      <c r="AZ144" s="415">
        <f>IF(AZ135=0,0,IF(AZ145&lt;&gt;"",AZ145,IF(AZ132=elektriciteit,$H$5,
HLOOKUP(AZ132,ENERGIEDRAGERS,ROWS(bibliotheek!$E$221:$E$224),FALSE))))</f>
        <v>0</v>
      </c>
      <c r="BA144" s="415">
        <f>IF(BA135=0,0,IF(BA145&lt;&gt;"",BA145,IF(BA132=elektriciteit,$H$5,
HLOOKUP(BA132,ENERGIEDRAGERS,ROWS(bibliotheek!$E$221:$E$224),FALSE))))</f>
        <v>0</v>
      </c>
      <c r="BB144" s="365"/>
      <c r="BC144" s="365"/>
      <c r="BD144" s="365"/>
      <c r="BE144" s="365"/>
      <c r="BF144" s="365"/>
      <c r="BG144" s="365"/>
      <c r="BH144" s="214"/>
    </row>
    <row r="145" spans="1:60" x14ac:dyDescent="0.2">
      <c r="A145" s="648"/>
      <c r="B145" s="492" t="s">
        <v>235</v>
      </c>
      <c r="C145" s="656" t="s">
        <v>127</v>
      </c>
      <c r="D145" s="747"/>
      <c r="E145" s="412" t="s">
        <v>227</v>
      </c>
      <c r="F145" s="317"/>
      <c r="G145" s="317"/>
      <c r="H145" s="355"/>
      <c r="I145" s="90"/>
      <c r="J145" s="362"/>
      <c r="K145" s="90"/>
      <c r="L145" s="90"/>
      <c r="M145" s="239"/>
      <c r="N145" s="196"/>
      <c r="O145" s="723"/>
      <c r="P145" s="724"/>
      <c r="Q145" s="723"/>
      <c r="R145" s="725"/>
      <c r="S145" s="725"/>
      <c r="T145" s="725"/>
      <c r="U145" s="725"/>
      <c r="V145" s="725"/>
      <c r="W145" s="725"/>
      <c r="X145" s="414"/>
      <c r="Y145" s="726"/>
      <c r="Z145" s="129"/>
      <c r="AA145" s="723"/>
      <c r="AB145" s="724"/>
      <c r="AC145" s="723"/>
      <c r="AD145" s="725"/>
      <c r="AE145" s="725"/>
      <c r="AF145" s="725"/>
      <c r="AG145" s="725"/>
      <c r="AH145" s="725"/>
      <c r="AI145" s="725"/>
      <c r="AJ145" s="414"/>
      <c r="AK145" s="726"/>
      <c r="AL145" s="129"/>
      <c r="AM145" s="723"/>
      <c r="AN145" s="724"/>
      <c r="AO145" s="723"/>
      <c r="AP145" s="725"/>
      <c r="AQ145" s="725"/>
      <c r="AR145" s="725"/>
      <c r="AS145" s="725"/>
      <c r="AT145" s="725"/>
      <c r="AU145" s="725"/>
      <c r="AV145" s="414"/>
      <c r="AW145" s="726"/>
      <c r="AX145" s="129"/>
      <c r="AY145" s="723"/>
      <c r="AZ145" s="724"/>
      <c r="BA145" s="723"/>
      <c r="BB145" s="364"/>
      <c r="BC145" s="364"/>
      <c r="BD145" s="364"/>
      <c r="BE145" s="364"/>
      <c r="BF145" s="364"/>
      <c r="BG145" s="364"/>
      <c r="BH145" s="214"/>
    </row>
    <row r="146" spans="1:60" x14ac:dyDescent="0.2">
      <c r="A146" s="648"/>
      <c r="B146" s="492" t="s">
        <v>235</v>
      </c>
      <c r="C146" s="656" t="s">
        <v>113</v>
      </c>
      <c r="D146" s="747"/>
      <c r="E146" s="220" t="s">
        <v>116</v>
      </c>
      <c r="F146" s="221"/>
      <c r="G146" s="221"/>
      <c r="H146" s="221" t="s">
        <v>117</v>
      </c>
      <c r="I146" s="90"/>
      <c r="J146" s="243">
        <f>M146+Y146+AK146+AW146</f>
        <v>0</v>
      </c>
      <c r="K146" s="823"/>
      <c r="L146" s="823"/>
      <c r="M146" s="243">
        <f>SUM(O146:X146)</f>
        <v>0</v>
      </c>
      <c r="N146" s="129"/>
      <c r="O146" s="207">
        <f>O$138*O$144</f>
        <v>0</v>
      </c>
      <c r="P146" s="207">
        <f>P$138*P$144</f>
        <v>0</v>
      </c>
      <c r="Q146" s="207">
        <f>Q$138*Q$144</f>
        <v>0</v>
      </c>
      <c r="R146" s="335"/>
      <c r="S146" s="335"/>
      <c r="T146" s="335"/>
      <c r="U146" s="335"/>
      <c r="V146" s="335"/>
      <c r="W146" s="335"/>
      <c r="X146" s="128"/>
      <c r="Y146" s="243">
        <f>SUM(AA146:AJ146)</f>
        <v>0</v>
      </c>
      <c r="Z146" s="129"/>
      <c r="AA146" s="207">
        <f>AA$138*AA$144</f>
        <v>0</v>
      </c>
      <c r="AB146" s="207">
        <f>AB$138*AB$144</f>
        <v>0</v>
      </c>
      <c r="AC146" s="207">
        <f>AC$138*AC$144</f>
        <v>0</v>
      </c>
      <c r="AD146" s="335"/>
      <c r="AE146" s="335"/>
      <c r="AF146" s="335"/>
      <c r="AG146" s="335"/>
      <c r="AH146" s="335"/>
      <c r="AI146" s="335"/>
      <c r="AJ146" s="128"/>
      <c r="AK146" s="243">
        <f>SUM(AM146:AV146)</f>
        <v>0</v>
      </c>
      <c r="AL146" s="129"/>
      <c r="AM146" s="207">
        <f>AM$138*AM$144</f>
        <v>0</v>
      </c>
      <c r="AN146" s="207">
        <f>AN$138*AN$144</f>
        <v>0</v>
      </c>
      <c r="AO146" s="207">
        <f>AO$138*AO$144</f>
        <v>0</v>
      </c>
      <c r="AP146" s="335"/>
      <c r="AQ146" s="335"/>
      <c r="AR146" s="335"/>
      <c r="AS146" s="335"/>
      <c r="AT146" s="335"/>
      <c r="AU146" s="335"/>
      <c r="AV146" s="128"/>
      <c r="AW146" s="243">
        <f>SUM(AY146:BH146)</f>
        <v>0</v>
      </c>
      <c r="AX146" s="129"/>
      <c r="AY146" s="207">
        <f>AY$138*AY$144</f>
        <v>0</v>
      </c>
      <c r="AZ146" s="207">
        <f>AZ$138*AZ$144</f>
        <v>0</v>
      </c>
      <c r="BA146" s="207">
        <f>BA$138*BA$144</f>
        <v>0</v>
      </c>
      <c r="BB146" s="335"/>
      <c r="BC146" s="335"/>
      <c r="BD146" s="335"/>
      <c r="BE146" s="335"/>
      <c r="BF146" s="335"/>
      <c r="BG146" s="335"/>
      <c r="BH146" s="255"/>
    </row>
    <row r="147" spans="1:60" x14ac:dyDescent="0.2">
      <c r="A147" s="648"/>
      <c r="B147" s="741" t="s">
        <v>242</v>
      </c>
      <c r="C147" s="656" t="s">
        <v>113</v>
      </c>
      <c r="D147" s="747"/>
      <c r="E147" s="90"/>
      <c r="F147" s="90"/>
      <c r="G147" s="90"/>
      <c r="H147" s="96"/>
      <c r="I147" s="90"/>
      <c r="J147" s="93"/>
      <c r="K147" s="90"/>
      <c r="L147" s="90"/>
      <c r="M147" s="93"/>
      <c r="N147" s="90"/>
      <c r="O147" s="90"/>
      <c r="P147" s="90"/>
      <c r="Q147" s="90"/>
      <c r="R147" s="93"/>
      <c r="S147" s="93"/>
      <c r="T147" s="93"/>
      <c r="U147" s="93"/>
      <c r="V147" s="93"/>
      <c r="W147" s="93"/>
      <c r="X147" s="93"/>
      <c r="Y147" s="93"/>
      <c r="Z147" s="90"/>
      <c r="AA147" s="187"/>
      <c r="AB147" s="187"/>
      <c r="AC147" s="187"/>
      <c r="AD147" s="93"/>
      <c r="AE147" s="93"/>
      <c r="AF147" s="93"/>
      <c r="AG147" s="93"/>
      <c r="AH147" s="93"/>
      <c r="AI147" s="93"/>
      <c r="AJ147" s="93"/>
      <c r="AK147" s="93"/>
      <c r="AL147" s="90"/>
      <c r="AM147" s="187"/>
      <c r="AN147" s="187"/>
      <c r="AO147" s="187"/>
      <c r="AP147" s="93"/>
      <c r="AQ147" s="93"/>
      <c r="AR147" s="93"/>
      <c r="AS147" s="93"/>
      <c r="AT147" s="93"/>
      <c r="AU147" s="93"/>
      <c r="AV147" s="93"/>
      <c r="AW147" s="93"/>
      <c r="AX147" s="90"/>
      <c r="AY147" s="187"/>
      <c r="AZ147" s="187"/>
      <c r="BA147" s="187"/>
      <c r="BB147" s="93"/>
      <c r="BC147" s="93"/>
      <c r="BD147" s="93"/>
      <c r="BE147" s="93"/>
      <c r="BF147" s="93"/>
      <c r="BG147" s="93"/>
      <c r="BH147" s="1"/>
    </row>
    <row r="148" spans="1:60" x14ac:dyDescent="0.2">
      <c r="A148" s="648"/>
      <c r="B148" s="492" t="s">
        <v>243</v>
      </c>
      <c r="C148" s="656" t="s">
        <v>104</v>
      </c>
      <c r="D148" s="747"/>
      <c r="E148" s="90"/>
      <c r="F148" s="90"/>
      <c r="G148" s="90"/>
      <c r="H148" s="96"/>
      <c r="I148" s="90"/>
      <c r="J148" s="93"/>
      <c r="K148" s="90"/>
      <c r="L148" s="90"/>
      <c r="M148" s="93"/>
      <c r="N148" s="90"/>
      <c r="O148" s="128"/>
      <c r="P148" s="93"/>
      <c r="Q148" s="93"/>
      <c r="R148" s="93"/>
      <c r="S148" s="93"/>
      <c r="T148" s="93"/>
      <c r="U148" s="93"/>
      <c r="V148" s="93"/>
      <c r="W148" s="93"/>
      <c r="X148" s="93"/>
      <c r="Y148" s="93"/>
      <c r="Z148" s="90"/>
      <c r="AA148" s="128"/>
      <c r="AB148" s="93"/>
      <c r="AC148" s="93"/>
      <c r="AD148" s="93"/>
      <c r="AE148" s="93"/>
      <c r="AF148" s="93"/>
      <c r="AG148" s="93"/>
      <c r="AH148" s="93"/>
      <c r="AI148" s="93"/>
      <c r="AJ148" s="93"/>
      <c r="AK148" s="93"/>
      <c r="AL148" s="90"/>
      <c r="AM148" s="128"/>
      <c r="AN148" s="93"/>
      <c r="AO148" s="93"/>
      <c r="AP148" s="93"/>
      <c r="AQ148" s="93"/>
      <c r="AR148" s="93"/>
      <c r="AS148" s="93"/>
      <c r="AT148" s="93"/>
      <c r="AU148" s="93"/>
      <c r="AV148" s="93"/>
      <c r="AW148" s="93"/>
      <c r="AX148" s="90"/>
      <c r="AY148" s="128"/>
      <c r="AZ148" s="93"/>
      <c r="BA148" s="93"/>
      <c r="BB148" s="93"/>
      <c r="BC148" s="93"/>
      <c r="BD148" s="93"/>
      <c r="BE148" s="93"/>
      <c r="BF148" s="93"/>
      <c r="BG148" s="93"/>
      <c r="BH148" s="1"/>
    </row>
    <row r="149" spans="1:60" ht="21" x14ac:dyDescent="0.2">
      <c r="A149" s="648"/>
      <c r="B149" s="492" t="s">
        <v>243</v>
      </c>
      <c r="C149" s="739" t="s">
        <v>104</v>
      </c>
      <c r="D149" s="750" t="s">
        <v>50</v>
      </c>
      <c r="E149" s="240" t="s">
        <v>244</v>
      </c>
      <c r="F149" s="240"/>
      <c r="G149" s="825"/>
      <c r="H149" s="216"/>
      <c r="I149" s="88"/>
      <c r="J149" s="241" t="s">
        <v>58</v>
      </c>
      <c r="K149" s="142"/>
      <c r="L149" s="142"/>
      <c r="M149" s="216" t="s">
        <v>237</v>
      </c>
      <c r="N149" s="222"/>
      <c r="O149" s="217" t="str">
        <f t="shared" ref="O149:V149" si="93">O$10</f>
        <v>verwarming</v>
      </c>
      <c r="P149" s="217" t="str">
        <f t="shared" si="93"/>
        <v>koeling</v>
      </c>
      <c r="Q149" s="217" t="str">
        <f t="shared" si="93"/>
        <v>tapwater</v>
      </c>
      <c r="R149" s="217" t="str">
        <f t="shared" si="93"/>
        <v>verlichting</v>
      </c>
      <c r="S149" s="217" t="str">
        <f t="shared" si="93"/>
        <v>ventilatoren</v>
      </c>
      <c r="T149" s="217" t="str">
        <f t="shared" si="93"/>
        <v>kookgas</v>
      </c>
      <c r="U149" s="217" t="str">
        <f t="shared" si="93"/>
        <v>overig elektra</v>
      </c>
      <c r="V149" s="217" t="str">
        <f t="shared" si="93"/>
        <v>mobiliteit</v>
      </c>
      <c r="W149" s="217"/>
      <c r="X149" s="214"/>
      <c r="Y149" s="216" t="s">
        <v>237</v>
      </c>
      <c r="Z149" s="222"/>
      <c r="AA149" s="217" t="str">
        <f t="shared" ref="AA149:AH149" si="94">AA$10</f>
        <v>verwarming</v>
      </c>
      <c r="AB149" s="217" t="str">
        <f t="shared" si="94"/>
        <v>koeling</v>
      </c>
      <c r="AC149" s="217" t="str">
        <f t="shared" si="94"/>
        <v>tapwater</v>
      </c>
      <c r="AD149" s="217" t="str">
        <f t="shared" si="94"/>
        <v>verlichting</v>
      </c>
      <c r="AE149" s="217" t="str">
        <f t="shared" si="94"/>
        <v>ventilatoren</v>
      </c>
      <c r="AF149" s="217" t="str">
        <f t="shared" si="94"/>
        <v>kookgas</v>
      </c>
      <c r="AG149" s="217" t="str">
        <f t="shared" si="94"/>
        <v>overig elektra</v>
      </c>
      <c r="AH149" s="217" t="str">
        <f t="shared" si="94"/>
        <v>mobiliteit</v>
      </c>
      <c r="AI149" s="217"/>
      <c r="AJ149" s="214"/>
      <c r="AK149" s="216" t="s">
        <v>237</v>
      </c>
      <c r="AL149" s="222"/>
      <c r="AM149" s="217" t="str">
        <f>AM$10</f>
        <v>verwarming</v>
      </c>
      <c r="AN149" s="217" t="str">
        <f t="shared" ref="AN149:AT149" si="95">AN$10</f>
        <v>koeling</v>
      </c>
      <c r="AO149" s="217" t="str">
        <f t="shared" si="95"/>
        <v>tapwater</v>
      </c>
      <c r="AP149" s="217" t="str">
        <f t="shared" si="95"/>
        <v>verlichting</v>
      </c>
      <c r="AQ149" s="217" t="str">
        <f t="shared" si="95"/>
        <v>ventilatoren</v>
      </c>
      <c r="AR149" s="217" t="str">
        <f t="shared" si="95"/>
        <v>kookgas</v>
      </c>
      <c r="AS149" s="217" t="str">
        <f t="shared" si="95"/>
        <v>overig elektra</v>
      </c>
      <c r="AT149" s="217" t="str">
        <f t="shared" si="95"/>
        <v>mobiliteit</v>
      </c>
      <c r="AU149" s="217"/>
      <c r="AV149" s="214"/>
      <c r="AW149" s="216" t="s">
        <v>237</v>
      </c>
      <c r="AX149" s="222"/>
      <c r="AY149" s="217" t="str">
        <f>AY$10</f>
        <v>verwarming</v>
      </c>
      <c r="AZ149" s="217" t="str">
        <f t="shared" ref="AZ149:BF149" si="96">AZ$10</f>
        <v>koeling</v>
      </c>
      <c r="BA149" s="217" t="str">
        <f t="shared" si="96"/>
        <v>tapwater</v>
      </c>
      <c r="BB149" s="217" t="str">
        <f t="shared" si="96"/>
        <v>verlichting</v>
      </c>
      <c r="BC149" s="217" t="str">
        <f t="shared" si="96"/>
        <v>ventilatoren</v>
      </c>
      <c r="BD149" s="217" t="str">
        <f t="shared" si="96"/>
        <v>kookgas</v>
      </c>
      <c r="BE149" s="217" t="str">
        <f t="shared" si="96"/>
        <v>overig elektra</v>
      </c>
      <c r="BF149" s="217" t="str">
        <f t="shared" si="96"/>
        <v>mobiliteit</v>
      </c>
      <c r="BG149" s="217"/>
      <c r="BH149" s="1"/>
    </row>
    <row r="150" spans="1:60" ht="18.75" x14ac:dyDescent="0.2">
      <c r="A150" s="648"/>
      <c r="B150" s="492" t="s">
        <v>243</v>
      </c>
      <c r="C150" s="739" t="s">
        <v>104</v>
      </c>
      <c r="D150" s="747"/>
      <c r="E150" s="231" t="s">
        <v>245</v>
      </c>
      <c r="F150" s="231"/>
      <c r="G150" s="231"/>
      <c r="H150" s="89"/>
      <c r="I150" s="232"/>
      <c r="J150" s="231"/>
      <c r="K150" s="232"/>
      <c r="L150" s="232"/>
      <c r="M150" s="231"/>
      <c r="N150" s="232"/>
      <c r="O150" s="232"/>
      <c r="P150" s="232"/>
      <c r="Q150" s="232"/>
      <c r="R150" s="232"/>
      <c r="S150" s="232"/>
      <c r="T150" s="232"/>
      <c r="U150" s="232"/>
      <c r="V150" s="232"/>
      <c r="W150" s="232"/>
      <c r="X150" s="232"/>
      <c r="Y150" s="231"/>
      <c r="Z150" s="232"/>
      <c r="AA150" s="232"/>
      <c r="AB150" s="232"/>
      <c r="AC150" s="232"/>
      <c r="AD150" s="232"/>
      <c r="AE150" s="232"/>
      <c r="AF150" s="232"/>
      <c r="AG150" s="232"/>
      <c r="AH150" s="232"/>
      <c r="AI150" s="232"/>
      <c r="AJ150" s="232"/>
      <c r="AK150" s="231"/>
      <c r="AL150" s="232"/>
      <c r="AM150" s="232"/>
      <c r="AN150" s="232"/>
      <c r="AO150" s="232"/>
      <c r="AP150" s="232"/>
      <c r="AQ150" s="232"/>
      <c r="AR150" s="232"/>
      <c r="AS150" s="232"/>
      <c r="AT150" s="232"/>
      <c r="AU150" s="232"/>
      <c r="AV150" s="232"/>
      <c r="AW150" s="231"/>
      <c r="AX150" s="232"/>
      <c r="AY150" s="232"/>
      <c r="AZ150" s="232"/>
      <c r="BA150" s="232"/>
      <c r="BB150" s="232"/>
      <c r="BC150" s="232"/>
      <c r="BD150" s="232"/>
      <c r="BE150" s="232"/>
      <c r="BF150" s="232"/>
      <c r="BG150" s="232"/>
      <c r="BH150" s="38"/>
    </row>
    <row r="151" spans="1:60" x14ac:dyDescent="0.2">
      <c r="A151" s="648"/>
      <c r="B151" s="492" t="s">
        <v>243</v>
      </c>
      <c r="C151" s="656" t="s">
        <v>127</v>
      </c>
      <c r="D151" s="747"/>
      <c r="E151" s="316" t="s">
        <v>246</v>
      </c>
      <c r="F151" s="316"/>
      <c r="G151" s="316"/>
      <c r="H151" s="354" t="s">
        <v>232</v>
      </c>
      <c r="I151" s="232"/>
      <c r="J151" s="368"/>
      <c r="K151" s="294"/>
      <c r="L151" s="294"/>
      <c r="M151" s="368"/>
      <c r="N151" s="444"/>
      <c r="O151" s="445">
        <f>IF(O152&lt;&gt;"",O152,HLOOKUP(IF(O$80="",referentie_verwarming,O$80),toestellen_RV,ROWS(bibliotheek!$E$79:$E$114),FALSE))</f>
        <v>0</v>
      </c>
      <c r="P151" s="445">
        <f>IF(P152&lt;&gt;"",P152,HLOOKUP(IF(P$80="",referentie_koeling,P$80),toestellen_KOEL,ROWS(bibliotheek!$E$170:$E$189),FALSE))</f>
        <v>0</v>
      </c>
      <c r="Q151" s="445">
        <f>IF(Q152&lt;&gt;"",Q152,HLOOKUP(IF(Q$80="",referentie_warmtapwater,Q$80),toestellen_TAP,ROWS(bibliotheek!$E$136:$E$163),FALSE))</f>
        <v>4.4999999999999998E-2</v>
      </c>
      <c r="R151" s="446"/>
      <c r="S151" s="446"/>
      <c r="T151" s="446"/>
      <c r="U151" s="446"/>
      <c r="V151" s="446"/>
      <c r="W151" s="446"/>
      <c r="X151" s="422"/>
      <c r="Y151" s="352"/>
      <c r="Z151" s="444"/>
      <c r="AA151" s="445">
        <f>IF(AA152&lt;&gt;"",AA152,HLOOKUP(IF(AA$80="",referentie_verwarming,AA$80),toestellen_RV,ROWS(bibliotheek!$E$79:$E$114),FALSE))</f>
        <v>0</v>
      </c>
      <c r="AB151" s="445">
        <f>IF(AB152&lt;&gt;"",AB152,HLOOKUP(IF(AB$80="",referentie_koeling,AB$80),toestellen_KOEL,ROWS(bibliotheek!$E$170:$E$189),FALSE))</f>
        <v>0</v>
      </c>
      <c r="AC151" s="445">
        <f>IF(AC152&lt;&gt;"",AC152,HLOOKUP(IF(AC$80="",referentie_warmtapwater,AC$80),toestellen_TAP,ROWS(bibliotheek!$E$136:$E$163),FALSE))</f>
        <v>4.4999999999999998E-2</v>
      </c>
      <c r="AD151" s="446"/>
      <c r="AE151" s="446"/>
      <c r="AF151" s="446"/>
      <c r="AG151" s="446"/>
      <c r="AH151" s="446"/>
      <c r="AI151" s="446"/>
      <c r="AJ151" s="422"/>
      <c r="AK151" s="352"/>
      <c r="AL151" s="444"/>
      <c r="AM151" s="445">
        <f>IF(AM152&lt;&gt;"",AM152,HLOOKUP(IF(AM$80="",referentie_verwarming,AM$80),toestellen_RV,ROWS(bibliotheek!$E$79:$E$114),FALSE))</f>
        <v>0</v>
      </c>
      <c r="AN151" s="445">
        <f>IF(AN152&lt;&gt;"",AN152,HLOOKUP(IF(AN$80="",referentie_koeling,AN$80),toestellen_KOEL,ROWS(bibliotheek!$E$170:$E$189),FALSE))</f>
        <v>0</v>
      </c>
      <c r="AO151" s="445">
        <f>IF(AO152&lt;&gt;"",AO152,HLOOKUP(IF(AO$80="",referentie_warmtapwater,AO$80),toestellen_TAP,ROWS(bibliotheek!$E$136:$E$163),FALSE))</f>
        <v>4.4999999999999998E-2</v>
      </c>
      <c r="AP151" s="446"/>
      <c r="AQ151" s="446"/>
      <c r="AR151" s="446"/>
      <c r="AS151" s="446"/>
      <c r="AT151" s="446"/>
      <c r="AU151" s="446"/>
      <c r="AV151" s="422"/>
      <c r="AW151" s="352"/>
      <c r="AX151" s="444"/>
      <c r="AY151" s="445">
        <f>IF(AY152&lt;&gt;"",AY152,HLOOKUP(IF(AY$80="",referentie_verwarming,AY$80),toestellen_RV,ROWS(bibliotheek!$E$79:$E$114),FALSE))</f>
        <v>0</v>
      </c>
      <c r="AZ151" s="445">
        <f>IF(AZ152&lt;&gt;"",AZ152,HLOOKUP(IF(AZ$80="",referentie_koeling,AZ$80),toestellen_KOEL,ROWS(bibliotheek!$E$170:$E$189),FALSE))</f>
        <v>0</v>
      </c>
      <c r="BA151" s="445">
        <f>IF(BA152&lt;&gt;"",BA152,HLOOKUP(IF(BA$80="",referentie_warmtapwater,BA$80),toestellen_TAP,ROWS(bibliotheek!$E$136:$E$163),FALSE))</f>
        <v>4.4999999999999998E-2</v>
      </c>
      <c r="BB151" s="369"/>
      <c r="BC151" s="369"/>
      <c r="BD151" s="369"/>
      <c r="BE151" s="369"/>
      <c r="BF151" s="369"/>
      <c r="BG151" s="369"/>
      <c r="BH151" s="214"/>
    </row>
    <row r="152" spans="1:60" x14ac:dyDescent="0.2">
      <c r="A152" s="648"/>
      <c r="B152" s="492" t="s">
        <v>243</v>
      </c>
      <c r="C152" s="656" t="s">
        <v>127</v>
      </c>
      <c r="D152" s="747"/>
      <c r="E152" s="412" t="s">
        <v>227</v>
      </c>
      <c r="F152" s="317"/>
      <c r="G152" s="317"/>
      <c r="H152" s="355"/>
      <c r="I152" s="232"/>
      <c r="J152" s="362"/>
      <c r="K152" s="294"/>
      <c r="L152" s="294"/>
      <c r="M152" s="370"/>
      <c r="N152" s="371"/>
      <c r="O152" s="338"/>
      <c r="P152" s="344"/>
      <c r="Q152" s="338"/>
      <c r="R152" s="372"/>
      <c r="S152" s="372"/>
      <c r="T152" s="372"/>
      <c r="U152" s="372"/>
      <c r="V152" s="372"/>
      <c r="W152" s="372"/>
      <c r="X152" s="128"/>
      <c r="Y152" s="370"/>
      <c r="Z152" s="371"/>
      <c r="AA152" s="338"/>
      <c r="AB152" s="344"/>
      <c r="AC152" s="338"/>
      <c r="AD152" s="372"/>
      <c r="AE152" s="372"/>
      <c r="AF152" s="372"/>
      <c r="AG152" s="372"/>
      <c r="AH152" s="372"/>
      <c r="AI152" s="372"/>
      <c r="AJ152" s="128"/>
      <c r="AK152" s="370"/>
      <c r="AL152" s="371"/>
      <c r="AM152" s="338"/>
      <c r="AN152" s="344"/>
      <c r="AO152" s="338"/>
      <c r="AP152" s="372"/>
      <c r="AQ152" s="372"/>
      <c r="AR152" s="372"/>
      <c r="AS152" s="372"/>
      <c r="AT152" s="372"/>
      <c r="AU152" s="372"/>
      <c r="AV152" s="128"/>
      <c r="AW152" s="370"/>
      <c r="AX152" s="371"/>
      <c r="AY152" s="338"/>
      <c r="AZ152" s="344"/>
      <c r="BA152" s="338"/>
      <c r="BB152" s="372"/>
      <c r="BC152" s="372"/>
      <c r="BD152" s="372"/>
      <c r="BE152" s="372"/>
      <c r="BF152" s="372"/>
      <c r="BG152" s="372"/>
      <c r="BH152" s="214"/>
    </row>
    <row r="153" spans="1:60" x14ac:dyDescent="0.2">
      <c r="A153" s="650"/>
      <c r="B153" s="492" t="s">
        <v>243</v>
      </c>
      <c r="C153" s="656" t="s">
        <v>127</v>
      </c>
      <c r="D153" s="752"/>
      <c r="E153" s="298" t="s">
        <v>247</v>
      </c>
      <c r="F153" s="298"/>
      <c r="G153" s="298"/>
      <c r="H153" s="242" t="s">
        <v>220</v>
      </c>
      <c r="I153" s="232"/>
      <c r="J153" s="243">
        <f>M153+Y153+AK153+AW153</f>
        <v>0</v>
      </c>
      <c r="K153" s="294"/>
      <c r="L153" s="294"/>
      <c r="M153" s="243">
        <f>SUM(O153:X153)</f>
        <v>0</v>
      </c>
      <c r="N153" s="100"/>
      <c r="O153" s="207">
        <f>O$123*O$151</f>
        <v>0</v>
      </c>
      <c r="P153" s="207">
        <f>P$123*P$151</f>
        <v>0</v>
      </c>
      <c r="Q153" s="207">
        <f>Q$123*Q$151</f>
        <v>0</v>
      </c>
      <c r="R153" s="335"/>
      <c r="S153" s="335"/>
      <c r="T153" s="335"/>
      <c r="U153" s="335"/>
      <c r="V153" s="335"/>
      <c r="W153" s="335"/>
      <c r="X153" s="118"/>
      <c r="Y153" s="243">
        <f>SUM(AA153:AJ153)</f>
        <v>0</v>
      </c>
      <c r="Z153" s="100"/>
      <c r="AA153" s="207">
        <f>AA$123*AA$151</f>
        <v>0</v>
      </c>
      <c r="AB153" s="207">
        <f>AB$123*AB$151</f>
        <v>0</v>
      </c>
      <c r="AC153" s="207">
        <f>AC$123*AC$151</f>
        <v>0</v>
      </c>
      <c r="AD153" s="335"/>
      <c r="AE153" s="335"/>
      <c r="AF153" s="335"/>
      <c r="AG153" s="335"/>
      <c r="AH153" s="335"/>
      <c r="AI153" s="335"/>
      <c r="AJ153" s="118"/>
      <c r="AK153" s="243">
        <f>SUM(AM153:AV153)</f>
        <v>0</v>
      </c>
      <c r="AL153" s="100"/>
      <c r="AM153" s="207">
        <f>AM$123*AM$151</f>
        <v>0</v>
      </c>
      <c r="AN153" s="207">
        <f>AN$123*AN$151</f>
        <v>0</v>
      </c>
      <c r="AO153" s="207">
        <f>AO$123*AO$151</f>
        <v>0</v>
      </c>
      <c r="AP153" s="335"/>
      <c r="AQ153" s="335"/>
      <c r="AR153" s="335"/>
      <c r="AS153" s="335"/>
      <c r="AT153" s="335"/>
      <c r="AU153" s="335"/>
      <c r="AV153" s="118"/>
      <c r="AW153" s="243">
        <f>SUM(AY153:BH153)</f>
        <v>0</v>
      </c>
      <c r="AX153" s="100"/>
      <c r="AY153" s="207">
        <f>AY$123*AY$151</f>
        <v>0</v>
      </c>
      <c r="AZ153" s="207">
        <f>AZ$123*AZ$151</f>
        <v>0</v>
      </c>
      <c r="BA153" s="207">
        <f>BA$123*BA$151</f>
        <v>0</v>
      </c>
      <c r="BB153" s="335"/>
      <c r="BC153" s="335"/>
      <c r="BD153" s="335"/>
      <c r="BE153" s="335"/>
      <c r="BF153" s="335"/>
      <c r="BG153" s="335"/>
      <c r="BH153" s="214"/>
    </row>
    <row r="154" spans="1:60" hidden="1" x14ac:dyDescent="0.2">
      <c r="A154" s="650"/>
      <c r="B154" s="492" t="s">
        <v>243</v>
      </c>
      <c r="C154" s="740" t="s">
        <v>199</v>
      </c>
      <c r="D154" s="752" t="s">
        <v>50</v>
      </c>
      <c r="E154" s="298" t="s">
        <v>248</v>
      </c>
      <c r="F154" s="298"/>
      <c r="G154" s="298"/>
      <c r="H154" s="242" t="s">
        <v>220</v>
      </c>
      <c r="I154" s="232"/>
      <c r="J154" s="243">
        <f>M154+Y154+AK154+AW154</f>
        <v>0</v>
      </c>
      <c r="K154" s="294"/>
      <c r="L154" s="294"/>
      <c r="M154" s="243">
        <f>SUM(O154:X154)</f>
        <v>0</v>
      </c>
      <c r="N154" s="100"/>
      <c r="O154" s="207">
        <f>IF(O33=0,0,
(O$95*IFERROR((  INDEX(bibliotheek!$E$105:$AT$105,MATCH(O$80,toestellen_RV_kopregel,0)) +
INDEX(bibliotheek!$E$106:$AT$106,MATCH(O$80,toestellen_RV_kopregel,0))  *(O$94*1000/O$95)/
(  INDEX(bibliotheek!$E$107:$AT$107,MATCH(O$80,toestellen_RV_kopregel,0)) *
INDEX(bibliotheek!$E$108:$AT$108,MATCH(O$80,toestellen_RV_kopregel,0)) ) ),0)+
O$95*INDEX(bibliotheek!$E$109:$AT$109,MATCH(O$80,toestellen_RV_kopregel,0))+
O$96*INDEX(bibliotheek!$E$110:$AT$110,MATCH(O$80,toestellen_RV_kopregel,0)))/1000)</f>
        <v>0</v>
      </c>
      <c r="P154" s="335"/>
      <c r="Q154" s="335"/>
      <c r="R154" s="207">
        <f>R$75</f>
        <v>0</v>
      </c>
      <c r="S154" s="207">
        <f>S$75</f>
        <v>0</v>
      </c>
      <c r="T154" s="335"/>
      <c r="U154" s="207">
        <f>U$75</f>
        <v>0</v>
      </c>
      <c r="V154" s="207">
        <f>V$75</f>
        <v>0</v>
      </c>
      <c r="W154" s="335"/>
      <c r="X154" s="118"/>
      <c r="Y154" s="243">
        <f>SUM(AA154:AJ154)</f>
        <v>0</v>
      </c>
      <c r="Z154" s="100"/>
      <c r="AA154" s="207">
        <f>IF(AA33=0,0,
(AA$95*IFERROR((  INDEX(bibliotheek!$E$105:$AT$105,MATCH(AA$80,toestellen_RV_kopregel,0)) +
INDEX(bibliotheek!$E$106:$AT$106,MATCH(AA$80,toestellen_RV_kopregel,0))  *(AA$94*1000/AA$95)/
(  INDEX(bibliotheek!$E$107:$AT$107,MATCH(AA$80,toestellen_RV_kopregel,0)) *
INDEX(bibliotheek!$E$108:$AT$108,MATCH(AA$80,toestellen_RV_kopregel,0)) ) ),0)+
AA$95*INDEX(bibliotheek!$E$109:$AT$109,MATCH(AA$80,toestellen_RV_kopregel,0))+
AA$96*INDEX(bibliotheek!$E$110:$AT$110,MATCH(AA$80,toestellen_RV_kopregel,0)))/1000)</f>
        <v>0</v>
      </c>
      <c r="AB154" s="335"/>
      <c r="AC154" s="335"/>
      <c r="AD154" s="207">
        <f>AD$75</f>
        <v>0</v>
      </c>
      <c r="AE154" s="207">
        <f>AE$75</f>
        <v>0</v>
      </c>
      <c r="AF154" s="335"/>
      <c r="AG154" s="207">
        <f>AG$75</f>
        <v>0</v>
      </c>
      <c r="AH154" s="207">
        <f>AH$75</f>
        <v>0</v>
      </c>
      <c r="AI154" s="335"/>
      <c r="AJ154" s="118"/>
      <c r="AK154" s="243">
        <f>SUM(AM154:AV154)</f>
        <v>0</v>
      </c>
      <c r="AL154" s="100"/>
      <c r="AM154" s="207">
        <f>IF(AM33=0,0,
(AM$95*IFERROR((  INDEX(bibliotheek!$E$105:$AT$105,MATCH(AM$80,toestellen_RV_kopregel,0)) +
INDEX(bibliotheek!$E$106:$AT$106,MATCH(AM$80,toestellen_RV_kopregel,0))  *(AM$94*1000/AM$95)/
(  INDEX(bibliotheek!$E$107:$AT$107,MATCH(AM$80,toestellen_RV_kopregel,0)) *
INDEX(bibliotheek!$E$108:$AT$108,MATCH(AM$80,toestellen_RV_kopregel,0)) ) ),0)+
AM$95*INDEX(bibliotheek!$E$109:$AT$109,MATCH(AM$80,toestellen_RV_kopregel,0))+
AM$96*INDEX(bibliotheek!$E$110:$AT$110,MATCH(AM$80,toestellen_RV_kopregel,0)))/1000)</f>
        <v>0</v>
      </c>
      <c r="AN154" s="335"/>
      <c r="AO154" s="335"/>
      <c r="AP154" s="207">
        <f>AP$75</f>
        <v>0</v>
      </c>
      <c r="AQ154" s="207">
        <f>AQ$75</f>
        <v>0</v>
      </c>
      <c r="AR154" s="335"/>
      <c r="AS154" s="207">
        <f>AS$75</f>
        <v>0</v>
      </c>
      <c r="AT154" s="207">
        <f>AT$75</f>
        <v>0</v>
      </c>
      <c r="AU154" s="335"/>
      <c r="AV154" s="118"/>
      <c r="AW154" s="243">
        <f>SUM(AY154:BH154)</f>
        <v>0</v>
      </c>
      <c r="AX154" s="100"/>
      <c r="AY154" s="207">
        <f>IF(AY33=0,0,
(AY$95*IFERROR((  INDEX(bibliotheek!$E$105:$AT$105,MATCH(AY$80,toestellen_RV_kopregel,0)) +
INDEX(bibliotheek!$E$106:$AT$106,MATCH(AY$80,toestellen_RV_kopregel,0))  *(AY$94*1000/AY$95)/
(  INDEX(bibliotheek!$E$107:$AT$107,MATCH(AY$80,toestellen_RV_kopregel,0)) *
INDEX(bibliotheek!$E$108:$AT$108,MATCH(AY$80,toestellen_RV_kopregel,0)) ) ),0)+
AY$95*INDEX(bibliotheek!$E$109:$AT$109,MATCH(AY$80,toestellen_RV_kopregel,0))+
AY$96*INDEX(bibliotheek!$E$110:$AT$110,MATCH(AY$80,toestellen_RV_kopregel,0)))/1000)</f>
        <v>0</v>
      </c>
      <c r="AZ154" s="335"/>
      <c r="BA154" s="335"/>
      <c r="BB154" s="207">
        <f>BB$75</f>
        <v>0</v>
      </c>
      <c r="BC154" s="207">
        <f>BC$75</f>
        <v>0</v>
      </c>
      <c r="BD154" s="335"/>
      <c r="BE154" s="207">
        <f>BE$75</f>
        <v>0</v>
      </c>
      <c r="BF154" s="207">
        <f>BF$75</f>
        <v>0</v>
      </c>
      <c r="BG154" s="335"/>
      <c r="BH154" s="214"/>
    </row>
    <row r="155" spans="1:60" hidden="1" x14ac:dyDescent="0.2">
      <c r="A155" s="650"/>
      <c r="B155" s="492" t="s">
        <v>243</v>
      </c>
      <c r="C155" s="740" t="s">
        <v>199</v>
      </c>
      <c r="D155" s="752"/>
      <c r="E155" s="298" t="s">
        <v>249</v>
      </c>
      <c r="F155" s="298"/>
      <c r="G155" s="298"/>
      <c r="H155" s="242" t="s">
        <v>220</v>
      </c>
      <c r="I155" s="232"/>
      <c r="J155" s="243">
        <f>M155+Y155+AK155+AW155</f>
        <v>0</v>
      </c>
      <c r="K155" s="294"/>
      <c r="L155" s="294"/>
      <c r="M155" s="243">
        <f>SUM(O155:X155)</f>
        <v>0</v>
      </c>
      <c r="N155" s="100"/>
      <c r="O155" s="207">
        <f>O$94*O$124+IF(O$111=0,0,O112/O$111)</f>
        <v>0</v>
      </c>
      <c r="P155" s="207">
        <f>P$94*P$124+IF(P$111=0,0,P112/P$111)</f>
        <v>0</v>
      </c>
      <c r="Q155" s="207">
        <f>Q$94*Q$124+IF(Q$111=0,0,Q112/Q$111)</f>
        <v>0</v>
      </c>
      <c r="R155" s="335"/>
      <c r="S155" s="335"/>
      <c r="T155" s="335"/>
      <c r="U155" s="335"/>
      <c r="V155" s="335"/>
      <c r="W155" s="335"/>
      <c r="X155" s="118"/>
      <c r="Y155" s="243">
        <f>SUM(AA155:AJ155)</f>
        <v>0</v>
      </c>
      <c r="Z155" s="100"/>
      <c r="AA155" s="207">
        <f>AA$94*AA$124+IF(AA$111=0,0,AA112/AA$111)</f>
        <v>0</v>
      </c>
      <c r="AB155" s="207">
        <f>AB$94*AB$124+IF(AB$111=0,0,AB112/AB$111)</f>
        <v>0</v>
      </c>
      <c r="AC155" s="207">
        <f>AC$94*AC$124+IF(AC$111=0,0,AC112/AC$111)</f>
        <v>0</v>
      </c>
      <c r="AD155" s="335"/>
      <c r="AE155" s="335"/>
      <c r="AF155" s="335"/>
      <c r="AG155" s="335"/>
      <c r="AH155" s="335"/>
      <c r="AI155" s="335"/>
      <c r="AJ155" s="118"/>
      <c r="AK155" s="243">
        <f>SUM(AM155:AV155)</f>
        <v>0</v>
      </c>
      <c r="AL155" s="100"/>
      <c r="AM155" s="207">
        <f>AM$94*AM$124+IF(AM$111=0,0,AM112/AM$111)</f>
        <v>0</v>
      </c>
      <c r="AN155" s="207">
        <f>AN$94*AN$124+IF(AN$111=0,0,AN112/AN$111)</f>
        <v>0</v>
      </c>
      <c r="AO155" s="207">
        <f>AO$94*AO$124+IF(AO$111=0,0,AO112/AO$111)</f>
        <v>0</v>
      </c>
      <c r="AP155" s="335"/>
      <c r="AQ155" s="335"/>
      <c r="AR155" s="335"/>
      <c r="AS155" s="335"/>
      <c r="AT155" s="335"/>
      <c r="AU155" s="335"/>
      <c r="AV155" s="118"/>
      <c r="AW155" s="243">
        <f>SUM(AY155:BH155)</f>
        <v>0</v>
      </c>
      <c r="AX155" s="100"/>
      <c r="AY155" s="207">
        <f>AY$94*AY$124+IF(AY$111=0,0,AY112/AY$111)</f>
        <v>0</v>
      </c>
      <c r="AZ155" s="207">
        <f>AZ$94*AZ$124+IF(AZ$111=0,0,AZ112/AZ$111)</f>
        <v>0</v>
      </c>
      <c r="BA155" s="207">
        <f>BA$94*BA$124+IF(BA$111=0,0,BA112/BA$111)</f>
        <v>0</v>
      </c>
      <c r="BB155" s="335"/>
      <c r="BC155" s="335"/>
      <c r="BD155" s="335"/>
      <c r="BE155" s="335"/>
      <c r="BF155" s="335"/>
      <c r="BG155" s="335"/>
      <c r="BH155" s="214"/>
    </row>
    <row r="156" spans="1:60" hidden="1" x14ac:dyDescent="0.2">
      <c r="A156" s="650"/>
      <c r="B156" s="492" t="s">
        <v>243</v>
      </c>
      <c r="C156" s="740" t="s">
        <v>199</v>
      </c>
      <c r="D156" s="752"/>
      <c r="E156" s="298" t="s">
        <v>109</v>
      </c>
      <c r="F156" s="298"/>
      <c r="G156" s="298"/>
      <c r="H156" s="242" t="s">
        <v>220</v>
      </c>
      <c r="I156" s="232"/>
      <c r="J156" s="243">
        <f>M156+Y156+AK156+AW156</f>
        <v>0</v>
      </c>
      <c r="K156" s="294"/>
      <c r="L156" s="294"/>
      <c r="M156" s="243">
        <f>SUM(O156:X156)</f>
        <v>0</v>
      </c>
      <c r="N156" s="100"/>
      <c r="O156" s="335"/>
      <c r="P156" s="335"/>
      <c r="Q156" s="335"/>
      <c r="R156" s="335"/>
      <c r="S156" s="335"/>
      <c r="T156" s="207">
        <f>T75</f>
        <v>0</v>
      </c>
      <c r="U156" s="335"/>
      <c r="V156" s="335"/>
      <c r="W156" s="335"/>
      <c r="X156" s="118"/>
      <c r="Y156" s="243">
        <f>SUM(AA156:AJ156)</f>
        <v>0</v>
      </c>
      <c r="Z156" s="100"/>
      <c r="AA156" s="207"/>
      <c r="AB156" s="207"/>
      <c r="AC156" s="207"/>
      <c r="AD156" s="335"/>
      <c r="AE156" s="335"/>
      <c r="AF156" s="207">
        <f>AF75</f>
        <v>0</v>
      </c>
      <c r="AG156" s="335"/>
      <c r="AH156" s="335"/>
      <c r="AI156" s="335"/>
      <c r="AJ156" s="118"/>
      <c r="AK156" s="243">
        <f>SUM(AM156:AV156)</f>
        <v>0</v>
      </c>
      <c r="AL156" s="100"/>
      <c r="AM156" s="207"/>
      <c r="AN156" s="207"/>
      <c r="AO156" s="207"/>
      <c r="AP156" s="335"/>
      <c r="AQ156" s="335"/>
      <c r="AR156" s="207">
        <f>AR75</f>
        <v>0</v>
      </c>
      <c r="AS156" s="335"/>
      <c r="AT156" s="335"/>
      <c r="AU156" s="335"/>
      <c r="AV156" s="118"/>
      <c r="AW156" s="243">
        <f>SUM(AY156:BH156)</f>
        <v>0</v>
      </c>
      <c r="AX156" s="100"/>
      <c r="AY156" s="207"/>
      <c r="AZ156" s="207"/>
      <c r="BA156" s="207"/>
      <c r="BB156" s="335"/>
      <c r="BC156" s="335"/>
      <c r="BD156" s="207">
        <f>BD75</f>
        <v>0</v>
      </c>
      <c r="BE156" s="335"/>
      <c r="BF156" s="335"/>
      <c r="BG156" s="335"/>
      <c r="BH156" s="214"/>
    </row>
    <row r="157" spans="1:60" ht="18.75" x14ac:dyDescent="0.2">
      <c r="A157" s="648"/>
      <c r="B157" s="492" t="s">
        <v>243</v>
      </c>
      <c r="C157" s="739" t="s">
        <v>104</v>
      </c>
      <c r="D157" s="747"/>
      <c r="E157" s="303" t="s">
        <v>250</v>
      </c>
      <c r="F157" s="303"/>
      <c r="G157" s="303"/>
      <c r="H157" s="305"/>
      <c r="I157" s="232"/>
      <c r="J157" s="303"/>
      <c r="K157" s="232"/>
      <c r="L157" s="232"/>
      <c r="M157" s="303"/>
      <c r="N157" s="304"/>
      <c r="O157" s="304"/>
      <c r="P157" s="304"/>
      <c r="Q157" s="304"/>
      <c r="R157" s="304"/>
      <c r="S157" s="304"/>
      <c r="T157" s="304"/>
      <c r="U157" s="304"/>
      <c r="V157" s="304"/>
      <c r="W157" s="304"/>
      <c r="X157" s="232"/>
      <c r="Y157" s="303"/>
      <c r="Z157" s="304"/>
      <c r="AA157" s="304"/>
      <c r="AB157" s="304"/>
      <c r="AC157" s="304"/>
      <c r="AD157" s="304"/>
      <c r="AE157" s="304"/>
      <c r="AF157" s="304"/>
      <c r="AG157" s="304"/>
      <c r="AH157" s="304"/>
      <c r="AI157" s="304"/>
      <c r="AJ157" s="232"/>
      <c r="AK157" s="303"/>
      <c r="AL157" s="304"/>
      <c r="AM157" s="304"/>
      <c r="AN157" s="304"/>
      <c r="AO157" s="304"/>
      <c r="AP157" s="304"/>
      <c r="AQ157" s="304"/>
      <c r="AR157" s="304"/>
      <c r="AS157" s="304"/>
      <c r="AT157" s="304"/>
      <c r="AU157" s="304"/>
      <c r="AV157" s="232"/>
      <c r="AW157" s="303"/>
      <c r="AX157" s="304"/>
      <c r="AY157" s="304"/>
      <c r="AZ157" s="304"/>
      <c r="BA157" s="304"/>
      <c r="BB157" s="304"/>
      <c r="BC157" s="304"/>
      <c r="BD157" s="304"/>
      <c r="BE157" s="304"/>
      <c r="BF157" s="304"/>
      <c r="BG157" s="304"/>
      <c r="BH157" s="38"/>
    </row>
    <row r="158" spans="1:60" hidden="1" x14ac:dyDescent="0.2">
      <c r="A158" s="648"/>
      <c r="B158" s="492" t="s">
        <v>243</v>
      </c>
      <c r="C158" s="656" t="s">
        <v>199</v>
      </c>
      <c r="D158" s="747"/>
      <c r="E158" s="316" t="s">
        <v>222</v>
      </c>
      <c r="F158" s="316"/>
      <c r="G158" s="316"/>
      <c r="H158" s="354" t="s">
        <v>223</v>
      </c>
      <c r="I158" s="232"/>
      <c r="J158" s="229"/>
      <c r="K158" s="90"/>
      <c r="L158" s="90"/>
      <c r="M158" s="229"/>
      <c r="N158" s="131"/>
      <c r="O158" s="184">
        <f>$G$5</f>
        <v>1.45</v>
      </c>
      <c r="P158" s="184">
        <f>$G$5</f>
        <v>1.45</v>
      </c>
      <c r="Q158" s="184">
        <f>$G$5</f>
        <v>1.45</v>
      </c>
      <c r="R158" s="184">
        <f>$G$5</f>
        <v>1.45</v>
      </c>
      <c r="S158" s="184">
        <f>$G$5</f>
        <v>1.45</v>
      </c>
      <c r="T158" s="184">
        <f>bibliotheek!$K$223</f>
        <v>1</v>
      </c>
      <c r="U158" s="184">
        <f>$G$5</f>
        <v>1.45</v>
      </c>
      <c r="V158" s="184">
        <f>$G$5</f>
        <v>1.45</v>
      </c>
      <c r="W158" s="452"/>
      <c r="X158" s="139"/>
      <c r="Y158" s="706"/>
      <c r="Z158" s="707"/>
      <c r="AA158" s="184">
        <f>$G$5</f>
        <v>1.45</v>
      </c>
      <c r="AB158" s="184">
        <f>$G$5</f>
        <v>1.45</v>
      </c>
      <c r="AC158" s="184">
        <f>$G$5</f>
        <v>1.45</v>
      </c>
      <c r="AD158" s="184">
        <f>$G$5</f>
        <v>1.45</v>
      </c>
      <c r="AE158" s="184">
        <f>$G$5</f>
        <v>1.45</v>
      </c>
      <c r="AF158" s="272">
        <f>bibliotheek!$K$223</f>
        <v>1</v>
      </c>
      <c r="AG158" s="184">
        <f>$G$5</f>
        <v>1.45</v>
      </c>
      <c r="AH158" s="184">
        <f>$G$5</f>
        <v>1.45</v>
      </c>
      <c r="AI158" s="452"/>
      <c r="AJ158" s="139"/>
      <c r="AK158" s="706"/>
      <c r="AL158" s="707"/>
      <c r="AM158" s="184">
        <f>$G$5</f>
        <v>1.45</v>
      </c>
      <c r="AN158" s="184">
        <f>$G$5</f>
        <v>1.45</v>
      </c>
      <c r="AO158" s="184">
        <f>$G$5</f>
        <v>1.45</v>
      </c>
      <c r="AP158" s="184">
        <f>$G$5</f>
        <v>1.45</v>
      </c>
      <c r="AQ158" s="184">
        <f>$G$5</f>
        <v>1.45</v>
      </c>
      <c r="AR158" s="272">
        <f>bibliotheek!$K$223</f>
        <v>1</v>
      </c>
      <c r="AS158" s="184">
        <f>$G$5</f>
        <v>1.45</v>
      </c>
      <c r="AT158" s="184">
        <f>$G$5</f>
        <v>1.45</v>
      </c>
      <c r="AU158" s="452"/>
      <c r="AV158" s="139"/>
      <c r="AW158" s="706"/>
      <c r="AX158" s="707"/>
      <c r="AY158" s="184">
        <f>$G$5</f>
        <v>1.45</v>
      </c>
      <c r="AZ158" s="184">
        <f>$G$5</f>
        <v>1.45</v>
      </c>
      <c r="BA158" s="184">
        <f>$G$5</f>
        <v>1.45</v>
      </c>
      <c r="BB158" s="184">
        <f>$G$5</f>
        <v>1.45</v>
      </c>
      <c r="BC158" s="184">
        <f>$G$5</f>
        <v>1.45</v>
      </c>
      <c r="BD158" s="272">
        <f>bibliotheek!$K$223</f>
        <v>1</v>
      </c>
      <c r="BE158" s="184">
        <f>$G$5</f>
        <v>1.45</v>
      </c>
      <c r="BF158" s="184">
        <f>$G$5</f>
        <v>1.45</v>
      </c>
      <c r="BG158" s="452"/>
      <c r="BH158" s="214"/>
    </row>
    <row r="159" spans="1:60" x14ac:dyDescent="0.2">
      <c r="A159" s="650"/>
      <c r="B159" s="492" t="s">
        <v>243</v>
      </c>
      <c r="C159" s="740" t="s">
        <v>113</v>
      </c>
      <c r="D159" s="752" t="s">
        <v>50</v>
      </c>
      <c r="E159" s="298" t="s">
        <v>114</v>
      </c>
      <c r="F159" s="242"/>
      <c r="G159" s="242"/>
      <c r="H159" s="242" t="s">
        <v>115</v>
      </c>
      <c r="I159" s="232"/>
      <c r="J159" s="243">
        <f>M159+Y159+AK159+AW159</f>
        <v>0</v>
      </c>
      <c r="K159" s="823"/>
      <c r="L159" s="823"/>
      <c r="M159" s="243">
        <f>SUM(O159:X159)</f>
        <v>0</v>
      </c>
      <c r="N159" s="100"/>
      <c r="O159" s="207">
        <f t="shared" ref="O159:V159" si="97">SUM(O$153:O$156)*O$158</f>
        <v>0</v>
      </c>
      <c r="P159" s="207">
        <f t="shared" si="97"/>
        <v>0</v>
      </c>
      <c r="Q159" s="207">
        <f t="shared" si="97"/>
        <v>0</v>
      </c>
      <c r="R159" s="207">
        <f t="shared" si="97"/>
        <v>0</v>
      </c>
      <c r="S159" s="207">
        <f t="shared" si="97"/>
        <v>0</v>
      </c>
      <c r="T159" s="207">
        <f t="shared" si="97"/>
        <v>0</v>
      </c>
      <c r="U159" s="207">
        <f>SUM(U$153:U$156)*U$158</f>
        <v>0</v>
      </c>
      <c r="V159" s="207">
        <f t="shared" si="97"/>
        <v>0</v>
      </c>
      <c r="W159" s="335"/>
      <c r="X159" s="128"/>
      <c r="Y159" s="243">
        <f>SUM(AA159:AJ159)</f>
        <v>0</v>
      </c>
      <c r="Z159" s="100"/>
      <c r="AA159" s="207">
        <f t="shared" ref="AA159:AH159" si="98">SUM(AA$153:AA$156)*AA$158</f>
        <v>0</v>
      </c>
      <c r="AB159" s="207">
        <f t="shared" si="98"/>
        <v>0</v>
      </c>
      <c r="AC159" s="207">
        <f t="shared" si="98"/>
        <v>0</v>
      </c>
      <c r="AD159" s="207">
        <f t="shared" si="98"/>
        <v>0</v>
      </c>
      <c r="AE159" s="207">
        <f t="shared" si="98"/>
        <v>0</v>
      </c>
      <c r="AF159" s="207">
        <f t="shared" si="98"/>
        <v>0</v>
      </c>
      <c r="AG159" s="207">
        <f t="shared" si="98"/>
        <v>0</v>
      </c>
      <c r="AH159" s="207">
        <f t="shared" si="98"/>
        <v>0</v>
      </c>
      <c r="AI159" s="335"/>
      <c r="AJ159" s="128"/>
      <c r="AK159" s="243">
        <f>SUM(AM159:AV159)</f>
        <v>0</v>
      </c>
      <c r="AL159" s="100"/>
      <c r="AM159" s="207">
        <f>SUM(AM$153:AM$156)*AM$158</f>
        <v>0</v>
      </c>
      <c r="AN159" s="207">
        <f t="shared" ref="AN159:AT159" si="99">SUM(AN$153:AN$156)*AN$158</f>
        <v>0</v>
      </c>
      <c r="AO159" s="207">
        <f t="shared" si="99"/>
        <v>0</v>
      </c>
      <c r="AP159" s="207">
        <f t="shared" si="99"/>
        <v>0</v>
      </c>
      <c r="AQ159" s="207">
        <f t="shared" si="99"/>
        <v>0</v>
      </c>
      <c r="AR159" s="207">
        <f t="shared" si="99"/>
        <v>0</v>
      </c>
      <c r="AS159" s="207">
        <f t="shared" si="99"/>
        <v>0</v>
      </c>
      <c r="AT159" s="207">
        <f t="shared" si="99"/>
        <v>0</v>
      </c>
      <c r="AU159" s="335"/>
      <c r="AV159" s="128"/>
      <c r="AW159" s="243">
        <f>SUM(AY159:BH159)</f>
        <v>0</v>
      </c>
      <c r="AX159" s="100"/>
      <c r="AY159" s="207">
        <f>SUM(AY$153:AY$156)*AY$158</f>
        <v>0</v>
      </c>
      <c r="AZ159" s="207">
        <f t="shared" ref="AZ159:BF159" si="100">SUM(AZ$153:AZ$156)*AZ$158</f>
        <v>0</v>
      </c>
      <c r="BA159" s="207">
        <f t="shared" si="100"/>
        <v>0</v>
      </c>
      <c r="BB159" s="207">
        <f t="shared" si="100"/>
        <v>0</v>
      </c>
      <c r="BC159" s="207">
        <f t="shared" si="100"/>
        <v>0</v>
      </c>
      <c r="BD159" s="207">
        <f t="shared" si="100"/>
        <v>0</v>
      </c>
      <c r="BE159" s="207">
        <f t="shared" si="100"/>
        <v>0</v>
      </c>
      <c r="BF159" s="207">
        <f t="shared" si="100"/>
        <v>0</v>
      </c>
      <c r="BG159" s="335"/>
      <c r="BH159" s="214"/>
    </row>
    <row r="160" spans="1:60" ht="18.75" x14ac:dyDescent="0.2">
      <c r="A160" s="648"/>
      <c r="B160" s="492" t="s">
        <v>243</v>
      </c>
      <c r="C160" s="739" t="s">
        <v>104</v>
      </c>
      <c r="D160" s="747"/>
      <c r="E160" s="303" t="s">
        <v>251</v>
      </c>
      <c r="F160" s="303"/>
      <c r="G160" s="303"/>
      <c r="H160" s="305"/>
      <c r="I160" s="232"/>
      <c r="J160" s="303"/>
      <c r="K160" s="232"/>
      <c r="L160" s="232"/>
      <c r="M160" s="303"/>
      <c r="N160" s="304"/>
      <c r="O160" s="304"/>
      <c r="P160" s="304"/>
      <c r="Q160" s="304"/>
      <c r="R160" s="304"/>
      <c r="S160" s="304"/>
      <c r="T160" s="304"/>
      <c r="U160" s="304"/>
      <c r="V160" s="304"/>
      <c r="W160" s="304"/>
      <c r="X160" s="232"/>
      <c r="Y160" s="303"/>
      <c r="Z160" s="304"/>
      <c r="AA160" s="304"/>
      <c r="AB160" s="304"/>
      <c r="AC160" s="304"/>
      <c r="AD160" s="304"/>
      <c r="AE160" s="304"/>
      <c r="AF160" s="304"/>
      <c r="AG160" s="304"/>
      <c r="AH160" s="304"/>
      <c r="AI160" s="304"/>
      <c r="AJ160" s="232"/>
      <c r="AK160" s="303"/>
      <c r="AL160" s="304"/>
      <c r="AM160" s="304"/>
      <c r="AN160" s="304"/>
      <c r="AO160" s="304"/>
      <c r="AP160" s="304"/>
      <c r="AQ160" s="304"/>
      <c r="AR160" s="304"/>
      <c r="AS160" s="304"/>
      <c r="AT160" s="304"/>
      <c r="AU160" s="304"/>
      <c r="AV160" s="232"/>
      <c r="AW160" s="303"/>
      <c r="AX160" s="304"/>
      <c r="AY160" s="304"/>
      <c r="AZ160" s="304"/>
      <c r="BA160" s="304"/>
      <c r="BB160" s="304"/>
      <c r="BC160" s="304"/>
      <c r="BD160" s="304"/>
      <c r="BE160" s="304"/>
      <c r="BF160" s="304"/>
      <c r="BG160" s="304"/>
      <c r="BH160" s="38"/>
    </row>
    <row r="161" spans="1:60" hidden="1" x14ac:dyDescent="0.2">
      <c r="A161" s="648"/>
      <c r="B161" s="492" t="s">
        <v>243</v>
      </c>
      <c r="C161" s="656" t="s">
        <v>199</v>
      </c>
      <c r="D161" s="747"/>
      <c r="E161" s="220" t="s">
        <v>225</v>
      </c>
      <c r="F161" s="220"/>
      <c r="G161" s="220"/>
      <c r="H161" s="221" t="s">
        <v>226</v>
      </c>
      <c r="I161" s="232"/>
      <c r="J161" s="230"/>
      <c r="K161" s="90"/>
      <c r="L161" s="90"/>
      <c r="M161" s="230"/>
      <c r="N161" s="129"/>
      <c r="O161" s="273">
        <f>$H$5</f>
        <v>0.34</v>
      </c>
      <c r="P161" s="273">
        <f t="shared" ref="P161:V161" si="101">$H$5</f>
        <v>0.34</v>
      </c>
      <c r="Q161" s="273">
        <f t="shared" si="101"/>
        <v>0.34</v>
      </c>
      <c r="R161" s="273">
        <f t="shared" si="101"/>
        <v>0.34</v>
      </c>
      <c r="S161" s="273">
        <f t="shared" si="101"/>
        <v>0.34</v>
      </c>
      <c r="T161" s="273">
        <f t="shared" si="101"/>
        <v>0.34</v>
      </c>
      <c r="U161" s="273">
        <f t="shared" si="101"/>
        <v>0.34</v>
      </c>
      <c r="V161" s="273">
        <f t="shared" si="101"/>
        <v>0.34</v>
      </c>
      <c r="W161" s="421"/>
      <c r="X161" s="422"/>
      <c r="Y161" s="230"/>
      <c r="Z161" s="424"/>
      <c r="AA161" s="273">
        <f>$H$5</f>
        <v>0.34</v>
      </c>
      <c r="AB161" s="273">
        <f t="shared" ref="AB161:AH161" si="102">$H$5</f>
        <v>0.34</v>
      </c>
      <c r="AC161" s="273">
        <f t="shared" si="102"/>
        <v>0.34</v>
      </c>
      <c r="AD161" s="273">
        <f t="shared" si="102"/>
        <v>0.34</v>
      </c>
      <c r="AE161" s="273">
        <f t="shared" si="102"/>
        <v>0.34</v>
      </c>
      <c r="AF161" s="207">
        <f t="shared" si="102"/>
        <v>0.34</v>
      </c>
      <c r="AG161" s="273">
        <f t="shared" si="102"/>
        <v>0.34</v>
      </c>
      <c r="AH161" s="273">
        <f t="shared" si="102"/>
        <v>0.34</v>
      </c>
      <c r="AI161" s="421"/>
      <c r="AJ161" s="422"/>
      <c r="AK161" s="230"/>
      <c r="AL161" s="424"/>
      <c r="AM161" s="273">
        <f>$H$5</f>
        <v>0.34</v>
      </c>
      <c r="AN161" s="273">
        <f t="shared" ref="AN161:AT161" si="103">$H$5</f>
        <v>0.34</v>
      </c>
      <c r="AO161" s="273">
        <f t="shared" si="103"/>
        <v>0.34</v>
      </c>
      <c r="AP161" s="273">
        <f t="shared" si="103"/>
        <v>0.34</v>
      </c>
      <c r="AQ161" s="273">
        <f t="shared" si="103"/>
        <v>0.34</v>
      </c>
      <c r="AR161" s="207">
        <f t="shared" si="103"/>
        <v>0.34</v>
      </c>
      <c r="AS161" s="273">
        <f t="shared" si="103"/>
        <v>0.34</v>
      </c>
      <c r="AT161" s="273">
        <f t="shared" si="103"/>
        <v>0.34</v>
      </c>
      <c r="AU161" s="421"/>
      <c r="AV161" s="422"/>
      <c r="AW161" s="230"/>
      <c r="AX161" s="424"/>
      <c r="AY161" s="273">
        <f>$H$5</f>
        <v>0.34</v>
      </c>
      <c r="AZ161" s="273">
        <f t="shared" ref="AZ161:BF161" si="104">$H$5</f>
        <v>0.34</v>
      </c>
      <c r="BA161" s="273">
        <f t="shared" si="104"/>
        <v>0.34</v>
      </c>
      <c r="BB161" s="273">
        <f t="shared" si="104"/>
        <v>0.34</v>
      </c>
      <c r="BC161" s="273">
        <f t="shared" si="104"/>
        <v>0.34</v>
      </c>
      <c r="BD161" s="207">
        <f t="shared" si="104"/>
        <v>0.34</v>
      </c>
      <c r="BE161" s="273">
        <f t="shared" si="104"/>
        <v>0.34</v>
      </c>
      <c r="BF161" s="273">
        <f t="shared" si="104"/>
        <v>0.34</v>
      </c>
      <c r="BG161" s="336"/>
      <c r="BH161" s="214"/>
    </row>
    <row r="162" spans="1:60" x14ac:dyDescent="0.2">
      <c r="A162" s="650"/>
      <c r="B162" s="492" t="s">
        <v>243</v>
      </c>
      <c r="C162" s="740" t="s">
        <v>113</v>
      </c>
      <c r="D162" s="752"/>
      <c r="E162" s="298" t="s">
        <v>116</v>
      </c>
      <c r="F162" s="242"/>
      <c r="G162" s="242"/>
      <c r="H162" s="242" t="s">
        <v>228</v>
      </c>
      <c r="I162" s="232"/>
      <c r="J162" s="243">
        <f>M162+Y162+AK162+AW162</f>
        <v>0</v>
      </c>
      <c r="K162" s="823"/>
      <c r="L162" s="823"/>
      <c r="M162" s="243">
        <f>SUM(O162:X162)</f>
        <v>0</v>
      </c>
      <c r="N162" s="100"/>
      <c r="O162" s="207">
        <f t="shared" ref="O162:V162" si="105">SUM(O$153:O$156)*O$161</f>
        <v>0</v>
      </c>
      <c r="P162" s="207">
        <f t="shared" si="105"/>
        <v>0</v>
      </c>
      <c r="Q162" s="207">
        <f t="shared" si="105"/>
        <v>0</v>
      </c>
      <c r="R162" s="207">
        <f t="shared" si="105"/>
        <v>0</v>
      </c>
      <c r="S162" s="207">
        <f t="shared" si="105"/>
        <v>0</v>
      </c>
      <c r="T162" s="207">
        <f t="shared" si="105"/>
        <v>0</v>
      </c>
      <c r="U162" s="207">
        <f t="shared" si="105"/>
        <v>0</v>
      </c>
      <c r="V162" s="207">
        <f t="shared" si="105"/>
        <v>0</v>
      </c>
      <c r="W162" s="335"/>
      <c r="X162" s="128"/>
      <c r="Y162" s="243">
        <f>SUM(AA162:AJ162)</f>
        <v>0</v>
      </c>
      <c r="Z162" s="100"/>
      <c r="AA162" s="207">
        <f t="shared" ref="AA162:AH162" si="106">SUM(AA$153:AA$156)*AA$161</f>
        <v>0</v>
      </c>
      <c r="AB162" s="207">
        <f t="shared" si="106"/>
        <v>0</v>
      </c>
      <c r="AC162" s="207">
        <f t="shared" si="106"/>
        <v>0</v>
      </c>
      <c r="AD162" s="207">
        <f t="shared" si="106"/>
        <v>0</v>
      </c>
      <c r="AE162" s="207">
        <f t="shared" si="106"/>
        <v>0</v>
      </c>
      <c r="AF162" s="207">
        <f t="shared" si="106"/>
        <v>0</v>
      </c>
      <c r="AG162" s="207">
        <f t="shared" si="106"/>
        <v>0</v>
      </c>
      <c r="AH162" s="207">
        <f t="shared" si="106"/>
        <v>0</v>
      </c>
      <c r="AI162" s="335"/>
      <c r="AJ162" s="128"/>
      <c r="AK162" s="243">
        <f>SUM(AM162:AV162)</f>
        <v>0</v>
      </c>
      <c r="AL162" s="100"/>
      <c r="AM162" s="207">
        <f>SUM(AM$153:AM$156)*AM$161</f>
        <v>0</v>
      </c>
      <c r="AN162" s="207">
        <f t="shared" ref="AN162:AT162" si="107">SUM(AN$153:AN$156)*AN$161</f>
        <v>0</v>
      </c>
      <c r="AO162" s="207">
        <f t="shared" si="107"/>
        <v>0</v>
      </c>
      <c r="AP162" s="207">
        <f t="shared" si="107"/>
        <v>0</v>
      </c>
      <c r="AQ162" s="207">
        <f t="shared" si="107"/>
        <v>0</v>
      </c>
      <c r="AR162" s="207">
        <f t="shared" si="107"/>
        <v>0</v>
      </c>
      <c r="AS162" s="207">
        <f t="shared" si="107"/>
        <v>0</v>
      </c>
      <c r="AT162" s="207">
        <f t="shared" si="107"/>
        <v>0</v>
      </c>
      <c r="AU162" s="335"/>
      <c r="AV162" s="128"/>
      <c r="AW162" s="243">
        <f>SUM(AY162:BH162)</f>
        <v>0</v>
      </c>
      <c r="AX162" s="100"/>
      <c r="AY162" s="207">
        <f>SUM(AY$153:AY$156)*AY$161</f>
        <v>0</v>
      </c>
      <c r="AZ162" s="207">
        <f t="shared" ref="AZ162:BF162" si="108">SUM(AZ$153:AZ$156)*AZ$161</f>
        <v>0</v>
      </c>
      <c r="BA162" s="207">
        <f t="shared" si="108"/>
        <v>0</v>
      </c>
      <c r="BB162" s="207">
        <f t="shared" si="108"/>
        <v>0</v>
      </c>
      <c r="BC162" s="207">
        <f t="shared" si="108"/>
        <v>0</v>
      </c>
      <c r="BD162" s="207">
        <f t="shared" si="108"/>
        <v>0</v>
      </c>
      <c r="BE162" s="207">
        <f t="shared" si="108"/>
        <v>0</v>
      </c>
      <c r="BF162" s="207">
        <f t="shared" si="108"/>
        <v>0</v>
      </c>
      <c r="BG162" s="335"/>
      <c r="BH162" s="214"/>
    </row>
    <row r="163" spans="1:60" x14ac:dyDescent="0.2">
      <c r="A163" s="648"/>
      <c r="B163" s="492" t="s">
        <v>243</v>
      </c>
      <c r="C163" s="739" t="s">
        <v>104</v>
      </c>
      <c r="D163" s="747"/>
      <c r="E163" s="90"/>
      <c r="F163" s="90"/>
      <c r="G163" s="90"/>
      <c r="H163" s="96"/>
      <c r="I163" s="232"/>
      <c r="J163" s="93"/>
      <c r="K163" s="90"/>
      <c r="L163" s="90"/>
      <c r="M163" s="93"/>
      <c r="N163" s="90"/>
      <c r="O163" s="132"/>
      <c r="P163" s="93"/>
      <c r="Q163" s="132"/>
      <c r="R163" s="93"/>
      <c r="S163" s="93"/>
      <c r="T163" s="93"/>
      <c r="U163" s="93"/>
      <c r="V163" s="93"/>
      <c r="W163" s="93"/>
      <c r="X163" s="93"/>
      <c r="Y163" s="93"/>
      <c r="Z163" s="90"/>
      <c r="AA163" s="132"/>
      <c r="AB163" s="93"/>
      <c r="AC163" s="132"/>
      <c r="AD163" s="93"/>
      <c r="AE163" s="93"/>
      <c r="AF163" s="93"/>
      <c r="AG163" s="93"/>
      <c r="AH163" s="93"/>
      <c r="AI163" s="93"/>
      <c r="AJ163" s="93"/>
      <c r="AK163" s="93"/>
      <c r="AL163" s="90"/>
      <c r="AM163" s="132"/>
      <c r="AN163" s="93"/>
      <c r="AO163" s="132"/>
      <c r="AP163" s="93"/>
      <c r="AQ163" s="93"/>
      <c r="AR163" s="93"/>
      <c r="AS163" s="93"/>
      <c r="AT163" s="93"/>
      <c r="AU163" s="93"/>
      <c r="AV163" s="93"/>
      <c r="AW163" s="93"/>
      <c r="AX163" s="90"/>
      <c r="AY163" s="132"/>
      <c r="AZ163" s="93"/>
      <c r="BA163" s="132"/>
      <c r="BB163" s="93"/>
      <c r="BC163" s="93"/>
      <c r="BD163" s="93"/>
      <c r="BE163" s="93"/>
      <c r="BF163" s="93"/>
      <c r="BG163" s="93"/>
      <c r="BH163" s="1"/>
    </row>
    <row r="164" spans="1:60" x14ac:dyDescent="0.2">
      <c r="A164" s="648"/>
      <c r="B164" s="492" t="s">
        <v>252</v>
      </c>
      <c r="C164" s="656" t="s">
        <v>104</v>
      </c>
      <c r="D164" s="747"/>
      <c r="E164" s="90"/>
      <c r="F164" s="90"/>
      <c r="G164" s="90"/>
      <c r="H164" s="96"/>
      <c r="I164" s="90"/>
      <c r="J164" s="93"/>
      <c r="K164" s="90"/>
      <c r="L164" s="90"/>
      <c r="M164" s="93"/>
      <c r="N164" s="90"/>
      <c r="O164" s="132"/>
      <c r="P164" s="93"/>
      <c r="Q164" s="132"/>
      <c r="R164" s="93"/>
      <c r="S164" s="93"/>
      <c r="T164" s="93"/>
      <c r="U164" s="93"/>
      <c r="V164" s="93"/>
      <c r="W164" s="93"/>
      <c r="X164" s="93"/>
      <c r="Y164" s="93"/>
      <c r="Z164" s="90"/>
      <c r="AA164" s="132"/>
      <c r="AB164" s="93"/>
      <c r="AC164" s="132"/>
      <c r="AD164" s="93"/>
      <c r="AE164" s="93"/>
      <c r="AF164" s="93"/>
      <c r="AG164" s="93"/>
      <c r="AH164" s="93"/>
      <c r="AI164" s="93"/>
      <c r="AJ164" s="93"/>
      <c r="AK164" s="93"/>
      <c r="AL164" s="90"/>
      <c r="AM164" s="132"/>
      <c r="AN164" s="93"/>
      <c r="AO164" s="132"/>
      <c r="AP164" s="93"/>
      <c r="AQ164" s="93"/>
      <c r="AR164" s="93"/>
      <c r="AS164" s="93"/>
      <c r="AT164" s="93"/>
      <c r="AU164" s="93"/>
      <c r="AV164" s="93"/>
      <c r="AW164" s="93"/>
      <c r="AX164" s="90"/>
      <c r="AY164" s="132"/>
      <c r="AZ164" s="93"/>
      <c r="BA164" s="132"/>
      <c r="BB164" s="93"/>
      <c r="BC164" s="93"/>
      <c r="BD164" s="93"/>
      <c r="BE164" s="93"/>
      <c r="BF164" s="93"/>
      <c r="BG164" s="93"/>
      <c r="BH164" s="1"/>
    </row>
    <row r="165" spans="1:60" ht="21" x14ac:dyDescent="0.2">
      <c r="A165" s="648"/>
      <c r="B165" s="492" t="s">
        <v>252</v>
      </c>
      <c r="C165" s="739" t="s">
        <v>104</v>
      </c>
      <c r="D165" s="752"/>
      <c r="E165" s="240" t="s">
        <v>253</v>
      </c>
      <c r="F165" s="240"/>
      <c r="G165" s="240"/>
      <c r="H165" s="240"/>
      <c r="I165" s="88"/>
      <c r="J165" s="241" t="str">
        <f>J$10</f>
        <v>totaal</v>
      </c>
      <c r="K165" s="142"/>
      <c r="L165" s="142"/>
      <c r="M165" s="216" t="s">
        <v>254</v>
      </c>
      <c r="N165" s="222"/>
      <c r="O165" s="217" t="str">
        <f t="shared" ref="O165:W165" si="109">O$10</f>
        <v>verwarming</v>
      </c>
      <c r="P165" s="217" t="str">
        <f t="shared" si="109"/>
        <v>koeling</v>
      </c>
      <c r="Q165" s="217" t="str">
        <f t="shared" si="109"/>
        <v>tapwater</v>
      </c>
      <c r="R165" s="217" t="str">
        <f t="shared" si="109"/>
        <v>verlichting</v>
      </c>
      <c r="S165" s="217" t="str">
        <f t="shared" si="109"/>
        <v>ventilatoren</v>
      </c>
      <c r="T165" s="217" t="str">
        <f t="shared" si="109"/>
        <v>kookgas</v>
      </c>
      <c r="U165" s="217" t="str">
        <f t="shared" si="109"/>
        <v>overig elektra</v>
      </c>
      <c r="V165" s="217" t="str">
        <f t="shared" si="109"/>
        <v>mobiliteit</v>
      </c>
      <c r="W165" s="217" t="str">
        <f t="shared" si="109"/>
        <v>zonnepanelen</v>
      </c>
      <c r="X165" s="214"/>
      <c r="Y165" s="216" t="s">
        <v>254</v>
      </c>
      <c r="Z165" s="222"/>
      <c r="AA165" s="217" t="str">
        <f t="shared" ref="AA165:AI165" si="110">AA$10</f>
        <v>verwarming</v>
      </c>
      <c r="AB165" s="217" t="str">
        <f t="shared" si="110"/>
        <v>koeling</v>
      </c>
      <c r="AC165" s="217" t="str">
        <f t="shared" si="110"/>
        <v>tapwater</v>
      </c>
      <c r="AD165" s="217" t="str">
        <f t="shared" si="110"/>
        <v>verlichting</v>
      </c>
      <c r="AE165" s="217" t="str">
        <f t="shared" si="110"/>
        <v>ventilatoren</v>
      </c>
      <c r="AF165" s="217" t="str">
        <f t="shared" si="110"/>
        <v>kookgas</v>
      </c>
      <c r="AG165" s="217" t="str">
        <f t="shared" si="110"/>
        <v>overig elektra</v>
      </c>
      <c r="AH165" s="217" t="str">
        <f t="shared" si="110"/>
        <v>mobiliteit</v>
      </c>
      <c r="AI165" s="217" t="str">
        <f t="shared" si="110"/>
        <v>zonnepanelen</v>
      </c>
      <c r="AJ165" s="214"/>
      <c r="AK165" s="216" t="s">
        <v>254</v>
      </c>
      <c r="AL165" s="222"/>
      <c r="AM165" s="217" t="str">
        <f>AM$10</f>
        <v>verwarming</v>
      </c>
      <c r="AN165" s="217" t="str">
        <f>AN$10</f>
        <v>koeling</v>
      </c>
      <c r="AO165" s="217" t="str">
        <f>AO$10</f>
        <v>tapwater</v>
      </c>
      <c r="AP165" s="217" t="str">
        <f t="shared" ref="AP165:AU165" si="111">AP$10</f>
        <v>verlichting</v>
      </c>
      <c r="AQ165" s="217" t="str">
        <f t="shared" si="111"/>
        <v>ventilatoren</v>
      </c>
      <c r="AR165" s="217" t="str">
        <f t="shared" si="111"/>
        <v>kookgas</v>
      </c>
      <c r="AS165" s="217" t="str">
        <f t="shared" si="111"/>
        <v>overig elektra</v>
      </c>
      <c r="AT165" s="217" t="str">
        <f t="shared" si="111"/>
        <v>mobiliteit</v>
      </c>
      <c r="AU165" s="217" t="str">
        <f t="shared" si="111"/>
        <v>zonnepanelen</v>
      </c>
      <c r="AV165" s="214"/>
      <c r="AW165" s="216" t="s">
        <v>255</v>
      </c>
      <c r="AX165" s="222"/>
      <c r="AY165" s="217" t="str">
        <f>AY$10</f>
        <v>verwarming</v>
      </c>
      <c r="AZ165" s="217" t="str">
        <f>AZ$10</f>
        <v>koeling</v>
      </c>
      <c r="BA165" s="217" t="str">
        <f>BA$10</f>
        <v>tapwater</v>
      </c>
      <c r="BB165" s="217" t="str">
        <f t="shared" ref="BB165:BG165" si="112">BB$10</f>
        <v>verlichting</v>
      </c>
      <c r="BC165" s="217" t="str">
        <f t="shared" si="112"/>
        <v>ventilatoren</v>
      </c>
      <c r="BD165" s="217" t="str">
        <f t="shared" si="112"/>
        <v>kookgas</v>
      </c>
      <c r="BE165" s="217" t="str">
        <f t="shared" si="112"/>
        <v>overig elektra</v>
      </c>
      <c r="BF165" s="217" t="str">
        <f t="shared" si="112"/>
        <v>mobiliteit</v>
      </c>
      <c r="BG165" s="217" t="str">
        <f t="shared" si="112"/>
        <v>zonnepanelen</v>
      </c>
      <c r="BH165" s="1"/>
    </row>
    <row r="166" spans="1:60" ht="18.75" x14ac:dyDescent="0.2">
      <c r="A166" s="648"/>
      <c r="B166" s="492" t="s">
        <v>252</v>
      </c>
      <c r="C166" s="739" t="s">
        <v>104</v>
      </c>
      <c r="D166" s="747"/>
      <c r="E166" s="231" t="s">
        <v>256</v>
      </c>
      <c r="F166" s="231"/>
      <c r="G166" s="231"/>
      <c r="H166" s="89"/>
      <c r="I166" s="232"/>
      <c r="J166" s="231"/>
      <c r="K166" s="232"/>
      <c r="L166" s="232"/>
      <c r="M166" s="231"/>
      <c r="N166" s="232"/>
      <c r="O166" s="232"/>
      <c r="P166" s="232"/>
      <c r="Q166" s="232"/>
      <c r="R166" s="232"/>
      <c r="S166" s="232"/>
      <c r="T166" s="232"/>
      <c r="U166" s="232"/>
      <c r="V166" s="232"/>
      <c r="W166" s="232"/>
      <c r="X166" s="232"/>
      <c r="Y166" s="231"/>
      <c r="Z166" s="232"/>
      <c r="AA166" s="232"/>
      <c r="AB166" s="232"/>
      <c r="AC166" s="232"/>
      <c r="AD166" s="232"/>
      <c r="AE166" s="232"/>
      <c r="AF166" s="232"/>
      <c r="AG166" s="232"/>
      <c r="AH166" s="232"/>
      <c r="AI166" s="232"/>
      <c r="AJ166" s="232"/>
      <c r="AK166" s="231"/>
      <c r="AL166" s="232"/>
      <c r="AM166" s="232"/>
      <c r="AN166" s="232"/>
      <c r="AO166" s="232"/>
      <c r="AP166" s="232"/>
      <c r="AQ166" s="232"/>
      <c r="AR166" s="232"/>
      <c r="AS166" s="232"/>
      <c r="AT166" s="232"/>
      <c r="AU166" s="232"/>
      <c r="AV166" s="232"/>
      <c r="AW166" s="231"/>
      <c r="AX166" s="232"/>
      <c r="AY166" s="232"/>
      <c r="AZ166" s="232"/>
      <c r="BA166" s="232"/>
      <c r="BB166" s="232"/>
      <c r="BC166" s="232"/>
      <c r="BD166" s="232"/>
      <c r="BE166" s="232"/>
      <c r="BF166" s="232"/>
      <c r="BG166" s="232"/>
      <c r="BH166" s="38"/>
    </row>
    <row r="167" spans="1:60" s="2" customFormat="1" hidden="1" x14ac:dyDescent="0.2">
      <c r="A167" s="649"/>
      <c r="B167" s="492" t="s">
        <v>252</v>
      </c>
      <c r="C167" s="739" t="s">
        <v>199</v>
      </c>
      <c r="D167" s="753"/>
      <c r="E167" s="220" t="s">
        <v>257</v>
      </c>
      <c r="F167" s="220"/>
      <c r="G167" s="220"/>
      <c r="H167" s="221" t="s">
        <v>177</v>
      </c>
      <c r="I167" s="129"/>
      <c r="J167" s="243">
        <f>M167+Y167+AK167+AW167</f>
        <v>0</v>
      </c>
      <c r="K167" s="294"/>
      <c r="L167" s="294"/>
      <c r="M167" s="243">
        <f>SUM(N167:X167)</f>
        <v>0</v>
      </c>
      <c r="N167" s="100"/>
      <c r="O167" s="207">
        <f>O$113*O$125</f>
        <v>0</v>
      </c>
      <c r="P167" s="207">
        <f>P$113*P$125</f>
        <v>0</v>
      </c>
      <c r="Q167" s="207">
        <f>Q$113*Q$125</f>
        <v>0</v>
      </c>
      <c r="R167" s="335"/>
      <c r="S167" s="335"/>
      <c r="T167" s="335"/>
      <c r="U167" s="335"/>
      <c r="V167" s="335"/>
      <c r="W167" s="335"/>
      <c r="X167" s="128"/>
      <c r="Y167" s="243">
        <f>SUM(Z167:AJ167)</f>
        <v>0</v>
      </c>
      <c r="Z167" s="100"/>
      <c r="AA167" s="207">
        <f>AA$113*AA$125</f>
        <v>0</v>
      </c>
      <c r="AB167" s="207">
        <f>AB$113*AB$125</f>
        <v>0</v>
      </c>
      <c r="AC167" s="207">
        <f>AC$113*AC$125</f>
        <v>0</v>
      </c>
      <c r="AD167" s="335"/>
      <c r="AE167" s="335"/>
      <c r="AF167" s="335"/>
      <c r="AG167" s="335"/>
      <c r="AH167" s="335"/>
      <c r="AI167" s="335"/>
      <c r="AJ167" s="128"/>
      <c r="AK167" s="243">
        <f>SUM(AL167:AV167)</f>
        <v>0</v>
      </c>
      <c r="AL167" s="100"/>
      <c r="AM167" s="207">
        <f>AM$113*AM$125</f>
        <v>0</v>
      </c>
      <c r="AN167" s="207">
        <f>AN$113*AN$125</f>
        <v>0</v>
      </c>
      <c r="AO167" s="207">
        <f>AO$113*AO$125</f>
        <v>0</v>
      </c>
      <c r="AP167" s="335"/>
      <c r="AQ167" s="335"/>
      <c r="AR167" s="335"/>
      <c r="AS167" s="335"/>
      <c r="AT167" s="335"/>
      <c r="AU167" s="335"/>
      <c r="AV167" s="128"/>
      <c r="AW167" s="243">
        <f>SUM(AX167:BH167)</f>
        <v>0</v>
      </c>
      <c r="AX167" s="100"/>
      <c r="AY167" s="207">
        <f>AY$113*AY$125</f>
        <v>0</v>
      </c>
      <c r="AZ167" s="207">
        <f>AZ$113*AZ$125</f>
        <v>0</v>
      </c>
      <c r="BA167" s="207">
        <f>BA$113*BA$125</f>
        <v>0</v>
      </c>
      <c r="BB167" s="335"/>
      <c r="BC167" s="335"/>
      <c r="BD167" s="335"/>
      <c r="BE167" s="335"/>
      <c r="BF167" s="335"/>
      <c r="BG167" s="335"/>
      <c r="BH167" s="255"/>
    </row>
    <row r="168" spans="1:60" s="2" customFormat="1" hidden="1" x14ac:dyDescent="0.2">
      <c r="A168" s="649"/>
      <c r="B168" s="492" t="s">
        <v>252</v>
      </c>
      <c r="C168" s="739" t="s">
        <v>199</v>
      </c>
      <c r="D168" s="754" t="s">
        <v>50</v>
      </c>
      <c r="E168" s="220" t="s">
        <v>112</v>
      </c>
      <c r="F168" s="220"/>
      <c r="G168" s="220"/>
      <c r="H168" s="221" t="s">
        <v>177</v>
      </c>
      <c r="I168" s="129"/>
      <c r="J168" s="243">
        <f>M168+Y168+AK168+AW168</f>
        <v>0</v>
      </c>
      <c r="K168" s="294"/>
      <c r="L168" s="294"/>
      <c r="M168" s="243">
        <f>SUM(N168:X168)</f>
        <v>0</v>
      </c>
      <c r="N168" s="100"/>
      <c r="O168" s="335"/>
      <c r="P168" s="335"/>
      <c r="Q168" s="335"/>
      <c r="R168" s="335"/>
      <c r="S168" s="335"/>
      <c r="T168" s="335"/>
      <c r="U168" s="335"/>
      <c r="V168" s="335"/>
      <c r="W168" s="207">
        <f>-W75</f>
        <v>0</v>
      </c>
      <c r="X168" s="128"/>
      <c r="Y168" s="243">
        <f>SUM(Z168:AJ168)</f>
        <v>0</v>
      </c>
      <c r="Z168" s="100"/>
      <c r="AA168" s="335"/>
      <c r="AB168" s="335"/>
      <c r="AC168" s="335"/>
      <c r="AD168" s="335"/>
      <c r="AE168" s="335"/>
      <c r="AF168" s="335"/>
      <c r="AG168" s="335"/>
      <c r="AH168" s="335"/>
      <c r="AI168" s="207">
        <f>-AI75</f>
        <v>0</v>
      </c>
      <c r="AJ168" s="128"/>
      <c r="AK168" s="243">
        <f>SUM(AL168:AV168)</f>
        <v>0</v>
      </c>
      <c r="AL168" s="100"/>
      <c r="AM168" s="335"/>
      <c r="AN168" s="335"/>
      <c r="AO168" s="335"/>
      <c r="AP168" s="335"/>
      <c r="AQ168" s="335"/>
      <c r="AR168" s="335"/>
      <c r="AS168" s="335"/>
      <c r="AT168" s="335"/>
      <c r="AU168" s="207">
        <f>-AU75</f>
        <v>0</v>
      </c>
      <c r="AV168" s="128"/>
      <c r="AW168" s="243">
        <f>SUM(AX168:BH168)</f>
        <v>0</v>
      </c>
      <c r="AX168" s="100"/>
      <c r="AY168" s="335"/>
      <c r="AZ168" s="335"/>
      <c r="BA168" s="335"/>
      <c r="BB168" s="335"/>
      <c r="BC168" s="335"/>
      <c r="BD168" s="335"/>
      <c r="BE168" s="335"/>
      <c r="BF168" s="335"/>
      <c r="BG168" s="207">
        <f>-BG75</f>
        <v>0</v>
      </c>
      <c r="BH168" s="255"/>
    </row>
    <row r="169" spans="1:60" s="2" customFormat="1" hidden="1" x14ac:dyDescent="0.2">
      <c r="A169" s="649"/>
      <c r="B169" s="492" t="s">
        <v>252</v>
      </c>
      <c r="C169" s="739" t="s">
        <v>199</v>
      </c>
      <c r="D169" s="753"/>
      <c r="E169" s="220" t="s">
        <v>258</v>
      </c>
      <c r="F169" s="220"/>
      <c r="G169" s="220"/>
      <c r="H169" s="221" t="s">
        <v>177</v>
      </c>
      <c r="I169" s="129"/>
      <c r="J169" s="243">
        <f>J167+J168</f>
        <v>0</v>
      </c>
      <c r="K169" s="294"/>
      <c r="L169" s="294"/>
      <c r="M169" s="243">
        <f>M167+M168</f>
        <v>0</v>
      </c>
      <c r="N169" s="100"/>
      <c r="O169" s="207">
        <f t="shared" ref="O169:W169" si="113">O167+O168</f>
        <v>0</v>
      </c>
      <c r="P169" s="207">
        <f t="shared" si="113"/>
        <v>0</v>
      </c>
      <c r="Q169" s="207">
        <f t="shared" si="113"/>
        <v>0</v>
      </c>
      <c r="R169" s="207"/>
      <c r="S169" s="207"/>
      <c r="T169" s="207"/>
      <c r="U169" s="207"/>
      <c r="V169" s="207"/>
      <c r="W169" s="207">
        <f t="shared" si="113"/>
        <v>0</v>
      </c>
      <c r="X169" s="128"/>
      <c r="Y169" s="243">
        <f>Y167+Y168</f>
        <v>0</v>
      </c>
      <c r="Z169" s="100"/>
      <c r="AA169" s="207">
        <f>AA167+AA168</f>
        <v>0</v>
      </c>
      <c r="AB169" s="207">
        <f>AB167+AB168</f>
        <v>0</v>
      </c>
      <c r="AC169" s="207">
        <f>AC167+AC168</f>
        <v>0</v>
      </c>
      <c r="AD169" s="335"/>
      <c r="AE169" s="335"/>
      <c r="AF169" s="335"/>
      <c r="AG169" s="335"/>
      <c r="AH169" s="335"/>
      <c r="AI169" s="207">
        <f>AI167+AI168</f>
        <v>0</v>
      </c>
      <c r="AJ169" s="128"/>
      <c r="AK169" s="243">
        <f>AK167+AK168</f>
        <v>0</v>
      </c>
      <c r="AL169" s="100"/>
      <c r="AM169" s="207">
        <f>AM167+AM168</f>
        <v>0</v>
      </c>
      <c r="AN169" s="207">
        <f>AN167+AN168</f>
        <v>0</v>
      </c>
      <c r="AO169" s="207">
        <f>AO167+AO168</f>
        <v>0</v>
      </c>
      <c r="AP169" s="335"/>
      <c r="AQ169" s="335"/>
      <c r="AR169" s="335"/>
      <c r="AS169" s="335"/>
      <c r="AT169" s="335"/>
      <c r="AU169" s="207">
        <f>AU167+AU168</f>
        <v>0</v>
      </c>
      <c r="AV169" s="128"/>
      <c r="AW169" s="243">
        <f>AW167+AW168</f>
        <v>0</v>
      </c>
      <c r="AX169" s="100"/>
      <c r="AY169" s="207">
        <f>AY167+AY168</f>
        <v>0</v>
      </c>
      <c r="AZ169" s="207">
        <f>AZ167+AZ168</f>
        <v>0</v>
      </c>
      <c r="BA169" s="207">
        <f>BA167+BA168</f>
        <v>0</v>
      </c>
      <c r="BB169" s="335"/>
      <c r="BC169" s="335"/>
      <c r="BD169" s="335"/>
      <c r="BE169" s="335"/>
      <c r="BF169" s="335"/>
      <c r="BG169" s="207">
        <f>BG167+BG168</f>
        <v>0</v>
      </c>
      <c r="BH169" s="255"/>
    </row>
    <row r="170" spans="1:60" s="2" customFormat="1" ht="18.75" x14ac:dyDescent="0.2">
      <c r="A170" s="649"/>
      <c r="B170" s="492" t="s">
        <v>252</v>
      </c>
      <c r="C170" s="739" t="s">
        <v>104</v>
      </c>
      <c r="D170" s="753"/>
      <c r="E170" s="310" t="s">
        <v>259</v>
      </c>
      <c r="F170" s="310"/>
      <c r="G170" s="310"/>
      <c r="H170" s="311"/>
      <c r="I170" s="312"/>
      <c r="J170" s="310"/>
      <c r="K170" s="313"/>
      <c r="L170" s="313"/>
      <c r="M170" s="310"/>
      <c r="N170" s="312"/>
      <c r="O170" s="312"/>
      <c r="P170" s="312"/>
      <c r="Q170" s="312"/>
      <c r="R170" s="312"/>
      <c r="S170" s="312"/>
      <c r="T170" s="312"/>
      <c r="U170" s="312"/>
      <c r="V170" s="312"/>
      <c r="W170" s="312"/>
      <c r="X170" s="313"/>
      <c r="Y170" s="310"/>
      <c r="Z170" s="312"/>
      <c r="AA170" s="312"/>
      <c r="AB170" s="312"/>
      <c r="AC170" s="312"/>
      <c r="AD170" s="312"/>
      <c r="AE170" s="312"/>
      <c r="AF170" s="312"/>
      <c r="AG170" s="312"/>
      <c r="AH170" s="312"/>
      <c r="AI170" s="312"/>
      <c r="AJ170" s="313"/>
      <c r="AK170" s="310"/>
      <c r="AL170" s="312"/>
      <c r="AM170" s="312"/>
      <c r="AN170" s="312"/>
      <c r="AO170" s="312"/>
      <c r="AP170" s="312"/>
      <c r="AQ170" s="312"/>
      <c r="AR170" s="312"/>
      <c r="AS170" s="312"/>
      <c r="AT170" s="312"/>
      <c r="AU170" s="312"/>
      <c r="AV170" s="313"/>
      <c r="AW170" s="310"/>
      <c r="AX170" s="312"/>
      <c r="AY170" s="312"/>
      <c r="AZ170" s="312"/>
      <c r="BA170" s="312"/>
      <c r="BB170" s="312"/>
      <c r="BC170" s="312"/>
      <c r="BD170" s="312"/>
      <c r="BE170" s="312"/>
      <c r="BF170" s="312"/>
      <c r="BG170" s="312"/>
    </row>
    <row r="171" spans="1:60" s="2" customFormat="1" hidden="1" x14ac:dyDescent="0.2">
      <c r="A171" s="649"/>
      <c r="B171" s="492" t="s">
        <v>252</v>
      </c>
      <c r="C171" s="739" t="s">
        <v>199</v>
      </c>
      <c r="D171" s="753"/>
      <c r="E171" s="220" t="s">
        <v>260</v>
      </c>
      <c r="F171" s="220"/>
      <c r="G171" s="220"/>
      <c r="H171" s="221" t="s">
        <v>220</v>
      </c>
      <c r="I171" s="129"/>
      <c r="J171" s="243">
        <f>M171+Y171+AK171+AW171</f>
        <v>0</v>
      </c>
      <c r="K171" s="294"/>
      <c r="L171" s="294"/>
      <c r="M171" s="306">
        <f>SUM(N171:X171)</f>
        <v>0</v>
      </c>
      <c r="N171" s="100"/>
      <c r="O171" s="308">
        <f>AND(O$81=gebouw,O$102=elektriciteit)*O$113+AND(O$81=gebouw,O$132=elektriciteit)*O$138+SUM(O$153:O$155)</f>
        <v>0</v>
      </c>
      <c r="P171" s="308">
        <f>AND(P$81=gebouw,P$102=elektriciteit)*P$113+AND(P$81=gebouw,P$132=elektriciteit)*P$138+SUM(P$153:P$155)</f>
        <v>0</v>
      </c>
      <c r="Q171" s="308">
        <f>AND(Q$81=gebouw,Q$102=elektriciteit)*Q$113+AND(Q$81=gebouw,Q$132=elektriciteit)*Q$138+SUM(Q$153:Q$155)</f>
        <v>0</v>
      </c>
      <c r="R171" s="308">
        <f>SUM(R$153:R$155)</f>
        <v>0</v>
      </c>
      <c r="S171" s="308">
        <f>SUM(S$153:S$155)</f>
        <v>0</v>
      </c>
      <c r="T171" s="335"/>
      <c r="U171" s="308">
        <f>SUM(U$153:U$155)</f>
        <v>0</v>
      </c>
      <c r="V171" s="308">
        <f>SUM(V$153:V$155)</f>
        <v>0</v>
      </c>
      <c r="W171" s="703"/>
      <c r="X171" s="133"/>
      <c r="Y171" s="306">
        <f>SUM(Z171:AJ171)</f>
        <v>0</v>
      </c>
      <c r="Z171" s="100"/>
      <c r="AA171" s="308">
        <f>AND(AA$81=gebouw,AA$102=elektriciteit)*AA$113+AND(AA$81=gebouw,AA$132=elektriciteit)*AA$138+SUM(AA$153:AA$155)</f>
        <v>0</v>
      </c>
      <c r="AB171" s="308">
        <f>AND(AB$81=gebouw,AB$102=elektriciteit)*AB$113+AND(AB$81=gebouw,AB$132=elektriciteit)*AB$138+SUM(AB$153:AB$155)</f>
        <v>0</v>
      </c>
      <c r="AC171" s="308">
        <f>AND(AC$81=gebouw,AC$102=elektriciteit)*AC$113+AND(AC$81=gebouw,AC$132=elektriciteit)*AC$138+SUM(AC$153:AC$155)</f>
        <v>0</v>
      </c>
      <c r="AD171" s="308">
        <f>SUM(AD$153:AD$155)</f>
        <v>0</v>
      </c>
      <c r="AE171" s="308">
        <f>SUM(AE$153:AE$155)</f>
        <v>0</v>
      </c>
      <c r="AF171" s="335"/>
      <c r="AG171" s="308">
        <f>SUM(AG$153:AG$155)</f>
        <v>0</v>
      </c>
      <c r="AH171" s="308">
        <f>SUM(AH$153:AH$155)</f>
        <v>0</v>
      </c>
      <c r="AI171" s="703"/>
      <c r="AJ171" s="133"/>
      <c r="AK171" s="306">
        <f>SUM(AL171:AV171)</f>
        <v>0</v>
      </c>
      <c r="AL171" s="100"/>
      <c r="AM171" s="308">
        <f>AND(AM$81=gebouw,AM$102=elektriciteit)*AM$113+AND(AM$81=gebouw,AM$132=elektriciteit)*AM$138+SUM(AM$153:AM$155)</f>
        <v>0</v>
      </c>
      <c r="AN171" s="308">
        <f>AND(AN$81=gebouw,AN$102=elektriciteit)*AN$113+AND(AN$81=gebouw,AN$132=elektriciteit)*AN$138+SUM(AN$153:AN$155)</f>
        <v>0</v>
      </c>
      <c r="AO171" s="308">
        <f>AND(AO$81=gebouw,AO$102=elektriciteit)*AO$113+AND(AO$81=gebouw,AO$132=elektriciteit)*AO$138+SUM(AO$153:AO$155)</f>
        <v>0</v>
      </c>
      <c r="AP171" s="308">
        <f>SUM(AP$153:AP$155)</f>
        <v>0</v>
      </c>
      <c r="AQ171" s="308">
        <f>SUM(AQ$153:AQ$155)</f>
        <v>0</v>
      </c>
      <c r="AR171" s="335"/>
      <c r="AS171" s="308">
        <f>SUM(AS$153:AS$155)</f>
        <v>0</v>
      </c>
      <c r="AT171" s="308">
        <f>SUM(AT$153:AT$155)</f>
        <v>0</v>
      </c>
      <c r="AU171" s="703"/>
      <c r="AV171" s="133"/>
      <c r="AW171" s="306">
        <f>SUM(AX171:BH171)</f>
        <v>0</v>
      </c>
      <c r="AX171" s="100"/>
      <c r="AY171" s="308">
        <f>AND(AY$81=gebouw,AY$102=elektriciteit)*AY$113+AND(AY$81=gebouw,AY$132=elektriciteit)*AY$138+SUM(AY$153:AY$155)</f>
        <v>0</v>
      </c>
      <c r="AZ171" s="308">
        <f>AND(AZ$81=gebouw,AZ$102=elektriciteit)*AZ$113+AND(AZ$81=gebouw,AZ$132=elektriciteit)*AZ$138+SUM(AZ$153:AZ$155)</f>
        <v>0</v>
      </c>
      <c r="BA171" s="308">
        <f>AND(BA$81=gebouw,BA$102=elektriciteit)*BA$113+AND(BA$81=gebouw,BA$132=elektriciteit)*BA$138+SUM(BA$153:BA$155)</f>
        <v>0</v>
      </c>
      <c r="BB171" s="308">
        <f>SUM(BB$153:BB$155)</f>
        <v>0</v>
      </c>
      <c r="BC171" s="308">
        <f>SUM(BC$153:BC$155)</f>
        <v>0</v>
      </c>
      <c r="BD171" s="308"/>
      <c r="BE171" s="308">
        <f>SUM(BE$153:BE$155)</f>
        <v>0</v>
      </c>
      <c r="BF171" s="308">
        <f>SUM(BF$153:BF$155)</f>
        <v>0</v>
      </c>
      <c r="BG171" s="703"/>
      <c r="BH171" s="267"/>
    </row>
    <row r="172" spans="1:60" s="2" customFormat="1" hidden="1" x14ac:dyDescent="0.2">
      <c r="A172" s="649"/>
      <c r="B172" s="492" t="s">
        <v>252</v>
      </c>
      <c r="C172" s="739" t="s">
        <v>199</v>
      </c>
      <c r="D172" s="753"/>
      <c r="E172" s="220" t="s">
        <v>261</v>
      </c>
      <c r="F172" s="220"/>
      <c r="G172" s="220"/>
      <c r="H172" s="221" t="s">
        <v>220</v>
      </c>
      <c r="I172" s="129"/>
      <c r="J172" s="243">
        <f>M172+Y172+AK172+AW172</f>
        <v>0</v>
      </c>
      <c r="K172" s="294"/>
      <c r="L172" s="294"/>
      <c r="M172" s="306">
        <f>MIN(M171,M169)</f>
        <v>0</v>
      </c>
      <c r="N172" s="100"/>
      <c r="O172" s="703"/>
      <c r="P172" s="703"/>
      <c r="Q172" s="703"/>
      <c r="R172" s="703"/>
      <c r="S172" s="703"/>
      <c r="T172" s="703"/>
      <c r="U172" s="703"/>
      <c r="V172" s="703"/>
      <c r="W172" s="703"/>
      <c r="X172" s="133"/>
      <c r="Y172" s="306">
        <f>MIN(Y171,Y169)</f>
        <v>0</v>
      </c>
      <c r="Z172" s="100"/>
      <c r="AA172" s="703"/>
      <c r="AB172" s="703"/>
      <c r="AC172" s="703"/>
      <c r="AD172" s="703"/>
      <c r="AE172" s="703"/>
      <c r="AF172" s="703"/>
      <c r="AG172" s="703"/>
      <c r="AH172" s="703"/>
      <c r="AI172" s="703"/>
      <c r="AJ172" s="133"/>
      <c r="AK172" s="306">
        <f>MIN(AK171,AK169)</f>
        <v>0</v>
      </c>
      <c r="AL172" s="100"/>
      <c r="AM172" s="703"/>
      <c r="AN172" s="703"/>
      <c r="AO172" s="703"/>
      <c r="AP172" s="703"/>
      <c r="AQ172" s="703"/>
      <c r="AR172" s="703"/>
      <c r="AS172" s="703"/>
      <c r="AT172" s="703"/>
      <c r="AU172" s="703"/>
      <c r="AV172" s="133"/>
      <c r="AW172" s="306">
        <f>MIN(AW171,AW169)</f>
        <v>0</v>
      </c>
      <c r="AX172" s="100"/>
      <c r="AY172" s="703"/>
      <c r="AZ172" s="703"/>
      <c r="BA172" s="703"/>
      <c r="BB172" s="703"/>
      <c r="BC172" s="703"/>
      <c r="BD172" s="703"/>
      <c r="BE172" s="703"/>
      <c r="BF172" s="703"/>
      <c r="BG172" s="703"/>
      <c r="BH172" s="267"/>
    </row>
    <row r="173" spans="1:60" s="2" customFormat="1" hidden="1" x14ac:dyDescent="0.2">
      <c r="A173" s="649"/>
      <c r="B173" s="492" t="s">
        <v>252</v>
      </c>
      <c r="C173" s="739" t="s">
        <v>199</v>
      </c>
      <c r="D173" s="753"/>
      <c r="E173" s="220" t="s">
        <v>262</v>
      </c>
      <c r="F173" s="220"/>
      <c r="G173" s="220"/>
      <c r="H173" s="221" t="s">
        <v>220</v>
      </c>
      <c r="I173" s="129"/>
      <c r="J173" s="243">
        <f>M173+Y173+AK173+AW173</f>
        <v>0</v>
      </c>
      <c r="K173" s="294"/>
      <c r="L173" s="294"/>
      <c r="M173" s="306">
        <f>MAX(0,M169-M172)</f>
        <v>0</v>
      </c>
      <c r="N173" s="100"/>
      <c r="O173" s="703"/>
      <c r="P173" s="703"/>
      <c r="Q173" s="703"/>
      <c r="R173" s="703"/>
      <c r="S173" s="703"/>
      <c r="T173" s="703"/>
      <c r="U173" s="703"/>
      <c r="V173" s="703"/>
      <c r="W173" s="703"/>
      <c r="X173" s="133"/>
      <c r="Y173" s="306">
        <f>MAX(0,Y167+Y168-Y172)</f>
        <v>0</v>
      </c>
      <c r="Z173" s="100"/>
      <c r="AA173" s="703"/>
      <c r="AB173" s="703"/>
      <c r="AC173" s="703"/>
      <c r="AD173" s="703"/>
      <c r="AE173" s="703"/>
      <c r="AF173" s="703"/>
      <c r="AG173" s="703"/>
      <c r="AH173" s="703"/>
      <c r="AI173" s="703"/>
      <c r="AJ173" s="133"/>
      <c r="AK173" s="306">
        <f>MAX(0,AK167+AK168-AK172)</f>
        <v>0</v>
      </c>
      <c r="AL173" s="100"/>
      <c r="AM173" s="703"/>
      <c r="AN173" s="703"/>
      <c r="AO173" s="703"/>
      <c r="AP173" s="703"/>
      <c r="AQ173" s="703"/>
      <c r="AR173" s="703"/>
      <c r="AS173" s="703"/>
      <c r="AT173" s="703"/>
      <c r="AU173" s="703"/>
      <c r="AV173" s="133"/>
      <c r="AW173" s="306">
        <f>MAX(0,AW167+AW168-AW172)</f>
        <v>0</v>
      </c>
      <c r="AX173" s="100"/>
      <c r="AY173" s="703"/>
      <c r="AZ173" s="703"/>
      <c r="BA173" s="703"/>
      <c r="BB173" s="703"/>
      <c r="BC173" s="703"/>
      <c r="BD173" s="703"/>
      <c r="BE173" s="703"/>
      <c r="BF173" s="703"/>
      <c r="BG173" s="703"/>
      <c r="BH173" s="267"/>
    </row>
    <row r="174" spans="1:60" s="2" customFormat="1" ht="18.75" x14ac:dyDescent="0.2">
      <c r="A174" s="649"/>
      <c r="B174" s="492" t="s">
        <v>252</v>
      </c>
      <c r="C174" s="739" t="s">
        <v>104</v>
      </c>
      <c r="D174" s="753"/>
      <c r="E174" s="310" t="s">
        <v>263</v>
      </c>
      <c r="F174" s="310"/>
      <c r="G174" s="310"/>
      <c r="H174" s="311"/>
      <c r="I174" s="312"/>
      <c r="J174" s="310"/>
      <c r="K174" s="313"/>
      <c r="L174" s="313"/>
      <c r="M174" s="310"/>
      <c r="N174" s="312"/>
      <c r="O174" s="312"/>
      <c r="P174" s="312"/>
      <c r="Q174" s="312"/>
      <c r="R174" s="312"/>
      <c r="S174" s="312"/>
      <c r="T174" s="312"/>
      <c r="U174" s="312"/>
      <c r="V174" s="312"/>
      <c r="W174" s="312"/>
      <c r="X174" s="313"/>
      <c r="Y174" s="310"/>
      <c r="Z174" s="312"/>
      <c r="AA174" s="312"/>
      <c r="AB174" s="312"/>
      <c r="AC174" s="312"/>
      <c r="AD174" s="312"/>
      <c r="AE174" s="312"/>
      <c r="AF174" s="312"/>
      <c r="AG174" s="312"/>
      <c r="AH174" s="312"/>
      <c r="AI174" s="312"/>
      <c r="AJ174" s="313"/>
      <c r="AK174" s="310"/>
      <c r="AL174" s="312"/>
      <c r="AM174" s="312"/>
      <c r="AN174" s="312"/>
      <c r="AO174" s="312"/>
      <c r="AP174" s="312"/>
      <c r="AQ174" s="312"/>
      <c r="AR174" s="312"/>
      <c r="AS174" s="312"/>
      <c r="AT174" s="312"/>
      <c r="AU174" s="312"/>
      <c r="AV174" s="313"/>
      <c r="AW174" s="310"/>
      <c r="AX174" s="312"/>
      <c r="AY174" s="312"/>
      <c r="AZ174" s="312"/>
      <c r="BA174" s="312"/>
      <c r="BB174" s="312"/>
      <c r="BC174" s="312"/>
      <c r="BD174" s="312"/>
      <c r="BE174" s="312"/>
      <c r="BF174" s="312"/>
      <c r="BG174" s="312"/>
    </row>
    <row r="175" spans="1:60" s="2" customFormat="1" hidden="1" x14ac:dyDescent="0.2">
      <c r="A175" s="649"/>
      <c r="B175" s="492" t="s">
        <v>252</v>
      </c>
      <c r="C175" s="739" t="s">
        <v>199</v>
      </c>
      <c r="D175" s="753"/>
      <c r="E175" s="220" t="s">
        <v>264</v>
      </c>
      <c r="F175" s="220"/>
      <c r="G175" s="220"/>
      <c r="H175" s="221" t="s">
        <v>223</v>
      </c>
      <c r="I175" s="129"/>
      <c r="J175" s="230"/>
      <c r="K175" s="90"/>
      <c r="L175" s="90"/>
      <c r="M175" s="307">
        <f>$G$5</f>
        <v>1.45</v>
      </c>
      <c r="N175" s="129"/>
      <c r="O175" s="401"/>
      <c r="P175" s="401"/>
      <c r="Q175" s="401"/>
      <c r="R175" s="401"/>
      <c r="S175" s="401"/>
      <c r="T175" s="401"/>
      <c r="U175" s="401"/>
      <c r="V175" s="401"/>
      <c r="W175" s="401"/>
      <c r="X175" s="123"/>
      <c r="Y175" s="307">
        <f>$G$5</f>
        <v>1.45</v>
      </c>
      <c r="Z175" s="129"/>
      <c r="AA175" s="401"/>
      <c r="AB175" s="401"/>
      <c r="AC175" s="401"/>
      <c r="AD175" s="401"/>
      <c r="AE175" s="401"/>
      <c r="AF175" s="401"/>
      <c r="AG175" s="401"/>
      <c r="AH175" s="401"/>
      <c r="AI175" s="401"/>
      <c r="AJ175" s="123"/>
      <c r="AK175" s="307">
        <f>$G$5</f>
        <v>1.45</v>
      </c>
      <c r="AL175" s="129"/>
      <c r="AM175" s="401"/>
      <c r="AN175" s="401"/>
      <c r="AO175" s="401"/>
      <c r="AP175" s="401"/>
      <c r="AQ175" s="401"/>
      <c r="AR175" s="401"/>
      <c r="AS175" s="401"/>
      <c r="AT175" s="401"/>
      <c r="AU175" s="401"/>
      <c r="AV175" s="123"/>
      <c r="AW175" s="307">
        <f>$G$5</f>
        <v>1.45</v>
      </c>
      <c r="AX175" s="129"/>
      <c r="AY175" s="401"/>
      <c r="AZ175" s="401"/>
      <c r="BA175" s="401"/>
      <c r="BB175" s="401"/>
      <c r="BC175" s="401"/>
      <c r="BD175" s="401"/>
      <c r="BE175" s="401"/>
      <c r="BF175" s="401"/>
      <c r="BG175" s="401"/>
      <c r="BH175" s="264"/>
    </row>
    <row r="176" spans="1:60" s="2" customFormat="1" hidden="1" x14ac:dyDescent="0.2">
      <c r="A176" s="649"/>
      <c r="B176" s="492" t="s">
        <v>252</v>
      </c>
      <c r="C176" s="739" t="s">
        <v>199</v>
      </c>
      <c r="D176" s="753"/>
      <c r="E176" s="220" t="s">
        <v>265</v>
      </c>
      <c r="F176" s="220"/>
      <c r="G176" s="220"/>
      <c r="H176" s="221" t="s">
        <v>223</v>
      </c>
      <c r="I176" s="129"/>
      <c r="J176" s="230"/>
      <c r="K176" s="90"/>
      <c r="L176" s="90"/>
      <c r="M176" s="307">
        <f>HLOOKUP($F$5,elektriciteit_primaire_energiefactor,ROWS(bibliotheek!$E$261:$E$263),FALSE)</f>
        <v>1.45</v>
      </c>
      <c r="N176" s="129"/>
      <c r="O176" s="401"/>
      <c r="P176" s="401"/>
      <c r="Q176" s="401"/>
      <c r="R176" s="401"/>
      <c r="S176" s="401"/>
      <c r="T176" s="401"/>
      <c r="U176" s="401"/>
      <c r="V176" s="401"/>
      <c r="W176" s="401"/>
      <c r="X176" s="123"/>
      <c r="Y176" s="307">
        <f>HLOOKUP($F$5,elektriciteit_primaire_energiefactor,ROWS(bibliotheek!$E$261:$E$263),FALSE)</f>
        <v>1.45</v>
      </c>
      <c r="Z176" s="129"/>
      <c r="AA176" s="401"/>
      <c r="AB176" s="401"/>
      <c r="AC176" s="401"/>
      <c r="AD176" s="401"/>
      <c r="AE176" s="401"/>
      <c r="AF176" s="401"/>
      <c r="AG176" s="401"/>
      <c r="AH176" s="401"/>
      <c r="AI176" s="401"/>
      <c r="AJ176" s="123"/>
      <c r="AK176" s="307">
        <f>HLOOKUP($F$5,elektriciteit_primaire_energiefactor,ROWS(bibliotheek!$E$261:$E$263),FALSE)</f>
        <v>1.45</v>
      </c>
      <c r="AL176" s="129"/>
      <c r="AM176" s="401"/>
      <c r="AN176" s="401"/>
      <c r="AO176" s="401"/>
      <c r="AP176" s="401"/>
      <c r="AQ176" s="401"/>
      <c r="AR176" s="401"/>
      <c r="AS176" s="401"/>
      <c r="AT176" s="401"/>
      <c r="AU176" s="401"/>
      <c r="AV176" s="123"/>
      <c r="AW176" s="307">
        <f>HLOOKUP($F$5,elektriciteit_primaire_energiefactor,ROWS(bibliotheek!$E$261:$E$263),FALSE)</f>
        <v>1.45</v>
      </c>
      <c r="AX176" s="129"/>
      <c r="AY176" s="401"/>
      <c r="AZ176" s="401"/>
      <c r="BA176" s="401"/>
      <c r="BB176" s="401"/>
      <c r="BC176" s="401"/>
      <c r="BD176" s="401"/>
      <c r="BE176" s="401"/>
      <c r="BF176" s="401"/>
      <c r="BG176" s="401"/>
      <c r="BH176" s="264"/>
    </row>
    <row r="177" spans="1:60" s="2" customFormat="1" x14ac:dyDescent="0.2">
      <c r="A177" s="649"/>
      <c r="B177" s="492" t="s">
        <v>252</v>
      </c>
      <c r="C177" s="739" t="s">
        <v>113</v>
      </c>
      <c r="D177" s="754"/>
      <c r="E177" s="220" t="s">
        <v>266</v>
      </c>
      <c r="F177" s="221"/>
      <c r="G177" s="221"/>
      <c r="H177" s="221" t="s">
        <v>115</v>
      </c>
      <c r="I177" s="129"/>
      <c r="J177" s="243">
        <f>M177+Y177+AK177+AW177</f>
        <v>0</v>
      </c>
      <c r="K177" s="823"/>
      <c r="L177" s="823"/>
      <c r="M177" s="306">
        <f>(M172*M175+M173*M176)</f>
        <v>0</v>
      </c>
      <c r="N177" s="100"/>
      <c r="O177" s="207">
        <f>IF($M$169=0,0,O$169/$M$169*$M177)</f>
        <v>0</v>
      </c>
      <c r="P177" s="207">
        <f>IF($M$169=0,0,P$169/$M$169*$M177)</f>
        <v>0</v>
      </c>
      <c r="Q177" s="207">
        <f>IF($M$169=0,0,Q$169/$M$169*$M177)</f>
        <v>0</v>
      </c>
      <c r="R177" s="335"/>
      <c r="S177" s="335"/>
      <c r="T177" s="335"/>
      <c r="U177" s="335"/>
      <c r="V177" s="335"/>
      <c r="W177" s="207">
        <f>IF($M$169=0,0,W$169/$M$169*$M177)</f>
        <v>0</v>
      </c>
      <c r="X177" s="128"/>
      <c r="Y177" s="306">
        <f>(Y172*Y175+Y173*Y176)</f>
        <v>0</v>
      </c>
      <c r="Z177" s="100"/>
      <c r="AA177" s="207">
        <f>IF($Y$169=0,0,AA$169/$Y$169*$Y177)</f>
        <v>0</v>
      </c>
      <c r="AB177" s="207">
        <f>IF($Y$169=0,0,AB$169/$Y$169*$Y177)</f>
        <v>0</v>
      </c>
      <c r="AC177" s="207">
        <f>IF($Y$169=0,0,AC$169/$Y$169*$Y177)</f>
        <v>0</v>
      </c>
      <c r="AD177" s="335"/>
      <c r="AE177" s="335"/>
      <c r="AF177" s="335"/>
      <c r="AG177" s="335"/>
      <c r="AH177" s="335"/>
      <c r="AI177" s="207">
        <f>IF($Y$169=0,0,AI$169/$Y$169*$Y177)</f>
        <v>0</v>
      </c>
      <c r="AJ177" s="128"/>
      <c r="AK177" s="306">
        <f>(AK172*AK175+AK173*AK176)</f>
        <v>0</v>
      </c>
      <c r="AL177" s="100"/>
      <c r="AM177" s="207">
        <f>IF($AK$169=0,0,AM$169/$AK$169*$AK177)</f>
        <v>0</v>
      </c>
      <c r="AN177" s="207">
        <f>IF($AK$169=0,0,AN$169/$AK$169*$AK177)</f>
        <v>0</v>
      </c>
      <c r="AO177" s="207">
        <f>IF($AK$169=0,0,AO$169/$AK$169*$AK177)</f>
        <v>0</v>
      </c>
      <c r="AP177" s="335"/>
      <c r="AQ177" s="335"/>
      <c r="AR177" s="335"/>
      <c r="AS177" s="335"/>
      <c r="AT177" s="335"/>
      <c r="AU177" s="207">
        <f>IF($AK$169=0,0,AU$169/$AK$169*$AK177)</f>
        <v>0</v>
      </c>
      <c r="AV177" s="128"/>
      <c r="AW177" s="306">
        <f>(AW172*AW175+AW173*AW176)</f>
        <v>0</v>
      </c>
      <c r="AX177" s="100"/>
      <c r="AY177" s="207">
        <f>IF($AW$169=0,0,AY$169/$AW$169*$AW177)</f>
        <v>0</v>
      </c>
      <c r="AZ177" s="207">
        <f>IF($AW$169=0,0,AZ$169/$AW$169*$AW177)</f>
        <v>0</v>
      </c>
      <c r="BA177" s="207">
        <f>IF($AW$169=0,0,BA$169/$AW$169*$AW177)</f>
        <v>0</v>
      </c>
      <c r="BB177" s="335"/>
      <c r="BC177" s="335"/>
      <c r="BD177" s="335"/>
      <c r="BE177" s="335"/>
      <c r="BF177" s="335"/>
      <c r="BG177" s="207">
        <f>IF($AW$169=0,0,BG$169/$AW$169*$AW177)</f>
        <v>0</v>
      </c>
      <c r="BH177" s="255"/>
    </row>
    <row r="178" spans="1:60" s="2" customFormat="1" ht="18.75" x14ac:dyDescent="0.2">
      <c r="A178" s="649"/>
      <c r="B178" s="492" t="s">
        <v>252</v>
      </c>
      <c r="C178" s="739" t="s">
        <v>104</v>
      </c>
      <c r="D178" s="753"/>
      <c r="E178" s="310" t="s">
        <v>267</v>
      </c>
      <c r="F178" s="310"/>
      <c r="G178" s="310"/>
      <c r="H178" s="311"/>
      <c r="I178" s="312"/>
      <c r="J178" s="310"/>
      <c r="K178" s="313"/>
      <c r="L178" s="313"/>
      <c r="M178" s="310"/>
      <c r="N178" s="312"/>
      <c r="O178" s="312"/>
      <c r="P178" s="312"/>
      <c r="Q178" s="312"/>
      <c r="R178" s="312"/>
      <c r="S178" s="312"/>
      <c r="T178" s="312"/>
      <c r="U178" s="312"/>
      <c r="V178" s="312"/>
      <c r="W178" s="312"/>
      <c r="X178" s="313"/>
      <c r="Y178" s="310"/>
      <c r="Z178" s="312"/>
      <c r="AA178" s="312"/>
      <c r="AB178" s="312"/>
      <c r="AC178" s="312"/>
      <c r="AD178" s="312"/>
      <c r="AE178" s="312"/>
      <c r="AF178" s="312"/>
      <c r="AG178" s="312"/>
      <c r="AH178" s="312"/>
      <c r="AI178" s="312"/>
      <c r="AJ178" s="313"/>
      <c r="AK178" s="310"/>
      <c r="AL178" s="312"/>
      <c r="AM178" s="312"/>
      <c r="AN178" s="312"/>
      <c r="AO178" s="312"/>
      <c r="AP178" s="312"/>
      <c r="AQ178" s="312"/>
      <c r="AR178" s="312"/>
      <c r="AS178" s="312"/>
      <c r="AT178" s="312"/>
      <c r="AU178" s="312"/>
      <c r="AV178" s="313"/>
      <c r="AW178" s="310"/>
      <c r="AX178" s="312"/>
      <c r="AY178" s="312"/>
      <c r="AZ178" s="312"/>
      <c r="BA178" s="312"/>
      <c r="BB178" s="312"/>
      <c r="BC178" s="312"/>
      <c r="BD178" s="312"/>
      <c r="BE178" s="312"/>
      <c r="BF178" s="312"/>
      <c r="BG178" s="312"/>
    </row>
    <row r="179" spans="1:60" s="2" customFormat="1" hidden="1" x14ac:dyDescent="0.2">
      <c r="A179" s="649"/>
      <c r="B179" s="492" t="s">
        <v>252</v>
      </c>
      <c r="C179" s="739" t="s">
        <v>199</v>
      </c>
      <c r="D179" s="753"/>
      <c r="E179" s="220" t="s">
        <v>268</v>
      </c>
      <c r="F179" s="220"/>
      <c r="G179" s="220"/>
      <c r="H179" s="221" t="s">
        <v>226</v>
      </c>
      <c r="I179" s="129"/>
      <c r="J179" s="230"/>
      <c r="K179" s="90"/>
      <c r="L179" s="90"/>
      <c r="M179" s="425">
        <f>$H$5</f>
        <v>0.34</v>
      </c>
      <c r="N179" s="424"/>
      <c r="O179" s="402"/>
      <c r="P179" s="402"/>
      <c r="Q179" s="402"/>
      <c r="R179" s="402"/>
      <c r="S179" s="402"/>
      <c r="T179" s="402"/>
      <c r="U179" s="402"/>
      <c r="V179" s="402"/>
      <c r="W179" s="402"/>
      <c r="X179" s="426"/>
      <c r="Y179" s="425">
        <f>$H$5</f>
        <v>0.34</v>
      </c>
      <c r="Z179" s="424"/>
      <c r="AA179" s="402"/>
      <c r="AB179" s="402"/>
      <c r="AC179" s="402"/>
      <c r="AD179" s="402"/>
      <c r="AE179" s="402"/>
      <c r="AF179" s="402"/>
      <c r="AG179" s="402"/>
      <c r="AH179" s="402"/>
      <c r="AI179" s="402"/>
      <c r="AJ179" s="426"/>
      <c r="AK179" s="425">
        <f>$H$5</f>
        <v>0.34</v>
      </c>
      <c r="AL179" s="424"/>
      <c r="AM179" s="402"/>
      <c r="AN179" s="402"/>
      <c r="AO179" s="402"/>
      <c r="AP179" s="402"/>
      <c r="AQ179" s="402"/>
      <c r="AR179" s="402"/>
      <c r="AS179" s="402"/>
      <c r="AT179" s="402"/>
      <c r="AU179" s="402"/>
      <c r="AV179" s="426"/>
      <c r="AW179" s="425">
        <f>$H$5</f>
        <v>0.34</v>
      </c>
      <c r="AX179" s="129"/>
      <c r="AY179" s="401"/>
      <c r="AZ179" s="401"/>
      <c r="BA179" s="401"/>
      <c r="BB179" s="401"/>
      <c r="BC179" s="401"/>
      <c r="BD179" s="401"/>
      <c r="BE179" s="401"/>
      <c r="BF179" s="401"/>
      <c r="BG179" s="401"/>
      <c r="BH179" s="264"/>
    </row>
    <row r="180" spans="1:60" s="2" customFormat="1" hidden="1" x14ac:dyDescent="0.2">
      <c r="A180" s="649"/>
      <c r="B180" s="492" t="s">
        <v>252</v>
      </c>
      <c r="C180" s="739" t="s">
        <v>199</v>
      </c>
      <c r="D180" s="753"/>
      <c r="E180" s="220" t="s">
        <v>269</v>
      </c>
      <c r="F180" s="220"/>
      <c r="G180" s="220"/>
      <c r="H180" s="221" t="s">
        <v>226</v>
      </c>
      <c r="I180" s="129"/>
      <c r="J180" s="230"/>
      <c r="K180" s="90"/>
      <c r="L180" s="90"/>
      <c r="M180" s="425">
        <f>HLOOKUP($F$5,elektriciteit_primaire_energiefactor,ROWS(bibliotheek!$E$261:$E$265),FALSE)</f>
        <v>0.34</v>
      </c>
      <c r="N180" s="424"/>
      <c r="O180" s="402"/>
      <c r="P180" s="402"/>
      <c r="Q180" s="402"/>
      <c r="R180" s="402"/>
      <c r="S180" s="402"/>
      <c r="T180" s="402"/>
      <c r="U180" s="402"/>
      <c r="V180" s="402"/>
      <c r="W180" s="402"/>
      <c r="X180" s="426"/>
      <c r="Y180" s="425">
        <f>HLOOKUP($F$5,elektriciteit_primaire_energiefactor,ROWS(bibliotheek!$E$261:$E$265),FALSE)</f>
        <v>0.34</v>
      </c>
      <c r="Z180" s="424"/>
      <c r="AA180" s="402"/>
      <c r="AB180" s="402"/>
      <c r="AC180" s="402"/>
      <c r="AD180" s="402"/>
      <c r="AE180" s="402"/>
      <c r="AF180" s="402"/>
      <c r="AG180" s="402"/>
      <c r="AH180" s="402"/>
      <c r="AI180" s="402"/>
      <c r="AJ180" s="426"/>
      <c r="AK180" s="425">
        <f>HLOOKUP($F$5,elektriciteit_primaire_energiefactor,ROWS(bibliotheek!$E$261:$E$265),FALSE)</f>
        <v>0.34</v>
      </c>
      <c r="AL180" s="424"/>
      <c r="AM180" s="402"/>
      <c r="AN180" s="402"/>
      <c r="AO180" s="402"/>
      <c r="AP180" s="402"/>
      <c r="AQ180" s="402"/>
      <c r="AR180" s="402"/>
      <c r="AS180" s="402"/>
      <c r="AT180" s="402"/>
      <c r="AU180" s="402"/>
      <c r="AV180" s="426"/>
      <c r="AW180" s="425">
        <f>HLOOKUP($F$5,elektriciteit_primaire_energiefactor,ROWS(bibliotheek!$E$261:$E$265),FALSE)</f>
        <v>0.34</v>
      </c>
      <c r="AX180" s="129"/>
      <c r="AY180" s="401"/>
      <c r="AZ180" s="401"/>
      <c r="BA180" s="401"/>
      <c r="BB180" s="401"/>
      <c r="BC180" s="401"/>
      <c r="BD180" s="401"/>
      <c r="BE180" s="401"/>
      <c r="BF180" s="401"/>
      <c r="BG180" s="401"/>
      <c r="BH180" s="264"/>
    </row>
    <row r="181" spans="1:60" s="2" customFormat="1" x14ac:dyDescent="0.2">
      <c r="A181" s="649"/>
      <c r="B181" s="492" t="s">
        <v>252</v>
      </c>
      <c r="C181" s="739" t="s">
        <v>113</v>
      </c>
      <c r="D181" s="753"/>
      <c r="E181" s="220" t="s">
        <v>270</v>
      </c>
      <c r="F181" s="221"/>
      <c r="G181" s="221"/>
      <c r="H181" s="221" t="s">
        <v>228</v>
      </c>
      <c r="I181" s="129"/>
      <c r="J181" s="243">
        <f>M181+Y181+AK181+AW181</f>
        <v>0</v>
      </c>
      <c r="K181" s="823"/>
      <c r="L181" s="823"/>
      <c r="M181" s="243">
        <f>M172*M179+M173*M180</f>
        <v>0</v>
      </c>
      <c r="N181" s="100"/>
      <c r="O181" s="207">
        <f>IF($M$169=0,0,O$169/$M$169*$M181)</f>
        <v>0</v>
      </c>
      <c r="P181" s="207">
        <f>IF($M$169=0,0,P$169/$M$169*$M181)</f>
        <v>0</v>
      </c>
      <c r="Q181" s="207">
        <f>IF($M$169=0,0,Q$169/$M$169*$M181)</f>
        <v>0</v>
      </c>
      <c r="R181" s="335"/>
      <c r="S181" s="335"/>
      <c r="T181" s="335"/>
      <c r="U181" s="335"/>
      <c r="V181" s="335"/>
      <c r="W181" s="207">
        <f>IF($M$169=0,0,W$169/$M$169*$M181)</f>
        <v>0</v>
      </c>
      <c r="X181" s="128"/>
      <c r="Y181" s="243">
        <f>Y172*Y179+Y173*Y180</f>
        <v>0</v>
      </c>
      <c r="Z181" s="100"/>
      <c r="AA181" s="207">
        <f>IF($Y$169=0,0,AA$169/$Y$169*$Y181)</f>
        <v>0</v>
      </c>
      <c r="AB181" s="207">
        <f>IF($Y$169=0,0,AB$169/$Y$169*$Y181)</f>
        <v>0</v>
      </c>
      <c r="AC181" s="207">
        <f>IF($Y$169=0,0,AC$169/$Y$169*$Y181)</f>
        <v>0</v>
      </c>
      <c r="AD181" s="335"/>
      <c r="AE181" s="335"/>
      <c r="AF181" s="335"/>
      <c r="AG181" s="335"/>
      <c r="AH181" s="335"/>
      <c r="AI181" s="207">
        <f>IF($Y$169=0,0,AI$169/$Y$169*$Y181)</f>
        <v>0</v>
      </c>
      <c r="AJ181" s="128"/>
      <c r="AK181" s="243">
        <f>AK172*AK179+AK173*AK180</f>
        <v>0</v>
      </c>
      <c r="AL181" s="100"/>
      <c r="AM181" s="207">
        <f>IF($AK$169=0,0,AM$169/$AK$169*$AK181)</f>
        <v>0</v>
      </c>
      <c r="AN181" s="207">
        <f>IF($AK$169=0,0,AN$169/$AK$169*$AK181)</f>
        <v>0</v>
      </c>
      <c r="AO181" s="207">
        <f>IF($AK$169=0,0,AO$169/$AK$169*$AK181)</f>
        <v>0</v>
      </c>
      <c r="AP181" s="335"/>
      <c r="AQ181" s="335"/>
      <c r="AR181" s="335"/>
      <c r="AS181" s="335"/>
      <c r="AT181" s="335"/>
      <c r="AU181" s="207">
        <f>IF($AK$169=0,0,AU$169/$AK$169*$AK181)</f>
        <v>0</v>
      </c>
      <c r="AV181" s="128"/>
      <c r="AW181" s="243">
        <f>AW172*AW179+AW173*AW180</f>
        <v>0</v>
      </c>
      <c r="AX181" s="100"/>
      <c r="AY181" s="207">
        <f>IF($AW$169=0,0,AY$169/$AW$169*$AW181)</f>
        <v>0</v>
      </c>
      <c r="AZ181" s="207">
        <f>IF($AW$169=0,0,AZ$169/$AW$169*$AW181)</f>
        <v>0</v>
      </c>
      <c r="BA181" s="207">
        <f>IF($AW$169=0,0,BA$169/$AW$169*$AW181)</f>
        <v>0</v>
      </c>
      <c r="BB181" s="335"/>
      <c r="BC181" s="335"/>
      <c r="BD181" s="335"/>
      <c r="BE181" s="335"/>
      <c r="BF181" s="335"/>
      <c r="BG181" s="207">
        <f>IF($AW$169=0,0,BG$169/$AW$169*$AW181)</f>
        <v>0</v>
      </c>
      <c r="BH181" s="255"/>
    </row>
    <row r="182" spans="1:60" x14ac:dyDescent="0.2">
      <c r="A182" s="648"/>
      <c r="B182" s="492" t="s">
        <v>252</v>
      </c>
      <c r="C182" s="739" t="s">
        <v>104</v>
      </c>
      <c r="D182" s="747"/>
      <c r="E182" s="90"/>
      <c r="F182" s="90"/>
      <c r="G182" s="90"/>
      <c r="H182" s="96"/>
      <c r="I182" s="90"/>
      <c r="J182" s="93"/>
      <c r="K182" s="90"/>
      <c r="L182" s="90"/>
      <c r="M182" s="93"/>
      <c r="N182" s="90"/>
      <c r="O182" s="122"/>
      <c r="P182" s="122"/>
      <c r="Q182" s="122"/>
      <c r="R182" s="93"/>
      <c r="S182" s="93"/>
      <c r="T182" s="93"/>
      <c r="U182" s="93"/>
      <c r="V182" s="93"/>
      <c r="W182" s="93"/>
      <c r="X182" s="93"/>
      <c r="Y182" s="93"/>
      <c r="Z182" s="90"/>
      <c r="AA182" s="122"/>
      <c r="AB182" s="122"/>
      <c r="AC182" s="122"/>
      <c r="AD182" s="93"/>
      <c r="AE182" s="93"/>
      <c r="AF182" s="93"/>
      <c r="AG182" s="93"/>
      <c r="AH182" s="93"/>
      <c r="AI182" s="93"/>
      <c r="AJ182" s="93"/>
      <c r="AK182" s="93"/>
      <c r="AL182" s="90"/>
      <c r="AM182" s="122"/>
      <c r="AN182" s="122"/>
      <c r="AO182" s="122"/>
      <c r="AP182" s="93"/>
      <c r="AQ182" s="93"/>
      <c r="AR182" s="93"/>
      <c r="AS182" s="93"/>
      <c r="AT182" s="93"/>
      <c r="AU182" s="93"/>
      <c r="AV182" s="93"/>
      <c r="AW182" s="93"/>
      <c r="AX182" s="90"/>
      <c r="AY182" s="122"/>
      <c r="AZ182" s="122"/>
      <c r="BA182" s="122"/>
      <c r="BB182" s="122"/>
      <c r="BC182" s="122"/>
      <c r="BD182" s="122"/>
      <c r="BE182" s="122"/>
      <c r="BF182" s="122"/>
      <c r="BG182" s="122"/>
      <c r="BH182" s="1"/>
    </row>
    <row r="183" spans="1:60" x14ac:dyDescent="0.2">
      <c r="A183" s="648"/>
      <c r="B183" s="492" t="s">
        <v>271</v>
      </c>
      <c r="C183" s="656" t="s">
        <v>104</v>
      </c>
      <c r="D183" s="747"/>
      <c r="E183" s="134"/>
      <c r="F183" s="90"/>
      <c r="G183" s="90"/>
      <c r="H183" s="96"/>
      <c r="I183" s="90"/>
      <c r="J183" s="93"/>
      <c r="K183" s="90"/>
      <c r="L183" s="90"/>
      <c r="M183" s="93"/>
      <c r="N183" s="90"/>
      <c r="O183" s="93"/>
      <c r="P183" s="93"/>
      <c r="Q183" s="93"/>
      <c r="R183" s="93"/>
      <c r="S183" s="93"/>
      <c r="T183" s="93"/>
      <c r="U183" s="93"/>
      <c r="V183" s="93"/>
      <c r="W183" s="93"/>
      <c r="X183" s="93"/>
      <c r="Y183" s="93"/>
      <c r="Z183" s="90"/>
      <c r="AA183" s="93"/>
      <c r="AB183" s="93"/>
      <c r="AC183" s="93"/>
      <c r="AD183" s="93"/>
      <c r="AE183" s="93"/>
      <c r="AF183" s="93"/>
      <c r="AG183" s="93"/>
      <c r="AH183" s="93"/>
      <c r="AI183" s="93"/>
      <c r="AJ183" s="93"/>
      <c r="AK183" s="93"/>
      <c r="AL183" s="90"/>
      <c r="AM183" s="93"/>
      <c r="AN183" s="93"/>
      <c r="AO183" s="93"/>
      <c r="AP183" s="93"/>
      <c r="AQ183" s="93"/>
      <c r="AR183" s="93"/>
      <c r="AS183" s="93"/>
      <c r="AT183" s="93"/>
      <c r="AU183" s="93"/>
      <c r="AV183" s="93"/>
      <c r="AW183" s="93"/>
      <c r="AX183" s="90"/>
      <c r="AY183" s="93"/>
      <c r="AZ183" s="93"/>
      <c r="BA183" s="93"/>
      <c r="BB183" s="93"/>
      <c r="BC183" s="93"/>
      <c r="BD183" s="93"/>
      <c r="BE183" s="93"/>
      <c r="BF183" s="93"/>
      <c r="BG183" s="93"/>
      <c r="BH183" s="1"/>
    </row>
    <row r="184" spans="1:60" ht="21" x14ac:dyDescent="0.2">
      <c r="A184" s="648"/>
      <c r="B184" s="492" t="s">
        <v>271</v>
      </c>
      <c r="C184" s="739" t="s">
        <v>104</v>
      </c>
      <c r="D184" s="752"/>
      <c r="E184" s="240" t="s">
        <v>272</v>
      </c>
      <c r="F184" s="240"/>
      <c r="G184" s="825"/>
      <c r="H184" s="216"/>
      <c r="I184" s="88"/>
      <c r="J184" s="241"/>
      <c r="K184" s="142"/>
      <c r="L184" s="142"/>
      <c r="M184" s="216" t="str">
        <f>M$10</f>
        <v>totaal</v>
      </c>
      <c r="N184" s="222"/>
      <c r="O184" s="217" t="str">
        <f t="shared" ref="O184:W184" si="114">O$10</f>
        <v>verwarming</v>
      </c>
      <c r="P184" s="217" t="str">
        <f t="shared" si="114"/>
        <v>koeling</v>
      </c>
      <c r="Q184" s="217" t="str">
        <f t="shared" si="114"/>
        <v>tapwater</v>
      </c>
      <c r="R184" s="217" t="str">
        <f t="shared" si="114"/>
        <v>verlichting</v>
      </c>
      <c r="S184" s="217" t="str">
        <f t="shared" si="114"/>
        <v>ventilatoren</v>
      </c>
      <c r="T184" s="217" t="str">
        <f t="shared" si="114"/>
        <v>kookgas</v>
      </c>
      <c r="U184" s="217" t="str">
        <f t="shared" si="114"/>
        <v>overig elektra</v>
      </c>
      <c r="V184" s="217" t="str">
        <f t="shared" si="114"/>
        <v>mobiliteit</v>
      </c>
      <c r="W184" s="217" t="str">
        <f t="shared" si="114"/>
        <v>zonnepanelen</v>
      </c>
      <c r="X184" s="214"/>
      <c r="Y184" s="216" t="str">
        <f>Y$10</f>
        <v>totaal</v>
      </c>
      <c r="Z184" s="222"/>
      <c r="AA184" s="217" t="str">
        <f t="shared" ref="AA184:AI184" si="115">AA$10</f>
        <v>verwarming</v>
      </c>
      <c r="AB184" s="217" t="str">
        <f t="shared" si="115"/>
        <v>koeling</v>
      </c>
      <c r="AC184" s="217" t="str">
        <f t="shared" si="115"/>
        <v>tapwater</v>
      </c>
      <c r="AD184" s="217" t="str">
        <f t="shared" si="115"/>
        <v>verlichting</v>
      </c>
      <c r="AE184" s="217" t="str">
        <f t="shared" si="115"/>
        <v>ventilatoren</v>
      </c>
      <c r="AF184" s="217" t="str">
        <f t="shared" si="115"/>
        <v>kookgas</v>
      </c>
      <c r="AG184" s="217" t="str">
        <f t="shared" si="115"/>
        <v>overig elektra</v>
      </c>
      <c r="AH184" s="217" t="str">
        <f t="shared" si="115"/>
        <v>mobiliteit</v>
      </c>
      <c r="AI184" s="217" t="str">
        <f t="shared" si="115"/>
        <v>zonnepanelen</v>
      </c>
      <c r="AJ184" s="214"/>
      <c r="AK184" s="216" t="str">
        <f>AK$10</f>
        <v>totaal</v>
      </c>
      <c r="AL184" s="222"/>
      <c r="AM184" s="217" t="str">
        <f>AM$10</f>
        <v>verwarming</v>
      </c>
      <c r="AN184" s="217" t="str">
        <f t="shared" ref="AN184:AU184" si="116">AN$10</f>
        <v>koeling</v>
      </c>
      <c r="AO184" s="217" t="str">
        <f t="shared" si="116"/>
        <v>tapwater</v>
      </c>
      <c r="AP184" s="217" t="str">
        <f t="shared" si="116"/>
        <v>verlichting</v>
      </c>
      <c r="AQ184" s="217" t="str">
        <f t="shared" si="116"/>
        <v>ventilatoren</v>
      </c>
      <c r="AR184" s="217" t="str">
        <f t="shared" si="116"/>
        <v>kookgas</v>
      </c>
      <c r="AS184" s="217" t="str">
        <f t="shared" si="116"/>
        <v>overig elektra</v>
      </c>
      <c r="AT184" s="217" t="str">
        <f t="shared" si="116"/>
        <v>mobiliteit</v>
      </c>
      <c r="AU184" s="217" t="str">
        <f t="shared" si="116"/>
        <v>zonnepanelen</v>
      </c>
      <c r="AV184" s="214"/>
      <c r="AW184" s="216" t="str">
        <f>AW$10</f>
        <v>totaal</v>
      </c>
      <c r="AX184" s="222"/>
      <c r="AY184" s="217" t="str">
        <f t="shared" ref="AY184:BG184" si="117">AY$10</f>
        <v>verwarming</v>
      </c>
      <c r="AZ184" s="217" t="str">
        <f t="shared" si="117"/>
        <v>koeling</v>
      </c>
      <c r="BA184" s="217" t="str">
        <f t="shared" si="117"/>
        <v>tapwater</v>
      </c>
      <c r="BB184" s="217" t="str">
        <f t="shared" si="117"/>
        <v>verlichting</v>
      </c>
      <c r="BC184" s="217" t="str">
        <f t="shared" si="117"/>
        <v>ventilatoren</v>
      </c>
      <c r="BD184" s="217" t="str">
        <f t="shared" si="117"/>
        <v>kookgas</v>
      </c>
      <c r="BE184" s="217" t="str">
        <f t="shared" si="117"/>
        <v>overig elektra</v>
      </c>
      <c r="BF184" s="217" t="str">
        <f t="shared" si="117"/>
        <v>mobiliteit</v>
      </c>
      <c r="BG184" s="217" t="str">
        <f t="shared" si="117"/>
        <v>zonnepanelen</v>
      </c>
      <c r="BH184" s="1"/>
    </row>
    <row r="185" spans="1:60" ht="18.75" x14ac:dyDescent="0.2">
      <c r="A185" s="648"/>
      <c r="B185" s="492" t="s">
        <v>271</v>
      </c>
      <c r="C185" s="739" t="s">
        <v>104</v>
      </c>
      <c r="D185" s="747"/>
      <c r="E185" s="231" t="s">
        <v>273</v>
      </c>
      <c r="F185" s="231"/>
      <c r="G185" s="231"/>
      <c r="H185" s="89"/>
      <c r="I185" s="232"/>
      <c r="J185" s="231"/>
      <c r="K185" s="232"/>
      <c r="L185" s="232"/>
      <c r="M185" s="231"/>
      <c r="N185" s="232"/>
      <c r="O185" s="232"/>
      <c r="P185" s="232"/>
      <c r="Q185" s="232"/>
      <c r="R185" s="232"/>
      <c r="S185" s="232"/>
      <c r="T185" s="232"/>
      <c r="U185" s="232"/>
      <c r="V185" s="232"/>
      <c r="W185" s="232"/>
      <c r="X185" s="232"/>
      <c r="Y185" s="232"/>
      <c r="Z185" s="232"/>
      <c r="AA185" s="232"/>
      <c r="AB185" s="232"/>
      <c r="AC185" s="232"/>
      <c r="AD185" s="232"/>
      <c r="AE185" s="232"/>
      <c r="AF185" s="232"/>
      <c r="AG185" s="232"/>
      <c r="AH185" s="232"/>
      <c r="AI185" s="232"/>
      <c r="AJ185" s="232"/>
      <c r="AK185" s="232"/>
      <c r="AL185" s="232"/>
      <c r="AM185" s="232"/>
      <c r="AN185" s="232"/>
      <c r="AO185" s="232"/>
      <c r="AP185" s="232"/>
      <c r="AQ185" s="232"/>
      <c r="AR185" s="232"/>
      <c r="AS185" s="232"/>
      <c r="AT185" s="232"/>
      <c r="AU185" s="232"/>
      <c r="AV185" s="232"/>
      <c r="AW185" s="232"/>
      <c r="AX185" s="232"/>
      <c r="AY185" s="232"/>
      <c r="AZ185" s="232"/>
      <c r="BA185" s="232"/>
      <c r="BB185" s="232"/>
      <c r="BC185" s="232"/>
      <c r="BD185" s="232"/>
      <c r="BE185" s="232"/>
      <c r="BF185" s="232"/>
      <c r="BG185" s="232"/>
      <c r="BH185" s="38"/>
    </row>
    <row r="186" spans="1:60" x14ac:dyDescent="0.2">
      <c r="A186" s="648"/>
      <c r="B186" s="492" t="s">
        <v>271</v>
      </c>
      <c r="C186" s="656" t="s">
        <v>113</v>
      </c>
      <c r="D186" s="750"/>
      <c r="E186" s="220" t="s">
        <v>274</v>
      </c>
      <c r="F186" s="220"/>
      <c r="G186" s="220"/>
      <c r="H186" s="242" t="str">
        <f>m3gas&amp;"/won.geb"</f>
        <v>m3/won.geb</v>
      </c>
      <c r="I186" s="129"/>
      <c r="J186" s="243"/>
      <c r="K186" s="279"/>
      <c r="L186" s="279"/>
      <c r="M186" s="230">
        <f>SUM(N186:X186)</f>
        <v>0</v>
      </c>
      <c r="N186" s="135"/>
      <c r="O186" s="223">
        <f>IF(O$29=0,0,((AND(O$81=gebouw,O$102=aardgas))*O$113+(AND(O$81=gebouw,O$132=aardgas))*O$138)*1000/bibliotheek!$I$530/O$29)</f>
        <v>0</v>
      </c>
      <c r="P186" s="223">
        <f>IF(P$29=0,0,((AND(P$81=gebouw,P$102=aardgas))*P$113+(AND(P$81=gebouw,P$132=aardgas))*P$138)*1000/bibliotheek!$I$530/P$29)</f>
        <v>0</v>
      </c>
      <c r="Q186" s="223">
        <f>IF(Q$29=0,0,((AND(Q$81=gebouw,Q$102=aardgas))*Q$113+(AND(Q$81=gebouw,Q$132=aardgas))*Q$138)*1000/bibliotheek!$I$530/Q$29)</f>
        <v>0</v>
      </c>
      <c r="R186" s="373"/>
      <c r="S186" s="373"/>
      <c r="T186" s="223">
        <f>IF(T$29=0,0,T$75*1000/bibliotheek!$I$530/T$29)</f>
        <v>0</v>
      </c>
      <c r="U186" s="373"/>
      <c r="V186" s="373"/>
      <c r="W186" s="373"/>
      <c r="X186" s="122"/>
      <c r="Y186" s="230">
        <f>SUM(Z186:AJ186)</f>
        <v>0</v>
      </c>
      <c r="Z186" s="135"/>
      <c r="AA186" s="223">
        <f>IF(AA$29=0,0,((AND(AA$81=gebouw,AA$102=aardgas))*AA$113+(AND(AA$81=gebouw,AA$132=aardgas))*AA$138)*1000/bibliotheek!$I$530/AA$29)</f>
        <v>0</v>
      </c>
      <c r="AB186" s="223">
        <f>IF(AB$29=0,0,((AND(AB$81=gebouw,AB$102=aardgas))*AB$113+(AND(AB$81=gebouw,AB$132=aardgas))*AB$138)*1000/bibliotheek!$I$530/AB$29)</f>
        <v>0</v>
      </c>
      <c r="AC186" s="223">
        <f>IF(AC$29=0,0,((AND(AC$81=gebouw,AC$102=aardgas))*AC$113+(AND(AC$81=gebouw,AC$132=aardgas))*AC$138)*1000/bibliotheek!$I$530/AC$29)</f>
        <v>0</v>
      </c>
      <c r="AD186" s="373"/>
      <c r="AE186" s="373"/>
      <c r="AF186" s="223">
        <f>IF(AF$29=0,0,AF$75*1000/bibliotheek!$I$530/AF$29)</f>
        <v>0</v>
      </c>
      <c r="AG186" s="373"/>
      <c r="AH186" s="373"/>
      <c r="AI186" s="373"/>
      <c r="AJ186" s="122"/>
      <c r="AK186" s="230">
        <f>SUM(AL186:AV186)</f>
        <v>0</v>
      </c>
      <c r="AL186" s="135"/>
      <c r="AM186" s="223">
        <f>IF(AM$29=0,0,((AND(AM$81=gebouw,AM$102=aardgas))*AM$113+(AND(AM$81=gebouw,AM$132=aardgas))*AM$138)*1000/bibliotheek!$I$530/AM$29)</f>
        <v>0</v>
      </c>
      <c r="AN186" s="223">
        <f>IF(AN$29=0,0,((AND(AN$81=gebouw,AN$102=aardgas))*AN$113+(AND(AN$81=gebouw,AN$132=aardgas))*AN$138)*1000/bibliotheek!$I$530/AN$29)</f>
        <v>0</v>
      </c>
      <c r="AO186" s="223">
        <f>IF(AO$29=0,0,((AND(AO$81=gebouw,AO$102=aardgas))*AO$113+(AND(AO$81=gebouw,AO$132=aardgas))*AO$138)*1000/bibliotheek!$I$530/AO$29)</f>
        <v>0</v>
      </c>
      <c r="AP186" s="373"/>
      <c r="AQ186" s="373"/>
      <c r="AR186" s="223">
        <f>IF(AR$29=0,0,AR$75*1000/bibliotheek!$I$530/AR$29)</f>
        <v>0</v>
      </c>
      <c r="AS186" s="373"/>
      <c r="AT186" s="373"/>
      <c r="AU186" s="373"/>
      <c r="AV186" s="122"/>
      <c r="AW186" s="230">
        <f>SUM(AX186:BH186)</f>
        <v>0</v>
      </c>
      <c r="AX186" s="135"/>
      <c r="AY186" s="223">
        <f>IF(AY$29=0,0,((AND(AY$81=gebouw,AY$102=aardgas))*AY$113+(AND(AY$81=gebouw,AY$132=aardgas))*AY$138)*1000/bibliotheek!$I$530/AY$29)</f>
        <v>0</v>
      </c>
      <c r="AZ186" s="223">
        <f>IF(AZ$29=0,0,((AND(AZ$81=gebouw,AZ$102=aardgas))*AZ$113+(AND(AZ$81=gebouw,AZ$132=aardgas))*AZ$138)*1000/bibliotheek!$I$530/AZ$29)</f>
        <v>0</v>
      </c>
      <c r="BA186" s="223">
        <f>IF(BA$29=0,0,((AND(BA$81=gebouw,BA$102=aardgas))*BA$113+(AND(BA$81=gebouw,BA$132=aardgas))*BA$138)*1000/bibliotheek!$I$530/BA$29)</f>
        <v>0</v>
      </c>
      <c r="BB186" s="373"/>
      <c r="BC186" s="373"/>
      <c r="BD186" s="223">
        <f>IF(BD$29=0,0,BD$75*1000/bibliotheek!$I$530/BD$29)</f>
        <v>0</v>
      </c>
      <c r="BE186" s="373"/>
      <c r="BF186" s="373"/>
      <c r="BG186" s="373"/>
      <c r="BH186" s="255"/>
    </row>
    <row r="187" spans="1:60" x14ac:dyDescent="0.2">
      <c r="A187" s="648"/>
      <c r="B187" s="492" t="s">
        <v>271</v>
      </c>
      <c r="C187" s="656" t="s">
        <v>113</v>
      </c>
      <c r="D187" s="750"/>
      <c r="E187" s="220" t="s">
        <v>156</v>
      </c>
      <c r="F187" s="220"/>
      <c r="G187" s="220"/>
      <c r="H187" s="242" t="str">
        <f>kWh&amp;"/won.geb"</f>
        <v>kWh/won.geb</v>
      </c>
      <c r="I187" s="129"/>
      <c r="J187" s="243"/>
      <c r="K187" s="279"/>
      <c r="L187" s="279"/>
      <c r="M187" s="230">
        <f>SUM(N187:X187)</f>
        <v>0</v>
      </c>
      <c r="N187" s="135"/>
      <c r="O187" s="223">
        <f>IF(O$29=0,0,(O$171-O$167)*1000/O$29)</f>
        <v>0</v>
      </c>
      <c r="P187" s="223">
        <f>IF(OR(P$29=0,P$33=0),0,(P$171-P$167)*1000/P$29)</f>
        <v>0</v>
      </c>
      <c r="Q187" s="223">
        <f>IF(OR(Q$29=0,Q$33=0),0,(Q$171-Q$167)*1000/Q$29)</f>
        <v>0</v>
      </c>
      <c r="R187" s="223">
        <f>IF(R$29=0,0,R$171*1000/R$29)</f>
        <v>0</v>
      </c>
      <c r="S187" s="223">
        <f>IF(S$29=0,0,S$171*1000/S$29)</f>
        <v>0</v>
      </c>
      <c r="T187" s="335"/>
      <c r="U187" s="223">
        <f>IF(U$29=0,0,U$171*1000/U$29)</f>
        <v>0</v>
      </c>
      <c r="V187" s="223">
        <f>IF(V$29=0,0,V$171*1000/V$29)</f>
        <v>0</v>
      </c>
      <c r="W187" s="223">
        <f>IF(W$29=0,0,-W$168*1000/W$29)</f>
        <v>0</v>
      </c>
      <c r="X187" s="122"/>
      <c r="Y187" s="230">
        <f>SUM(Z187:AJ187)</f>
        <v>0</v>
      </c>
      <c r="Z187" s="135"/>
      <c r="AA187" s="223">
        <f>IF(AA$29=0,0,(AA$171-AA$167)*1000/AA$29)</f>
        <v>0</v>
      </c>
      <c r="AB187" s="223">
        <f>IF(OR(AB$29=0,AB$33=0),0,(AB$171-AB$167)*1000/AB$29)</f>
        <v>0</v>
      </c>
      <c r="AC187" s="223">
        <f>IF(OR(AC$29=0,AC$33=0),0,(AC$171-AC$167)*1000/AC$29)</f>
        <v>0</v>
      </c>
      <c r="AD187" s="223">
        <f>IF(AD$29=0,0,AD$171*1000/AD$29)</f>
        <v>0</v>
      </c>
      <c r="AE187" s="223">
        <f>IF(AE$29=0,0,AE$171*1000/AE$29)</f>
        <v>0</v>
      </c>
      <c r="AF187" s="335"/>
      <c r="AG187" s="223">
        <f>IF(AG$29=0,0,AG$171*1000/AG$29)</f>
        <v>0</v>
      </c>
      <c r="AH187" s="223">
        <f>IF(AH$29=0,0,AH$171*1000/AH$29)</f>
        <v>0</v>
      </c>
      <c r="AI187" s="223">
        <f>IF(AI$29=0,0,-AI$168*1000/AI$29)</f>
        <v>0</v>
      </c>
      <c r="AJ187" s="122"/>
      <c r="AK187" s="230">
        <f>SUM(AL187:AV187)</f>
        <v>0</v>
      </c>
      <c r="AL187" s="135"/>
      <c r="AM187" s="223">
        <f>IF(AM$29=0,0,(AM$171-AM$167)*1000/AM$29)</f>
        <v>0</v>
      </c>
      <c r="AN187" s="223">
        <f>IF(OR(AN$29=0,AN$33=0),0,(AN$171-AN$167)*1000/AN$29)</f>
        <v>0</v>
      </c>
      <c r="AO187" s="223">
        <f>IF(OR(AO$29=0,AO$33=0),0,(AO$171-AO$167)*1000/AO$29)</f>
        <v>0</v>
      </c>
      <c r="AP187" s="223">
        <f>IF(AP$29=0,0,AP$171*1000/AP$29)</f>
        <v>0</v>
      </c>
      <c r="AQ187" s="223">
        <f>IF(AQ$29=0,0,AQ$171*1000/AQ$29)</f>
        <v>0</v>
      </c>
      <c r="AR187" s="207"/>
      <c r="AS187" s="223">
        <f>IF(AS$29=0,0,AS$171*1000/AS$29)</f>
        <v>0</v>
      </c>
      <c r="AT187" s="223">
        <f>IF(AT$29=0,0,AT$171*1000/AT$29)</f>
        <v>0</v>
      </c>
      <c r="AU187" s="223">
        <f>IF(AU$29=0,0,-AU$168*1000/AU$29)</f>
        <v>0</v>
      </c>
      <c r="AV187" s="122"/>
      <c r="AW187" s="230">
        <f>SUM(AX187:BH187)</f>
        <v>0</v>
      </c>
      <c r="AX187" s="135"/>
      <c r="AY187" s="223">
        <f>IF(AY$29=0,0,(AY$171-AY$167)*1000/AY$29)</f>
        <v>0</v>
      </c>
      <c r="AZ187" s="223">
        <f>IF(OR(AZ$29=0,AZ$33=0),0,(AZ$171-AZ$167)*1000/AZ$29)</f>
        <v>0</v>
      </c>
      <c r="BA187" s="223">
        <f>IF(OR(BA$29=0,BA$33=0),0,(BA$171-BA$167)*1000/BA$29)</f>
        <v>0</v>
      </c>
      <c r="BB187" s="223">
        <f>IF(BB$29=0,0,BB$171*1000/BB$29)</f>
        <v>0</v>
      </c>
      <c r="BC187" s="223">
        <f>IF(BC$29=0,0,BC$171*1000/BC$29)</f>
        <v>0</v>
      </c>
      <c r="BD187" s="335"/>
      <c r="BE187" s="223">
        <f>IF(BE$29=0,0,BE$171*1000/BE$29)</f>
        <v>0</v>
      </c>
      <c r="BF187" s="223">
        <f>IF(BF$29=0,0,BF$171*1000/BF$29)</f>
        <v>0</v>
      </c>
      <c r="BG187" s="223">
        <f>IF(BG$29=0,0,-BG$168*1000/BG$29)</f>
        <v>0</v>
      </c>
      <c r="BH187" s="255"/>
    </row>
    <row r="188" spans="1:60" x14ac:dyDescent="0.2">
      <c r="A188" s="648"/>
      <c r="B188" s="492" t="s">
        <v>271</v>
      </c>
      <c r="C188" s="656" t="s">
        <v>113</v>
      </c>
      <c r="D188" s="750"/>
      <c r="E188" s="220" t="s">
        <v>275</v>
      </c>
      <c r="F188" s="220"/>
      <c r="G188" s="220"/>
      <c r="H188" s="242" t="str">
        <f>GJ&amp;"/won.geb"</f>
        <v>GJ/won.geb</v>
      </c>
      <c r="I188" s="129"/>
      <c r="J188" s="243"/>
      <c r="K188" s="279"/>
      <c r="L188" s="279"/>
      <c r="M188" s="243">
        <f>SUM(N188:X188)</f>
        <v>0</v>
      </c>
      <c r="N188" s="100"/>
      <c r="O188" s="207">
        <f>IF(O$29=0,0,(O$81&lt;&gt;gebouw)*(O$75+O$85-O$88)*3.6/O$29)</f>
        <v>0</v>
      </c>
      <c r="P188" s="207">
        <f>IF(P$29=0,0,(P$81&lt;&gt;gebouw)*(P$75+P$85-P$88)*3.6/P$29)</f>
        <v>0</v>
      </c>
      <c r="Q188" s="207">
        <f>IF(Q$29=0,0,(Q$81&lt;&gt;gebouw)*(Q$75+Q$85-Q$88)*3.6/Q$29)</f>
        <v>0</v>
      </c>
      <c r="R188" s="335"/>
      <c r="S188" s="335"/>
      <c r="T188" s="335"/>
      <c r="U188" s="335"/>
      <c r="V188" s="335"/>
      <c r="W188" s="335"/>
      <c r="X188" s="128"/>
      <c r="Y188" s="243">
        <f>SUM(Z188:AJ188)</f>
        <v>0</v>
      </c>
      <c r="Z188" s="100"/>
      <c r="AA188" s="207">
        <f>IF(AA$29=0,0,(AA$81&lt;&gt;gebouw)*(AA$75+AA$85-AA$88)*3.6/AA$29)</f>
        <v>0</v>
      </c>
      <c r="AB188" s="207">
        <f>IF(AB$29=0,0,(AB$81&lt;&gt;gebouw)*(AB$75+AB$85-AB$88)*3.6/AB$29)</f>
        <v>0</v>
      </c>
      <c r="AC188" s="207">
        <f>IF(AC$29=0,0,(AC$81&lt;&gt;gebouw)*(AC$75+AC$85-AC$88)*3.6/AC$29)</f>
        <v>0</v>
      </c>
      <c r="AD188" s="335"/>
      <c r="AE188" s="335"/>
      <c r="AF188" s="335"/>
      <c r="AG188" s="335"/>
      <c r="AH188" s="335"/>
      <c r="AI188" s="335"/>
      <c r="AJ188" s="128"/>
      <c r="AK188" s="243">
        <f>SUM(AL188:AV188)</f>
        <v>0</v>
      </c>
      <c r="AL188" s="100"/>
      <c r="AM188" s="207">
        <f>IF(AM$29=0,0,(AM$81&lt;&gt;gebouw)*(AM$75+AM$85-AM$88)*3.6/AM$29)</f>
        <v>0</v>
      </c>
      <c r="AN188" s="207">
        <f>IF(AN$29=0,0,(AN$81&lt;&gt;gebouw)*(AN$75+AN$85-AN$88)*3.6/AN$29)</f>
        <v>0</v>
      </c>
      <c r="AO188" s="207">
        <f>IF(AO$29=0,0,(AO$81&lt;&gt;gebouw)*(AO$75+AO$85-AO$88)*3.6/AO$29)</f>
        <v>0</v>
      </c>
      <c r="AP188" s="207"/>
      <c r="AQ188" s="207"/>
      <c r="AR188" s="207"/>
      <c r="AS188" s="207"/>
      <c r="AT188" s="207"/>
      <c r="AU188" s="207"/>
      <c r="AV188" s="128"/>
      <c r="AW188" s="243">
        <f>SUM(AX188:BH188)</f>
        <v>0</v>
      </c>
      <c r="AX188" s="100"/>
      <c r="AY188" s="207">
        <f>IF(AY$29=0,0,(AY$81&lt;&gt;gebouw)*(AY$75+AY$85-AY$88)*3.6/AY$29)</f>
        <v>0</v>
      </c>
      <c r="AZ188" s="207">
        <f>IF(AZ$29=0,0,(AZ$81&lt;&gt;gebouw)*(AZ$75+AZ$85-AZ$88)*3.6/AZ$29)</f>
        <v>0</v>
      </c>
      <c r="BA188" s="207">
        <f>IF(BA$29=0,0,(BA$81&lt;&gt;gebouw)*(BA$75+BA$85-BA$88)*3.6/BA$29)</f>
        <v>0</v>
      </c>
      <c r="BB188" s="335"/>
      <c r="BC188" s="335"/>
      <c r="BD188" s="335"/>
      <c r="BE188" s="335"/>
      <c r="BF188" s="335"/>
      <c r="BG188" s="335"/>
      <c r="BH188" s="255"/>
    </row>
    <row r="189" spans="1:60" ht="18.75" x14ac:dyDescent="0.2">
      <c r="A189" s="648"/>
      <c r="B189" s="492" t="s">
        <v>271</v>
      </c>
      <c r="C189" s="739" t="s">
        <v>104</v>
      </c>
      <c r="D189" s="750"/>
      <c r="E189" s="231" t="s">
        <v>276</v>
      </c>
      <c r="F189" s="231"/>
      <c r="G189" s="231"/>
      <c r="H189" s="89"/>
      <c r="I189" s="232"/>
      <c r="J189" s="231"/>
      <c r="K189" s="232"/>
      <c r="L189" s="232"/>
      <c r="M189" s="231"/>
      <c r="N189" s="232"/>
      <c r="O189" s="232"/>
      <c r="P189" s="232"/>
      <c r="Q189" s="232"/>
      <c r="R189" s="232"/>
      <c r="S189" s="232"/>
      <c r="T189" s="232"/>
      <c r="U189" s="232"/>
      <c r="V189" s="232"/>
      <c r="W189" s="232"/>
      <c r="X189" s="232"/>
      <c r="Y189" s="232"/>
      <c r="Z189" s="232"/>
      <c r="AA189" s="232"/>
      <c r="AB189" s="232"/>
      <c r="AC189" s="232"/>
      <c r="AD189" s="232"/>
      <c r="AE189" s="232"/>
      <c r="AF189" s="232"/>
      <c r="AG189" s="232"/>
      <c r="AH189" s="232"/>
      <c r="AI189" s="232"/>
      <c r="AJ189" s="232"/>
      <c r="AK189" s="232"/>
      <c r="AL189" s="232"/>
      <c r="AM189" s="232"/>
      <c r="AN189" s="232"/>
      <c r="AO189" s="232"/>
      <c r="AP189" s="232"/>
      <c r="AQ189" s="232"/>
      <c r="AR189" s="232"/>
      <c r="AS189" s="232"/>
      <c r="AT189" s="232"/>
      <c r="AU189" s="232"/>
      <c r="AV189" s="232"/>
      <c r="AW189" s="232"/>
      <c r="AX189" s="232"/>
      <c r="AY189" s="232"/>
      <c r="AZ189" s="232"/>
      <c r="BA189" s="232"/>
      <c r="BB189" s="232"/>
      <c r="BC189" s="232"/>
      <c r="BD189" s="232"/>
      <c r="BE189" s="232"/>
      <c r="BF189" s="232"/>
      <c r="BG189" s="232"/>
      <c r="BH189" s="38"/>
    </row>
    <row r="190" spans="1:60" x14ac:dyDescent="0.2">
      <c r="A190" s="648"/>
      <c r="B190" s="492" t="s">
        <v>271</v>
      </c>
      <c r="C190" s="656" t="s">
        <v>113</v>
      </c>
      <c r="D190" s="750"/>
      <c r="E190" s="220" t="s">
        <v>274</v>
      </c>
      <c r="F190" s="220"/>
      <c r="G190" s="220"/>
      <c r="H190" s="242" t="s">
        <v>277</v>
      </c>
      <c r="I190" s="129"/>
      <c r="J190" s="243"/>
      <c r="K190" s="279"/>
      <c r="L190" s="279"/>
      <c r="M190" s="243">
        <f>IF(M$31=0,0,M186*M$24/M$31)</f>
        <v>0</v>
      </c>
      <c r="N190" s="100"/>
      <c r="O190" s="207">
        <f t="shared" ref="O190:Q192" si="118">IF(OR(O$33="",O$33=0),0,O$29*O186/O$33)</f>
        <v>0</v>
      </c>
      <c r="P190" s="207">
        <f t="shared" si="118"/>
        <v>0</v>
      </c>
      <c r="Q190" s="207">
        <f t="shared" si="118"/>
        <v>0</v>
      </c>
      <c r="R190" s="335"/>
      <c r="S190" s="335"/>
      <c r="T190" s="207">
        <f>IF(OR(T$33="",T$33=0),0,T$29*T186/T$33)</f>
        <v>0</v>
      </c>
      <c r="U190" s="335"/>
      <c r="V190" s="335"/>
      <c r="W190" s="335"/>
      <c r="X190" s="128"/>
      <c r="Y190" s="243">
        <f>IF(Y$31=0,0,Y186*Y$24/Y$31)</f>
        <v>0</v>
      </c>
      <c r="Z190" s="100"/>
      <c r="AA190" s="207">
        <f t="shared" ref="AA190:AC192" si="119">IF(OR(AA$33="",AA$33=0),0,AA$29*AA186/AA$33)</f>
        <v>0</v>
      </c>
      <c r="AB190" s="207">
        <f t="shared" si="119"/>
        <v>0</v>
      </c>
      <c r="AC190" s="207">
        <f t="shared" si="119"/>
        <v>0</v>
      </c>
      <c r="AD190" s="335"/>
      <c r="AE190" s="335"/>
      <c r="AF190" s="207">
        <f>IF(OR(AF$33="",AF$33=0),0,AF$29*AF186/AF$33)</f>
        <v>0</v>
      </c>
      <c r="AG190" s="335"/>
      <c r="AH190" s="335"/>
      <c r="AI190" s="335"/>
      <c r="AJ190" s="128"/>
      <c r="AK190" s="243">
        <f>IF(AK$31=0,0,AK186*AK$24/AK$31)</f>
        <v>0</v>
      </c>
      <c r="AL190" s="100"/>
      <c r="AM190" s="207">
        <f>IF(OR(AM$33="",AM$33=0),0,AM$29*AM186/AM$33)</f>
        <v>0</v>
      </c>
      <c r="AN190" s="207">
        <f t="shared" ref="AN190:AO192" si="120">IF(OR(AN$33="",AN$33=0),0,AN$29*AN186/AN$33)</f>
        <v>0</v>
      </c>
      <c r="AO190" s="207">
        <f t="shared" si="120"/>
        <v>0</v>
      </c>
      <c r="AP190" s="335"/>
      <c r="AQ190" s="335"/>
      <c r="AR190" s="207">
        <f>IF(OR(AR$33="",AR$33=0),0,AR$29*AR186/AR$33)</f>
        <v>0</v>
      </c>
      <c r="AS190" s="335"/>
      <c r="AT190" s="335"/>
      <c r="AU190" s="335"/>
      <c r="AV190" s="128"/>
      <c r="AW190" s="243">
        <f>IF(AW$31=0,0,AW186*AW$24/AW$31)</f>
        <v>0</v>
      </c>
      <c r="AX190" s="100"/>
      <c r="AY190" s="207">
        <f t="shared" ref="AY190:BA192" si="121">IF(OR(AY$33="",AY$33=0),0,AY$29*AY186/AY$33)</f>
        <v>0</v>
      </c>
      <c r="AZ190" s="207">
        <f t="shared" si="121"/>
        <v>0</v>
      </c>
      <c r="BA190" s="207">
        <f t="shared" si="121"/>
        <v>0</v>
      </c>
      <c r="BB190" s="335"/>
      <c r="BC190" s="335"/>
      <c r="BD190" s="207">
        <f>IF(OR(BD$33="",BD$33=0),0,BD$29*BD186/BD$33)</f>
        <v>0</v>
      </c>
      <c r="BE190" s="335"/>
      <c r="BF190" s="335"/>
      <c r="BG190" s="335"/>
      <c r="BH190" s="255"/>
    </row>
    <row r="191" spans="1:60" x14ac:dyDescent="0.2">
      <c r="A191" s="648"/>
      <c r="B191" s="492" t="s">
        <v>271</v>
      </c>
      <c r="C191" s="656" t="s">
        <v>113</v>
      </c>
      <c r="D191" s="750"/>
      <c r="E191" s="220" t="s">
        <v>156</v>
      </c>
      <c r="F191" s="220"/>
      <c r="G191" s="220"/>
      <c r="H191" s="242" t="s">
        <v>169</v>
      </c>
      <c r="I191" s="129"/>
      <c r="J191" s="243"/>
      <c r="K191" s="279"/>
      <c r="L191" s="279"/>
      <c r="M191" s="243">
        <f>IF(M$31=0,0,M187*M$24/M$31)</f>
        <v>0</v>
      </c>
      <c r="N191" s="100"/>
      <c r="O191" s="207">
        <f t="shared" si="118"/>
        <v>0</v>
      </c>
      <c r="P191" s="207">
        <f t="shared" si="118"/>
        <v>0</v>
      </c>
      <c r="Q191" s="207">
        <f t="shared" si="118"/>
        <v>0</v>
      </c>
      <c r="R191" s="207">
        <f>IF(OR(R$33="",R$33=0),0,R$29*R187/R$33)</f>
        <v>0</v>
      </c>
      <c r="S191" s="207">
        <f>IF(OR(S$33="",S$33=0),0,S$29*S187/S$33)</f>
        <v>0</v>
      </c>
      <c r="T191" s="335"/>
      <c r="U191" s="207">
        <f>IF(OR(U$33="",U$33=0),0,U$29*U187/U$33)</f>
        <v>0</v>
      </c>
      <c r="V191" s="207">
        <f>IF(OR(V$33="",V$33=0),0,V$29*V187/V$33)</f>
        <v>0</v>
      </c>
      <c r="W191" s="207">
        <f>IF(OR(W$33="",W$33=0),0,W$29*W187/W$33)</f>
        <v>0</v>
      </c>
      <c r="X191" s="128"/>
      <c r="Y191" s="243">
        <f>IF(Y$31=0,0,Y187*Y$24/Y$31)</f>
        <v>0</v>
      </c>
      <c r="Z191" s="100"/>
      <c r="AA191" s="207">
        <f t="shared" si="119"/>
        <v>0</v>
      </c>
      <c r="AB191" s="207">
        <f t="shared" si="119"/>
        <v>0</v>
      </c>
      <c r="AC191" s="207">
        <f t="shared" si="119"/>
        <v>0</v>
      </c>
      <c r="AD191" s="207">
        <f>IF(OR(AD$33="",AD$33=0),0,AD$29*AD187/AD$33)</f>
        <v>0</v>
      </c>
      <c r="AE191" s="207">
        <f>IF(OR(AE$33="",AE$33=0),0,AE$29*AE187/AE$33)</f>
        <v>0</v>
      </c>
      <c r="AF191" s="335"/>
      <c r="AG191" s="207">
        <f>IF(OR(AG$33="",AG$33=0),0,AG$29*AG187/AG$33)</f>
        <v>0</v>
      </c>
      <c r="AH191" s="207">
        <f>IF(OR(AH$33="",AH$33=0),0,AH$29*AH187/AH$33)</f>
        <v>0</v>
      </c>
      <c r="AI191" s="207">
        <f>IF(OR(AI$33="",AI$33=0),0,AI$29*AI187/AI$33)</f>
        <v>0</v>
      </c>
      <c r="AJ191" s="128"/>
      <c r="AK191" s="243">
        <f>IF(AK$31=0,0,AK187*AK$24/AK$31)</f>
        <v>0</v>
      </c>
      <c r="AL191" s="100"/>
      <c r="AM191" s="207">
        <f>IF(OR(AM$33="",AM$33=0),0,AM$29*AM187/AM$33)</f>
        <v>0</v>
      </c>
      <c r="AN191" s="207">
        <f t="shared" si="120"/>
        <v>0</v>
      </c>
      <c r="AO191" s="207">
        <f t="shared" si="120"/>
        <v>0</v>
      </c>
      <c r="AP191" s="207">
        <f>IF(OR(AP$33="",AP$33=0),0,AP$29*AP187/AP$33)</f>
        <v>0</v>
      </c>
      <c r="AQ191" s="207">
        <f>IF(OR(AQ$33="",AQ$33=0),0,AQ$29*AQ187/AQ$33)</f>
        <v>0</v>
      </c>
      <c r="AR191" s="335"/>
      <c r="AS191" s="207">
        <f>IF(OR(AS$33="",AS$33=0),0,AS$29*AS187/AS$33)</f>
        <v>0</v>
      </c>
      <c r="AT191" s="207">
        <f>IF(OR(AT$33="",AT$33=0),0,AT$29*AT187/AT$33)</f>
        <v>0</v>
      </c>
      <c r="AU191" s="207">
        <f>IF(OR(AU$33="",AU$33=0),0,AU$29*AU187/AU$33)</f>
        <v>0</v>
      </c>
      <c r="AV191" s="128"/>
      <c r="AW191" s="243">
        <f>IF(AW$31=0,0,AW187*AW$24/AW$31)</f>
        <v>0</v>
      </c>
      <c r="AX191" s="100"/>
      <c r="AY191" s="207">
        <f t="shared" si="121"/>
        <v>0</v>
      </c>
      <c r="AZ191" s="207">
        <f t="shared" si="121"/>
        <v>0</v>
      </c>
      <c r="BA191" s="207">
        <f t="shared" si="121"/>
        <v>0</v>
      </c>
      <c r="BB191" s="207">
        <f>IF(OR(BB$33="",BB$33=0),0,BB$29*BB187/BB$33)</f>
        <v>0</v>
      </c>
      <c r="BC191" s="207">
        <f>IF(OR(BC$33="",BC$33=0),0,BC$29*BC187/BC$33)</f>
        <v>0</v>
      </c>
      <c r="BD191" s="335"/>
      <c r="BE191" s="207">
        <f>IF(OR(BE$33="",BE$33=0),0,BE$29*BE187/BE$33)</f>
        <v>0</v>
      </c>
      <c r="BF191" s="207">
        <f>IF(OR(BF$33="",BF$33=0),0,BF$29*BF187/BF$33)</f>
        <v>0</v>
      </c>
      <c r="BG191" s="207">
        <f>IF(OR(BG$33="",BG$33=0),0,BG$29*BG187/BG$33)</f>
        <v>0</v>
      </c>
      <c r="BH191" s="255"/>
    </row>
    <row r="192" spans="1:60" x14ac:dyDescent="0.2">
      <c r="A192" s="648"/>
      <c r="B192" s="492" t="s">
        <v>271</v>
      </c>
      <c r="C192" s="656" t="s">
        <v>113</v>
      </c>
      <c r="D192" s="750"/>
      <c r="E192" s="220" t="s">
        <v>275</v>
      </c>
      <c r="F192" s="220"/>
      <c r="G192" s="220"/>
      <c r="H192" s="242" t="s">
        <v>278</v>
      </c>
      <c r="I192" s="129"/>
      <c r="J192" s="243"/>
      <c r="K192" s="279"/>
      <c r="L192" s="279"/>
      <c r="M192" s="243">
        <f>IF(M$31=0,0,M188*M$24/M$31)</f>
        <v>0</v>
      </c>
      <c r="N192" s="100"/>
      <c r="O192" s="207">
        <f t="shared" si="118"/>
        <v>0</v>
      </c>
      <c r="P192" s="207">
        <f t="shared" si="118"/>
        <v>0</v>
      </c>
      <c r="Q192" s="207">
        <f t="shared" si="118"/>
        <v>0</v>
      </c>
      <c r="R192" s="335"/>
      <c r="S192" s="335"/>
      <c r="T192" s="335"/>
      <c r="U192" s="335"/>
      <c r="V192" s="335"/>
      <c r="W192" s="335"/>
      <c r="X192" s="128"/>
      <c r="Y192" s="243">
        <f>IF(Y$31=0,0,Y188*Y$24/Y$31)</f>
        <v>0</v>
      </c>
      <c r="Z192" s="100"/>
      <c r="AA192" s="207">
        <f t="shared" si="119"/>
        <v>0</v>
      </c>
      <c r="AB192" s="207">
        <f t="shared" si="119"/>
        <v>0</v>
      </c>
      <c r="AC192" s="207">
        <f t="shared" si="119"/>
        <v>0</v>
      </c>
      <c r="AD192" s="335"/>
      <c r="AE192" s="335"/>
      <c r="AF192" s="335"/>
      <c r="AG192" s="335"/>
      <c r="AH192" s="335"/>
      <c r="AI192" s="335"/>
      <c r="AJ192" s="128"/>
      <c r="AK192" s="243">
        <f>IF(AK$31=0,0,AK188*AK$24/AK$31)</f>
        <v>0</v>
      </c>
      <c r="AL192" s="100"/>
      <c r="AM192" s="207">
        <f>IF(OR(AM$33="",AM$33=0),0,AM$29*AM188/AM$33)</f>
        <v>0</v>
      </c>
      <c r="AN192" s="207">
        <f t="shared" si="120"/>
        <v>0</v>
      </c>
      <c r="AO192" s="207">
        <f t="shared" si="120"/>
        <v>0</v>
      </c>
      <c r="AP192" s="335"/>
      <c r="AQ192" s="335"/>
      <c r="AR192" s="335"/>
      <c r="AS192" s="335"/>
      <c r="AT192" s="335"/>
      <c r="AU192" s="335"/>
      <c r="AV192" s="128"/>
      <c r="AW192" s="243">
        <f>IF(AW$31=0,0,AW188*AW$24/AW$31)</f>
        <v>0</v>
      </c>
      <c r="AX192" s="100"/>
      <c r="AY192" s="207">
        <f t="shared" si="121"/>
        <v>0</v>
      </c>
      <c r="AZ192" s="207">
        <f t="shared" si="121"/>
        <v>0</v>
      </c>
      <c r="BA192" s="207">
        <f t="shared" si="121"/>
        <v>0</v>
      </c>
      <c r="BB192" s="335"/>
      <c r="BC192" s="335"/>
      <c r="BD192" s="335"/>
      <c r="BE192" s="335"/>
      <c r="BF192" s="335"/>
      <c r="BG192" s="335"/>
      <c r="BH192" s="255"/>
    </row>
    <row r="193" spans="1:60" x14ac:dyDescent="0.2">
      <c r="A193" s="648"/>
      <c r="B193" s="492" t="s">
        <v>271</v>
      </c>
      <c r="C193" s="739" t="s">
        <v>104</v>
      </c>
      <c r="D193" s="747"/>
      <c r="E193" s="90"/>
      <c r="F193" s="90"/>
      <c r="G193" s="90"/>
      <c r="H193" s="96"/>
      <c r="I193" s="90"/>
      <c r="J193" s="93"/>
      <c r="K193" s="90"/>
      <c r="L193" s="90"/>
      <c r="M193" s="93"/>
      <c r="N193" s="90"/>
      <c r="O193" s="93"/>
      <c r="P193" s="93"/>
      <c r="Q193" s="93"/>
      <c r="R193" s="93"/>
      <c r="S193" s="93"/>
      <c r="T193" s="93"/>
      <c r="U193" s="93"/>
      <c r="V193" s="93"/>
      <c r="W193" s="93"/>
      <c r="X193" s="93"/>
      <c r="Y193" s="93"/>
      <c r="Z193" s="90"/>
      <c r="AA193" s="93"/>
      <c r="AB193" s="93"/>
      <c r="AC193" s="93"/>
      <c r="AD193" s="93"/>
      <c r="AE193" s="93"/>
      <c r="AF193" s="93"/>
      <c r="AG193" s="93"/>
      <c r="AH193" s="93"/>
      <c r="AI193" s="93"/>
      <c r="AJ193" s="93"/>
      <c r="AK193" s="93"/>
      <c r="AL193" s="90"/>
      <c r="AM193" s="90"/>
      <c r="AN193" s="90"/>
      <c r="AO193" s="90"/>
      <c r="AP193" s="90"/>
      <c r="AQ193" s="90"/>
      <c r="AR193" s="90"/>
      <c r="AS193" s="90"/>
      <c r="AT193" s="90"/>
      <c r="AU193" s="93"/>
      <c r="AV193" s="93"/>
      <c r="AW193" s="93"/>
      <c r="AX193" s="90"/>
      <c r="AY193" s="93"/>
      <c r="AZ193" s="93"/>
      <c r="BA193" s="93"/>
      <c r="BB193" s="93"/>
      <c r="BC193" s="93"/>
      <c r="BD193" s="93"/>
      <c r="BE193" s="93"/>
      <c r="BF193" s="93"/>
      <c r="BG193" s="93"/>
      <c r="BH193" s="1"/>
    </row>
    <row r="194" spans="1:60" x14ac:dyDescent="0.2">
      <c r="A194" s="648"/>
      <c r="B194" s="492" t="s">
        <v>279</v>
      </c>
      <c r="C194" s="656" t="s">
        <v>104</v>
      </c>
      <c r="D194" s="747"/>
      <c r="E194" s="90"/>
      <c r="F194" s="90"/>
      <c r="G194" s="90"/>
      <c r="H194" s="96"/>
      <c r="I194" s="90"/>
      <c r="J194" s="93"/>
      <c r="K194" s="90"/>
      <c r="L194" s="90"/>
      <c r="M194" s="93"/>
      <c r="N194" s="90"/>
      <c r="O194" s="93"/>
      <c r="P194" s="93"/>
      <c r="Q194" s="93"/>
      <c r="R194" s="93"/>
      <c r="S194" s="93"/>
      <c r="T194" s="93"/>
      <c r="U194" s="93"/>
      <c r="V194" s="93"/>
      <c r="W194" s="93"/>
      <c r="X194" s="93"/>
      <c r="Y194" s="93"/>
      <c r="Z194" s="90"/>
      <c r="AA194" s="93"/>
      <c r="AB194" s="93"/>
      <c r="AC194" s="93"/>
      <c r="AD194" s="93"/>
      <c r="AE194" s="93"/>
      <c r="AF194" s="93"/>
      <c r="AG194" s="93"/>
      <c r="AH194" s="93"/>
      <c r="AI194" s="93"/>
      <c r="AJ194" s="93"/>
      <c r="AK194" s="93"/>
      <c r="AL194" s="90"/>
      <c r="AM194" s="93"/>
      <c r="AN194" s="93"/>
      <c r="AO194" s="93"/>
      <c r="AP194" s="93"/>
      <c r="AQ194" s="93"/>
      <c r="AR194" s="93"/>
      <c r="AS194" s="93"/>
      <c r="AT194" s="93"/>
      <c r="AU194" s="93"/>
      <c r="AV194" s="93"/>
      <c r="AW194" s="93"/>
      <c r="AX194" s="90"/>
      <c r="AY194" s="93"/>
      <c r="AZ194" s="93"/>
      <c r="BA194" s="93"/>
      <c r="BB194" s="93"/>
      <c r="BC194" s="93"/>
      <c r="BD194" s="93"/>
      <c r="BE194" s="93"/>
      <c r="BF194" s="93"/>
      <c r="BG194" s="93"/>
      <c r="BH194" s="1"/>
    </row>
    <row r="195" spans="1:60" ht="21" x14ac:dyDescent="0.2">
      <c r="A195" s="648"/>
      <c r="B195" s="492" t="s">
        <v>279</v>
      </c>
      <c r="C195" s="739" t="s">
        <v>104</v>
      </c>
      <c r="D195" s="752"/>
      <c r="E195" s="240" t="s">
        <v>280</v>
      </c>
      <c r="F195" s="240"/>
      <c r="G195" s="240"/>
      <c r="H195" s="240"/>
      <c r="I195" s="88"/>
      <c r="J195" s="241" t="str">
        <f>J$10</f>
        <v>totaal</v>
      </c>
      <c r="K195" s="142"/>
      <c r="L195" s="142"/>
      <c r="M195" s="216" t="str">
        <f>M$10</f>
        <v>totaal</v>
      </c>
      <c r="N195" s="222"/>
      <c r="O195" s="217" t="str">
        <f t="shared" ref="O195:W195" si="122">O$10</f>
        <v>verwarming</v>
      </c>
      <c r="P195" s="217" t="str">
        <f t="shared" si="122"/>
        <v>koeling</v>
      </c>
      <c r="Q195" s="217" t="str">
        <f t="shared" si="122"/>
        <v>tapwater</v>
      </c>
      <c r="R195" s="217" t="str">
        <f t="shared" si="122"/>
        <v>verlichting</v>
      </c>
      <c r="S195" s="217" t="str">
        <f t="shared" si="122"/>
        <v>ventilatoren</v>
      </c>
      <c r="T195" s="217" t="str">
        <f t="shared" si="122"/>
        <v>kookgas</v>
      </c>
      <c r="U195" s="217" t="str">
        <f t="shared" si="122"/>
        <v>overig elektra</v>
      </c>
      <c r="V195" s="217" t="str">
        <f t="shared" si="122"/>
        <v>mobiliteit</v>
      </c>
      <c r="W195" s="217" t="str">
        <f t="shared" si="122"/>
        <v>zonnepanelen</v>
      </c>
      <c r="X195" s="214"/>
      <c r="Y195" s="216" t="str">
        <f>Y$10</f>
        <v>totaal</v>
      </c>
      <c r="Z195" s="222"/>
      <c r="AA195" s="217" t="str">
        <f t="shared" ref="AA195:AI195" si="123">AA$10</f>
        <v>verwarming</v>
      </c>
      <c r="AB195" s="217" t="str">
        <f t="shared" si="123"/>
        <v>koeling</v>
      </c>
      <c r="AC195" s="217" t="str">
        <f t="shared" si="123"/>
        <v>tapwater</v>
      </c>
      <c r="AD195" s="217" t="str">
        <f t="shared" si="123"/>
        <v>verlichting</v>
      </c>
      <c r="AE195" s="217" t="str">
        <f t="shared" si="123"/>
        <v>ventilatoren</v>
      </c>
      <c r="AF195" s="217" t="str">
        <f t="shared" si="123"/>
        <v>kookgas</v>
      </c>
      <c r="AG195" s="217" t="str">
        <f t="shared" si="123"/>
        <v>overig elektra</v>
      </c>
      <c r="AH195" s="217" t="str">
        <f t="shared" si="123"/>
        <v>mobiliteit</v>
      </c>
      <c r="AI195" s="217" t="str">
        <f t="shared" si="123"/>
        <v>zonnepanelen</v>
      </c>
      <c r="AJ195" s="214"/>
      <c r="AK195" s="216" t="str">
        <f>AK$10</f>
        <v>totaal</v>
      </c>
      <c r="AL195" s="222"/>
      <c r="AM195" s="217" t="str">
        <f>AM$10</f>
        <v>verwarming</v>
      </c>
      <c r="AN195" s="217" t="str">
        <f t="shared" ref="AN195:AU195" si="124">AN$10</f>
        <v>koeling</v>
      </c>
      <c r="AO195" s="217" t="str">
        <f t="shared" si="124"/>
        <v>tapwater</v>
      </c>
      <c r="AP195" s="217" t="str">
        <f t="shared" si="124"/>
        <v>verlichting</v>
      </c>
      <c r="AQ195" s="217" t="str">
        <f t="shared" si="124"/>
        <v>ventilatoren</v>
      </c>
      <c r="AR195" s="217" t="str">
        <f t="shared" si="124"/>
        <v>kookgas</v>
      </c>
      <c r="AS195" s="217" t="str">
        <f t="shared" si="124"/>
        <v>overig elektra</v>
      </c>
      <c r="AT195" s="217" t="str">
        <f t="shared" si="124"/>
        <v>mobiliteit</v>
      </c>
      <c r="AU195" s="217" t="str">
        <f t="shared" si="124"/>
        <v>zonnepanelen</v>
      </c>
      <c r="AV195" s="214"/>
      <c r="AW195" s="216" t="str">
        <f>AW$10</f>
        <v>totaal</v>
      </c>
      <c r="AX195" s="222"/>
      <c r="AY195" s="217" t="str">
        <f t="shared" ref="AY195:BG195" si="125">AY$10</f>
        <v>verwarming</v>
      </c>
      <c r="AZ195" s="217" t="str">
        <f t="shared" si="125"/>
        <v>koeling</v>
      </c>
      <c r="BA195" s="217" t="str">
        <f t="shared" si="125"/>
        <v>tapwater</v>
      </c>
      <c r="BB195" s="217" t="str">
        <f t="shared" si="125"/>
        <v>verlichting</v>
      </c>
      <c r="BC195" s="217" t="str">
        <f t="shared" si="125"/>
        <v>ventilatoren</v>
      </c>
      <c r="BD195" s="217" t="str">
        <f t="shared" si="125"/>
        <v>kookgas</v>
      </c>
      <c r="BE195" s="217" t="str">
        <f t="shared" si="125"/>
        <v>overig elektra</v>
      </c>
      <c r="BF195" s="217" t="str">
        <f t="shared" si="125"/>
        <v>mobiliteit</v>
      </c>
      <c r="BG195" s="217" t="str">
        <f t="shared" si="125"/>
        <v>zonnepanelen</v>
      </c>
      <c r="BH195" s="1"/>
    </row>
    <row r="196" spans="1:60" ht="18.75" x14ac:dyDescent="0.2">
      <c r="A196" s="648"/>
      <c r="B196" s="492" t="s">
        <v>279</v>
      </c>
      <c r="C196" s="739" t="s">
        <v>104</v>
      </c>
      <c r="D196" s="747"/>
      <c r="E196" s="231" t="s">
        <v>281</v>
      </c>
      <c r="F196" s="231"/>
      <c r="G196" s="231"/>
      <c r="H196" s="89"/>
      <c r="I196" s="232"/>
      <c r="J196" s="231"/>
      <c r="K196" s="232"/>
      <c r="L196" s="232"/>
      <c r="M196" s="231"/>
      <c r="N196" s="232"/>
      <c r="O196" s="232"/>
      <c r="P196" s="232"/>
      <c r="Q196" s="232"/>
      <c r="R196" s="232"/>
      <c r="S196" s="232"/>
      <c r="T196" s="232"/>
      <c r="U196" s="232"/>
      <c r="V196" s="232"/>
      <c r="W196" s="232"/>
      <c r="X196" s="232"/>
      <c r="Y196" s="232"/>
      <c r="Z196" s="232"/>
      <c r="AA196" s="232"/>
      <c r="AB196" s="232"/>
      <c r="AC196" s="232"/>
      <c r="AD196" s="232"/>
      <c r="AE196" s="232"/>
      <c r="AF196" s="232"/>
      <c r="AG196" s="232"/>
      <c r="AH196" s="232"/>
      <c r="AI196" s="232"/>
      <c r="AJ196" s="232"/>
      <c r="AK196" s="232"/>
      <c r="AL196" s="232"/>
      <c r="AM196" s="232"/>
      <c r="AN196" s="232"/>
      <c r="AO196" s="232"/>
      <c r="AP196" s="232"/>
      <c r="AQ196" s="232"/>
      <c r="AR196" s="232"/>
      <c r="AS196" s="232"/>
      <c r="AT196" s="232"/>
      <c r="AU196" s="232"/>
      <c r="AV196" s="232"/>
      <c r="AW196" s="232"/>
      <c r="AX196" s="232"/>
      <c r="AY196" s="232"/>
      <c r="AZ196" s="232"/>
      <c r="BA196" s="232"/>
      <c r="BB196" s="232"/>
      <c r="BC196" s="232"/>
      <c r="BD196" s="232"/>
      <c r="BE196" s="232"/>
      <c r="BF196" s="232"/>
      <c r="BG196" s="232"/>
      <c r="BH196" s="38"/>
    </row>
    <row r="197" spans="1:60" s="38" customFormat="1" x14ac:dyDescent="0.2">
      <c r="A197" s="648"/>
      <c r="B197" s="492" t="s">
        <v>279</v>
      </c>
      <c r="C197" s="656" t="s">
        <v>113</v>
      </c>
      <c r="D197" s="747"/>
      <c r="E197" s="287" t="s">
        <v>282</v>
      </c>
      <c r="F197" s="287" t="s">
        <v>208</v>
      </c>
      <c r="G197" s="287"/>
      <c r="H197" s="288" t="s">
        <v>70</v>
      </c>
      <c r="I197" s="289"/>
      <c r="J197" s="290"/>
      <c r="K197" s="280"/>
      <c r="L197" s="280"/>
      <c r="M197" s="290"/>
      <c r="N197" s="291"/>
      <c r="O197" s="292" t="str">
        <f>IF(AND(O$80&lt;&gt;"geen",O$102&lt;&gt;""),O$102,"")</f>
        <v>elektriciteit</v>
      </c>
      <c r="P197" s="292" t="str">
        <f>IF(AND(P$80&lt;&gt;"geen",P$102&lt;&gt;""),P$102,"")</f>
        <v/>
      </c>
      <c r="Q197" s="292" t="str">
        <f>IF(AND(Q$80&lt;&gt;"geen",Q$102&lt;&gt;""),Q$102,"")</f>
        <v>elektriciteit</v>
      </c>
      <c r="R197" s="704"/>
      <c r="S197" s="704"/>
      <c r="T197" s="704"/>
      <c r="U197" s="704"/>
      <c r="V197" s="704"/>
      <c r="W197" s="704"/>
      <c r="X197" s="137"/>
      <c r="Y197" s="290"/>
      <c r="Z197" s="291"/>
      <c r="AA197" s="292" t="str">
        <f>IF(AND(AA$80&lt;&gt;"geen",AA$102&lt;&gt;""),AA$102,"")</f>
        <v>elektriciteit</v>
      </c>
      <c r="AB197" s="292" t="str">
        <f>IF(AND(AB$80&lt;&gt;"geen",AB$102&lt;&gt;""),AB$102,"")</f>
        <v/>
      </c>
      <c r="AC197" s="292" t="str">
        <f>IF(AND(AC$80&lt;&gt;"geen",AC$102&lt;&gt;""),AC$102,"")</f>
        <v>elektriciteit</v>
      </c>
      <c r="AD197" s="704"/>
      <c r="AE197" s="704"/>
      <c r="AF197" s="704"/>
      <c r="AG197" s="704"/>
      <c r="AH197" s="704"/>
      <c r="AI197" s="704"/>
      <c r="AJ197" s="137"/>
      <c r="AK197" s="290"/>
      <c r="AL197" s="291"/>
      <c r="AM197" s="292" t="str">
        <f>IF(AND(AM$80&lt;&gt;"geen",AM$102&lt;&gt;""),AM$102,"")</f>
        <v>elektriciteit</v>
      </c>
      <c r="AN197" s="292" t="str">
        <f>IF(AND(AN$80&lt;&gt;"geen",AN$102&lt;&gt;""),AN$102,"")</f>
        <v/>
      </c>
      <c r="AO197" s="292" t="str">
        <f>IF(AND(AO$80&lt;&gt;"geen",AO$102&lt;&gt;""),AO$102,"")</f>
        <v>elektriciteit</v>
      </c>
      <c r="AP197" s="704"/>
      <c r="AQ197" s="704"/>
      <c r="AR197" s="704"/>
      <c r="AS197" s="704"/>
      <c r="AT197" s="704"/>
      <c r="AU197" s="704"/>
      <c r="AV197" s="137"/>
      <c r="AW197" s="290"/>
      <c r="AX197" s="291"/>
      <c r="AY197" s="292" t="str">
        <f>IF(AND(AY$80&lt;&gt;"geen",AY$102&lt;&gt;""),AY$102,"")</f>
        <v>elektriciteit</v>
      </c>
      <c r="AZ197" s="292" t="str">
        <f>IF(AND(AZ$80&lt;&gt;"geen",AZ$102&lt;&gt;""),AZ$102,"")</f>
        <v/>
      </c>
      <c r="BA197" s="292" t="str">
        <f>IF(AND(BA$80&lt;&gt;"geen",BA$102&lt;&gt;""),BA$102,"")</f>
        <v>elektriciteit</v>
      </c>
      <c r="BB197" s="704"/>
      <c r="BC197" s="704"/>
      <c r="BD197" s="704"/>
      <c r="BE197" s="704"/>
      <c r="BF197" s="704"/>
      <c r="BG197" s="704"/>
      <c r="BH197" s="269"/>
    </row>
    <row r="198" spans="1:60" s="2" customFormat="1" x14ac:dyDescent="0.2">
      <c r="A198" s="649"/>
      <c r="B198" s="492" t="s">
        <v>279</v>
      </c>
      <c r="C198" s="739" t="s">
        <v>113</v>
      </c>
      <c r="D198" s="753"/>
      <c r="E198" s="413"/>
      <c r="F198" s="317" t="s">
        <v>283</v>
      </c>
      <c r="G198" s="317"/>
      <c r="H198" s="427" t="s">
        <v>115</v>
      </c>
      <c r="I198" s="196"/>
      <c r="J198" s="370">
        <f>M198+Y198+AK198+AW198</f>
        <v>0</v>
      </c>
      <c r="K198" s="428"/>
      <c r="L198" s="428"/>
      <c r="M198" s="370">
        <f>SUM(N198:X198)</f>
        <v>0</v>
      </c>
      <c r="N198" s="371"/>
      <c r="O198" s="429">
        <f>IF(O197="","",(O$102=O197)*O$117)</f>
        <v>0</v>
      </c>
      <c r="P198" s="429" t="str">
        <f>IF(P197="","",(P$102=P197)*P$117)</f>
        <v/>
      </c>
      <c r="Q198" s="429">
        <f>IF(Q197="","",(Q$102=Q197)*Q$117)</f>
        <v>0</v>
      </c>
      <c r="R198" s="372"/>
      <c r="S198" s="372"/>
      <c r="T198" s="372"/>
      <c r="U198" s="372"/>
      <c r="V198" s="372"/>
      <c r="W198" s="372"/>
      <c r="X198" s="128"/>
      <c r="Y198" s="370">
        <f>SUM(Z198:AJ198)</f>
        <v>0</v>
      </c>
      <c r="Z198" s="371"/>
      <c r="AA198" s="429">
        <f>IF(AA197="","",(AA$102=AA197)*AA$117)</f>
        <v>0</v>
      </c>
      <c r="AB198" s="429" t="str">
        <f>IF(AB197="","",(AB$102=AB197)*AB$117)</f>
        <v/>
      </c>
      <c r="AC198" s="429">
        <f>IF(AC197="","",(AC$102=AC197)*AC$117)</f>
        <v>0</v>
      </c>
      <c r="AD198" s="372"/>
      <c r="AE198" s="372"/>
      <c r="AF198" s="372"/>
      <c r="AG198" s="372"/>
      <c r="AH198" s="372"/>
      <c r="AI198" s="372"/>
      <c r="AJ198" s="128"/>
      <c r="AK198" s="370">
        <f>SUM(AL198:AV198)</f>
        <v>0</v>
      </c>
      <c r="AL198" s="371"/>
      <c r="AM198" s="429">
        <f>IF(AM197="","",(AM$102=AM197)*AM$117)</f>
        <v>0</v>
      </c>
      <c r="AN198" s="429" t="str">
        <f>IF(AN197="","",(AN$102=AN197)*AN$117)</f>
        <v/>
      </c>
      <c r="AO198" s="429">
        <f>IF(AO197="","",(AO$102=AO197)*AO$117)</f>
        <v>0</v>
      </c>
      <c r="AP198" s="372"/>
      <c r="AQ198" s="372"/>
      <c r="AR198" s="372"/>
      <c r="AS198" s="372"/>
      <c r="AT198" s="372"/>
      <c r="AU198" s="372"/>
      <c r="AV198" s="128"/>
      <c r="AW198" s="370">
        <f>SUM(AX198:BH198)</f>
        <v>0</v>
      </c>
      <c r="AX198" s="371"/>
      <c r="AY198" s="429">
        <f>IF(AY197="","",(AY$102=AY197)*AY$117)</f>
        <v>0</v>
      </c>
      <c r="AZ198" s="429" t="str">
        <f>IF(AZ197="","",(AZ$102=AZ197)*AZ$117)</f>
        <v/>
      </c>
      <c r="BA198" s="429">
        <f>IF(BA197="","",(BA$102=BA197)*BA$117)</f>
        <v>0</v>
      </c>
      <c r="BB198" s="372"/>
      <c r="BC198" s="372"/>
      <c r="BD198" s="372"/>
      <c r="BE198" s="372"/>
      <c r="BF198" s="372"/>
      <c r="BG198" s="372"/>
      <c r="BH198" s="267"/>
    </row>
    <row r="199" spans="1:60" s="2" customFormat="1" x14ac:dyDescent="0.2">
      <c r="A199" s="649"/>
      <c r="B199" s="492" t="s">
        <v>279</v>
      </c>
      <c r="C199" s="739" t="s">
        <v>113</v>
      </c>
      <c r="D199" s="753"/>
      <c r="E199" s="316" t="s">
        <v>284</v>
      </c>
      <c r="F199" s="366" t="s">
        <v>208</v>
      </c>
      <c r="G199" s="366"/>
      <c r="H199" s="430" t="s">
        <v>70</v>
      </c>
      <c r="I199" s="431"/>
      <c r="J199" s="432"/>
      <c r="K199" s="433"/>
      <c r="L199" s="433"/>
      <c r="M199" s="432"/>
      <c r="N199" s="434"/>
      <c r="O199" s="435" t="str">
        <f>IF(AND(O$131&lt;&gt;"",O$131&lt;&gt;"geen"),O$132,"")</f>
        <v>elektriciteit</v>
      </c>
      <c r="P199" s="435" t="str">
        <f>IF(AND(P$131&lt;&gt;"",P$131&lt;&gt;"geen"),P$132,"")</f>
        <v/>
      </c>
      <c r="Q199" s="435" t="str">
        <f>IF(AND(Q$131&lt;&gt;"",Q$131&lt;&gt;"geen"),Q$132,"")</f>
        <v>elektriciteit</v>
      </c>
      <c r="R199" s="705"/>
      <c r="S199" s="705"/>
      <c r="T199" s="705"/>
      <c r="U199" s="705"/>
      <c r="V199" s="705"/>
      <c r="W199" s="705"/>
      <c r="X199" s="133"/>
      <c r="Y199" s="432"/>
      <c r="Z199" s="434"/>
      <c r="AA199" s="435" t="str">
        <f>IF(AND(AA$131&lt;&gt;"",AA$131&lt;&gt;"geen"),AA$132,"")</f>
        <v>elektriciteit</v>
      </c>
      <c r="AB199" s="435" t="str">
        <f>IF(AND(AB$131&lt;&gt;"",AB$131&lt;&gt;"geen"),AB$132,"")</f>
        <v/>
      </c>
      <c r="AC199" s="435" t="str">
        <f>IF(AND(AC$131&lt;&gt;"",AC$131&lt;&gt;"geen"),AC$132,"")</f>
        <v>elektriciteit</v>
      </c>
      <c r="AD199" s="705"/>
      <c r="AE199" s="705"/>
      <c r="AF199" s="705"/>
      <c r="AG199" s="705"/>
      <c r="AH199" s="705"/>
      <c r="AI199" s="705"/>
      <c r="AJ199" s="133"/>
      <c r="AK199" s="432"/>
      <c r="AL199" s="434"/>
      <c r="AM199" s="435" t="str">
        <f>IF(AND(AM$131&lt;&gt;"",AM$131&lt;&gt;"geen"),AM$132,"")</f>
        <v>elektriciteit</v>
      </c>
      <c r="AN199" s="435" t="str">
        <f>IF(AND(AN$131&lt;&gt;"",AN$131&lt;&gt;"geen"),AN$132,"")</f>
        <v/>
      </c>
      <c r="AO199" s="435" t="str">
        <f>IF(AND(AO$131&lt;&gt;"",AO$131&lt;&gt;"geen"),AO$132,"")</f>
        <v>elektriciteit</v>
      </c>
      <c r="AP199" s="705"/>
      <c r="AQ199" s="705"/>
      <c r="AR199" s="705"/>
      <c r="AS199" s="705"/>
      <c r="AT199" s="705"/>
      <c r="AU199" s="705"/>
      <c r="AV199" s="133"/>
      <c r="AW199" s="432"/>
      <c r="AX199" s="434"/>
      <c r="AY199" s="435" t="str">
        <f>IF(AND(AY$131&lt;&gt;"",AY$131&lt;&gt;"geen"),AY$132,"")</f>
        <v>elektriciteit</v>
      </c>
      <c r="AZ199" s="435" t="str">
        <f>IF(AND(AZ$131&lt;&gt;"",AZ$131&lt;&gt;"geen"),AZ$132,"")</f>
        <v/>
      </c>
      <c r="BA199" s="435" t="str">
        <f>IF(AND(BA$131&lt;&gt;"",BA$131&lt;&gt;"geen"),BA$132,"")</f>
        <v>elektriciteit</v>
      </c>
      <c r="BB199" s="705"/>
      <c r="BC199" s="705"/>
      <c r="BD199" s="705"/>
      <c r="BE199" s="705"/>
      <c r="BF199" s="705"/>
      <c r="BG199" s="705"/>
      <c r="BH199" s="267"/>
    </row>
    <row r="200" spans="1:60" s="2" customFormat="1" x14ac:dyDescent="0.2">
      <c r="A200" s="649"/>
      <c r="B200" s="492" t="s">
        <v>279</v>
      </c>
      <c r="C200" s="739" t="s">
        <v>113</v>
      </c>
      <c r="D200" s="753"/>
      <c r="E200" s="413"/>
      <c r="F200" s="317" t="s">
        <v>283</v>
      </c>
      <c r="G200" s="317"/>
      <c r="H200" s="427" t="s">
        <v>115</v>
      </c>
      <c r="I200" s="196"/>
      <c r="J200" s="370">
        <f>M200+Y200+AK200+AW200</f>
        <v>0</v>
      </c>
      <c r="K200" s="428"/>
      <c r="L200" s="428"/>
      <c r="M200" s="370">
        <f>SUM(N200:X200)</f>
        <v>0</v>
      </c>
      <c r="N200" s="371"/>
      <c r="O200" s="429">
        <f>IF(O199="",0,(O$132=O199)*O$142)</f>
        <v>0</v>
      </c>
      <c r="P200" s="429">
        <f>IF(P199="",0,(P$132=P199)*P$142)</f>
        <v>0</v>
      </c>
      <c r="Q200" s="429">
        <f>IF(Q199="",0,(Q$132=Q199)*Q$142)</f>
        <v>0</v>
      </c>
      <c r="R200" s="372"/>
      <c r="S200" s="372"/>
      <c r="T200" s="372"/>
      <c r="U200" s="372"/>
      <c r="V200" s="372"/>
      <c r="W200" s="372"/>
      <c r="X200" s="128"/>
      <c r="Y200" s="370">
        <f>SUM(Z200:AJ200)</f>
        <v>0</v>
      </c>
      <c r="Z200" s="371"/>
      <c r="AA200" s="429">
        <f>IF(AA199="",0,(AA$132=AA199)*AA$142)</f>
        <v>0</v>
      </c>
      <c r="AB200" s="429">
        <f>IF(AB199="",0,(AB$132=AB199)*AB$142)</f>
        <v>0</v>
      </c>
      <c r="AC200" s="429">
        <f>IF(AC199="",0,(AC$132=AC199)*AC$142)</f>
        <v>0</v>
      </c>
      <c r="AD200" s="372"/>
      <c r="AE200" s="372"/>
      <c r="AF200" s="372"/>
      <c r="AG200" s="372"/>
      <c r="AH200" s="372"/>
      <c r="AI200" s="372"/>
      <c r="AJ200" s="128"/>
      <c r="AK200" s="370">
        <f>SUM(AL200:AV200)</f>
        <v>0</v>
      </c>
      <c r="AL200" s="371"/>
      <c r="AM200" s="429">
        <f>IF(AM199="",0,(AM$132=AM199)*AM$142)</f>
        <v>0</v>
      </c>
      <c r="AN200" s="429">
        <f>IF(AN199="",0,(AN$132=AN199)*AN$142)</f>
        <v>0</v>
      </c>
      <c r="AO200" s="429">
        <f>IF(AO199="",0,(AO$132=AO199)*AO$142)</f>
        <v>0</v>
      </c>
      <c r="AP200" s="372"/>
      <c r="AQ200" s="372"/>
      <c r="AR200" s="372"/>
      <c r="AS200" s="372"/>
      <c r="AT200" s="372"/>
      <c r="AU200" s="372"/>
      <c r="AV200" s="128"/>
      <c r="AW200" s="370">
        <f>SUM(AX200:BH200)</f>
        <v>0</v>
      </c>
      <c r="AX200" s="371"/>
      <c r="AY200" s="429">
        <f>IF(AY199="",0,(AY$132=AY199)*AY$142)</f>
        <v>0</v>
      </c>
      <c r="AZ200" s="429">
        <f>IF(AZ199="",0,(AZ$132=AZ199)*AZ$142)</f>
        <v>0</v>
      </c>
      <c r="BA200" s="429">
        <f>IF(BA199="",0,(BA$132=BA199)*BA$142)</f>
        <v>0</v>
      </c>
      <c r="BB200" s="372"/>
      <c r="BC200" s="372"/>
      <c r="BD200" s="372"/>
      <c r="BE200" s="372"/>
      <c r="BF200" s="372"/>
      <c r="BG200" s="372"/>
      <c r="BH200" s="267"/>
    </row>
    <row r="201" spans="1:60" s="2" customFormat="1" x14ac:dyDescent="0.2">
      <c r="A201" s="649"/>
      <c r="B201" s="492" t="s">
        <v>279</v>
      </c>
      <c r="C201" s="739" t="s">
        <v>113</v>
      </c>
      <c r="D201" s="753"/>
      <c r="E201" s="316" t="s">
        <v>285</v>
      </c>
      <c r="F201" s="366" t="s">
        <v>208</v>
      </c>
      <c r="G201" s="366"/>
      <c r="H201" s="430" t="s">
        <v>70</v>
      </c>
      <c r="I201" s="431"/>
      <c r="J201" s="436"/>
      <c r="K201" s="433"/>
      <c r="L201" s="433"/>
      <c r="M201" s="432"/>
      <c r="N201" s="434"/>
      <c r="O201" s="435" t="str">
        <f t="shared" ref="O201:W201" si="126">elektriciteit</f>
        <v>elektriciteit</v>
      </c>
      <c r="P201" s="435" t="str">
        <f t="shared" si="126"/>
        <v>elektriciteit</v>
      </c>
      <c r="Q201" s="435" t="str">
        <f t="shared" si="126"/>
        <v>elektriciteit</v>
      </c>
      <c r="R201" s="435" t="str">
        <f t="shared" si="126"/>
        <v>elektriciteit</v>
      </c>
      <c r="S201" s="435" t="str">
        <f t="shared" si="126"/>
        <v>elektriciteit</v>
      </c>
      <c r="T201" s="435" t="str">
        <f>aardgas</f>
        <v>aardgas</v>
      </c>
      <c r="U201" s="435" t="str">
        <f t="shared" si="126"/>
        <v>elektriciteit</v>
      </c>
      <c r="V201" s="435" t="str">
        <f t="shared" si="126"/>
        <v>elektriciteit</v>
      </c>
      <c r="W201" s="435" t="str">
        <f t="shared" si="126"/>
        <v>elektriciteit</v>
      </c>
      <c r="X201" s="133"/>
      <c r="Y201" s="432"/>
      <c r="Z201" s="434"/>
      <c r="AA201" s="435" t="str">
        <f t="shared" ref="AA201:AI201" si="127">elektriciteit</f>
        <v>elektriciteit</v>
      </c>
      <c r="AB201" s="435" t="str">
        <f t="shared" si="127"/>
        <v>elektriciteit</v>
      </c>
      <c r="AC201" s="435" t="str">
        <f t="shared" si="127"/>
        <v>elektriciteit</v>
      </c>
      <c r="AD201" s="435" t="str">
        <f t="shared" si="127"/>
        <v>elektriciteit</v>
      </c>
      <c r="AE201" s="435" t="str">
        <f t="shared" si="127"/>
        <v>elektriciteit</v>
      </c>
      <c r="AF201" s="435" t="str">
        <f>aardgas</f>
        <v>aardgas</v>
      </c>
      <c r="AG201" s="435" t="str">
        <f t="shared" si="127"/>
        <v>elektriciteit</v>
      </c>
      <c r="AH201" s="435" t="str">
        <f t="shared" si="127"/>
        <v>elektriciteit</v>
      </c>
      <c r="AI201" s="435" t="str">
        <f t="shared" si="127"/>
        <v>elektriciteit</v>
      </c>
      <c r="AJ201" s="133"/>
      <c r="AK201" s="432"/>
      <c r="AL201" s="434"/>
      <c r="AM201" s="435" t="str">
        <f t="shared" ref="AM201:AU201" si="128">elektriciteit</f>
        <v>elektriciteit</v>
      </c>
      <c r="AN201" s="435" t="str">
        <f t="shared" si="128"/>
        <v>elektriciteit</v>
      </c>
      <c r="AO201" s="435" t="str">
        <f t="shared" si="128"/>
        <v>elektriciteit</v>
      </c>
      <c r="AP201" s="435" t="str">
        <f t="shared" si="128"/>
        <v>elektriciteit</v>
      </c>
      <c r="AQ201" s="435" t="str">
        <f t="shared" si="128"/>
        <v>elektriciteit</v>
      </c>
      <c r="AR201" s="435" t="str">
        <f>aardgas</f>
        <v>aardgas</v>
      </c>
      <c r="AS201" s="435" t="str">
        <f t="shared" si="128"/>
        <v>elektriciteit</v>
      </c>
      <c r="AT201" s="435" t="str">
        <f t="shared" si="128"/>
        <v>elektriciteit</v>
      </c>
      <c r="AU201" s="435" t="str">
        <f t="shared" si="128"/>
        <v>elektriciteit</v>
      </c>
      <c r="AV201" s="133"/>
      <c r="AW201" s="432"/>
      <c r="AX201" s="434"/>
      <c r="AY201" s="435" t="str">
        <f t="shared" ref="AY201:BG201" si="129">elektriciteit</f>
        <v>elektriciteit</v>
      </c>
      <c r="AZ201" s="435" t="str">
        <f t="shared" si="129"/>
        <v>elektriciteit</v>
      </c>
      <c r="BA201" s="435" t="str">
        <f t="shared" si="129"/>
        <v>elektriciteit</v>
      </c>
      <c r="BB201" s="435" t="str">
        <f t="shared" si="129"/>
        <v>elektriciteit</v>
      </c>
      <c r="BC201" s="435" t="str">
        <f t="shared" si="129"/>
        <v>elektriciteit</v>
      </c>
      <c r="BD201" s="435" t="str">
        <f>aardgas</f>
        <v>aardgas</v>
      </c>
      <c r="BE201" s="435" t="str">
        <f t="shared" si="129"/>
        <v>elektriciteit</v>
      </c>
      <c r="BF201" s="435" t="str">
        <f t="shared" si="129"/>
        <v>elektriciteit</v>
      </c>
      <c r="BG201" s="435" t="str">
        <f t="shared" si="129"/>
        <v>elektriciteit</v>
      </c>
      <c r="BH201" s="264"/>
    </row>
    <row r="202" spans="1:60" s="2" customFormat="1" x14ac:dyDescent="0.2">
      <c r="A202" s="649"/>
      <c r="B202" s="492" t="s">
        <v>279</v>
      </c>
      <c r="C202" s="739" t="s">
        <v>113</v>
      </c>
      <c r="D202" s="753"/>
      <c r="E202" s="317" t="s">
        <v>286</v>
      </c>
      <c r="F202" s="317" t="s">
        <v>283</v>
      </c>
      <c r="G202" s="317"/>
      <c r="H202" s="427" t="s">
        <v>115</v>
      </c>
      <c r="I202" s="196"/>
      <c r="J202" s="370">
        <f>M202+Y202+AK202+AW202</f>
        <v>0</v>
      </c>
      <c r="K202" s="428"/>
      <c r="L202" s="428"/>
      <c r="M202" s="370">
        <f>SUM(N202:X202)</f>
        <v>0</v>
      </c>
      <c r="N202" s="371"/>
      <c r="O202" s="429">
        <f>IF(O201=elektriciteit,O$159-O$177,O$75*bibliotheek!$K$223)</f>
        <v>0</v>
      </c>
      <c r="P202" s="429">
        <f>IF(P201=elektriciteit,P$159-P$177,P$75*bibliotheek!$K$223)</f>
        <v>0</v>
      </c>
      <c r="Q202" s="429">
        <f>IF(Q201=elektriciteit,Q$159-Q$177,Q$75*bibliotheek!$K$223)</f>
        <v>0</v>
      </c>
      <c r="R202" s="429">
        <f>IF(R201=elektriciteit,R$159-R$177,R$75*bibliotheek!$K$223)</f>
        <v>0</v>
      </c>
      <c r="S202" s="429">
        <f>IF(S201=elektriciteit,S$159-S$177,S$75*bibliotheek!$K$223)</f>
        <v>0</v>
      </c>
      <c r="T202" s="429">
        <f>IF(T201=elektriciteit,T$159-T$177,T$75*bibliotheek!$K$223)</f>
        <v>0</v>
      </c>
      <c r="U202" s="429">
        <f>IF(U201=elektriciteit,U$159-U$177,U$75*bibliotheek!$K$223)</f>
        <v>0</v>
      </c>
      <c r="V202" s="429">
        <f>IF(V201=elektriciteit,V$159-V$177,V$75*bibliotheek!$K$223)</f>
        <v>0</v>
      </c>
      <c r="W202" s="429">
        <f>IF(W201=elektriciteit,W$159-W$177,W$75*bibliotheek!$K$223)</f>
        <v>0</v>
      </c>
      <c r="X202" s="128"/>
      <c r="Y202" s="370">
        <f>SUM(Z202:AJ202)</f>
        <v>0</v>
      </c>
      <c r="Z202" s="371"/>
      <c r="AA202" s="429">
        <f>IF(AA201=elektriciteit,AA$159-AA$177,AA$75*bibliotheek!$K$223)</f>
        <v>0</v>
      </c>
      <c r="AB202" s="429">
        <f>IF(AB201=elektriciteit,AB$159-AB$177,AB$75*bibliotheek!$K$223)</f>
        <v>0</v>
      </c>
      <c r="AC202" s="429">
        <f>IF(AC201=elektriciteit,AC$159-AC$177,AC$75*bibliotheek!$K$223)</f>
        <v>0</v>
      </c>
      <c r="AD202" s="429">
        <f>IF(AD201=elektriciteit,AD$159-AD$177,AD$75*bibliotheek!$K$223)</f>
        <v>0</v>
      </c>
      <c r="AE202" s="429">
        <f>IF(AE201=elektriciteit,AE$159-AE$177,AE$75*bibliotheek!$K$223)</f>
        <v>0</v>
      </c>
      <c r="AF202" s="429">
        <f>IF(AF201=elektriciteit,AF$159-AF$177,AF$75*bibliotheek!$K$223)</f>
        <v>0</v>
      </c>
      <c r="AG202" s="429">
        <f>IF(AG201=elektriciteit,AG$159-AG$177,AG$75*bibliotheek!$K$223)</f>
        <v>0</v>
      </c>
      <c r="AH202" s="429">
        <f>IF(AH201=elektriciteit,AH$159-AH$177,AH$75*bibliotheek!$K$223)</f>
        <v>0</v>
      </c>
      <c r="AI202" s="429">
        <f>IF(AI201=elektriciteit,AI$159-AI$177,AI$75*bibliotheek!$K$223)</f>
        <v>0</v>
      </c>
      <c r="AJ202" s="128"/>
      <c r="AK202" s="370">
        <f>SUM(AL202:AV202)</f>
        <v>0</v>
      </c>
      <c r="AL202" s="371"/>
      <c r="AM202" s="429">
        <f>IF(AM201=elektriciteit,AM$159-AM$177,AM$75*bibliotheek!$K$223)</f>
        <v>0</v>
      </c>
      <c r="AN202" s="429">
        <f>IF(AN201=elektriciteit,AN$159-AN$177,AN$75*bibliotheek!$K$223)</f>
        <v>0</v>
      </c>
      <c r="AO202" s="429">
        <f>IF(AO201=elektriciteit,AO$159-AO$177,AO$75*bibliotheek!$K$223)</f>
        <v>0</v>
      </c>
      <c r="AP202" s="429">
        <f>IF(AP201=elektriciteit,AP$159-AP$177,AP$75*bibliotheek!$K$223)</f>
        <v>0</v>
      </c>
      <c r="AQ202" s="429">
        <f>IF(AQ201=elektriciteit,AQ$159-AQ$177,AQ$75*bibliotheek!$K$223)</f>
        <v>0</v>
      </c>
      <c r="AR202" s="429">
        <f>IF(AR201=elektriciteit,AR$159-AR$177,AR$75*bibliotheek!$K$223)</f>
        <v>0</v>
      </c>
      <c r="AS202" s="429">
        <f>IF(AS201=elektriciteit,AS$159-AS$177,AS$75*bibliotheek!$K$223)</f>
        <v>0</v>
      </c>
      <c r="AT202" s="429">
        <f>IF(AT201=elektriciteit,AT$159-AT$177,AT$75*bibliotheek!$K$223)</f>
        <v>0</v>
      </c>
      <c r="AU202" s="429">
        <f>IF(AU201=elektriciteit,AU$159-AU$177,AU$75*bibliotheek!$K$223)</f>
        <v>0</v>
      </c>
      <c r="AV202" s="128"/>
      <c r="AW202" s="370">
        <f>SUM(AX202:BH202)</f>
        <v>0</v>
      </c>
      <c r="AX202" s="371"/>
      <c r="AY202" s="429">
        <f>IF(AY201=elektriciteit,AY$159-AY$177,AY$75*bibliotheek!$K$223)</f>
        <v>0</v>
      </c>
      <c r="AZ202" s="429">
        <f>IF(AZ201=elektriciteit,AZ$159-AZ$177,AZ$75*bibliotheek!$K$223)</f>
        <v>0</v>
      </c>
      <c r="BA202" s="429">
        <f>IF(BA201=elektriciteit,BA$159-BA$177,BA$75*bibliotheek!$K$223)</f>
        <v>0</v>
      </c>
      <c r="BB202" s="429">
        <f>IF(BB201=elektriciteit,BB$159-BB$177,BB$75*bibliotheek!$K$223)</f>
        <v>0</v>
      </c>
      <c r="BC202" s="429">
        <f>IF(BC201=elektriciteit,BC$159-BC$177,BC$75*bibliotheek!$K$223)</f>
        <v>0</v>
      </c>
      <c r="BD202" s="429">
        <f>IF(BD201=elektriciteit,BD$159-BD$177,BD$75*bibliotheek!$K$223)</f>
        <v>0</v>
      </c>
      <c r="BE202" s="429">
        <f>IF(BE201=elektriciteit,BE$159-BE$177,BE$75*bibliotheek!$K$223)</f>
        <v>0</v>
      </c>
      <c r="BF202" s="429">
        <f>IF(BF201=elektriciteit,BF$159-BF$177,BF$75*bibliotheek!$K$223)</f>
        <v>0</v>
      </c>
      <c r="BG202" s="429">
        <f>IF(BG201=elektriciteit,BG$159-BG$177,BG$75*bibliotheek!$K$223)</f>
        <v>0</v>
      </c>
      <c r="BH202" s="267"/>
    </row>
    <row r="203" spans="1:60" ht="18.75" x14ac:dyDescent="0.2">
      <c r="A203" s="648"/>
      <c r="B203" s="492" t="s">
        <v>279</v>
      </c>
      <c r="C203" s="739" t="s">
        <v>104</v>
      </c>
      <c r="D203" s="747"/>
      <c r="E203" s="231" t="s">
        <v>287</v>
      </c>
      <c r="F203" s="231"/>
      <c r="G203" s="231"/>
      <c r="H203" s="89"/>
      <c r="I203" s="232"/>
      <c r="J203" s="285"/>
      <c r="K203" s="285"/>
      <c r="L203" s="285"/>
      <c r="M203" s="285"/>
      <c r="N203" s="285"/>
      <c r="O203" s="285"/>
      <c r="P203" s="285"/>
      <c r="Q203" s="285"/>
      <c r="R203" s="285"/>
      <c r="S203" s="285"/>
      <c r="T203" s="285"/>
      <c r="U203" s="285"/>
      <c r="V203" s="285"/>
      <c r="W203" s="285"/>
      <c r="X203" s="285"/>
      <c r="Y203" s="285"/>
      <c r="Z203" s="285"/>
      <c r="AA203" s="285"/>
      <c r="AB203" s="285"/>
      <c r="AC203" s="285"/>
      <c r="AD203" s="285"/>
      <c r="AE203" s="285"/>
      <c r="AF203" s="285"/>
      <c r="AG203" s="285"/>
      <c r="AH203" s="285"/>
      <c r="AI203" s="285"/>
      <c r="AJ203" s="285"/>
      <c r="AK203" s="285"/>
      <c r="AL203" s="285"/>
      <c r="AM203" s="285"/>
      <c r="AN203" s="285"/>
      <c r="AO203" s="285"/>
      <c r="AP203" s="285"/>
      <c r="AQ203" s="285"/>
      <c r="AR203" s="285"/>
      <c r="AS203" s="285"/>
      <c r="AT203" s="285"/>
      <c r="AU203" s="285"/>
      <c r="AV203" s="285"/>
      <c r="AW203" s="285"/>
      <c r="AX203" s="285"/>
      <c r="AY203" s="285"/>
      <c r="AZ203" s="285"/>
      <c r="BA203" s="285"/>
      <c r="BB203" s="285"/>
      <c r="BC203" s="285"/>
      <c r="BD203" s="285"/>
      <c r="BE203" s="285"/>
      <c r="BF203" s="285"/>
      <c r="BG203" s="285"/>
      <c r="BH203" s="38"/>
    </row>
    <row r="204" spans="1:60" s="38" customFormat="1" x14ac:dyDescent="0.2">
      <c r="A204" s="648"/>
      <c r="B204" s="492" t="s">
        <v>279</v>
      </c>
      <c r="C204" s="656" t="s">
        <v>113</v>
      </c>
      <c r="D204" s="747"/>
      <c r="E204" s="182" t="s">
        <v>288</v>
      </c>
      <c r="F204" s="182" t="s">
        <v>283</v>
      </c>
      <c r="G204" s="182"/>
      <c r="H204" s="281" t="s">
        <v>115</v>
      </c>
      <c r="I204" s="235"/>
      <c r="J204" s="282">
        <f>M204+Y204+AK204+AW204</f>
        <v>0</v>
      </c>
      <c r="K204" s="283"/>
      <c r="L204" s="283"/>
      <c r="M204" s="282">
        <f>SUM(N204:X204)</f>
        <v>0</v>
      </c>
      <c r="N204" s="99"/>
      <c r="O204" s="180">
        <f>O198+O200+O202</f>
        <v>0</v>
      </c>
      <c r="P204" s="180">
        <f t="shared" ref="P204:W204" si="130">P202+IF(P198="",0,P198)+IF(P200="",0,P200)</f>
        <v>0</v>
      </c>
      <c r="Q204" s="180">
        <f t="shared" si="130"/>
        <v>0</v>
      </c>
      <c r="R204" s="180">
        <f t="shared" si="130"/>
        <v>0</v>
      </c>
      <c r="S204" s="180">
        <f t="shared" si="130"/>
        <v>0</v>
      </c>
      <c r="T204" s="180">
        <f t="shared" si="130"/>
        <v>0</v>
      </c>
      <c r="U204" s="180">
        <f t="shared" si="130"/>
        <v>0</v>
      </c>
      <c r="V204" s="180">
        <f t="shared" si="130"/>
        <v>0</v>
      </c>
      <c r="W204" s="180">
        <f t="shared" si="130"/>
        <v>0</v>
      </c>
      <c r="X204" s="284"/>
      <c r="Y204" s="282">
        <f>SUM(Z204:AJ204)</f>
        <v>0</v>
      </c>
      <c r="Z204" s="99"/>
      <c r="AA204" s="180">
        <f>AA198+AA200+AA202</f>
        <v>0</v>
      </c>
      <c r="AB204" s="180">
        <f t="shared" ref="AB204:AI204" si="131">AB202+IF(AB198="",0,AB198)+IF(AB200="",0,AB200)</f>
        <v>0</v>
      </c>
      <c r="AC204" s="180">
        <f t="shared" si="131"/>
        <v>0</v>
      </c>
      <c r="AD204" s="180">
        <f t="shared" si="131"/>
        <v>0</v>
      </c>
      <c r="AE204" s="180">
        <f t="shared" si="131"/>
        <v>0</v>
      </c>
      <c r="AF204" s="180">
        <f t="shared" si="131"/>
        <v>0</v>
      </c>
      <c r="AG204" s="180">
        <f t="shared" si="131"/>
        <v>0</v>
      </c>
      <c r="AH204" s="180">
        <f t="shared" si="131"/>
        <v>0</v>
      </c>
      <c r="AI204" s="180">
        <f t="shared" si="131"/>
        <v>0</v>
      </c>
      <c r="AJ204" s="284"/>
      <c r="AK204" s="282">
        <f>SUM(AL204:AV204)</f>
        <v>0</v>
      </c>
      <c r="AL204" s="99"/>
      <c r="AM204" s="180">
        <f>AM198+AM200+AM202</f>
        <v>0</v>
      </c>
      <c r="AN204" s="180">
        <f t="shared" ref="AN204:AU204" si="132">AN202+IF(AN198="",0,AN198)+IF(AN200="",0,AN200)</f>
        <v>0</v>
      </c>
      <c r="AO204" s="180">
        <f t="shared" si="132"/>
        <v>0</v>
      </c>
      <c r="AP204" s="180">
        <f t="shared" si="132"/>
        <v>0</v>
      </c>
      <c r="AQ204" s="180">
        <f t="shared" si="132"/>
        <v>0</v>
      </c>
      <c r="AR204" s="180">
        <f t="shared" si="132"/>
        <v>0</v>
      </c>
      <c r="AS204" s="180">
        <f t="shared" si="132"/>
        <v>0</v>
      </c>
      <c r="AT204" s="180">
        <f t="shared" si="132"/>
        <v>0</v>
      </c>
      <c r="AU204" s="180">
        <f t="shared" si="132"/>
        <v>0</v>
      </c>
      <c r="AV204" s="284"/>
      <c r="AW204" s="282">
        <f>SUM(AX204:BH204)</f>
        <v>0</v>
      </c>
      <c r="AX204" s="99"/>
      <c r="AY204" s="180">
        <f>AY198+AY200+AY202</f>
        <v>0</v>
      </c>
      <c r="AZ204" s="180">
        <f t="shared" ref="AZ204:BG204" si="133">AZ202+IF(AZ198="",0,AZ198)+IF(AZ200="",0,AZ200)</f>
        <v>0</v>
      </c>
      <c r="BA204" s="180">
        <f t="shared" si="133"/>
        <v>0</v>
      </c>
      <c r="BB204" s="180">
        <f t="shared" si="133"/>
        <v>0</v>
      </c>
      <c r="BC204" s="180">
        <f t="shared" si="133"/>
        <v>0</v>
      </c>
      <c r="BD204" s="180">
        <f t="shared" si="133"/>
        <v>0</v>
      </c>
      <c r="BE204" s="180">
        <f t="shared" si="133"/>
        <v>0</v>
      </c>
      <c r="BF204" s="180">
        <f t="shared" si="133"/>
        <v>0</v>
      </c>
      <c r="BG204" s="180">
        <f t="shared" si="133"/>
        <v>0</v>
      </c>
      <c r="BH204" s="269"/>
    </row>
    <row r="205" spans="1:60" x14ac:dyDescent="0.2">
      <c r="A205" s="648"/>
      <c r="B205" s="492" t="s">
        <v>279</v>
      </c>
      <c r="C205" s="739" t="s">
        <v>104</v>
      </c>
      <c r="D205" s="747"/>
      <c r="E205" s="90"/>
      <c r="F205" s="90"/>
      <c r="G205" s="90"/>
      <c r="H205" s="93"/>
      <c r="I205" s="138"/>
      <c r="J205" s="128"/>
      <c r="K205" s="90"/>
      <c r="L205" s="90"/>
      <c r="M205" s="128"/>
      <c r="N205" s="90"/>
      <c r="O205" s="96"/>
      <c r="P205" s="96"/>
      <c r="Q205" s="93"/>
      <c r="R205" s="93"/>
      <c r="S205" s="93"/>
      <c r="T205" s="93"/>
      <c r="U205" s="93"/>
      <c r="V205" s="93"/>
      <c r="W205" s="93"/>
      <c r="X205" s="93"/>
      <c r="Y205" s="128"/>
      <c r="Z205" s="90"/>
      <c r="AA205" s="96"/>
      <c r="AB205" s="96"/>
      <c r="AC205" s="93"/>
      <c r="AD205" s="93"/>
      <c r="AE205" s="93"/>
      <c r="AF205" s="93"/>
      <c r="AG205" s="93"/>
      <c r="AH205" s="93"/>
      <c r="AI205" s="93"/>
      <c r="AJ205" s="93"/>
      <c r="AK205" s="128"/>
      <c r="AL205" s="90"/>
      <c r="AM205" s="96"/>
      <c r="AN205" s="96"/>
      <c r="AO205" s="93"/>
      <c r="AP205" s="93"/>
      <c r="AQ205" s="93"/>
      <c r="AR205" s="93"/>
      <c r="AS205" s="93"/>
      <c r="AT205" s="93"/>
      <c r="AU205" s="93"/>
      <c r="AV205" s="93"/>
      <c r="AW205" s="128"/>
      <c r="AX205" s="90"/>
      <c r="AY205" s="93"/>
      <c r="AZ205" s="93"/>
      <c r="BA205" s="93"/>
      <c r="BB205" s="93"/>
      <c r="BC205" s="93"/>
      <c r="BD205" s="93"/>
      <c r="BE205" s="93"/>
      <c r="BF205" s="93"/>
      <c r="BG205" s="93"/>
      <c r="BH205" s="1"/>
    </row>
    <row r="206" spans="1:60" x14ac:dyDescent="0.2">
      <c r="A206" s="648"/>
      <c r="B206" s="492" t="s">
        <v>289</v>
      </c>
      <c r="C206" s="739" t="s">
        <v>104</v>
      </c>
      <c r="D206" s="747"/>
      <c r="E206" s="90"/>
      <c r="F206" s="90"/>
      <c r="G206" s="90"/>
      <c r="H206" s="96"/>
      <c r="I206" s="90"/>
      <c r="J206" s="93"/>
      <c r="K206" s="90"/>
      <c r="L206" s="90"/>
      <c r="M206" s="93"/>
      <c r="N206" s="90"/>
      <c r="O206" s="93"/>
      <c r="P206" s="93"/>
      <c r="Q206" s="93"/>
      <c r="R206" s="93"/>
      <c r="S206" s="93"/>
      <c r="T206" s="93"/>
      <c r="U206" s="93"/>
      <c r="V206" s="93"/>
      <c r="W206" s="93"/>
      <c r="X206" s="93"/>
      <c r="Y206" s="93"/>
      <c r="Z206" s="90"/>
      <c r="AA206" s="93"/>
      <c r="AB206" s="93"/>
      <c r="AC206" s="93"/>
      <c r="AD206" s="93"/>
      <c r="AE206" s="93"/>
      <c r="AF206" s="93"/>
      <c r="AG206" s="93"/>
      <c r="AH206" s="93"/>
      <c r="AI206" s="93"/>
      <c r="AJ206" s="93"/>
      <c r="AK206" s="93"/>
      <c r="AL206" s="90"/>
      <c r="AM206" s="93"/>
      <c r="AN206" s="93"/>
      <c r="AO206" s="93"/>
      <c r="AP206" s="93"/>
      <c r="AQ206" s="93"/>
      <c r="AR206" s="93"/>
      <c r="AS206" s="93"/>
      <c r="AT206" s="93"/>
      <c r="AU206" s="93"/>
      <c r="AV206" s="93"/>
      <c r="AW206" s="93"/>
      <c r="AX206" s="90"/>
      <c r="AY206" s="93"/>
      <c r="AZ206" s="93"/>
      <c r="BA206" s="93"/>
      <c r="BB206" s="93"/>
      <c r="BC206" s="93"/>
      <c r="BD206" s="93"/>
      <c r="BE206" s="93"/>
      <c r="BF206" s="93"/>
      <c r="BG206" s="93"/>
      <c r="BH206" s="1"/>
    </row>
    <row r="207" spans="1:60" ht="21" x14ac:dyDescent="0.2">
      <c r="A207" s="648"/>
      <c r="B207" s="492" t="s">
        <v>289</v>
      </c>
      <c r="C207" s="739" t="s">
        <v>104</v>
      </c>
      <c r="D207" s="752"/>
      <c r="E207" s="240" t="s">
        <v>290</v>
      </c>
      <c r="F207" s="240"/>
      <c r="G207" s="240"/>
      <c r="H207" s="240"/>
      <c r="I207" s="88"/>
      <c r="J207" s="216" t="str">
        <f>J$10</f>
        <v>totaal</v>
      </c>
      <c r="K207" s="142"/>
      <c r="L207" s="142"/>
      <c r="M207" s="216" t="str">
        <f>M$10</f>
        <v>totaal</v>
      </c>
      <c r="N207" s="222"/>
      <c r="O207" s="217" t="str">
        <f>O$10</f>
        <v>verwarming</v>
      </c>
      <c r="P207" s="217" t="str">
        <f>P$10</f>
        <v>koeling</v>
      </c>
      <c r="Q207" s="217" t="str">
        <f>Q$10</f>
        <v>tapwater</v>
      </c>
      <c r="R207" s="217"/>
      <c r="S207" s="217"/>
      <c r="T207" s="217"/>
      <c r="U207" s="217"/>
      <c r="V207" s="217"/>
      <c r="W207" s="488" t="str">
        <f>W$10</f>
        <v>zonnepanelen</v>
      </c>
      <c r="X207" s="214"/>
      <c r="Y207" s="216" t="str">
        <f>Y$10</f>
        <v>totaal</v>
      </c>
      <c r="Z207" s="222"/>
      <c r="AA207" s="217" t="str">
        <f>AA$10</f>
        <v>verwarming</v>
      </c>
      <c r="AB207" s="217" t="str">
        <f>AB$10</f>
        <v>koeling</v>
      </c>
      <c r="AC207" s="217" t="str">
        <f>AC$10</f>
        <v>tapwater</v>
      </c>
      <c r="AD207" s="217"/>
      <c r="AE207" s="217"/>
      <c r="AF207" s="217"/>
      <c r="AG207" s="217"/>
      <c r="AH207" s="217"/>
      <c r="AI207" s="488" t="str">
        <f>AI$10</f>
        <v>zonnepanelen</v>
      </c>
      <c r="AJ207" s="214"/>
      <c r="AK207" s="216" t="str">
        <f>AK$10</f>
        <v>totaal</v>
      </c>
      <c r="AL207" s="222"/>
      <c r="AM207" s="217" t="str">
        <f>AM$10</f>
        <v>verwarming</v>
      </c>
      <c r="AN207" s="217" t="str">
        <f>AN$10</f>
        <v>koeling</v>
      </c>
      <c r="AO207" s="217" t="str">
        <f>AO$10</f>
        <v>tapwater</v>
      </c>
      <c r="AP207" s="217"/>
      <c r="AQ207" s="217"/>
      <c r="AR207" s="217"/>
      <c r="AS207" s="217"/>
      <c r="AT207" s="217"/>
      <c r="AU207" s="488" t="str">
        <f>AU$10</f>
        <v>zonnepanelen</v>
      </c>
      <c r="AV207" s="214"/>
      <c r="AW207" s="216" t="str">
        <f>AW$10</f>
        <v>totaal</v>
      </c>
      <c r="AX207" s="222"/>
      <c r="AY207" s="217" t="str">
        <f>AY$10</f>
        <v>verwarming</v>
      </c>
      <c r="AZ207" s="217" t="str">
        <f>AZ$10</f>
        <v>koeling</v>
      </c>
      <c r="BA207" s="217" t="str">
        <f>BA$10</f>
        <v>tapwater</v>
      </c>
      <c r="BB207" s="217"/>
      <c r="BC207" s="217"/>
      <c r="BD207" s="217"/>
      <c r="BE207" s="217"/>
      <c r="BF207" s="217"/>
      <c r="BG207" s="488" t="str">
        <f>BG$10</f>
        <v>zonnepanelen</v>
      </c>
      <c r="BH207" s="1"/>
    </row>
    <row r="208" spans="1:60" ht="18.75" x14ac:dyDescent="0.2">
      <c r="A208" s="648"/>
      <c r="B208" s="492" t="s">
        <v>289</v>
      </c>
      <c r="C208" s="739" t="s">
        <v>104</v>
      </c>
      <c r="D208" s="747"/>
      <c r="E208" s="231" t="s">
        <v>291</v>
      </c>
      <c r="F208" s="231"/>
      <c r="G208" s="231"/>
      <c r="H208" s="89"/>
      <c r="I208" s="232"/>
      <c r="J208" s="231"/>
      <c r="K208" s="232"/>
      <c r="L208" s="232"/>
      <c r="M208" s="231"/>
      <c r="N208" s="232"/>
      <c r="O208" s="232"/>
      <c r="P208" s="232"/>
      <c r="Q208" s="232"/>
      <c r="R208" s="232"/>
      <c r="S208" s="232"/>
      <c r="T208" s="232"/>
      <c r="U208" s="232"/>
      <c r="V208" s="232"/>
      <c r="W208" s="232"/>
      <c r="X208" s="232"/>
      <c r="Y208" s="232"/>
      <c r="Z208" s="232"/>
      <c r="AA208" s="285"/>
      <c r="AB208" s="285"/>
      <c r="AC208" s="285"/>
      <c r="AD208" s="232"/>
      <c r="AE208" s="232"/>
      <c r="AF208" s="232"/>
      <c r="AG208" s="232"/>
      <c r="AH208" s="232"/>
      <c r="AI208" s="232"/>
      <c r="AJ208" s="232"/>
      <c r="AK208" s="232"/>
      <c r="AL208" s="232"/>
      <c r="AM208" s="232"/>
      <c r="AN208" s="232"/>
      <c r="AO208" s="232"/>
      <c r="AP208" s="232"/>
      <c r="AQ208" s="232"/>
      <c r="AR208" s="232"/>
      <c r="AS208" s="232"/>
      <c r="AT208" s="232"/>
      <c r="AU208" s="232"/>
      <c r="AV208" s="232"/>
      <c r="AW208" s="232"/>
      <c r="AX208" s="232"/>
      <c r="AY208" s="232"/>
      <c r="AZ208" s="232"/>
      <c r="BA208" s="232"/>
      <c r="BB208" s="232"/>
      <c r="BC208" s="232"/>
      <c r="BD208" s="232"/>
      <c r="BE208" s="232"/>
      <c r="BF208" s="232"/>
      <c r="BG208" s="232"/>
      <c r="BH208" s="38"/>
    </row>
    <row r="209" spans="1:60" x14ac:dyDescent="0.2">
      <c r="A209" s="648"/>
      <c r="B209" s="492" t="s">
        <v>289</v>
      </c>
      <c r="C209" s="656" t="s">
        <v>113</v>
      </c>
      <c r="D209" s="750" t="s">
        <v>50</v>
      </c>
      <c r="E209" s="220" t="s">
        <v>292</v>
      </c>
      <c r="F209" s="220"/>
      <c r="G209" s="220"/>
      <c r="H209" s="242" t="s">
        <v>177</v>
      </c>
      <c r="I209" s="129"/>
      <c r="J209" s="243">
        <f t="shared" ref="J209:J215" si="134">M209+Y209+AK209+AW209</f>
        <v>0</v>
      </c>
      <c r="K209" s="236"/>
      <c r="L209" s="236"/>
      <c r="M209" s="243">
        <f t="shared" ref="M209:M215" si="135">SUM(N209:X209)</f>
        <v>0</v>
      </c>
      <c r="N209" s="129"/>
      <c r="O209" s="207">
        <f>IF(OR(O$108=0,O$108=""),0,HLOOKUP(IF(O$80="",referentie_verwarming,O$80),toestellen_RV,ROWS(bibliotheek!$E$79:$E$83),FALSE)*O$107*(1-1/O$108)*f_P_renheat)</f>
        <v>0</v>
      </c>
      <c r="P209" s="207">
        <f>IF(OR(P$108=0,P$108=""),0,HLOOKUP(IF(P$80="",referentie_koeling,P$80),toestellen_KOEL,ROWS(bibliotheek!$E$170:$E$173),FALSE)*P$107*(1-1/P$108)*f_P_rencold)</f>
        <v>0</v>
      </c>
      <c r="Q209" s="207">
        <f>IF(OR(Q$108=0,Q$108=""),0,HLOOKUP(IF(Q$80="",referentie_warmtapwater,Q$80),toestellen_TAP,ROWS(bibliotheek!$E$136:$E$140),FALSE)*Q$107*(1-1/Q$108)*f_P_renheat)</f>
        <v>0</v>
      </c>
      <c r="R209" s="335"/>
      <c r="S209" s="335"/>
      <c r="T209" s="335"/>
      <c r="U209" s="335"/>
      <c r="V209" s="335"/>
      <c r="W209" s="335"/>
      <c r="X209" s="128"/>
      <c r="Y209" s="243">
        <f t="shared" ref="Y209:Y215" si="136">SUM(Z209:AJ209)</f>
        <v>0</v>
      </c>
      <c r="Z209" s="129"/>
      <c r="AA209" s="207">
        <f>IF(OR(AA$108=0,AA$108=""),0,HLOOKUP(IF(AA$80="",referentie_verwarming,AA$80),toestellen_RV,ROWS(bibliotheek!$E$79:$E$83),FALSE)*AA$107*(1-1/AA$108)*f_P_renheat)</f>
        <v>0</v>
      </c>
      <c r="AB209" s="207">
        <f>IF(OR(AB$108=0,AB$108=""),0,HLOOKUP(IF(AB$80="",referentie_koeling,AB$80),toestellen_KOEL,ROWS(bibliotheek!$E$170:$E$173),FALSE)*AB$107*(1-1/AB$108)*f_P_rencold)</f>
        <v>0</v>
      </c>
      <c r="AC209" s="207">
        <f>IF(OR(AC$108=0,AC$108=""),0,HLOOKUP(IF(AC$80="",referentie_warmtapwater,AC$80),toestellen_TAP,ROWS(bibliotheek!$E$136:$E$140),FALSE)*AC$107*(1-1/AC$108)*f_P_renheat)</f>
        <v>0</v>
      </c>
      <c r="AD209" s="335"/>
      <c r="AE209" s="335"/>
      <c r="AF209" s="335"/>
      <c r="AG209" s="335"/>
      <c r="AH209" s="335"/>
      <c r="AI209" s="335"/>
      <c r="AJ209" s="128"/>
      <c r="AK209" s="243">
        <f t="shared" ref="AK209:AK215" si="137">SUM(AL209:AV209)</f>
        <v>0</v>
      </c>
      <c r="AL209" s="129"/>
      <c r="AM209" s="207">
        <f>IF(OR(AM$108=0,AM$108=""),0,HLOOKUP(IF(AM$80="",referentie_verwarming,AM$80),toestellen_RV,ROWS(bibliotheek!$E$79:$E$83),FALSE)*AM$107*(1-1/AM$108)*f_P_renheat)</f>
        <v>0</v>
      </c>
      <c r="AN209" s="207">
        <f>IF(OR(AN$108=0,AN$108=""),0,HLOOKUP(IF(AN$80="",referentie_koeling,AN$80),toestellen_KOEL,ROWS(bibliotheek!$E$170:$E$173),FALSE)*AN$107*(1-1/AN$108)*f_P_rencold)</f>
        <v>0</v>
      </c>
      <c r="AO209" s="207">
        <f>IF(OR(AO$108=0,AO$108=""),0,HLOOKUP(IF(AO$80="",referentie_warmtapwater,AO$80),toestellen_TAP,ROWS(bibliotheek!$E$136:$E$140),FALSE)*AO$107*(1-1/AO$108)*f_P_renheat)</f>
        <v>0</v>
      </c>
      <c r="AP209" s="335"/>
      <c r="AQ209" s="335"/>
      <c r="AR209" s="335"/>
      <c r="AS209" s="335"/>
      <c r="AT209" s="335"/>
      <c r="AU209" s="335"/>
      <c r="AV209" s="128"/>
      <c r="AW209" s="243">
        <f t="shared" ref="AW209:AW215" si="138">SUM(AX209:BH209)</f>
        <v>0</v>
      </c>
      <c r="AX209" s="129"/>
      <c r="AY209" s="207">
        <f>IF(OR(AY$108=0,AY$108=""),0,HLOOKUP(IF(AY$80="",referentie_verwarming,AY$80),toestellen_RV,ROWS(bibliotheek!$E$79:$E$83),FALSE)*AY$107*(1-1/AY$108)*f_P_renheat)</f>
        <v>0</v>
      </c>
      <c r="AZ209" s="207">
        <f>IF(OR(AZ$108=0,AZ$108=""),0,HLOOKUP(IF(AZ$80="",referentie_koeling,AZ$80),toestellen_KOEL,ROWS(bibliotheek!$E$170:$E$173),FALSE)*AZ$107*(1-1/AZ$108)*f_P_rencold)</f>
        <v>0</v>
      </c>
      <c r="BA209" s="207">
        <f>IF(OR(BA$108=0,BA$108=""),0,HLOOKUP(IF(BA$80="",referentie_warmtapwater,BA$80),toestellen_TAP,ROWS(bibliotheek!$E$136:$E$140),FALSE)*BA$107*(1-1/BA$108)*f_P_renheat)</f>
        <v>0</v>
      </c>
      <c r="BB209" s="335"/>
      <c r="BC209" s="335"/>
      <c r="BD209" s="335"/>
      <c r="BE209" s="335"/>
      <c r="BF209" s="335"/>
      <c r="BG209" s="335"/>
      <c r="BH209" s="255"/>
    </row>
    <row r="210" spans="1:60" x14ac:dyDescent="0.2">
      <c r="A210" s="648"/>
      <c r="B210" s="492" t="s">
        <v>289</v>
      </c>
      <c r="C210" s="656" t="s">
        <v>113</v>
      </c>
      <c r="D210" s="750" t="s">
        <v>50</v>
      </c>
      <c r="E210" s="220" t="s">
        <v>293</v>
      </c>
      <c r="F210" s="220"/>
      <c r="G210" s="220"/>
      <c r="H210" s="242" t="s">
        <v>177</v>
      </c>
      <c r="I210" s="129"/>
      <c r="J210" s="243">
        <f t="shared" si="134"/>
        <v>0</v>
      </c>
      <c r="K210" s="236"/>
      <c r="L210" s="236"/>
      <c r="M210" s="243">
        <f t="shared" si="135"/>
        <v>0</v>
      </c>
      <c r="N210" s="129"/>
      <c r="O210" s="335"/>
      <c r="P210" s="207">
        <f>IF(OR(P$107=0,P$108&lt;=8),0,P$107*f_P_rencold*INDEX(bibliotheek!$E$175:$AC$175,MATCH(P$80,toestellen_KOEL_kopregel,0)))</f>
        <v>0</v>
      </c>
      <c r="Q210" s="335"/>
      <c r="R210" s="335"/>
      <c r="S210" s="335"/>
      <c r="T210" s="335"/>
      <c r="U210" s="335"/>
      <c r="V210" s="335"/>
      <c r="W210" s="335"/>
      <c r="X210" s="128"/>
      <c r="Y210" s="243">
        <f t="shared" si="136"/>
        <v>0</v>
      </c>
      <c r="Z210" s="129"/>
      <c r="AA210" s="335"/>
      <c r="AB210" s="207">
        <f>IF(OR(AB$107=0,AB$108&lt;=8),0,AB$107*f_P_rencold*INDEX(bibliotheek!$E$175:$AC$175,MATCH(AB$80,toestellen_KOEL_kopregel,0)))</f>
        <v>0</v>
      </c>
      <c r="AC210" s="335"/>
      <c r="AD210" s="335"/>
      <c r="AE210" s="335"/>
      <c r="AF210" s="335"/>
      <c r="AG210" s="335"/>
      <c r="AH210" s="335"/>
      <c r="AI210" s="335"/>
      <c r="AJ210" s="128"/>
      <c r="AK210" s="243">
        <f t="shared" si="137"/>
        <v>0</v>
      </c>
      <c r="AL210" s="129"/>
      <c r="AM210" s="335"/>
      <c r="AN210" s="207">
        <f>IF(OR(AN$107=0,AN$108&lt;=8),0,AN$107*f_P_rencold*INDEX(bibliotheek!$E$175:$AC$175,MATCH(AN$80,toestellen_KOEL_kopregel,0)))</f>
        <v>0</v>
      </c>
      <c r="AO210" s="335"/>
      <c r="AP210" s="335"/>
      <c r="AQ210" s="335"/>
      <c r="AR210" s="335"/>
      <c r="AS210" s="335"/>
      <c r="AT210" s="335"/>
      <c r="AU210" s="335"/>
      <c r="AV210" s="128"/>
      <c r="AW210" s="243">
        <f t="shared" si="138"/>
        <v>0</v>
      </c>
      <c r="AX210" s="129"/>
      <c r="AY210" s="335"/>
      <c r="AZ210" s="207">
        <f>IF(OR(AZ$107=0,AZ$108&lt;=8),0,AZ$107*f_P_rencold*INDEX(bibliotheek!$E$175:$AC$175,MATCH(AZ$80,toestellen_KOEL_kopregel,0)))</f>
        <v>0</v>
      </c>
      <c r="BA210" s="335"/>
      <c r="BB210" s="335"/>
      <c r="BC210" s="335"/>
      <c r="BD210" s="335"/>
      <c r="BE210" s="335"/>
      <c r="BF210" s="335"/>
      <c r="BG210" s="335"/>
      <c r="BH210" s="255"/>
    </row>
    <row r="211" spans="1:60" x14ac:dyDescent="0.2">
      <c r="A211" s="648"/>
      <c r="B211" s="492" t="s">
        <v>289</v>
      </c>
      <c r="C211" s="656" t="s">
        <v>113</v>
      </c>
      <c r="D211" s="750" t="s">
        <v>50</v>
      </c>
      <c r="E211" s="220" t="s">
        <v>294</v>
      </c>
      <c r="F211" s="220"/>
      <c r="G211" s="220"/>
      <c r="H211" s="242" t="s">
        <v>177</v>
      </c>
      <c r="I211" s="129"/>
      <c r="J211" s="243">
        <f t="shared" si="134"/>
        <v>0</v>
      </c>
      <c r="K211" s="236"/>
      <c r="L211" s="236"/>
      <c r="M211" s="243">
        <f t="shared" si="135"/>
        <v>0</v>
      </c>
      <c r="N211" s="129"/>
      <c r="O211" s="207">
        <f>IF(OR(O$107=0,LEFT(O$103,2)&lt;&gt;"bm"),0,O$107*INDEX(energiedragers_fPren,MATCH(O$102,energiedragers_namen,0)))+
IF(OR(O$135=0,LEFT(O$133,2)&lt;&gt;"bm"),0,O$135*INDEX(energiedragers_fPren,MATCH(O$132,energiedragers_namen,0)))</f>
        <v>0</v>
      </c>
      <c r="P211" s="335"/>
      <c r="Q211" s="207">
        <f>IF(OR(Q$107=0,LEFT(Q$103,2)&lt;&gt;"bm"),0,Q$107*INDEX(energiedragers_fPren,MATCH(Q$102,energiedragers_namen,0)))+
IF(OR(Q$135=0,LEFT(Q$133,2)&lt;&gt;"bm"),0,Q$135*INDEX(energiedragers_fPren,MATCH(Q$132,energiedragers_namen,0)))</f>
        <v>0</v>
      </c>
      <c r="R211" s="335"/>
      <c r="S211" s="335"/>
      <c r="T211" s="335"/>
      <c r="U211" s="335"/>
      <c r="V211" s="335"/>
      <c r="W211" s="335"/>
      <c r="X211" s="128"/>
      <c r="Y211" s="243">
        <f t="shared" si="136"/>
        <v>0</v>
      </c>
      <c r="Z211" s="129"/>
      <c r="AA211" s="207">
        <f>IF(OR(AA$107=0,LEFT(AA$103,2)&lt;&gt;"bm"),0,AA$107*INDEX(energiedragers_fPren,MATCH(AA$102,energiedragers_namen,0)))+
IF(OR(AA$135=0,LEFT(AA$133,2)&lt;&gt;"bm"),0,AA$135*INDEX(energiedragers_fPren,MATCH(AA$132,energiedragers_namen,0)))</f>
        <v>0</v>
      </c>
      <c r="AB211" s="335"/>
      <c r="AC211" s="207">
        <f>IF(OR(AC$107=0,LEFT(AC$103,2)&lt;&gt;"bm"),0,AC$107*INDEX(energiedragers_fPren,MATCH(AC$102,energiedragers_namen,0)))+
IF(OR(AC$135=0,LEFT(AC$133,2)&lt;&gt;"bm"),0,AC$135*INDEX(energiedragers_fPren,MATCH(AC$132,energiedragers_namen,0)))</f>
        <v>0</v>
      </c>
      <c r="AD211" s="335"/>
      <c r="AE211" s="335"/>
      <c r="AF211" s="335"/>
      <c r="AG211" s="335"/>
      <c r="AH211" s="335"/>
      <c r="AI211" s="335"/>
      <c r="AJ211" s="128"/>
      <c r="AK211" s="243">
        <f t="shared" si="137"/>
        <v>0</v>
      </c>
      <c r="AL211" s="129"/>
      <c r="AM211" s="207">
        <f>IF(OR(AM$107=0,LEFT(AM$103,2)&lt;&gt;"bm"),0,AM$107*INDEX(energiedragers_fPren,MATCH(AM$102,energiedragers_namen,0)))+
IF(OR(AM$135=0,LEFT(AM$133,2)&lt;&gt;"bm"),0,AM$135*INDEX(energiedragers_fPren,MATCH(AM$132,energiedragers_namen,0)))</f>
        <v>0</v>
      </c>
      <c r="AN211" s="335"/>
      <c r="AO211" s="207">
        <f>IF(OR(AO$107=0,LEFT(AO$103,2)&lt;&gt;"bm"),0,AO$107*INDEX(energiedragers_fPren,MATCH(AO$102,energiedragers_namen,0)))+
IF(OR(AO$135=0,LEFT(AO$133,2)&lt;&gt;"bm"),0,AO$135*INDEX(energiedragers_fPren,MATCH(AO$132,energiedragers_namen,0)))</f>
        <v>0</v>
      </c>
      <c r="AP211" s="335"/>
      <c r="AQ211" s="335"/>
      <c r="AR211" s="335"/>
      <c r="AS211" s="335"/>
      <c r="AT211" s="335"/>
      <c r="AU211" s="335"/>
      <c r="AV211" s="128"/>
      <c r="AW211" s="243">
        <f t="shared" si="138"/>
        <v>0</v>
      </c>
      <c r="AX211" s="129"/>
      <c r="AY211" s="207">
        <f>IF(OR(AY$107=0,LEFT(AY$103,2)&lt;&gt;"bm"),0,AY$107*INDEX(energiedragers_fPren,MATCH(AY$102,energiedragers_namen,0)))+
IF(OR(AY$135=0,LEFT(AY$133,2)&lt;&gt;"bm"),0,AY$135*INDEX(energiedragers_fPren,MATCH(AY$132,energiedragers_namen,0)))</f>
        <v>0</v>
      </c>
      <c r="AZ211" s="335"/>
      <c r="BA211" s="207">
        <f>IF(OR(BA$107=0,LEFT(BA$103,2)&lt;&gt;"bm"),0,BA$107*INDEX(energiedragers_fPren,MATCH(BA$102,energiedragers_namen,0)))+
IF(OR(BA$135=0,LEFT(BA$133,2)&lt;&gt;"bm"),0,BA$135*INDEX(energiedragers_fPren,MATCH(BA$132,energiedragers_namen,0)))</f>
        <v>0</v>
      </c>
      <c r="BB211" s="335"/>
      <c r="BC211" s="335"/>
      <c r="BD211" s="335"/>
      <c r="BE211" s="335"/>
      <c r="BF211" s="335"/>
      <c r="BG211" s="335"/>
      <c r="BH211" s="255"/>
    </row>
    <row r="212" spans="1:60" x14ac:dyDescent="0.2">
      <c r="A212" s="648"/>
      <c r="B212" s="492" t="s">
        <v>289</v>
      </c>
      <c r="C212" s="656" t="s">
        <v>113</v>
      </c>
      <c r="D212" s="750" t="s">
        <v>50</v>
      </c>
      <c r="E212" s="220" t="s">
        <v>295</v>
      </c>
      <c r="F212" s="220"/>
      <c r="G212" s="220"/>
      <c r="H212" s="242" t="s">
        <v>177</v>
      </c>
      <c r="I212" s="129"/>
      <c r="J212" s="243">
        <f t="shared" si="134"/>
        <v>0</v>
      </c>
      <c r="K212" s="236"/>
      <c r="L212" s="236"/>
      <c r="M212" s="243">
        <f t="shared" si="135"/>
        <v>0</v>
      </c>
      <c r="N212" s="129"/>
      <c r="O212" s="207">
        <f>IF(OR(O$107=0,LEFT(O$103,2)&lt;&gt;"dx"),0,O$107*INDEX(energiedragers_fPren,MATCH(O$102,energiedragers_namen,0)))+
IF(OR(O$135=0,LEFT(O$133,2)&lt;&gt;"dx"),0,O$135*INDEX(energiedragers_fPren,MATCH(O$132,energiedragers_namen,0)))</f>
        <v>0</v>
      </c>
      <c r="P212" s="207">
        <f>IF(OR(P$107=0,LEFT(P$103,2)&lt;&gt;"dx"),0,P$107*INDEX(energiedragers_fPren,MATCH(P$102,energiedragers_namen,0)))+
IF(OR(P$135=0,LEFT(P$133,2)&lt;&gt;"dx"),0,P$135*INDEX(energiedragers_fPren,MATCH(P$132,energiedragers_namen,0)))</f>
        <v>0</v>
      </c>
      <c r="Q212" s="207">
        <f>IF(OR(Q$107=0,LEFT(Q$103,2)&lt;&gt;"dx"),0,Q$107*INDEX(energiedragers_fPren,MATCH(Q$102,energiedragers_namen,0)))+
IF(OR(Q$135=0,LEFT(Q$133,2)&lt;&gt;"dx"),0,Q$135*INDEX(energiedragers_fPren,MATCH(Q$132,energiedragers_namen,0)))</f>
        <v>0</v>
      </c>
      <c r="R212" s="335"/>
      <c r="S212" s="335"/>
      <c r="T212" s="335"/>
      <c r="U212" s="335"/>
      <c r="V212" s="335"/>
      <c r="W212" s="335"/>
      <c r="X212" s="128"/>
      <c r="Y212" s="243">
        <f t="shared" si="136"/>
        <v>0</v>
      </c>
      <c r="Z212" s="129"/>
      <c r="AA212" s="207">
        <f>IF(OR(AA$107=0,LEFT(AA$103,2)&lt;&gt;"dx"),0,AA$107*INDEX(energiedragers_fPren,MATCH(AA$102,energiedragers_namen,0)))+
IF(OR(AA$135=0,LEFT(AA$133,2)&lt;&gt;"dx"),0,AA$135*INDEX(energiedragers_fPren,MATCH(AA$132,energiedragers_namen,0)))</f>
        <v>0</v>
      </c>
      <c r="AB212" s="207">
        <f>IF(OR(AB$107=0,LEFT(AB$103,2)&lt;&gt;"dx"),0,AB$107*INDEX(energiedragers_fPren,MATCH(AB$102,energiedragers_namen,0)))+
IF(OR(AB$135=0,LEFT(AB$133,2)&lt;&gt;"dx"),0,AB$135*INDEX(energiedragers_fPren,MATCH(AB$132,energiedragers_namen,0)))</f>
        <v>0</v>
      </c>
      <c r="AC212" s="207">
        <f>IF(OR(AC$107=0,LEFT(AC$103,2)&lt;&gt;"dx"),0,AC$107*INDEX(energiedragers_fPren,MATCH(AC$102,energiedragers_namen,0)))+
IF(OR(AC$135=0,LEFT(AC$133,2)&lt;&gt;"dx"),0,AC$135*INDEX(energiedragers_fPren,MATCH(AC$132,energiedragers_namen,0)))</f>
        <v>0</v>
      </c>
      <c r="AD212" s="335"/>
      <c r="AE212" s="335"/>
      <c r="AF212" s="335"/>
      <c r="AG212" s="335"/>
      <c r="AH212" s="335"/>
      <c r="AI212" s="335"/>
      <c r="AJ212" s="128"/>
      <c r="AK212" s="243">
        <f t="shared" si="137"/>
        <v>0</v>
      </c>
      <c r="AL212" s="129"/>
      <c r="AM212" s="207">
        <f>IF(OR(AM$107=0,LEFT(AM$103,2)&lt;&gt;"dx"),0,AM$107*INDEX(energiedragers_fPren,MATCH(AM$102,energiedragers_namen,0)))+
IF(OR(AM$135=0,LEFT(AM$133,2)&lt;&gt;"dx"),0,AM$135*INDEX(energiedragers_fPren,MATCH(AM$132,energiedragers_namen,0)))</f>
        <v>0</v>
      </c>
      <c r="AN212" s="207">
        <f>IF(OR(AN$107=0,LEFT(AN$103,2)&lt;&gt;"dx"),0,AN$107*INDEX(energiedragers_fPren,MATCH(AN$102,energiedragers_namen,0)))+
IF(OR(AN$135=0,LEFT(AN$133,2)&lt;&gt;"dx"),0,AN$135*INDEX(energiedragers_fPren,MATCH(AN$132,energiedragers_namen,0)))</f>
        <v>0</v>
      </c>
      <c r="AO212" s="207">
        <f>IF(OR(AO$107=0,LEFT(AO$103,2)&lt;&gt;"dx"),0,AO$107*INDEX(energiedragers_fPren,MATCH(AO$102,energiedragers_namen,0)))+
IF(OR(AO$135=0,LEFT(AO$133,2)&lt;&gt;"dx"),0,AO$135*INDEX(energiedragers_fPren,MATCH(AO$132,energiedragers_namen,0)))</f>
        <v>0</v>
      </c>
      <c r="AP212" s="335"/>
      <c r="AQ212" s="335"/>
      <c r="AR212" s="335"/>
      <c r="AS212" s="335"/>
      <c r="AT212" s="335"/>
      <c r="AU212" s="335"/>
      <c r="AV212" s="128"/>
      <c r="AW212" s="243">
        <f t="shared" si="138"/>
        <v>0</v>
      </c>
      <c r="AX212" s="129"/>
      <c r="AY212" s="207">
        <f>IF(OR(AY$107=0,LEFT(AY$103,2)&lt;&gt;"dx"),0,AY$107*INDEX(energiedragers_fPren,MATCH(AY$102,energiedragers_namen,0)))+
IF(OR(AY$135=0,LEFT(AY$133,2)&lt;&gt;"dx"),0,AY$135*INDEX(energiedragers_fPren,MATCH(AY$132,energiedragers_namen,0)))</f>
        <v>0</v>
      </c>
      <c r="AZ212" s="207">
        <f>IF(OR(AZ$107=0,LEFT(AZ$103,2)&lt;&gt;"dx"),0,AZ$107*INDEX(energiedragers_fPren,MATCH(AZ$102,energiedragers_namen,0)))+
IF(OR(AZ$135=0,LEFT(AZ$133,2)&lt;&gt;"dx"),0,AZ$135*INDEX(energiedragers_fPren,MATCH(AZ$132,energiedragers_namen,0)))</f>
        <v>0</v>
      </c>
      <c r="BA212" s="207">
        <f>IF(OR(BA$107=0,LEFT(BA$103,2)&lt;&gt;"dx"),0,BA$107*INDEX(energiedragers_fPren,MATCH(BA$102,energiedragers_namen,0)))+
IF(OR(BA$135=0,LEFT(BA$133,2)&lt;&gt;"dx"),0,BA$135*INDEX(energiedragers_fPren,MATCH(BA$132,energiedragers_namen,0)))</f>
        <v>0</v>
      </c>
      <c r="BB212" s="335"/>
      <c r="BC212" s="335"/>
      <c r="BD212" s="335"/>
      <c r="BE212" s="335"/>
      <c r="BF212" s="335"/>
      <c r="BG212" s="335"/>
      <c r="BH212" s="255"/>
    </row>
    <row r="213" spans="1:60" x14ac:dyDescent="0.2">
      <c r="A213" s="648"/>
      <c r="B213" s="492" t="s">
        <v>289</v>
      </c>
      <c r="C213" s="656" t="s">
        <v>113</v>
      </c>
      <c r="D213" s="750" t="s">
        <v>50</v>
      </c>
      <c r="E213" s="220" t="s">
        <v>296</v>
      </c>
      <c r="F213" s="220"/>
      <c r="G213" s="220"/>
      <c r="H213" s="242" t="s">
        <v>177</v>
      </c>
      <c r="I213" s="129"/>
      <c r="J213" s="243">
        <f t="shared" si="134"/>
        <v>0</v>
      </c>
      <c r="K213" s="236"/>
      <c r="L213" s="236"/>
      <c r="M213" s="243">
        <f t="shared" si="135"/>
        <v>0</v>
      </c>
      <c r="N213" s="129"/>
      <c r="O213" s="335"/>
      <c r="P213" s="207">
        <f>IF(OR(P$107=0,LEFT(P$103,2)&lt;&gt;"dx"),0,P$107*INDEX(energiedragers_fPren,MATCH(P$102,energiedragers_namen,0))+
IF(OR(P$135=0,LEFT(P$133,2)&lt;&gt;"dx"),0,P$135*INDEX(energiedragers_fPren,MATCH(P$132,energiedragers_namen,0))))</f>
        <v>0</v>
      </c>
      <c r="Q213" s="335"/>
      <c r="R213" s="335"/>
      <c r="S213" s="335"/>
      <c r="T213" s="335"/>
      <c r="U213" s="335"/>
      <c r="V213" s="335"/>
      <c r="W213" s="335"/>
      <c r="X213" s="128"/>
      <c r="Y213" s="243">
        <f t="shared" si="136"/>
        <v>0</v>
      </c>
      <c r="Z213" s="129"/>
      <c r="AA213" s="335"/>
      <c r="AB213" s="207">
        <f>IF(OR(AB$107=0,LEFT(AB$103,2)&lt;&gt;"dx"),0,AB$107*INDEX(energiedragers_fPren,MATCH(AB$102,energiedragers_namen,0))+
IF(OR(AB$135=0,LEFT(AB$133,2)&lt;&gt;"dx"),0,AB$135*INDEX(energiedragers_fPren,MATCH(AB$132,energiedragers_namen,0))))</f>
        <v>0</v>
      </c>
      <c r="AC213" s="335"/>
      <c r="AD213" s="335"/>
      <c r="AE213" s="335"/>
      <c r="AF213" s="335"/>
      <c r="AG213" s="335"/>
      <c r="AH213" s="335"/>
      <c r="AI213" s="335"/>
      <c r="AJ213" s="128"/>
      <c r="AK213" s="243">
        <f t="shared" si="137"/>
        <v>0</v>
      </c>
      <c r="AL213" s="129"/>
      <c r="AM213" s="335"/>
      <c r="AN213" s="207">
        <f>IF(OR(AN$107=0,LEFT(AN$103,2)&lt;&gt;"dx"),0,AN$107*INDEX(energiedragers_fPren,MATCH(AN$102,energiedragers_namen,0))+
IF(OR(AN$135=0,LEFT(AN$133,2)&lt;&gt;"dx"),0,AN$135*INDEX(energiedragers_fPren,MATCH(AN$132,energiedragers_namen,0))))</f>
        <v>0</v>
      </c>
      <c r="AO213" s="335"/>
      <c r="AP213" s="335"/>
      <c r="AQ213" s="335"/>
      <c r="AR213" s="335"/>
      <c r="AS213" s="335"/>
      <c r="AT213" s="335"/>
      <c r="AU213" s="335"/>
      <c r="AV213" s="128"/>
      <c r="AW213" s="243">
        <f t="shared" si="138"/>
        <v>0</v>
      </c>
      <c r="AX213" s="129"/>
      <c r="AY213" s="335"/>
      <c r="AZ213" s="207">
        <f>IF(OR(AZ$107=0,LEFT(AZ$103,2)&lt;&gt;"dx"),0,AZ$107*INDEX(energiedragers_fPren,MATCH(AZ$102,energiedragers_namen,0))+
IF(OR(AZ$135=0,LEFT(AZ$133,2)&lt;&gt;"dx"),0,AZ$135*INDEX(energiedragers_fPren,MATCH(AZ$132,energiedragers_namen,0))))</f>
        <v>0</v>
      </c>
      <c r="BA213" s="335"/>
      <c r="BB213" s="335"/>
      <c r="BC213" s="335"/>
      <c r="BD213" s="335"/>
      <c r="BE213" s="335"/>
      <c r="BF213" s="335"/>
      <c r="BG213" s="335"/>
      <c r="BH213" s="255"/>
    </row>
    <row r="214" spans="1:60" x14ac:dyDescent="0.2">
      <c r="A214" s="648"/>
      <c r="B214" s="492" t="s">
        <v>289</v>
      </c>
      <c r="C214" s="656" t="s">
        <v>113</v>
      </c>
      <c r="D214" s="750" t="s">
        <v>50</v>
      </c>
      <c r="E214" s="220" t="s">
        <v>297</v>
      </c>
      <c r="F214" s="220"/>
      <c r="G214" s="220"/>
      <c r="H214" s="242" t="s">
        <v>177</v>
      </c>
      <c r="I214" s="129"/>
      <c r="J214" s="243">
        <f t="shared" si="134"/>
        <v>0</v>
      </c>
      <c r="K214" s="236"/>
      <c r="L214" s="236"/>
      <c r="M214" s="243">
        <f t="shared" si="135"/>
        <v>0</v>
      </c>
      <c r="N214" s="129"/>
      <c r="O214" s="207">
        <f>O$88*f_P_renheat</f>
        <v>0</v>
      </c>
      <c r="P214" s="335"/>
      <c r="Q214" s="207">
        <f>Q$88*f_P_renheat</f>
        <v>0</v>
      </c>
      <c r="R214" s="335"/>
      <c r="S214" s="335"/>
      <c r="T214" s="335"/>
      <c r="U214" s="335"/>
      <c r="V214" s="335"/>
      <c r="W214" s="335"/>
      <c r="X214" s="122"/>
      <c r="Y214" s="243">
        <f t="shared" si="136"/>
        <v>0</v>
      </c>
      <c r="Z214" s="129"/>
      <c r="AA214" s="207">
        <f>AA$88*f_P_renheat</f>
        <v>0</v>
      </c>
      <c r="AB214" s="335"/>
      <c r="AC214" s="207">
        <f>AC$88*f_P_renheat</f>
        <v>0</v>
      </c>
      <c r="AD214" s="335"/>
      <c r="AE214" s="335"/>
      <c r="AF214" s="335"/>
      <c r="AG214" s="335"/>
      <c r="AH214" s="335"/>
      <c r="AI214" s="335"/>
      <c r="AJ214" s="122"/>
      <c r="AK214" s="243">
        <f t="shared" si="137"/>
        <v>0</v>
      </c>
      <c r="AL214" s="129"/>
      <c r="AM214" s="207">
        <f>AM$88*f_P_renheat</f>
        <v>0</v>
      </c>
      <c r="AN214" s="335"/>
      <c r="AO214" s="207">
        <f>AO$88*f_P_renheat</f>
        <v>0</v>
      </c>
      <c r="AP214" s="335"/>
      <c r="AQ214" s="335"/>
      <c r="AR214" s="335"/>
      <c r="AS214" s="335"/>
      <c r="AT214" s="335"/>
      <c r="AU214" s="335"/>
      <c r="AV214" s="122"/>
      <c r="AW214" s="243">
        <f t="shared" si="138"/>
        <v>0</v>
      </c>
      <c r="AX214" s="129"/>
      <c r="AY214" s="207">
        <f>AY$88*f_P_renheat</f>
        <v>0</v>
      </c>
      <c r="AZ214" s="335"/>
      <c r="BA214" s="207">
        <f>BA$88*f_P_renheat</f>
        <v>0</v>
      </c>
      <c r="BB214" s="335"/>
      <c r="BC214" s="335"/>
      <c r="BD214" s="335"/>
      <c r="BE214" s="335"/>
      <c r="BF214" s="335"/>
      <c r="BG214" s="335"/>
      <c r="BH214" s="214"/>
    </row>
    <row r="215" spans="1:60" x14ac:dyDescent="0.2">
      <c r="A215" s="648"/>
      <c r="B215" s="492" t="s">
        <v>289</v>
      </c>
      <c r="C215" s="656" t="s">
        <v>113</v>
      </c>
      <c r="D215" s="750" t="s">
        <v>50</v>
      </c>
      <c r="E215" s="220" t="s">
        <v>298</v>
      </c>
      <c r="F215" s="220"/>
      <c r="G215" s="220"/>
      <c r="H215" s="242" t="s">
        <v>177</v>
      </c>
      <c r="I215" s="129"/>
      <c r="J215" s="243">
        <f t="shared" si="134"/>
        <v>0</v>
      </c>
      <c r="K215" s="236"/>
      <c r="L215" s="236"/>
      <c r="M215" s="243">
        <f t="shared" si="135"/>
        <v>0</v>
      </c>
      <c r="N215" s="129"/>
      <c r="O215" s="335"/>
      <c r="P215" s="335"/>
      <c r="Q215" s="335"/>
      <c r="R215" s="335"/>
      <c r="S215" s="335"/>
      <c r="T215" s="335"/>
      <c r="U215" s="335"/>
      <c r="V215" s="335"/>
      <c r="W215" s="207">
        <f>M70*f_P_renelect</f>
        <v>0</v>
      </c>
      <c r="X215" s="128"/>
      <c r="Y215" s="243">
        <f t="shared" si="136"/>
        <v>0</v>
      </c>
      <c r="Z215" s="129"/>
      <c r="AA215" s="335"/>
      <c r="AB215" s="335"/>
      <c r="AC215" s="335"/>
      <c r="AD215" s="335"/>
      <c r="AE215" s="335"/>
      <c r="AF215" s="335"/>
      <c r="AG215" s="335"/>
      <c r="AH215" s="335"/>
      <c r="AI215" s="207">
        <f>Y70*f_P_renelect</f>
        <v>0</v>
      </c>
      <c r="AJ215" s="128"/>
      <c r="AK215" s="243">
        <f t="shared" si="137"/>
        <v>0</v>
      </c>
      <c r="AL215" s="129"/>
      <c r="AM215" s="335"/>
      <c r="AN215" s="335"/>
      <c r="AO215" s="335"/>
      <c r="AP215" s="335"/>
      <c r="AQ215" s="335"/>
      <c r="AR215" s="335"/>
      <c r="AS215" s="335"/>
      <c r="AT215" s="335"/>
      <c r="AU215" s="207">
        <f>AK70*f_P_renelect</f>
        <v>0</v>
      </c>
      <c r="AV215" s="128"/>
      <c r="AW215" s="243">
        <f t="shared" si="138"/>
        <v>0</v>
      </c>
      <c r="AX215" s="129"/>
      <c r="AY215" s="335"/>
      <c r="AZ215" s="335"/>
      <c r="BA215" s="335"/>
      <c r="BB215" s="335"/>
      <c r="BC215" s="335"/>
      <c r="BD215" s="335"/>
      <c r="BE215" s="335"/>
      <c r="BF215" s="335"/>
      <c r="BG215" s="207">
        <f>AW70*f_P_renelect</f>
        <v>0</v>
      </c>
      <c r="BH215" s="255"/>
    </row>
    <row r="216" spans="1:60" x14ac:dyDescent="0.2">
      <c r="A216" s="648"/>
      <c r="B216" s="492" t="s">
        <v>289</v>
      </c>
      <c r="C216" s="656" t="s">
        <v>113</v>
      </c>
      <c r="D216" s="747"/>
      <c r="E216" s="220" t="s">
        <v>258</v>
      </c>
      <c r="F216" s="220"/>
      <c r="G216" s="220"/>
      <c r="H216" s="242" t="s">
        <v>177</v>
      </c>
      <c r="I216" s="129"/>
      <c r="J216" s="243">
        <f>SUM(J209:J215)</f>
        <v>0</v>
      </c>
      <c r="K216" s="236"/>
      <c r="L216" s="236"/>
      <c r="M216" s="243">
        <f>SUM(M209:M215)</f>
        <v>0</v>
      </c>
      <c r="N216" s="129"/>
      <c r="O216" s="207">
        <f t="shared" ref="O216:W216" si="139">SUM(O209:O215)</f>
        <v>0</v>
      </c>
      <c r="P216" s="207">
        <f t="shared" si="139"/>
        <v>0</v>
      </c>
      <c r="Q216" s="207">
        <f t="shared" si="139"/>
        <v>0</v>
      </c>
      <c r="R216" s="335"/>
      <c r="S216" s="335"/>
      <c r="T216" s="335"/>
      <c r="U216" s="335"/>
      <c r="V216" s="335"/>
      <c r="W216" s="207">
        <f t="shared" si="139"/>
        <v>0</v>
      </c>
      <c r="X216" s="128"/>
      <c r="Y216" s="243">
        <f>SUM(Y209:Y215)</f>
        <v>0</v>
      </c>
      <c r="Z216" s="129"/>
      <c r="AA216" s="207">
        <f>SUM(AA209:AA215)</f>
        <v>0</v>
      </c>
      <c r="AB216" s="207">
        <f>SUM(AB209:AB215)</f>
        <v>0</v>
      </c>
      <c r="AC216" s="207">
        <f>SUM(AC209:AC215)</f>
        <v>0</v>
      </c>
      <c r="AD216" s="335"/>
      <c r="AE216" s="335"/>
      <c r="AF216" s="335"/>
      <c r="AG216" s="335"/>
      <c r="AH216" s="335"/>
      <c r="AI216" s="207">
        <f>SUM(AI209:AI215)</f>
        <v>0</v>
      </c>
      <c r="AJ216" s="128"/>
      <c r="AK216" s="243">
        <f>SUM(AK209:AK215)</f>
        <v>0</v>
      </c>
      <c r="AL216" s="129"/>
      <c r="AM216" s="207">
        <f>SUM(AM209:AM215)</f>
        <v>0</v>
      </c>
      <c r="AN216" s="207">
        <f>SUM(AN209:AN215)</f>
        <v>0</v>
      </c>
      <c r="AO216" s="207">
        <f>SUM(AO209:AO215)</f>
        <v>0</v>
      </c>
      <c r="AP216" s="335"/>
      <c r="AQ216" s="335"/>
      <c r="AR216" s="335"/>
      <c r="AS216" s="335"/>
      <c r="AT216" s="335"/>
      <c r="AU216" s="207">
        <f>SUM(AU209:AU215)</f>
        <v>0</v>
      </c>
      <c r="AV216" s="128"/>
      <c r="AW216" s="243">
        <f>SUM(AW209:AW215)</f>
        <v>0</v>
      </c>
      <c r="AX216" s="129"/>
      <c r="AY216" s="207">
        <f>SUM(AY209:AY215)</f>
        <v>0</v>
      </c>
      <c r="AZ216" s="207">
        <f>SUM(AZ209:AZ215)</f>
        <v>0</v>
      </c>
      <c r="BA216" s="207">
        <f>SUM(BA209:BA215)</f>
        <v>0</v>
      </c>
      <c r="BB216" s="335"/>
      <c r="BC216" s="335"/>
      <c r="BD216" s="335"/>
      <c r="BE216" s="335"/>
      <c r="BF216" s="335"/>
      <c r="BG216" s="207">
        <f>SUM(BG209:BG215)</f>
        <v>0</v>
      </c>
      <c r="BH216" s="255"/>
    </row>
    <row r="217" spans="1:60" x14ac:dyDescent="0.2">
      <c r="A217" s="648"/>
      <c r="B217" s="492" t="s">
        <v>289</v>
      </c>
      <c r="C217" s="739" t="s">
        <v>104</v>
      </c>
      <c r="D217" s="747"/>
      <c r="E217" s="90"/>
      <c r="F217" s="90"/>
      <c r="G217" s="90"/>
      <c r="H217" s="96"/>
      <c r="I217" s="90"/>
      <c r="J217" s="93"/>
      <c r="K217" s="90"/>
      <c r="L217" s="90"/>
      <c r="M217" s="93"/>
      <c r="N217" s="90"/>
      <c r="O217" s="93"/>
      <c r="P217" s="93"/>
      <c r="Q217" s="93"/>
      <c r="R217" s="93"/>
      <c r="S217" s="93"/>
      <c r="T217" s="93"/>
      <c r="U217" s="93"/>
      <c r="V217" s="93"/>
      <c r="W217" s="93"/>
      <c r="X217" s="93"/>
      <c r="Y217" s="93"/>
      <c r="Z217" s="90"/>
      <c r="AA217" s="93"/>
      <c r="AB217" s="93"/>
      <c r="AC217" s="93"/>
      <c r="AD217" s="93"/>
      <c r="AE217" s="93"/>
      <c r="AF217" s="93"/>
      <c r="AG217" s="93"/>
      <c r="AH217" s="93"/>
      <c r="AI217" s="93"/>
      <c r="AJ217" s="93"/>
      <c r="AK217" s="93"/>
      <c r="AL217" s="90"/>
      <c r="AM217" s="93"/>
      <c r="AN217" s="93"/>
      <c r="AO217" s="93"/>
      <c r="AP217" s="93"/>
      <c r="AQ217" s="93"/>
      <c r="AR217" s="93"/>
      <c r="AS217" s="93"/>
      <c r="AT217" s="93"/>
      <c r="AU217" s="93"/>
      <c r="AV217" s="93"/>
      <c r="AW217" s="93"/>
      <c r="AX217" s="90"/>
      <c r="AY217" s="93"/>
      <c r="AZ217" s="93"/>
      <c r="BA217" s="93"/>
      <c r="BB217" s="93"/>
      <c r="BC217" s="93"/>
      <c r="BD217" s="93"/>
      <c r="BE217" s="93"/>
      <c r="BF217" s="93"/>
      <c r="BG217" s="93"/>
      <c r="BH217" s="1"/>
    </row>
    <row r="218" spans="1:60" x14ac:dyDescent="0.2">
      <c r="A218" s="648"/>
      <c r="B218" s="492" t="s">
        <v>299</v>
      </c>
      <c r="C218" s="656" t="s">
        <v>104</v>
      </c>
      <c r="D218" s="747"/>
      <c r="E218" s="275"/>
      <c r="F218" s="90"/>
      <c r="G218" s="90"/>
      <c r="H218" s="96"/>
      <c r="I218" s="138"/>
      <c r="J218" s="93"/>
      <c r="K218" s="90"/>
      <c r="L218" s="90"/>
      <c r="M218" s="93"/>
      <c r="N218" s="90"/>
      <c r="O218" s="96"/>
      <c r="P218" s="96"/>
      <c r="Q218" s="93"/>
      <c r="R218" s="93"/>
      <c r="S218" s="93"/>
      <c r="T218" s="93"/>
      <c r="U218" s="93"/>
      <c r="V218" s="93"/>
      <c r="W218" s="93"/>
      <c r="X218" s="93"/>
      <c r="Y218" s="93"/>
      <c r="Z218" s="90"/>
      <c r="AA218" s="96"/>
      <c r="AB218" s="96"/>
      <c r="AC218" s="93"/>
      <c r="AD218" s="93"/>
      <c r="AE218" s="93"/>
      <c r="AF218" s="93"/>
      <c r="AG218" s="93"/>
      <c r="AH218" s="93"/>
      <c r="AI218" s="93"/>
      <c r="AJ218" s="93"/>
      <c r="AK218" s="93"/>
      <c r="AL218" s="90"/>
      <c r="AM218" s="96"/>
      <c r="AN218" s="96"/>
      <c r="AO218" s="93"/>
      <c r="AP218" s="93"/>
      <c r="AQ218" s="93"/>
      <c r="AR218" s="93"/>
      <c r="AS218" s="93"/>
      <c r="AT218" s="93"/>
      <c r="AU218" s="93"/>
      <c r="AV218" s="93"/>
      <c r="AW218" s="93"/>
      <c r="AX218" s="90"/>
      <c r="AY218" s="128"/>
      <c r="AZ218" s="93"/>
      <c r="BA218" s="93"/>
      <c r="BB218" s="93"/>
      <c r="BC218" s="93"/>
      <c r="BD218" s="93"/>
      <c r="BE218" s="93"/>
      <c r="BF218" s="93"/>
      <c r="BG218" s="93"/>
      <c r="BH218" s="1"/>
    </row>
    <row r="219" spans="1:60" ht="21" x14ac:dyDescent="0.2">
      <c r="A219" s="648"/>
      <c r="B219" s="492" t="s">
        <v>299</v>
      </c>
      <c r="C219" s="739" t="s">
        <v>104</v>
      </c>
      <c r="D219" s="752"/>
      <c r="E219" s="215" t="s">
        <v>300</v>
      </c>
      <c r="F219" s="240"/>
      <c r="G219" s="240"/>
      <c r="H219" s="240"/>
      <c r="I219" s="88"/>
      <c r="J219" s="241" t="str">
        <f>J$10</f>
        <v>totaal</v>
      </c>
      <c r="K219" s="142"/>
      <c r="L219" s="142"/>
      <c r="M219" s="216" t="str">
        <f>M$10</f>
        <v>totaal</v>
      </c>
      <c r="N219" s="222"/>
      <c r="O219" s="217" t="str">
        <f t="shared" ref="O219:W219" si="140">O$10</f>
        <v>verwarming</v>
      </c>
      <c r="P219" s="217" t="str">
        <f t="shared" si="140"/>
        <v>koeling</v>
      </c>
      <c r="Q219" s="217" t="str">
        <f t="shared" si="140"/>
        <v>tapwater</v>
      </c>
      <c r="R219" s="217" t="str">
        <f t="shared" si="140"/>
        <v>verlichting</v>
      </c>
      <c r="S219" s="217" t="str">
        <f t="shared" si="140"/>
        <v>ventilatoren</v>
      </c>
      <c r="T219" s="217" t="str">
        <f t="shared" si="140"/>
        <v>kookgas</v>
      </c>
      <c r="U219" s="217" t="str">
        <f t="shared" si="140"/>
        <v>overig elektra</v>
      </c>
      <c r="V219" s="217" t="str">
        <f t="shared" si="140"/>
        <v>mobiliteit</v>
      </c>
      <c r="W219" s="217" t="str">
        <f t="shared" si="140"/>
        <v>zonnepanelen</v>
      </c>
      <c r="X219" s="214"/>
      <c r="Y219" s="216" t="str">
        <f>Y$10</f>
        <v>totaal</v>
      </c>
      <c r="Z219" s="222"/>
      <c r="AA219" s="217" t="str">
        <f t="shared" ref="AA219:AI219" si="141">AA$10</f>
        <v>verwarming</v>
      </c>
      <c r="AB219" s="217" t="str">
        <f t="shared" si="141"/>
        <v>koeling</v>
      </c>
      <c r="AC219" s="217" t="str">
        <f t="shared" si="141"/>
        <v>tapwater</v>
      </c>
      <c r="AD219" s="217" t="str">
        <f t="shared" si="141"/>
        <v>verlichting</v>
      </c>
      <c r="AE219" s="217" t="str">
        <f t="shared" si="141"/>
        <v>ventilatoren</v>
      </c>
      <c r="AF219" s="217" t="str">
        <f t="shared" si="141"/>
        <v>kookgas</v>
      </c>
      <c r="AG219" s="217" t="str">
        <f t="shared" si="141"/>
        <v>overig elektra</v>
      </c>
      <c r="AH219" s="217" t="str">
        <f t="shared" si="141"/>
        <v>mobiliteit</v>
      </c>
      <c r="AI219" s="217" t="str">
        <f t="shared" si="141"/>
        <v>zonnepanelen</v>
      </c>
      <c r="AJ219" s="214"/>
      <c r="AK219" s="216" t="str">
        <f>AK$10</f>
        <v>totaal</v>
      </c>
      <c r="AL219" s="222"/>
      <c r="AM219" s="217" t="str">
        <f t="shared" ref="AM219:AU219" si="142">AM$10</f>
        <v>verwarming</v>
      </c>
      <c r="AN219" s="217" t="str">
        <f t="shared" si="142"/>
        <v>koeling</v>
      </c>
      <c r="AO219" s="217" t="str">
        <f t="shared" si="142"/>
        <v>tapwater</v>
      </c>
      <c r="AP219" s="217" t="str">
        <f t="shared" si="142"/>
        <v>verlichting</v>
      </c>
      <c r="AQ219" s="217" t="str">
        <f t="shared" si="142"/>
        <v>ventilatoren</v>
      </c>
      <c r="AR219" s="217" t="str">
        <f t="shared" si="142"/>
        <v>kookgas</v>
      </c>
      <c r="AS219" s="217" t="str">
        <f t="shared" si="142"/>
        <v>overig elektra</v>
      </c>
      <c r="AT219" s="217" t="str">
        <f t="shared" si="142"/>
        <v>mobiliteit</v>
      </c>
      <c r="AU219" s="217" t="str">
        <f t="shared" si="142"/>
        <v>zonnepanelen</v>
      </c>
      <c r="AV219" s="214"/>
      <c r="AW219" s="216" t="str">
        <f>AW$10</f>
        <v>totaal</v>
      </c>
      <c r="AX219" s="222"/>
      <c r="AY219" s="217" t="str">
        <f t="shared" ref="AY219:BG219" si="143">AY$10</f>
        <v>verwarming</v>
      </c>
      <c r="AZ219" s="217" t="str">
        <f t="shared" si="143"/>
        <v>koeling</v>
      </c>
      <c r="BA219" s="217" t="str">
        <f t="shared" si="143"/>
        <v>tapwater</v>
      </c>
      <c r="BB219" s="217" t="str">
        <f t="shared" si="143"/>
        <v>verlichting</v>
      </c>
      <c r="BC219" s="217" t="str">
        <f t="shared" si="143"/>
        <v>ventilatoren</v>
      </c>
      <c r="BD219" s="217" t="str">
        <f t="shared" si="143"/>
        <v>kookgas</v>
      </c>
      <c r="BE219" s="217" t="str">
        <f t="shared" si="143"/>
        <v>overig elektra</v>
      </c>
      <c r="BF219" s="217" t="str">
        <f t="shared" si="143"/>
        <v>mobiliteit</v>
      </c>
      <c r="BG219" s="217" t="str">
        <f t="shared" si="143"/>
        <v>zonnepanelen</v>
      </c>
      <c r="BH219" s="1"/>
    </row>
    <row r="220" spans="1:60" ht="18.75" x14ac:dyDescent="0.2">
      <c r="A220" s="648"/>
      <c r="B220" s="492" t="s">
        <v>299</v>
      </c>
      <c r="C220" s="739" t="s">
        <v>104</v>
      </c>
      <c r="D220" s="747"/>
      <c r="E220" s="231" t="s">
        <v>301</v>
      </c>
      <c r="F220" s="231"/>
      <c r="G220" s="231"/>
      <c r="H220" s="89"/>
      <c r="I220" s="232"/>
      <c r="J220" s="231"/>
      <c r="K220" s="232"/>
      <c r="L220" s="232"/>
      <c r="M220" s="231"/>
      <c r="N220" s="232"/>
      <c r="O220" s="285"/>
      <c r="P220" s="285"/>
      <c r="Q220" s="232"/>
      <c r="R220" s="232"/>
      <c r="S220" s="232"/>
      <c r="T220" s="232"/>
      <c r="U220" s="232"/>
      <c r="V220" s="232"/>
      <c r="W220" s="232"/>
      <c r="X220" s="232"/>
      <c r="Y220" s="232"/>
      <c r="Z220" s="232"/>
      <c r="AA220" s="232"/>
      <c r="AB220" s="232"/>
      <c r="AC220" s="232"/>
      <c r="AD220" s="232"/>
      <c r="AE220" s="232"/>
      <c r="AF220" s="232"/>
      <c r="AG220" s="232"/>
      <c r="AH220" s="232"/>
      <c r="AI220" s="232"/>
      <c r="AJ220" s="232"/>
      <c r="AK220" s="232"/>
      <c r="AL220" s="232"/>
      <c r="AM220" s="232"/>
      <c r="AN220" s="232"/>
      <c r="AO220" s="232"/>
      <c r="AP220" s="232"/>
      <c r="AQ220" s="232"/>
      <c r="AR220" s="232"/>
      <c r="AS220" s="232"/>
      <c r="AT220" s="232"/>
      <c r="AU220" s="232"/>
      <c r="AV220" s="232"/>
      <c r="AW220" s="232"/>
      <c r="AX220" s="232"/>
      <c r="AY220" s="232"/>
      <c r="AZ220" s="232"/>
      <c r="BA220" s="232"/>
      <c r="BB220" s="232"/>
      <c r="BC220" s="232"/>
      <c r="BD220" s="232"/>
      <c r="BE220" s="232"/>
      <c r="BF220" s="232"/>
      <c r="BG220" s="232"/>
      <c r="BH220" s="38"/>
    </row>
    <row r="221" spans="1:60" x14ac:dyDescent="0.2">
      <c r="A221" s="648"/>
      <c r="B221" s="492" t="s">
        <v>299</v>
      </c>
      <c r="C221" s="656" t="s">
        <v>113</v>
      </c>
      <c r="D221" s="747"/>
      <c r="E221" s="220" t="s">
        <v>302</v>
      </c>
      <c r="F221" s="220"/>
      <c r="G221" s="220"/>
      <c r="H221" s="242" t="s">
        <v>70</v>
      </c>
      <c r="I221" s="129"/>
      <c r="J221" s="271"/>
      <c r="K221" s="279"/>
      <c r="L221" s="279"/>
      <c r="M221" s="243" t="str">
        <f>CONCATENATE(O221,"/",Q221)</f>
        <v>gebouw/gebouw</v>
      </c>
      <c r="N221" s="100"/>
      <c r="O221" s="207" t="str">
        <f>IF(O80=geen,"-",O81)</f>
        <v>gebouw</v>
      </c>
      <c r="P221" s="207" t="str">
        <f>IF(P80=geen,"-",P81)</f>
        <v>-</v>
      </c>
      <c r="Q221" s="207" t="str">
        <f>IF(Q80=geen,"-",Q81)</f>
        <v>gebouw</v>
      </c>
      <c r="R221" s="335"/>
      <c r="S221" s="335"/>
      <c r="T221" s="335"/>
      <c r="U221" s="335"/>
      <c r="V221" s="335"/>
      <c r="W221" s="335"/>
      <c r="X221" s="128"/>
      <c r="Y221" s="243" t="str">
        <f>CONCATENATE(AA221,"/",AC221)</f>
        <v>gebouw/gebouw</v>
      </c>
      <c r="Z221" s="100"/>
      <c r="AA221" s="207" t="str">
        <f>IF(AA80=geen,"-",AA81)</f>
        <v>gebouw</v>
      </c>
      <c r="AB221" s="207" t="str">
        <f>IF(AB80=geen,"-",AB81)</f>
        <v>-</v>
      </c>
      <c r="AC221" s="207" t="str">
        <f>IF(AC80=geen,"-",AC81)</f>
        <v>gebouw</v>
      </c>
      <c r="AD221" s="335"/>
      <c r="AE221" s="335"/>
      <c r="AF221" s="335"/>
      <c r="AG221" s="335"/>
      <c r="AH221" s="335"/>
      <c r="AI221" s="335"/>
      <c r="AJ221" s="128"/>
      <c r="AK221" s="243" t="str">
        <f>CONCATENATE(AM221,"/",AO221)</f>
        <v>gebouw/gebouw</v>
      </c>
      <c r="AL221" s="100"/>
      <c r="AM221" s="207" t="str">
        <f>IF(AM80=geen,"-",AM81)</f>
        <v>gebouw</v>
      </c>
      <c r="AN221" s="207" t="str">
        <f>IF(AN80=geen,"-",AN81)</f>
        <v>-</v>
      </c>
      <c r="AO221" s="207" t="str">
        <f>IF(AO80=geen,"-",AO81)</f>
        <v>gebouw</v>
      </c>
      <c r="AP221" s="335"/>
      <c r="AQ221" s="335"/>
      <c r="AR221" s="335"/>
      <c r="AS221" s="335"/>
      <c r="AT221" s="335"/>
      <c r="AU221" s="335"/>
      <c r="AV221" s="128"/>
      <c r="AW221" s="243" t="str">
        <f>CONCATENATE(AY221,"/",BA221)</f>
        <v>gebouw/gebouw</v>
      </c>
      <c r="AX221" s="100"/>
      <c r="AY221" s="207" t="str">
        <f>IF(AY80=geen,"-",AY81)</f>
        <v>gebouw</v>
      </c>
      <c r="AZ221" s="207" t="str">
        <f>IF(AZ80=geen,"-",AZ81)</f>
        <v>-</v>
      </c>
      <c r="BA221" s="207" t="str">
        <f>IF(BA80=geen,"-",BA81)</f>
        <v>gebouw</v>
      </c>
      <c r="BB221" s="207"/>
      <c r="BC221" s="335"/>
      <c r="BD221" s="335"/>
      <c r="BE221" s="335"/>
      <c r="BF221" s="335"/>
      <c r="BG221" s="335"/>
      <c r="BH221" s="255"/>
    </row>
    <row r="222" spans="1:60" x14ac:dyDescent="0.2">
      <c r="A222" s="648"/>
      <c r="B222" s="492" t="s">
        <v>299</v>
      </c>
      <c r="C222" s="656" t="s">
        <v>113</v>
      </c>
      <c r="D222" s="747"/>
      <c r="E222" s="220" t="s">
        <v>222</v>
      </c>
      <c r="F222" s="220"/>
      <c r="G222" s="220"/>
      <c r="H222" s="242" t="s">
        <v>70</v>
      </c>
      <c r="I222" s="129"/>
      <c r="J222" s="271"/>
      <c r="K222" s="277"/>
      <c r="L222" s="277"/>
      <c r="M222" s="271" t="str">
        <f>IF(SUM(O222:Q222)=0,"",((O$221&lt;&gt;gebouw)*(O$117+O$142+O$159-O$177) + (P$221&lt;&gt;gebouw)*(P$117+P$142+P$159-P$177) + (Q$221&lt;&gt;gebouw)*(Q$117+Q$142+Q$159-Q$177) )/  ((O$221&lt;&gt;gebouw)*O$75 + AND(P$221&lt;&gt;gebouw,P$221&lt;&gt;"-")*P$75 + (Q$221&lt;&gt;gebouw)*Q$75) )</f>
        <v/>
      </c>
      <c r="N222" s="278"/>
      <c r="O222" s="272" t="str">
        <f>IF(OR(O$204=0,O$221=gebouw),"-",(O$117+O$142+O$159-O$177)/O$75)</f>
        <v>-</v>
      </c>
      <c r="P222" s="272" t="str">
        <f>IF(OR(P$204=0,P$221=gebouw),"-",(P$117+P$142+P$159-P$177)/P$75)</f>
        <v>-</v>
      </c>
      <c r="Q222" s="272" t="str">
        <f>IF(OR(Q$204=0,Q$221=gebouw),"-",(Q$117+Q$142+Q$159-Q$177)/Q$75)</f>
        <v>-</v>
      </c>
      <c r="R222" s="336"/>
      <c r="S222" s="336"/>
      <c r="T222" s="336"/>
      <c r="U222" s="336"/>
      <c r="V222" s="336"/>
      <c r="W222" s="336"/>
      <c r="X222" s="139"/>
      <c r="Y222" s="271" t="str">
        <f>IF(SUM(AA222:AC222)=0,"",((AA$221&lt;&gt;gebouw)*(AA$117+AA$142+AA$159-AA$177) + (AB$221&lt;&gt;gebouw)*(AB$117+AB$142+AB$159-AB$177) + (AC$221&lt;&gt;gebouw)*(AC$117+AC$142+AC$159-AC$177) )/  ((AA$221&lt;&gt;gebouw)*AA$75 + AND(AB$221&lt;&gt;gebouw,AB$221&lt;&gt;"-")*AB$75 + (AC$221&lt;&gt;gebouw)*AC$75) )</f>
        <v/>
      </c>
      <c r="Z222" s="278"/>
      <c r="AA222" s="272" t="str">
        <f>IF(OR(AA$204=0,AA$221=gebouw),"-",(AA$117+AA$142+AA$159-AA$177)/AA$75)</f>
        <v>-</v>
      </c>
      <c r="AB222" s="272" t="str">
        <f>IF(OR(AB$204=0,AB$221=gebouw),"-",(AB$117+AB$142+AB$159-AB$177)/AB$75)</f>
        <v>-</v>
      </c>
      <c r="AC222" s="272" t="str">
        <f>IF(OR(AC$204=0,AC$221=gebouw),"-",(AC$117+AC$142+AC$159-AC$177)/AC$75)</f>
        <v>-</v>
      </c>
      <c r="AD222" s="336"/>
      <c r="AE222" s="336"/>
      <c r="AF222" s="336"/>
      <c r="AG222" s="336"/>
      <c r="AH222" s="336"/>
      <c r="AI222" s="336"/>
      <c r="AJ222" s="139"/>
      <c r="AK222" s="271" t="str">
        <f>IF(SUM(AM222:AO222)=0,"",((AM$221&lt;&gt;gebouw)*(AM$117+AM$142+AM$159-AM$177) + (AN$221&lt;&gt;gebouw)*(AN$117+AN$142+AN$159-AN$177) + (AO$221&lt;&gt;gebouw)*(AO$117+AO$142+AO$159-AO$177) )/  ((AM$221&lt;&gt;gebouw)*AM$75 + AND(AN$221&lt;&gt;gebouw,AN$221&lt;&gt;"-")*AN$75 + (AO$221&lt;&gt;gebouw)*AO$75) )</f>
        <v/>
      </c>
      <c r="AL222" s="278"/>
      <c r="AM222" s="272" t="str">
        <f>IF(OR(AM$204=0,AM$221=gebouw),"-",(AM$117+AM$142+AM$159-AM$177)/AM$75)</f>
        <v>-</v>
      </c>
      <c r="AN222" s="272" t="str">
        <f>IF(OR(AN$204=0,AN$221=gebouw),"-",(AN$117+AN$142+AN$159-AN$177)/AN$75)</f>
        <v>-</v>
      </c>
      <c r="AO222" s="272" t="str">
        <f>IF(OR(AO$204=0,AO$221=gebouw),"-",(AO$117+AO$142+AO$159-AO$177)/AO$75)</f>
        <v>-</v>
      </c>
      <c r="AP222" s="336"/>
      <c r="AQ222" s="336"/>
      <c r="AR222" s="336"/>
      <c r="AS222" s="336"/>
      <c r="AT222" s="336"/>
      <c r="AU222" s="336"/>
      <c r="AV222" s="139"/>
      <c r="AW222" s="271" t="str">
        <f>IF(SUM(AY222:BA222)=0,"",((AY$221&lt;&gt;gebouw)*(AY$117+AY$142+AY$159-AY$177) + (AZ$221&lt;&gt;gebouw)*(AZ$117+AZ$142+AZ$159-AZ$177) + (BA$221&lt;&gt;gebouw)*(BA$117+BA$142+BA$159-BA$177) )/  ((AY$221&lt;&gt;gebouw)*AY$75 + AND(AZ$221&lt;&gt;gebouw,AZ$221&lt;&gt;"-")*AZ$75 + (BA$221&lt;&gt;gebouw)*BA$75) )</f>
        <v/>
      </c>
      <c r="AX222" s="278"/>
      <c r="AY222" s="272" t="str">
        <f>IF(OR(AY$204=0,AY$221=gebouw),"-",(AY$117+AY$142+AY$159-AY$177)/AY$75)</f>
        <v>-</v>
      </c>
      <c r="AZ222" s="272" t="str">
        <f>IF(OR(AZ$204=0,AZ$221=gebouw),"-",(AZ$117+AZ$142+AZ$159-AZ$177)/AZ$75)</f>
        <v>-</v>
      </c>
      <c r="BA222" s="272" t="str">
        <f>IF(OR(BA$204=0,BA$221=gebouw),"-",(BA$117+BA$142+BA$159-BA$177)/BA$75)</f>
        <v>-</v>
      </c>
      <c r="BB222" s="272"/>
      <c r="BC222" s="336"/>
      <c r="BD222" s="336"/>
      <c r="BE222" s="336"/>
      <c r="BF222" s="336"/>
      <c r="BG222" s="336"/>
      <c r="BH222" s="255"/>
    </row>
    <row r="223" spans="1:60" x14ac:dyDescent="0.2">
      <c r="A223" s="648"/>
      <c r="B223" s="492" t="s">
        <v>299</v>
      </c>
      <c r="C223" s="739" t="s">
        <v>104</v>
      </c>
      <c r="D223" s="747"/>
      <c r="E223" s="90"/>
      <c r="F223" s="90"/>
      <c r="G223" s="90"/>
      <c r="H223" s="96"/>
      <c r="I223" s="90"/>
      <c r="J223" s="93"/>
      <c r="K223" s="90"/>
      <c r="L223" s="90"/>
      <c r="M223" s="690"/>
      <c r="N223" s="90"/>
      <c r="O223" s="93"/>
      <c r="P223" s="93"/>
      <c r="Q223" s="93"/>
      <c r="R223" s="93"/>
      <c r="S223" s="93"/>
      <c r="T223" s="93"/>
      <c r="U223" s="93"/>
      <c r="V223" s="93"/>
      <c r="W223" s="93"/>
      <c r="X223" s="93"/>
      <c r="Y223" s="139"/>
      <c r="Z223" s="90"/>
      <c r="AA223" s="93"/>
      <c r="AB223" s="93"/>
      <c r="AC223" s="93"/>
      <c r="AD223" s="93"/>
      <c r="AE223" s="93"/>
      <c r="AF223" s="93"/>
      <c r="AG223" s="93"/>
      <c r="AH223" s="93"/>
      <c r="AI223" s="93"/>
      <c r="AJ223" s="93"/>
      <c r="AK223" s="93"/>
      <c r="AL223" s="90"/>
      <c r="AM223" s="93"/>
      <c r="AN223" s="93"/>
      <c r="AO223" s="93"/>
      <c r="AP223" s="93"/>
      <c r="AQ223" s="93"/>
      <c r="AR223" s="93"/>
      <c r="AS223" s="93"/>
      <c r="AT223" s="93"/>
      <c r="AU223" s="93"/>
      <c r="AV223" s="93"/>
      <c r="AW223" s="93"/>
      <c r="AX223" s="90"/>
      <c r="AY223" s="90"/>
      <c r="AZ223" s="93"/>
      <c r="BA223" s="93"/>
      <c r="BB223" s="93"/>
      <c r="BC223" s="93"/>
      <c r="BD223" s="93"/>
      <c r="BE223" s="93"/>
      <c r="BF223" s="93"/>
      <c r="BG223" s="93"/>
      <c r="BH223" s="1"/>
    </row>
    <row r="224" spans="1:60" x14ac:dyDescent="0.2">
      <c r="A224" s="648"/>
      <c r="B224" s="492" t="s">
        <v>303</v>
      </c>
      <c r="C224" s="656" t="s">
        <v>104</v>
      </c>
      <c r="D224" s="747"/>
      <c r="E224" s="90"/>
      <c r="F224" s="90"/>
      <c r="G224" s="90"/>
      <c r="H224" s="96"/>
      <c r="I224" s="90"/>
      <c r="J224" s="93"/>
      <c r="K224" s="90"/>
      <c r="L224" s="90"/>
      <c r="M224" s="93"/>
      <c r="N224" s="90"/>
      <c r="O224" s="93"/>
      <c r="P224" s="93"/>
      <c r="Q224" s="93"/>
      <c r="R224" s="93"/>
      <c r="S224" s="93"/>
      <c r="T224" s="93"/>
      <c r="U224" s="93"/>
      <c r="V224" s="93"/>
      <c r="W224" s="93"/>
      <c r="X224" s="93"/>
      <c r="Y224" s="93"/>
      <c r="Z224" s="90"/>
      <c r="AA224" s="93"/>
      <c r="AB224" s="93"/>
      <c r="AC224" s="93"/>
      <c r="AD224" s="93"/>
      <c r="AE224" s="93"/>
      <c r="AF224" s="93"/>
      <c r="AG224" s="93"/>
      <c r="AH224" s="93"/>
      <c r="AI224" s="93"/>
      <c r="AJ224" s="93"/>
      <c r="AK224" s="93"/>
      <c r="AL224" s="90"/>
      <c r="AM224" s="93"/>
      <c r="AN224" s="93"/>
      <c r="AO224" s="93"/>
      <c r="AP224" s="93"/>
      <c r="AQ224" s="93"/>
      <c r="AR224" s="93"/>
      <c r="AS224" s="93"/>
      <c r="AT224" s="93"/>
      <c r="AU224" s="93"/>
      <c r="AV224" s="93"/>
      <c r="AW224" s="93"/>
      <c r="AX224" s="90"/>
      <c r="AY224" s="93"/>
      <c r="AZ224" s="93"/>
      <c r="BA224" s="93"/>
      <c r="BB224" s="93"/>
      <c r="BC224" s="93"/>
      <c r="BD224" s="93"/>
      <c r="BE224" s="93"/>
      <c r="BF224" s="93"/>
      <c r="BG224" s="93"/>
      <c r="BH224" s="1"/>
    </row>
    <row r="225" spans="1:60" s="2" customFormat="1" ht="21" x14ac:dyDescent="0.2">
      <c r="A225" s="649"/>
      <c r="B225" s="492" t="s">
        <v>303</v>
      </c>
      <c r="C225" s="739" t="s">
        <v>104</v>
      </c>
      <c r="D225" s="749" t="s">
        <v>50</v>
      </c>
      <c r="E225" s="253" t="s">
        <v>304</v>
      </c>
      <c r="F225" s="253"/>
      <c r="G225" s="253"/>
      <c r="H225" s="253"/>
      <c r="I225" s="146"/>
      <c r="J225" s="318"/>
      <c r="K225" s="142"/>
      <c r="L225" s="142"/>
      <c r="M225" s="318"/>
      <c r="N225" s="222"/>
      <c r="O225" s="320" t="str">
        <f t="shared" ref="O225:W225" si="144">O$17</f>
        <v/>
      </c>
      <c r="P225" s="320" t="str">
        <f t="shared" si="144"/>
        <v/>
      </c>
      <c r="Q225" s="320" t="str">
        <f t="shared" si="144"/>
        <v/>
      </c>
      <c r="R225" s="320" t="str">
        <f t="shared" si="144"/>
        <v/>
      </c>
      <c r="S225" s="320" t="str">
        <f t="shared" si="144"/>
        <v/>
      </c>
      <c r="T225" s="320" t="str">
        <f t="shared" si="144"/>
        <v/>
      </c>
      <c r="U225" s="320" t="str">
        <f t="shared" si="144"/>
        <v/>
      </c>
      <c r="V225" s="320" t="str">
        <f t="shared" si="144"/>
        <v/>
      </c>
      <c r="W225" s="320" t="str">
        <f t="shared" si="144"/>
        <v/>
      </c>
      <c r="X225" s="214"/>
      <c r="Y225" s="318"/>
      <c r="Z225" s="222"/>
      <c r="AA225" s="320" t="str">
        <f t="shared" ref="AA225:AI225" si="145">AA$17</f>
        <v/>
      </c>
      <c r="AB225" s="320" t="str">
        <f t="shared" si="145"/>
        <v/>
      </c>
      <c r="AC225" s="320" t="str">
        <f t="shared" si="145"/>
        <v/>
      </c>
      <c r="AD225" s="320" t="str">
        <f t="shared" si="145"/>
        <v/>
      </c>
      <c r="AE225" s="320" t="str">
        <f t="shared" si="145"/>
        <v/>
      </c>
      <c r="AF225" s="320" t="str">
        <f t="shared" si="145"/>
        <v/>
      </c>
      <c r="AG225" s="320" t="str">
        <f t="shared" si="145"/>
        <v/>
      </c>
      <c r="AH225" s="320" t="str">
        <f t="shared" si="145"/>
        <v/>
      </c>
      <c r="AI225" s="320" t="str">
        <f t="shared" si="145"/>
        <v/>
      </c>
      <c r="AJ225" s="214"/>
      <c r="AK225" s="318"/>
      <c r="AL225" s="222"/>
      <c r="AM225" s="320" t="str">
        <f>AM$17</f>
        <v/>
      </c>
      <c r="AN225" s="320" t="str">
        <f t="shared" ref="AN225:AU225" si="146">AN$17</f>
        <v/>
      </c>
      <c r="AO225" s="320" t="str">
        <f t="shared" si="146"/>
        <v/>
      </c>
      <c r="AP225" s="320" t="str">
        <f t="shared" si="146"/>
        <v/>
      </c>
      <c r="AQ225" s="320" t="str">
        <f t="shared" si="146"/>
        <v/>
      </c>
      <c r="AR225" s="320" t="str">
        <f t="shared" si="146"/>
        <v/>
      </c>
      <c r="AS225" s="320" t="str">
        <f t="shared" si="146"/>
        <v/>
      </c>
      <c r="AT225" s="320" t="str">
        <f t="shared" si="146"/>
        <v/>
      </c>
      <c r="AU225" s="320" t="str">
        <f t="shared" si="146"/>
        <v/>
      </c>
      <c r="AV225" s="214"/>
      <c r="AW225" s="318"/>
      <c r="AX225" s="222"/>
      <c r="AY225" s="374" t="str">
        <f>AY$17</f>
        <v/>
      </c>
      <c r="AZ225" s="374" t="str">
        <f t="shared" ref="AZ225:BG225" si="147">AZ$17</f>
        <v/>
      </c>
      <c r="BA225" s="374" t="str">
        <f t="shared" si="147"/>
        <v/>
      </c>
      <c r="BB225" s="374" t="str">
        <f t="shared" si="147"/>
        <v/>
      </c>
      <c r="BC225" s="374" t="str">
        <f t="shared" si="147"/>
        <v/>
      </c>
      <c r="BD225" s="374" t="str">
        <f t="shared" si="147"/>
        <v/>
      </c>
      <c r="BE225" s="374" t="str">
        <f t="shared" si="147"/>
        <v/>
      </c>
      <c r="BF225" s="374" t="str">
        <f t="shared" si="147"/>
        <v/>
      </c>
      <c r="BG225" s="374" t="str">
        <f t="shared" si="147"/>
        <v/>
      </c>
      <c r="BH225" s="1"/>
    </row>
    <row r="226" spans="1:60" ht="18.75" x14ac:dyDescent="0.2">
      <c r="A226" s="648"/>
      <c r="B226" s="492" t="s">
        <v>303</v>
      </c>
      <c r="C226" s="739" t="s">
        <v>104</v>
      </c>
      <c r="D226" s="747"/>
      <c r="E226" s="236" t="s">
        <v>305</v>
      </c>
      <c r="F226" s="236"/>
      <c r="G226" s="236"/>
      <c r="H226" s="89"/>
      <c r="I226" s="236"/>
      <c r="J226" s="236"/>
      <c r="K226" s="236"/>
      <c r="L226" s="236"/>
      <c r="M226" s="236"/>
      <c r="N226" s="236"/>
      <c r="O226" s="236"/>
      <c r="P226" s="236"/>
      <c r="Q226" s="236"/>
      <c r="R226" s="236"/>
      <c r="S226" s="236"/>
      <c r="T226" s="236"/>
      <c r="U226" s="236"/>
      <c r="V226" s="236"/>
      <c r="W226" s="236"/>
      <c r="X226" s="236"/>
      <c r="Y226" s="236"/>
      <c r="Z226" s="236"/>
      <c r="AA226" s="236"/>
      <c r="AB226" s="236"/>
      <c r="AC226" s="236"/>
      <c r="AD226" s="236"/>
      <c r="AE226" s="236"/>
      <c r="AF226" s="236"/>
      <c r="AG226" s="236"/>
      <c r="AH226" s="236"/>
      <c r="AI226" s="236"/>
      <c r="AJ226" s="236"/>
      <c r="AK226" s="236"/>
      <c r="AL226" s="236"/>
      <c r="AM226" s="236"/>
      <c r="AN226" s="236"/>
      <c r="AO226" s="236"/>
      <c r="AP226" s="236"/>
      <c r="AQ226" s="236"/>
      <c r="AR226" s="236"/>
      <c r="AS226" s="236"/>
      <c r="AT226" s="236"/>
      <c r="AU226" s="236"/>
      <c r="AV226" s="236"/>
      <c r="AW226" s="236"/>
      <c r="AX226" s="236"/>
      <c r="AY226" s="236"/>
      <c r="AZ226" s="236"/>
      <c r="BA226" s="236"/>
      <c r="BB226" s="236"/>
      <c r="BC226" s="236"/>
      <c r="BD226" s="236"/>
      <c r="BE226" s="236"/>
      <c r="BF226" s="236"/>
      <c r="BG226" s="236"/>
      <c r="BH226" s="38"/>
    </row>
    <row r="227" spans="1:60" x14ac:dyDescent="0.2">
      <c r="A227" s="648"/>
      <c r="B227" s="492" t="s">
        <v>303</v>
      </c>
      <c r="C227" s="656" t="s">
        <v>113</v>
      </c>
      <c r="D227" s="750"/>
      <c r="E227" s="220" t="s">
        <v>306</v>
      </c>
      <c r="F227" s="220"/>
      <c r="G227" s="220"/>
      <c r="H227" s="242" t="s">
        <v>169</v>
      </c>
      <c r="I227" s="129"/>
      <c r="J227" s="243"/>
      <c r="K227" s="279"/>
      <c r="L227" s="279"/>
      <c r="M227" s="243"/>
      <c r="N227" s="100"/>
      <c r="O227" s="207" t="str">
        <f t="shared" ref="O227:W227" si="148">IF(O$19="","",O60)</f>
        <v/>
      </c>
      <c r="P227" s="207" t="str">
        <f t="shared" si="148"/>
        <v/>
      </c>
      <c r="Q227" s="207" t="str">
        <f t="shared" si="148"/>
        <v/>
      </c>
      <c r="R227" s="207" t="str">
        <f t="shared" si="148"/>
        <v/>
      </c>
      <c r="S227" s="207" t="str">
        <f t="shared" si="148"/>
        <v/>
      </c>
      <c r="T227" s="207" t="str">
        <f t="shared" si="148"/>
        <v/>
      </c>
      <c r="U227" s="207" t="str">
        <f t="shared" si="148"/>
        <v/>
      </c>
      <c r="V227" s="207" t="str">
        <f t="shared" si="148"/>
        <v/>
      </c>
      <c r="W227" s="207" t="str">
        <f t="shared" si="148"/>
        <v/>
      </c>
      <c r="X227" s="128"/>
      <c r="Y227" s="243"/>
      <c r="Z227" s="100"/>
      <c r="AA227" s="207" t="str">
        <f t="shared" ref="AA227:AI227" si="149">IF(AA$19="","",AA60)</f>
        <v/>
      </c>
      <c r="AB227" s="207" t="str">
        <f t="shared" si="149"/>
        <v/>
      </c>
      <c r="AC227" s="207" t="str">
        <f t="shared" si="149"/>
        <v/>
      </c>
      <c r="AD227" s="207" t="str">
        <f t="shared" si="149"/>
        <v/>
      </c>
      <c r="AE227" s="207" t="str">
        <f t="shared" si="149"/>
        <v/>
      </c>
      <c r="AF227" s="207" t="str">
        <f t="shared" si="149"/>
        <v/>
      </c>
      <c r="AG227" s="207" t="str">
        <f t="shared" si="149"/>
        <v/>
      </c>
      <c r="AH227" s="207" t="str">
        <f t="shared" si="149"/>
        <v/>
      </c>
      <c r="AI227" s="207" t="str">
        <f t="shared" si="149"/>
        <v/>
      </c>
      <c r="AJ227" s="128"/>
      <c r="AK227" s="243"/>
      <c r="AL227" s="100"/>
      <c r="AM227" s="207" t="str">
        <f t="shared" ref="AM227:AU227" si="150">IF(AM$19="","",AM60)</f>
        <v/>
      </c>
      <c r="AN227" s="207" t="str">
        <f t="shared" si="150"/>
        <v/>
      </c>
      <c r="AO227" s="207" t="str">
        <f t="shared" si="150"/>
        <v/>
      </c>
      <c r="AP227" s="207" t="str">
        <f t="shared" si="150"/>
        <v/>
      </c>
      <c r="AQ227" s="207" t="str">
        <f t="shared" si="150"/>
        <v/>
      </c>
      <c r="AR227" s="207" t="str">
        <f t="shared" si="150"/>
        <v/>
      </c>
      <c r="AS227" s="207" t="str">
        <f t="shared" si="150"/>
        <v/>
      </c>
      <c r="AT227" s="207" t="str">
        <f t="shared" si="150"/>
        <v/>
      </c>
      <c r="AU227" s="207" t="str">
        <f t="shared" si="150"/>
        <v/>
      </c>
      <c r="AV227" s="128"/>
      <c r="AW227" s="243"/>
      <c r="AX227" s="100"/>
      <c r="AY227" s="207" t="str">
        <f t="shared" ref="AY227:BG227" si="151">IF(AY$19="","",AY60)</f>
        <v/>
      </c>
      <c r="AZ227" s="207" t="str">
        <f t="shared" si="151"/>
        <v/>
      </c>
      <c r="BA227" s="207" t="str">
        <f t="shared" si="151"/>
        <v/>
      </c>
      <c r="BB227" s="207" t="str">
        <f t="shared" si="151"/>
        <v/>
      </c>
      <c r="BC227" s="207" t="str">
        <f t="shared" si="151"/>
        <v/>
      </c>
      <c r="BD227" s="207" t="str">
        <f t="shared" si="151"/>
        <v/>
      </c>
      <c r="BE227" s="207" t="str">
        <f t="shared" si="151"/>
        <v/>
      </c>
      <c r="BF227" s="207" t="str">
        <f t="shared" si="151"/>
        <v/>
      </c>
      <c r="BG227" s="207" t="str">
        <f t="shared" si="151"/>
        <v/>
      </c>
      <c r="BH227" s="255"/>
    </row>
    <row r="228" spans="1:60" ht="18.75" x14ac:dyDescent="0.2">
      <c r="A228" s="648"/>
      <c r="B228" s="492" t="s">
        <v>303</v>
      </c>
      <c r="C228" s="739" t="s">
        <v>104</v>
      </c>
      <c r="D228" s="747"/>
      <c r="E228" s="236" t="s">
        <v>307</v>
      </c>
      <c r="F228" s="236"/>
      <c r="G228" s="236"/>
      <c r="H228" s="89"/>
      <c r="I228" s="236"/>
      <c r="J228" s="236"/>
      <c r="K228" s="236"/>
      <c r="L228" s="236"/>
      <c r="M228" s="236"/>
      <c r="N228" s="236"/>
      <c r="O228" s="236"/>
      <c r="P228" s="236"/>
      <c r="Q228" s="236"/>
      <c r="R228" s="236"/>
      <c r="S228" s="236"/>
      <c r="T228" s="236"/>
      <c r="U228" s="236"/>
      <c r="V228" s="236"/>
      <c r="W228" s="236"/>
      <c r="X228" s="236"/>
      <c r="Y228" s="236"/>
      <c r="Z228" s="236"/>
      <c r="AA228" s="236"/>
      <c r="AB228" s="236"/>
      <c r="AC228" s="236"/>
      <c r="AD228" s="236"/>
      <c r="AE228" s="236"/>
      <c r="AF228" s="236"/>
      <c r="AG228" s="236"/>
      <c r="AH228" s="236"/>
      <c r="AI228" s="236"/>
      <c r="AJ228" s="236"/>
      <c r="AK228" s="236"/>
      <c r="AL228" s="236"/>
      <c r="AM228" s="236"/>
      <c r="AN228" s="236"/>
      <c r="AO228" s="236"/>
      <c r="AP228" s="236"/>
      <c r="AQ228" s="236"/>
      <c r="AR228" s="236"/>
      <c r="AS228" s="236"/>
      <c r="AT228" s="236"/>
      <c r="AU228" s="236"/>
      <c r="AV228" s="236"/>
      <c r="AW228" s="236"/>
      <c r="AX228" s="236"/>
      <c r="AY228" s="236"/>
      <c r="AZ228" s="236"/>
      <c r="BA228" s="236"/>
      <c r="BB228" s="236"/>
      <c r="BC228" s="236"/>
      <c r="BD228" s="236"/>
      <c r="BE228" s="236"/>
      <c r="BF228" s="236"/>
      <c r="BG228" s="236"/>
      <c r="BH228" s="38"/>
    </row>
    <row r="229" spans="1:60" x14ac:dyDescent="0.2">
      <c r="A229" s="648"/>
      <c r="B229" s="492" t="s">
        <v>303</v>
      </c>
      <c r="C229" s="656" t="s">
        <v>113</v>
      </c>
      <c r="D229" s="750"/>
      <c r="E229" s="220" t="s">
        <v>306</v>
      </c>
      <c r="F229" s="220"/>
      <c r="G229" s="220"/>
      <c r="H229" s="242" t="s">
        <v>169</v>
      </c>
      <c r="I229" s="129"/>
      <c r="J229" s="243"/>
      <c r="K229" s="279"/>
      <c r="L229" s="279"/>
      <c r="M229" s="243"/>
      <c r="N229" s="100"/>
      <c r="O229" s="207" t="str">
        <f t="shared" ref="O229:W229" si="152">IF(O$19="","-",O61)</f>
        <v>-</v>
      </c>
      <c r="P229" s="207" t="str">
        <f t="shared" si="152"/>
        <v>-</v>
      </c>
      <c r="Q229" s="207" t="str">
        <f t="shared" si="152"/>
        <v>-</v>
      </c>
      <c r="R229" s="207" t="str">
        <f t="shared" si="152"/>
        <v>-</v>
      </c>
      <c r="S229" s="207" t="str">
        <f t="shared" si="152"/>
        <v>-</v>
      </c>
      <c r="T229" s="207" t="str">
        <f t="shared" si="152"/>
        <v>-</v>
      </c>
      <c r="U229" s="207" t="str">
        <f t="shared" si="152"/>
        <v>-</v>
      </c>
      <c r="V229" s="207" t="str">
        <f t="shared" si="152"/>
        <v>-</v>
      </c>
      <c r="W229" s="207" t="str">
        <f t="shared" si="152"/>
        <v>-</v>
      </c>
      <c r="X229" s="128"/>
      <c r="Y229" s="243"/>
      <c r="Z229" s="100"/>
      <c r="AA229" s="207" t="str">
        <f t="shared" ref="AA229:AI229" si="153">IF(AA$19="","-",AA61)</f>
        <v>-</v>
      </c>
      <c r="AB229" s="207" t="str">
        <f t="shared" si="153"/>
        <v>-</v>
      </c>
      <c r="AC229" s="207" t="str">
        <f t="shared" si="153"/>
        <v>-</v>
      </c>
      <c r="AD229" s="207" t="str">
        <f t="shared" si="153"/>
        <v>-</v>
      </c>
      <c r="AE229" s="207" t="str">
        <f t="shared" si="153"/>
        <v>-</v>
      </c>
      <c r="AF229" s="207" t="str">
        <f t="shared" si="153"/>
        <v>-</v>
      </c>
      <c r="AG229" s="207" t="str">
        <f t="shared" si="153"/>
        <v>-</v>
      </c>
      <c r="AH229" s="207" t="str">
        <f t="shared" si="153"/>
        <v>-</v>
      </c>
      <c r="AI229" s="207" t="str">
        <f t="shared" si="153"/>
        <v>-</v>
      </c>
      <c r="AJ229" s="128"/>
      <c r="AK229" s="243"/>
      <c r="AL229" s="100"/>
      <c r="AM229" s="207" t="str">
        <f t="shared" ref="AM229:AU229" si="154">IF(AM$19="","-",AM61)</f>
        <v>-</v>
      </c>
      <c r="AN229" s="207" t="str">
        <f t="shared" si="154"/>
        <v>-</v>
      </c>
      <c r="AO229" s="207" t="str">
        <f t="shared" si="154"/>
        <v>-</v>
      </c>
      <c r="AP229" s="207" t="str">
        <f t="shared" si="154"/>
        <v>-</v>
      </c>
      <c r="AQ229" s="207" t="str">
        <f t="shared" si="154"/>
        <v>-</v>
      </c>
      <c r="AR229" s="207" t="str">
        <f t="shared" si="154"/>
        <v>-</v>
      </c>
      <c r="AS229" s="207" t="str">
        <f t="shared" si="154"/>
        <v>-</v>
      </c>
      <c r="AT229" s="207" t="str">
        <f t="shared" si="154"/>
        <v>-</v>
      </c>
      <c r="AU229" s="207" t="str">
        <f t="shared" si="154"/>
        <v>-</v>
      </c>
      <c r="AV229" s="128"/>
      <c r="AW229" s="243"/>
      <c r="AX229" s="100"/>
      <c r="AY229" s="207" t="str">
        <f t="shared" ref="AY229:BG229" si="155">IF(AY$19="","-",AY61)</f>
        <v>-</v>
      </c>
      <c r="AZ229" s="207" t="str">
        <f t="shared" si="155"/>
        <v>-</v>
      </c>
      <c r="BA229" s="207" t="str">
        <f t="shared" si="155"/>
        <v>-</v>
      </c>
      <c r="BB229" s="207" t="str">
        <f t="shared" si="155"/>
        <v>-</v>
      </c>
      <c r="BC229" s="207" t="str">
        <f t="shared" si="155"/>
        <v>-</v>
      </c>
      <c r="BD229" s="207" t="str">
        <f t="shared" si="155"/>
        <v>-</v>
      </c>
      <c r="BE229" s="207" t="str">
        <f t="shared" si="155"/>
        <v>-</v>
      </c>
      <c r="BF229" s="207" t="str">
        <f t="shared" si="155"/>
        <v>-</v>
      </c>
      <c r="BG229" s="207" t="str">
        <f t="shared" si="155"/>
        <v>-</v>
      </c>
      <c r="BH229" s="255"/>
    </row>
    <row r="230" spans="1:60" x14ac:dyDescent="0.2">
      <c r="A230" s="648"/>
      <c r="B230" s="492" t="s">
        <v>303</v>
      </c>
      <c r="C230" s="739" t="s">
        <v>104</v>
      </c>
      <c r="D230" s="747"/>
      <c r="E230" s="90"/>
      <c r="F230" s="90"/>
      <c r="G230" s="90"/>
      <c r="H230" s="96"/>
      <c r="I230" s="90"/>
      <c r="J230" s="93"/>
      <c r="K230" s="90"/>
      <c r="L230" s="90"/>
      <c r="M230" s="93"/>
      <c r="N230" s="90"/>
      <c r="O230" s="92"/>
      <c r="P230" s="93"/>
      <c r="Q230" s="93"/>
      <c r="R230" s="93"/>
      <c r="S230" s="93"/>
      <c r="T230" s="93"/>
      <c r="U230" s="93"/>
      <c r="V230" s="93"/>
      <c r="W230" s="93"/>
      <c r="X230" s="93"/>
      <c r="Y230" s="93"/>
      <c r="Z230" s="90"/>
      <c r="AA230" s="93"/>
      <c r="AB230" s="93"/>
      <c r="AC230" s="93"/>
      <c r="AD230" s="93"/>
      <c r="AE230" s="93"/>
      <c r="AF230" s="93"/>
      <c r="AG230" s="93"/>
      <c r="AH230" s="93"/>
      <c r="AI230" s="93"/>
      <c r="AJ230" s="93"/>
      <c r="AK230" s="93"/>
      <c r="AL230" s="90"/>
      <c r="AM230" s="93"/>
      <c r="AN230" s="93"/>
      <c r="AO230" s="93"/>
      <c r="AP230" s="93"/>
      <c r="AQ230" s="93"/>
      <c r="AR230" s="93"/>
      <c r="AS230" s="93"/>
      <c r="AT230" s="93"/>
      <c r="AU230" s="93"/>
      <c r="AV230" s="93"/>
      <c r="AW230" s="93"/>
      <c r="AX230" s="90"/>
      <c r="AY230" s="93"/>
      <c r="AZ230" s="93"/>
      <c r="BA230" s="93"/>
      <c r="BB230" s="93"/>
      <c r="BC230" s="93"/>
      <c r="BD230" s="93"/>
      <c r="BE230" s="93"/>
      <c r="BF230" s="93"/>
      <c r="BG230" s="93"/>
      <c r="BH230" s="1"/>
    </row>
    <row r="231" spans="1:60" hidden="1" x14ac:dyDescent="0.2">
      <c r="A231" s="648"/>
      <c r="B231" s="492" t="s">
        <v>308</v>
      </c>
      <c r="C231" s="739" t="s">
        <v>309</v>
      </c>
      <c r="D231" s="747"/>
      <c r="E231" s="90"/>
      <c r="F231" s="90"/>
      <c r="G231" s="90"/>
      <c r="H231" s="96"/>
      <c r="I231" s="90"/>
      <c r="J231" s="93"/>
      <c r="K231" s="90"/>
      <c r="L231" s="90"/>
      <c r="M231" s="93"/>
      <c r="N231" s="90"/>
      <c r="O231" s="93"/>
      <c r="P231" s="93"/>
      <c r="Q231" s="93"/>
      <c r="R231" s="93"/>
      <c r="S231" s="93"/>
      <c r="T231" s="93"/>
      <c r="U231" s="93"/>
      <c r="V231" s="93"/>
      <c r="W231" s="93"/>
      <c r="X231" s="93"/>
      <c r="Y231" s="93"/>
      <c r="Z231" s="90"/>
      <c r="AA231" s="93"/>
      <c r="AB231" s="93"/>
      <c r="AC231" s="93"/>
      <c r="AD231" s="93"/>
      <c r="AE231" s="93"/>
      <c r="AF231" s="93"/>
      <c r="AG231" s="93"/>
      <c r="AH231" s="93"/>
      <c r="AI231" s="93"/>
      <c r="AJ231" s="93"/>
      <c r="AK231" s="93"/>
      <c r="AL231" s="90"/>
      <c r="AM231" s="93"/>
      <c r="AN231" s="93"/>
      <c r="AO231" s="93"/>
      <c r="AP231" s="93"/>
      <c r="AQ231" s="93"/>
      <c r="AR231" s="93"/>
      <c r="AS231" s="93"/>
      <c r="AT231" s="93"/>
      <c r="AU231" s="93"/>
      <c r="AV231" s="93"/>
      <c r="AW231" s="93"/>
      <c r="AX231" s="90"/>
      <c r="AY231" s="93"/>
      <c r="AZ231" s="93"/>
      <c r="BA231" s="93"/>
      <c r="BB231" s="93"/>
      <c r="BC231" s="93"/>
      <c r="BD231" s="93"/>
      <c r="BE231" s="93"/>
      <c r="BF231" s="93"/>
      <c r="BG231" s="93"/>
      <c r="BH231" s="1"/>
    </row>
    <row r="232" spans="1:60" s="2" customFormat="1" ht="21" hidden="1" x14ac:dyDescent="0.2">
      <c r="A232" s="649"/>
      <c r="B232" s="492" t="s">
        <v>308</v>
      </c>
      <c r="C232" s="739" t="s">
        <v>309</v>
      </c>
      <c r="D232" s="749"/>
      <c r="E232" s="253" t="s">
        <v>310</v>
      </c>
      <c r="F232" s="253"/>
      <c r="G232" s="253"/>
      <c r="H232" s="253"/>
      <c r="I232" s="146"/>
      <c r="J232" s="318" t="str">
        <f>J$10</f>
        <v>totaal</v>
      </c>
      <c r="K232" s="142"/>
      <c r="L232" s="142"/>
      <c r="M232" s="318" t="str">
        <f>M$10</f>
        <v>totaal</v>
      </c>
      <c r="N232" s="222"/>
      <c r="O232" s="320" t="str">
        <f t="shared" ref="O232:W232" si="156">O$17</f>
        <v/>
      </c>
      <c r="P232" s="320" t="str">
        <f t="shared" si="156"/>
        <v/>
      </c>
      <c r="Q232" s="320" t="str">
        <f t="shared" si="156"/>
        <v/>
      </c>
      <c r="R232" s="320" t="str">
        <f t="shared" si="156"/>
        <v/>
      </c>
      <c r="S232" s="320" t="str">
        <f t="shared" si="156"/>
        <v/>
      </c>
      <c r="T232" s="320" t="str">
        <f t="shared" si="156"/>
        <v/>
      </c>
      <c r="U232" s="320" t="str">
        <f t="shared" si="156"/>
        <v/>
      </c>
      <c r="V232" s="320" t="str">
        <f t="shared" si="156"/>
        <v/>
      </c>
      <c r="W232" s="320" t="str">
        <f t="shared" si="156"/>
        <v/>
      </c>
      <c r="X232" s="214"/>
      <c r="Y232" s="318" t="str">
        <f>Y$10</f>
        <v>totaal</v>
      </c>
      <c r="Z232" s="222"/>
      <c r="AA232" s="320" t="str">
        <f t="shared" ref="AA232:AI232" si="157">AA$17</f>
        <v/>
      </c>
      <c r="AB232" s="320" t="str">
        <f t="shared" si="157"/>
        <v/>
      </c>
      <c r="AC232" s="320" t="str">
        <f t="shared" si="157"/>
        <v/>
      </c>
      <c r="AD232" s="320" t="str">
        <f t="shared" si="157"/>
        <v/>
      </c>
      <c r="AE232" s="320" t="str">
        <f t="shared" si="157"/>
        <v/>
      </c>
      <c r="AF232" s="320" t="str">
        <f t="shared" si="157"/>
        <v/>
      </c>
      <c r="AG232" s="320" t="str">
        <f t="shared" si="157"/>
        <v/>
      </c>
      <c r="AH232" s="320" t="str">
        <f t="shared" si="157"/>
        <v/>
      </c>
      <c r="AI232" s="320" t="str">
        <f t="shared" si="157"/>
        <v/>
      </c>
      <c r="AJ232" s="214"/>
      <c r="AK232" s="318" t="str">
        <f>AK$10</f>
        <v>totaal</v>
      </c>
      <c r="AL232" s="222"/>
      <c r="AM232" s="320" t="str">
        <f>AM$17</f>
        <v/>
      </c>
      <c r="AN232" s="320" t="str">
        <f t="shared" ref="AN232:AU232" si="158">AN$17</f>
        <v/>
      </c>
      <c r="AO232" s="320" t="str">
        <f t="shared" si="158"/>
        <v/>
      </c>
      <c r="AP232" s="320" t="str">
        <f t="shared" si="158"/>
        <v/>
      </c>
      <c r="AQ232" s="320" t="str">
        <f t="shared" si="158"/>
        <v/>
      </c>
      <c r="AR232" s="320" t="str">
        <f t="shared" si="158"/>
        <v/>
      </c>
      <c r="AS232" s="320" t="str">
        <f t="shared" si="158"/>
        <v/>
      </c>
      <c r="AT232" s="320" t="str">
        <f t="shared" si="158"/>
        <v/>
      </c>
      <c r="AU232" s="320" t="str">
        <f t="shared" si="158"/>
        <v/>
      </c>
      <c r="AV232" s="214"/>
      <c r="AW232" s="318" t="str">
        <f>AW$10</f>
        <v>totaal</v>
      </c>
      <c r="AX232" s="222"/>
      <c r="AY232" s="320" t="str">
        <f>AY$17</f>
        <v/>
      </c>
      <c r="AZ232" s="320" t="str">
        <f t="shared" ref="AZ232:BG232" si="159">AZ$17</f>
        <v/>
      </c>
      <c r="BA232" s="320" t="str">
        <f t="shared" si="159"/>
        <v/>
      </c>
      <c r="BB232" s="320" t="str">
        <f t="shared" si="159"/>
        <v/>
      </c>
      <c r="BC232" s="320" t="str">
        <f t="shared" si="159"/>
        <v/>
      </c>
      <c r="BD232" s="320" t="str">
        <f t="shared" si="159"/>
        <v/>
      </c>
      <c r="BE232" s="320" t="str">
        <f t="shared" si="159"/>
        <v/>
      </c>
      <c r="BF232" s="320" t="str">
        <f t="shared" si="159"/>
        <v/>
      </c>
      <c r="BG232" s="320" t="str">
        <f t="shared" si="159"/>
        <v/>
      </c>
      <c r="BH232" s="1"/>
    </row>
    <row r="233" spans="1:60" ht="18.75" hidden="1" x14ac:dyDescent="0.2">
      <c r="A233" s="648"/>
      <c r="B233" s="492" t="s">
        <v>308</v>
      </c>
      <c r="C233" s="739" t="s">
        <v>309</v>
      </c>
      <c r="D233" s="747"/>
      <c r="E233" s="236" t="s">
        <v>311</v>
      </c>
      <c r="F233" s="236"/>
      <c r="G233" s="236"/>
      <c r="H233" s="89"/>
      <c r="I233" s="236"/>
      <c r="J233" s="236"/>
      <c r="K233" s="236"/>
      <c r="L233" s="236"/>
      <c r="M233" s="236"/>
      <c r="N233" s="236"/>
      <c r="O233" s="236"/>
      <c r="P233" s="236"/>
      <c r="Q233" s="236"/>
      <c r="R233" s="236"/>
      <c r="S233" s="236"/>
      <c r="T233" s="236"/>
      <c r="U233" s="236"/>
      <c r="V233" s="236"/>
      <c r="W233" s="236"/>
      <c r="X233" s="236"/>
      <c r="Y233" s="236"/>
      <c r="Z233" s="236"/>
      <c r="AA233" s="236"/>
      <c r="AB233" s="236"/>
      <c r="AC233" s="236"/>
      <c r="AD233" s="236"/>
      <c r="AE233" s="236"/>
      <c r="AF233" s="236"/>
      <c r="AG233" s="236"/>
      <c r="AH233" s="236"/>
      <c r="AI233" s="236"/>
      <c r="AJ233" s="236"/>
      <c r="AK233" s="236"/>
      <c r="AL233" s="236"/>
      <c r="AM233" s="236"/>
      <c r="AN233" s="236"/>
      <c r="AO233" s="236"/>
      <c r="AP233" s="236"/>
      <c r="AQ233" s="236"/>
      <c r="AR233" s="236"/>
      <c r="AS233" s="236"/>
      <c r="AT233" s="236"/>
      <c r="AU233" s="236"/>
      <c r="AV233" s="236"/>
      <c r="AW233" s="236"/>
      <c r="AX233" s="236"/>
      <c r="AY233" s="236"/>
      <c r="AZ233" s="236"/>
      <c r="BA233" s="236"/>
      <c r="BB233" s="236"/>
      <c r="BC233" s="236"/>
      <c r="BD233" s="236"/>
      <c r="BE233" s="236"/>
      <c r="BF233" s="236"/>
      <c r="BG233" s="236"/>
      <c r="BH233" s="38"/>
    </row>
    <row r="234" spans="1:60" hidden="1" x14ac:dyDescent="0.2">
      <c r="A234" s="648"/>
      <c r="B234" s="492" t="s">
        <v>308</v>
      </c>
      <c r="C234" s="739" t="s">
        <v>309</v>
      </c>
      <c r="D234" s="750" t="s">
        <v>50</v>
      </c>
      <c r="E234" s="220" t="s">
        <v>312</v>
      </c>
      <c r="F234" s="220"/>
      <c r="G234" s="220"/>
      <c r="H234" s="242" t="s">
        <v>70</v>
      </c>
      <c r="I234" s="129"/>
      <c r="J234" s="230"/>
      <c r="K234" s="236"/>
      <c r="L234" s="236"/>
      <c r="M234" s="423">
        <f>SUM(N234:X234)</f>
        <v>0</v>
      </c>
      <c r="N234" s="424"/>
      <c r="O234" s="273">
        <f t="shared" ref="O234:W235" si="160">IF(OR(O$19="",$M60=0),0,O$32*O60/$M60/1000)</f>
        <v>0</v>
      </c>
      <c r="P234" s="273">
        <f t="shared" si="160"/>
        <v>0</v>
      </c>
      <c r="Q234" s="273">
        <f t="shared" si="160"/>
        <v>0</v>
      </c>
      <c r="R234" s="273">
        <f t="shared" si="160"/>
        <v>0</v>
      </c>
      <c r="S234" s="273">
        <f t="shared" si="160"/>
        <v>0</v>
      </c>
      <c r="T234" s="273">
        <f t="shared" si="160"/>
        <v>0</v>
      </c>
      <c r="U234" s="273">
        <f t="shared" si="160"/>
        <v>0</v>
      </c>
      <c r="V234" s="273">
        <f t="shared" si="160"/>
        <v>0</v>
      </c>
      <c r="W234" s="273">
        <f t="shared" si="160"/>
        <v>0</v>
      </c>
      <c r="X234" s="422"/>
      <c r="Y234" s="423">
        <f>SUM(Z234:AJ234)</f>
        <v>0</v>
      </c>
      <c r="Z234" s="424"/>
      <c r="AA234" s="273">
        <f t="shared" ref="AA234:AI235" si="161">IF(OR(AA$19="",$Y60=0),0,AA$32*AA60/$Y60/1000)</f>
        <v>0</v>
      </c>
      <c r="AB234" s="273">
        <f t="shared" si="161"/>
        <v>0</v>
      </c>
      <c r="AC234" s="273">
        <f t="shared" si="161"/>
        <v>0</v>
      </c>
      <c r="AD234" s="273">
        <f t="shared" si="161"/>
        <v>0</v>
      </c>
      <c r="AE234" s="273">
        <f t="shared" si="161"/>
        <v>0</v>
      </c>
      <c r="AF234" s="273">
        <f t="shared" si="161"/>
        <v>0</v>
      </c>
      <c r="AG234" s="273">
        <f t="shared" si="161"/>
        <v>0</v>
      </c>
      <c r="AH234" s="273">
        <f t="shared" si="161"/>
        <v>0</v>
      </c>
      <c r="AI234" s="273">
        <f t="shared" si="161"/>
        <v>0</v>
      </c>
      <c r="AJ234" s="422"/>
      <c r="AK234" s="423">
        <f>SUM(AL234:AV234)</f>
        <v>0</v>
      </c>
      <c r="AL234" s="424"/>
      <c r="AM234" s="273">
        <f t="shared" ref="AM234:AU235" si="162">IF(OR(AM$19="",$AK60=0),0,AM$32*AM60/$AK60/1000)</f>
        <v>0</v>
      </c>
      <c r="AN234" s="273">
        <f t="shared" si="162"/>
        <v>0</v>
      </c>
      <c r="AO234" s="273">
        <f t="shared" si="162"/>
        <v>0</v>
      </c>
      <c r="AP234" s="273">
        <f t="shared" si="162"/>
        <v>0</v>
      </c>
      <c r="AQ234" s="273">
        <f t="shared" si="162"/>
        <v>0</v>
      </c>
      <c r="AR234" s="273">
        <f t="shared" si="162"/>
        <v>0</v>
      </c>
      <c r="AS234" s="273">
        <f t="shared" si="162"/>
        <v>0</v>
      </c>
      <c r="AT234" s="273">
        <f t="shared" si="162"/>
        <v>0</v>
      </c>
      <c r="AU234" s="273">
        <f t="shared" si="162"/>
        <v>0</v>
      </c>
      <c r="AV234" s="422"/>
      <c r="AW234" s="423">
        <f>SUM(AX234:BH234)</f>
        <v>0</v>
      </c>
      <c r="AX234" s="424"/>
      <c r="AY234" s="273">
        <f t="shared" ref="AY234:BG235" si="163">IF(OR(AY$19="",$AW60=0),0,AY$32*AY60/$AW60/1000)</f>
        <v>0</v>
      </c>
      <c r="AZ234" s="273">
        <f t="shared" si="163"/>
        <v>0</v>
      </c>
      <c r="BA234" s="273">
        <f t="shared" si="163"/>
        <v>0</v>
      </c>
      <c r="BB234" s="273">
        <f t="shared" si="163"/>
        <v>0</v>
      </c>
      <c r="BC234" s="273">
        <f t="shared" si="163"/>
        <v>0</v>
      </c>
      <c r="BD234" s="273">
        <f t="shared" si="163"/>
        <v>0</v>
      </c>
      <c r="BE234" s="273">
        <f t="shared" si="163"/>
        <v>0</v>
      </c>
      <c r="BF234" s="273">
        <f t="shared" si="163"/>
        <v>0</v>
      </c>
      <c r="BG234" s="273">
        <f t="shared" si="163"/>
        <v>0</v>
      </c>
      <c r="BH234" s="255"/>
    </row>
    <row r="235" spans="1:60" hidden="1" x14ac:dyDescent="0.2">
      <c r="A235" s="648"/>
      <c r="B235" s="492" t="s">
        <v>308</v>
      </c>
      <c r="C235" s="739" t="s">
        <v>309</v>
      </c>
      <c r="D235" s="747"/>
      <c r="E235" s="220" t="s">
        <v>313</v>
      </c>
      <c r="F235" s="220"/>
      <c r="G235" s="220"/>
      <c r="H235" s="242" t="s">
        <v>70</v>
      </c>
      <c r="I235" s="129"/>
      <c r="J235" s="230"/>
      <c r="K235" s="236"/>
      <c r="L235" s="236"/>
      <c r="M235" s="423">
        <f>SUM(N235:X235)</f>
        <v>0</v>
      </c>
      <c r="N235" s="424"/>
      <c r="O235" s="273">
        <f t="shared" si="160"/>
        <v>0</v>
      </c>
      <c r="P235" s="273">
        <f t="shared" si="160"/>
        <v>0</v>
      </c>
      <c r="Q235" s="273">
        <f t="shared" si="160"/>
        <v>0</v>
      </c>
      <c r="R235" s="273">
        <f t="shared" si="160"/>
        <v>0</v>
      </c>
      <c r="S235" s="273">
        <f t="shared" si="160"/>
        <v>0</v>
      </c>
      <c r="T235" s="273">
        <f t="shared" si="160"/>
        <v>0</v>
      </c>
      <c r="U235" s="273">
        <f t="shared" si="160"/>
        <v>0</v>
      </c>
      <c r="V235" s="273">
        <f t="shared" si="160"/>
        <v>0</v>
      </c>
      <c r="W235" s="273">
        <f t="shared" si="160"/>
        <v>0</v>
      </c>
      <c r="X235" s="422"/>
      <c r="Y235" s="423">
        <f>SUM(Z235:AJ235)</f>
        <v>0</v>
      </c>
      <c r="Z235" s="424"/>
      <c r="AA235" s="273">
        <f t="shared" si="161"/>
        <v>0</v>
      </c>
      <c r="AB235" s="273">
        <f t="shared" si="161"/>
        <v>0</v>
      </c>
      <c r="AC235" s="273">
        <f t="shared" si="161"/>
        <v>0</v>
      </c>
      <c r="AD235" s="273">
        <f t="shared" si="161"/>
        <v>0</v>
      </c>
      <c r="AE235" s="273">
        <f t="shared" si="161"/>
        <v>0</v>
      </c>
      <c r="AF235" s="273">
        <f t="shared" si="161"/>
        <v>0</v>
      </c>
      <c r="AG235" s="273">
        <f t="shared" si="161"/>
        <v>0</v>
      </c>
      <c r="AH235" s="273">
        <f t="shared" si="161"/>
        <v>0</v>
      </c>
      <c r="AI235" s="273">
        <f t="shared" si="161"/>
        <v>0</v>
      </c>
      <c r="AJ235" s="422"/>
      <c r="AK235" s="423">
        <f>SUM(AL235:AV235)</f>
        <v>0</v>
      </c>
      <c r="AL235" s="424"/>
      <c r="AM235" s="273">
        <f t="shared" si="162"/>
        <v>0</v>
      </c>
      <c r="AN235" s="273">
        <f t="shared" si="162"/>
        <v>0</v>
      </c>
      <c r="AO235" s="273">
        <f t="shared" si="162"/>
        <v>0</v>
      </c>
      <c r="AP235" s="273">
        <f t="shared" si="162"/>
        <v>0</v>
      </c>
      <c r="AQ235" s="273">
        <f t="shared" si="162"/>
        <v>0</v>
      </c>
      <c r="AR235" s="273">
        <f t="shared" si="162"/>
        <v>0</v>
      </c>
      <c r="AS235" s="273">
        <f t="shared" si="162"/>
        <v>0</v>
      </c>
      <c r="AT235" s="273">
        <f t="shared" si="162"/>
        <v>0</v>
      </c>
      <c r="AU235" s="273">
        <f t="shared" si="162"/>
        <v>0</v>
      </c>
      <c r="AV235" s="422"/>
      <c r="AW235" s="423">
        <f>SUM(AX235:BH235)</f>
        <v>0</v>
      </c>
      <c r="AX235" s="424"/>
      <c r="AY235" s="273">
        <f t="shared" si="163"/>
        <v>0</v>
      </c>
      <c r="AZ235" s="273">
        <f t="shared" si="163"/>
        <v>0</v>
      </c>
      <c r="BA235" s="273">
        <f t="shared" si="163"/>
        <v>0</v>
      </c>
      <c r="BB235" s="273">
        <f t="shared" si="163"/>
        <v>0</v>
      </c>
      <c r="BC235" s="273">
        <f t="shared" si="163"/>
        <v>0</v>
      </c>
      <c r="BD235" s="273">
        <f t="shared" si="163"/>
        <v>0</v>
      </c>
      <c r="BE235" s="273">
        <f t="shared" si="163"/>
        <v>0</v>
      </c>
      <c r="BF235" s="273">
        <f t="shared" si="163"/>
        <v>0</v>
      </c>
      <c r="BG235" s="273">
        <f t="shared" si="163"/>
        <v>0</v>
      </c>
      <c r="BH235" s="255"/>
    </row>
    <row r="236" spans="1:60" hidden="1" x14ac:dyDescent="0.2">
      <c r="A236" s="648"/>
      <c r="B236" s="492" t="s">
        <v>308</v>
      </c>
      <c r="C236" s="739" t="s">
        <v>309</v>
      </c>
      <c r="D236" s="747"/>
      <c r="E236" s="220" t="s">
        <v>314</v>
      </c>
      <c r="F236" s="220"/>
      <c r="G236" s="220"/>
      <c r="H236" s="242" t="s">
        <v>70</v>
      </c>
      <c r="I236" s="129"/>
      <c r="J236" s="230"/>
      <c r="K236" s="236"/>
      <c r="L236" s="236"/>
      <c r="M236" s="423">
        <f>SUM(N236:X236)</f>
        <v>0</v>
      </c>
      <c r="N236" s="424"/>
      <c r="O236" s="273">
        <f t="shared" ref="O236:W236" si="164">IF(OR(O$19="",$M$62=0),0,O$32*O62/$M62/1000)</f>
        <v>0</v>
      </c>
      <c r="P236" s="273">
        <f t="shared" si="164"/>
        <v>0</v>
      </c>
      <c r="Q236" s="273">
        <f t="shared" si="164"/>
        <v>0</v>
      </c>
      <c r="R236" s="273">
        <f t="shared" si="164"/>
        <v>0</v>
      </c>
      <c r="S236" s="273">
        <f t="shared" si="164"/>
        <v>0</v>
      </c>
      <c r="T236" s="273">
        <f t="shared" si="164"/>
        <v>0</v>
      </c>
      <c r="U236" s="273">
        <f t="shared" si="164"/>
        <v>0</v>
      </c>
      <c r="V236" s="273">
        <f t="shared" si="164"/>
        <v>0</v>
      </c>
      <c r="W236" s="273">
        <f t="shared" si="164"/>
        <v>0</v>
      </c>
      <c r="X236" s="422"/>
      <c r="Y236" s="423">
        <f>SUM(Z236:AJ236)</f>
        <v>0</v>
      </c>
      <c r="Z236" s="424"/>
      <c r="AA236" s="273">
        <f t="shared" ref="AA236:AI236" si="165">IF(OR(AA$19="",$Y$62=0),0,AA$32*AA62/$Y62/1000)</f>
        <v>0</v>
      </c>
      <c r="AB236" s="273">
        <f t="shared" si="165"/>
        <v>0</v>
      </c>
      <c r="AC236" s="273">
        <f t="shared" si="165"/>
        <v>0</v>
      </c>
      <c r="AD236" s="273">
        <f t="shared" si="165"/>
        <v>0</v>
      </c>
      <c r="AE236" s="273">
        <f t="shared" si="165"/>
        <v>0</v>
      </c>
      <c r="AF236" s="273">
        <f t="shared" si="165"/>
        <v>0</v>
      </c>
      <c r="AG236" s="273">
        <f t="shared" si="165"/>
        <v>0</v>
      </c>
      <c r="AH236" s="273">
        <f t="shared" si="165"/>
        <v>0</v>
      </c>
      <c r="AI236" s="273">
        <f t="shared" si="165"/>
        <v>0</v>
      </c>
      <c r="AJ236" s="422"/>
      <c r="AK236" s="423">
        <f>SUM(AL236:AV236)</f>
        <v>0</v>
      </c>
      <c r="AL236" s="424"/>
      <c r="AM236" s="273">
        <f t="shared" ref="AM236:AU236" si="166">IF(OR(AM$19="",$AK$62=0),0,AM$32*AM62/$AK62/1000)</f>
        <v>0</v>
      </c>
      <c r="AN236" s="273">
        <f t="shared" si="166"/>
        <v>0</v>
      </c>
      <c r="AO236" s="273">
        <f t="shared" si="166"/>
        <v>0</v>
      </c>
      <c r="AP236" s="273">
        <f t="shared" si="166"/>
        <v>0</v>
      </c>
      <c r="AQ236" s="273">
        <f t="shared" si="166"/>
        <v>0</v>
      </c>
      <c r="AR236" s="273">
        <f t="shared" si="166"/>
        <v>0</v>
      </c>
      <c r="AS236" s="273">
        <f t="shared" si="166"/>
        <v>0</v>
      </c>
      <c r="AT236" s="273">
        <f t="shared" si="166"/>
        <v>0</v>
      </c>
      <c r="AU236" s="273">
        <f t="shared" si="166"/>
        <v>0</v>
      </c>
      <c r="AV236" s="422"/>
      <c r="AW236" s="423">
        <f>SUM(AX236:BH236)</f>
        <v>0</v>
      </c>
      <c r="AX236" s="424"/>
      <c r="AY236" s="273">
        <f t="shared" ref="AY236:BG236" si="167">IF(OR(AY$19="",$AW$62=0),0,AY$32*AY62/$AW62/1000)</f>
        <v>0</v>
      </c>
      <c r="AZ236" s="273">
        <f t="shared" si="167"/>
        <v>0</v>
      </c>
      <c r="BA236" s="273">
        <f t="shared" si="167"/>
        <v>0</v>
      </c>
      <c r="BB236" s="273">
        <f t="shared" si="167"/>
        <v>0</v>
      </c>
      <c r="BC236" s="273">
        <f t="shared" si="167"/>
        <v>0</v>
      </c>
      <c r="BD236" s="273">
        <f t="shared" si="167"/>
        <v>0</v>
      </c>
      <c r="BE236" s="273">
        <f t="shared" si="167"/>
        <v>0</v>
      </c>
      <c r="BF236" s="273">
        <f t="shared" si="167"/>
        <v>0</v>
      </c>
      <c r="BG236" s="273">
        <f t="shared" si="167"/>
        <v>0</v>
      </c>
      <c r="BH236" s="255"/>
    </row>
    <row r="237" spans="1:60" hidden="1" x14ac:dyDescent="0.2">
      <c r="A237" s="648"/>
      <c r="B237" s="492" t="s">
        <v>308</v>
      </c>
      <c r="C237" s="739" t="s">
        <v>309</v>
      </c>
      <c r="D237" s="747"/>
      <c r="E237" s="90"/>
      <c r="F237" s="90"/>
      <c r="G237" s="90"/>
      <c r="H237" s="96"/>
      <c r="I237" s="90"/>
      <c r="J237" s="93"/>
      <c r="K237" s="90"/>
      <c r="L237" s="90"/>
      <c r="M237" s="93"/>
      <c r="N237" s="90"/>
      <c r="O237" s="92"/>
      <c r="P237" s="93"/>
      <c r="Q237" s="93"/>
      <c r="R237" s="93"/>
      <c r="S237" s="93"/>
      <c r="T237" s="93"/>
      <c r="U237" s="93"/>
      <c r="V237" s="93"/>
      <c r="W237" s="93"/>
      <c r="X237" s="93"/>
      <c r="Y237" s="93"/>
      <c r="Z237" s="90"/>
      <c r="AA237" s="93"/>
      <c r="AB237" s="93"/>
      <c r="AC237" s="93"/>
      <c r="AD237" s="93"/>
      <c r="AE237" s="93"/>
      <c r="AF237" s="93"/>
      <c r="AG237" s="93"/>
      <c r="AH237" s="93"/>
      <c r="AI237" s="93"/>
      <c r="AJ237" s="93"/>
      <c r="AK237" s="93"/>
      <c r="AL237" s="90"/>
      <c r="AM237" s="93"/>
      <c r="AN237" s="93"/>
      <c r="AO237" s="93"/>
      <c r="AP237" s="93"/>
      <c r="AQ237" s="93"/>
      <c r="AR237" s="93"/>
      <c r="AS237" s="93"/>
      <c r="AT237" s="93"/>
      <c r="AU237" s="93"/>
      <c r="AV237" s="93"/>
      <c r="AW237" s="93"/>
      <c r="AX237" s="90"/>
      <c r="AY237" s="93"/>
      <c r="AZ237" s="93"/>
      <c r="BA237" s="93"/>
      <c r="BB237" s="93"/>
      <c r="BC237" s="93"/>
      <c r="BD237" s="93"/>
      <c r="BE237" s="93"/>
      <c r="BF237" s="93"/>
      <c r="BG237" s="93"/>
      <c r="BH237" s="1"/>
    </row>
    <row r="238" spans="1:60" x14ac:dyDescent="0.2">
      <c r="A238" s="648"/>
      <c r="B238" s="492" t="s">
        <v>315</v>
      </c>
      <c r="C238" s="656" t="s">
        <v>104</v>
      </c>
      <c r="D238" s="747"/>
      <c r="E238" s="90"/>
      <c r="F238" s="90"/>
      <c r="G238" s="90"/>
      <c r="H238" s="96"/>
      <c r="I238" s="90"/>
      <c r="J238" s="93"/>
      <c r="K238" s="90"/>
      <c r="L238" s="90"/>
      <c r="M238" s="93"/>
      <c r="N238" s="90"/>
      <c r="O238" s="93"/>
      <c r="P238" s="93"/>
      <c r="Q238" s="93"/>
      <c r="R238" s="93"/>
      <c r="S238" s="93"/>
      <c r="T238" s="93"/>
      <c r="U238" s="93"/>
      <c r="V238" s="93"/>
      <c r="W238" s="93"/>
      <c r="X238" s="93"/>
      <c r="Y238" s="93"/>
      <c r="Z238" s="90"/>
      <c r="AA238" s="93"/>
      <c r="AB238" s="93"/>
      <c r="AC238" s="93"/>
      <c r="AD238" s="93"/>
      <c r="AE238" s="93"/>
      <c r="AF238" s="93"/>
      <c r="AG238" s="93"/>
      <c r="AH238" s="93"/>
      <c r="AI238" s="93"/>
      <c r="AJ238" s="93"/>
      <c r="AK238" s="93"/>
      <c r="AL238" s="90"/>
      <c r="AM238" s="93"/>
      <c r="AN238" s="93"/>
      <c r="AO238" s="93"/>
      <c r="AP238" s="93"/>
      <c r="AQ238" s="93"/>
      <c r="AR238" s="93"/>
      <c r="AS238" s="93"/>
      <c r="AT238" s="93"/>
      <c r="AU238" s="93"/>
      <c r="AV238" s="93"/>
      <c r="AW238" s="93"/>
      <c r="AX238" s="90"/>
      <c r="AY238" s="93"/>
      <c r="AZ238" s="93"/>
      <c r="BA238" s="93"/>
      <c r="BB238" s="93"/>
      <c r="BC238" s="93"/>
      <c r="BD238" s="93"/>
      <c r="BE238" s="93"/>
      <c r="BF238" s="93"/>
      <c r="BG238" s="93"/>
      <c r="BH238" s="1"/>
    </row>
    <row r="239" spans="1:60" s="2" customFormat="1" ht="21" x14ac:dyDescent="0.2">
      <c r="A239" s="649"/>
      <c r="B239" s="492" t="s">
        <v>315</v>
      </c>
      <c r="C239" s="739" t="s">
        <v>104</v>
      </c>
      <c r="D239" s="749" t="s">
        <v>50</v>
      </c>
      <c r="E239" s="253" t="s">
        <v>114</v>
      </c>
      <c r="F239" s="253"/>
      <c r="G239" s="253"/>
      <c r="H239" s="253"/>
      <c r="I239" s="146"/>
      <c r="J239" s="318" t="str">
        <f>J$10&amp;" MWh"</f>
        <v>totaal MWh</v>
      </c>
      <c r="K239" s="142"/>
      <c r="L239" s="142"/>
      <c r="M239" s="318" t="str">
        <f>M$10&amp;" MWh"</f>
        <v>totaal MWh</v>
      </c>
      <c r="N239" s="222"/>
      <c r="O239" s="320" t="str">
        <f t="shared" ref="O239:W239" si="168">O$17</f>
        <v/>
      </c>
      <c r="P239" s="320" t="str">
        <f t="shared" si="168"/>
        <v/>
      </c>
      <c r="Q239" s="320" t="str">
        <f t="shared" si="168"/>
        <v/>
      </c>
      <c r="R239" s="320" t="str">
        <f t="shared" si="168"/>
        <v/>
      </c>
      <c r="S239" s="320" t="str">
        <f t="shared" si="168"/>
        <v/>
      </c>
      <c r="T239" s="320" t="str">
        <f t="shared" si="168"/>
        <v/>
      </c>
      <c r="U239" s="320" t="str">
        <f t="shared" si="168"/>
        <v/>
      </c>
      <c r="V239" s="320" t="str">
        <f t="shared" si="168"/>
        <v/>
      </c>
      <c r="W239" s="320" t="str">
        <f t="shared" si="168"/>
        <v/>
      </c>
      <c r="X239" s="214"/>
      <c r="Y239" s="318" t="str">
        <f>Y$10&amp;" MWh"</f>
        <v>totaal MWh</v>
      </c>
      <c r="Z239" s="222"/>
      <c r="AA239" s="320" t="str">
        <f t="shared" ref="AA239:AI239" si="169">AA$17</f>
        <v/>
      </c>
      <c r="AB239" s="320" t="str">
        <f t="shared" si="169"/>
        <v/>
      </c>
      <c r="AC239" s="320" t="str">
        <f t="shared" si="169"/>
        <v/>
      </c>
      <c r="AD239" s="320" t="str">
        <f t="shared" si="169"/>
        <v/>
      </c>
      <c r="AE239" s="320" t="str">
        <f t="shared" si="169"/>
        <v/>
      </c>
      <c r="AF239" s="320" t="str">
        <f t="shared" si="169"/>
        <v/>
      </c>
      <c r="AG239" s="320" t="str">
        <f t="shared" si="169"/>
        <v/>
      </c>
      <c r="AH239" s="320" t="str">
        <f t="shared" si="169"/>
        <v/>
      </c>
      <c r="AI239" s="320" t="str">
        <f t="shared" si="169"/>
        <v/>
      </c>
      <c r="AJ239" s="214"/>
      <c r="AK239" s="318" t="str">
        <f>AK$10&amp;" MWh"</f>
        <v>totaal MWh</v>
      </c>
      <c r="AL239" s="222"/>
      <c r="AM239" s="320" t="str">
        <f>AM$17</f>
        <v/>
      </c>
      <c r="AN239" s="320" t="str">
        <f t="shared" ref="AN239:AU239" si="170">AN$17</f>
        <v/>
      </c>
      <c r="AO239" s="320" t="str">
        <f t="shared" si="170"/>
        <v/>
      </c>
      <c r="AP239" s="320" t="str">
        <f t="shared" si="170"/>
        <v/>
      </c>
      <c r="AQ239" s="320" t="str">
        <f t="shared" si="170"/>
        <v/>
      </c>
      <c r="AR239" s="320" t="str">
        <f t="shared" si="170"/>
        <v/>
      </c>
      <c r="AS239" s="320" t="str">
        <f t="shared" si="170"/>
        <v/>
      </c>
      <c r="AT239" s="320" t="str">
        <f t="shared" si="170"/>
        <v/>
      </c>
      <c r="AU239" s="320" t="str">
        <f t="shared" si="170"/>
        <v/>
      </c>
      <c r="AV239" s="214"/>
      <c r="AW239" s="318" t="str">
        <f>AW$10&amp;" MWh"</f>
        <v>totaal MWh</v>
      </c>
      <c r="AX239" s="222"/>
      <c r="AY239" s="320" t="str">
        <f>AY$17</f>
        <v/>
      </c>
      <c r="AZ239" s="320" t="str">
        <f t="shared" ref="AZ239:BG239" si="171">AZ$17</f>
        <v/>
      </c>
      <c r="BA239" s="320" t="str">
        <f t="shared" si="171"/>
        <v/>
      </c>
      <c r="BB239" s="320" t="str">
        <f t="shared" si="171"/>
        <v/>
      </c>
      <c r="BC239" s="320" t="str">
        <f t="shared" si="171"/>
        <v/>
      </c>
      <c r="BD239" s="320" t="str">
        <f t="shared" si="171"/>
        <v/>
      </c>
      <c r="BE239" s="320" t="str">
        <f t="shared" si="171"/>
        <v/>
      </c>
      <c r="BF239" s="320" t="str">
        <f t="shared" si="171"/>
        <v/>
      </c>
      <c r="BG239" s="320" t="str">
        <f t="shared" si="171"/>
        <v/>
      </c>
      <c r="BH239" s="1"/>
    </row>
    <row r="240" spans="1:60" ht="18.75" x14ac:dyDescent="0.2">
      <c r="A240" s="648"/>
      <c r="B240" s="492" t="s">
        <v>315</v>
      </c>
      <c r="C240" s="739" t="s">
        <v>104</v>
      </c>
      <c r="D240" s="747"/>
      <c r="E240" s="236" t="s">
        <v>316</v>
      </c>
      <c r="F240" s="236"/>
      <c r="G240" s="236"/>
      <c r="H240" s="89"/>
      <c r="I240" s="236"/>
      <c r="J240" s="236"/>
      <c r="K240" s="236"/>
      <c r="L240" s="236"/>
      <c r="M240" s="236"/>
      <c r="N240" s="236"/>
      <c r="O240" s="236"/>
      <c r="P240" s="236"/>
      <c r="Q240" s="236"/>
      <c r="R240" s="236"/>
      <c r="S240" s="236"/>
      <c r="T240" s="236"/>
      <c r="U240" s="236"/>
      <c r="V240" s="236"/>
      <c r="W240" s="236"/>
      <c r="X240" s="236"/>
      <c r="Y240" s="236"/>
      <c r="Z240" s="236"/>
      <c r="AA240" s="236"/>
      <c r="AB240" s="236"/>
      <c r="AC240" s="236"/>
      <c r="AD240" s="236"/>
      <c r="AE240" s="236"/>
      <c r="AF240" s="236"/>
      <c r="AG240" s="236"/>
      <c r="AH240" s="236"/>
      <c r="AI240" s="236"/>
      <c r="AJ240" s="236"/>
      <c r="AK240" s="236"/>
      <c r="AL240" s="236"/>
      <c r="AM240" s="236"/>
      <c r="AN240" s="236"/>
      <c r="AO240" s="236"/>
      <c r="AP240" s="236"/>
      <c r="AQ240" s="236"/>
      <c r="AR240" s="236"/>
      <c r="AS240" s="236"/>
      <c r="AT240" s="236"/>
      <c r="AU240" s="236"/>
      <c r="AV240" s="236"/>
      <c r="AW240" s="236"/>
      <c r="AX240" s="236"/>
      <c r="AY240" s="236"/>
      <c r="AZ240" s="236"/>
      <c r="BA240" s="236"/>
      <c r="BB240" s="236"/>
      <c r="BC240" s="236"/>
      <c r="BD240" s="236"/>
      <c r="BE240" s="236"/>
      <c r="BF240" s="236"/>
      <c r="BG240" s="236"/>
      <c r="BH240" s="38"/>
    </row>
    <row r="241" spans="1:60" x14ac:dyDescent="0.2">
      <c r="A241" s="648"/>
      <c r="B241" s="492" t="s">
        <v>315</v>
      </c>
      <c r="C241" s="656" t="s">
        <v>113</v>
      </c>
      <c r="D241" s="750"/>
      <c r="E241" s="367" t="str">
        <f>$O$73</f>
        <v>verwarming</v>
      </c>
      <c r="F241" s="220"/>
      <c r="G241" s="220"/>
      <c r="H241" s="242" t="s">
        <v>317</v>
      </c>
      <c r="I241" s="129"/>
      <c r="J241" s="243">
        <f t="shared" ref="J241:J249" si="172">M241+Y241+AK241+AW241</f>
        <v>0</v>
      </c>
      <c r="K241" s="236"/>
      <c r="L241" s="236"/>
      <c r="M241" s="243">
        <f t="shared" ref="M241:M248" si="173">SUMPRODUCT(N241:X241,N$24:X$24,N$31:X$31)/1000</f>
        <v>0</v>
      </c>
      <c r="N241" s="129"/>
      <c r="O241" s="207">
        <f t="shared" ref="O241:W241" si="174">IF(OR(O$24=0,$O$75=0),0,
(($O$117+$O$142+$O$159)/$O$75)*O60)</f>
        <v>0</v>
      </c>
      <c r="P241" s="207">
        <f t="shared" si="174"/>
        <v>0</v>
      </c>
      <c r="Q241" s="207">
        <f t="shared" si="174"/>
        <v>0</v>
      </c>
      <c r="R241" s="207">
        <f t="shared" si="174"/>
        <v>0</v>
      </c>
      <c r="S241" s="207">
        <f t="shared" si="174"/>
        <v>0</v>
      </c>
      <c r="T241" s="207">
        <f t="shared" si="174"/>
        <v>0</v>
      </c>
      <c r="U241" s="207">
        <f t="shared" si="174"/>
        <v>0</v>
      </c>
      <c r="V241" s="207">
        <f t="shared" si="174"/>
        <v>0</v>
      </c>
      <c r="W241" s="207">
        <f t="shared" si="174"/>
        <v>0</v>
      </c>
      <c r="X241" s="128"/>
      <c r="Y241" s="243">
        <f t="shared" ref="Y241:Y248" si="175">SUMPRODUCT(Z241:AJ241,Z$24:AJ$24,Z$31:AJ$31)/1000</f>
        <v>0</v>
      </c>
      <c r="Z241" s="129"/>
      <c r="AA241" s="207">
        <f t="shared" ref="AA241:AI241" si="176">IF(AA$24=0,0,
(($AA$117+$AA$142+$AA$159)/$AA$75)*AA60)</f>
        <v>0</v>
      </c>
      <c r="AB241" s="207">
        <f t="shared" si="176"/>
        <v>0</v>
      </c>
      <c r="AC241" s="207">
        <f t="shared" si="176"/>
        <v>0</v>
      </c>
      <c r="AD241" s="207">
        <f t="shared" si="176"/>
        <v>0</v>
      </c>
      <c r="AE241" s="207">
        <f t="shared" si="176"/>
        <v>0</v>
      </c>
      <c r="AF241" s="207">
        <f t="shared" si="176"/>
        <v>0</v>
      </c>
      <c r="AG241" s="207">
        <f t="shared" si="176"/>
        <v>0</v>
      </c>
      <c r="AH241" s="207">
        <f t="shared" si="176"/>
        <v>0</v>
      </c>
      <c r="AI241" s="207">
        <f t="shared" si="176"/>
        <v>0</v>
      </c>
      <c r="AJ241" s="128"/>
      <c r="AK241" s="243">
        <f t="shared" ref="AK241:AK248" si="177">SUMPRODUCT(AL241:AV241,AL$24:AV$24,AL$31:AV$31)/1000</f>
        <v>0</v>
      </c>
      <c r="AL241" s="129"/>
      <c r="AM241" s="207">
        <f t="shared" ref="AM241:AU241" si="178">IF(AM$24=0,0,
(($AM$117+$AM$142+$AM$159)/$AM$75)*AM60)</f>
        <v>0</v>
      </c>
      <c r="AN241" s="207">
        <f t="shared" si="178"/>
        <v>0</v>
      </c>
      <c r="AO241" s="207">
        <f t="shared" si="178"/>
        <v>0</v>
      </c>
      <c r="AP241" s="207">
        <f t="shared" si="178"/>
        <v>0</v>
      </c>
      <c r="AQ241" s="207">
        <f t="shared" si="178"/>
        <v>0</v>
      </c>
      <c r="AR241" s="207">
        <f t="shared" si="178"/>
        <v>0</v>
      </c>
      <c r="AS241" s="207">
        <f t="shared" si="178"/>
        <v>0</v>
      </c>
      <c r="AT241" s="207">
        <f t="shared" si="178"/>
        <v>0</v>
      </c>
      <c r="AU241" s="207">
        <f t="shared" si="178"/>
        <v>0</v>
      </c>
      <c r="AV241" s="128"/>
      <c r="AW241" s="243">
        <f t="shared" ref="AW241:AW248" si="179">SUMPRODUCT(AX241:BH241,AX$24:BH$24,AX$31:BH$31)/1000</f>
        <v>0</v>
      </c>
      <c r="AX241" s="129"/>
      <c r="AY241" s="207">
        <f t="shared" ref="AY241:BG241" si="180">IF(AY$24=0,0,
(($AY$117+$AY$142+$AY$159)/$AY$75)*AY60)</f>
        <v>0</v>
      </c>
      <c r="AZ241" s="207">
        <f t="shared" si="180"/>
        <v>0</v>
      </c>
      <c r="BA241" s="207">
        <f t="shared" si="180"/>
        <v>0</v>
      </c>
      <c r="BB241" s="207">
        <f t="shared" si="180"/>
        <v>0</v>
      </c>
      <c r="BC241" s="207">
        <f t="shared" si="180"/>
        <v>0</v>
      </c>
      <c r="BD241" s="207">
        <f t="shared" si="180"/>
        <v>0</v>
      </c>
      <c r="BE241" s="207">
        <f t="shared" si="180"/>
        <v>0</v>
      </c>
      <c r="BF241" s="207">
        <f t="shared" si="180"/>
        <v>0</v>
      </c>
      <c r="BG241" s="207">
        <f t="shared" si="180"/>
        <v>0</v>
      </c>
      <c r="BH241" s="255"/>
    </row>
    <row r="242" spans="1:60" x14ac:dyDescent="0.2">
      <c r="A242" s="648"/>
      <c r="B242" s="492" t="s">
        <v>315</v>
      </c>
      <c r="C242" s="656" t="s">
        <v>113</v>
      </c>
      <c r="D242" s="750"/>
      <c r="E242" s="367" t="str">
        <f>$P$73</f>
        <v>koeling</v>
      </c>
      <c r="F242" s="220"/>
      <c r="G242" s="220"/>
      <c r="H242" s="242" t="s">
        <v>317</v>
      </c>
      <c r="I242" s="129"/>
      <c r="J242" s="243">
        <f t="shared" si="172"/>
        <v>0</v>
      </c>
      <c r="K242" s="236"/>
      <c r="L242" s="236"/>
      <c r="M242" s="243">
        <f t="shared" si="173"/>
        <v>0</v>
      </c>
      <c r="N242" s="129"/>
      <c r="O242" s="207">
        <f t="shared" ref="O242:W242" si="181">IF(OR(O$24=0,$P$75=0),0,
(($P$117+$P$142+$P$159)/$P$75)*O61)</f>
        <v>0</v>
      </c>
      <c r="P242" s="207">
        <f t="shared" si="181"/>
        <v>0</v>
      </c>
      <c r="Q242" s="207">
        <f t="shared" si="181"/>
        <v>0</v>
      </c>
      <c r="R242" s="207">
        <f t="shared" si="181"/>
        <v>0</v>
      </c>
      <c r="S242" s="207">
        <f t="shared" si="181"/>
        <v>0</v>
      </c>
      <c r="T242" s="207">
        <f t="shared" si="181"/>
        <v>0</v>
      </c>
      <c r="U242" s="207">
        <f t="shared" si="181"/>
        <v>0</v>
      </c>
      <c r="V242" s="207">
        <f t="shared" si="181"/>
        <v>0</v>
      </c>
      <c r="W242" s="207">
        <f t="shared" si="181"/>
        <v>0</v>
      </c>
      <c r="X242" s="128"/>
      <c r="Y242" s="243">
        <f t="shared" si="175"/>
        <v>0</v>
      </c>
      <c r="Z242" s="129"/>
      <c r="AA242" s="207">
        <f t="shared" ref="AA242:AI242" si="182">IF(OR(AA$24=0,$AB$75=0),0,
(($AB$117+$AB$142+$AB$159)/$AB$75)*AA61)</f>
        <v>0</v>
      </c>
      <c r="AB242" s="207">
        <f t="shared" si="182"/>
        <v>0</v>
      </c>
      <c r="AC242" s="207">
        <f t="shared" si="182"/>
        <v>0</v>
      </c>
      <c r="AD242" s="207">
        <f t="shared" si="182"/>
        <v>0</v>
      </c>
      <c r="AE242" s="207">
        <f t="shared" si="182"/>
        <v>0</v>
      </c>
      <c r="AF242" s="207">
        <f t="shared" si="182"/>
        <v>0</v>
      </c>
      <c r="AG242" s="207">
        <f t="shared" si="182"/>
        <v>0</v>
      </c>
      <c r="AH242" s="207">
        <f t="shared" si="182"/>
        <v>0</v>
      </c>
      <c r="AI242" s="207">
        <f t="shared" si="182"/>
        <v>0</v>
      </c>
      <c r="AJ242" s="128"/>
      <c r="AK242" s="243">
        <f t="shared" si="177"/>
        <v>0</v>
      </c>
      <c r="AL242" s="129"/>
      <c r="AM242" s="207">
        <f t="shared" ref="AM242:AU242" si="183">IF(OR(AM$24=0,$AN$75=0),0,
(($AN$117+$AN$142+$AN$159)/$AN$75)*AM61)</f>
        <v>0</v>
      </c>
      <c r="AN242" s="207">
        <f t="shared" si="183"/>
        <v>0</v>
      </c>
      <c r="AO242" s="207">
        <f t="shared" si="183"/>
        <v>0</v>
      </c>
      <c r="AP242" s="207">
        <f t="shared" si="183"/>
        <v>0</v>
      </c>
      <c r="AQ242" s="207">
        <f t="shared" si="183"/>
        <v>0</v>
      </c>
      <c r="AR242" s="207">
        <f t="shared" si="183"/>
        <v>0</v>
      </c>
      <c r="AS242" s="207">
        <f t="shared" si="183"/>
        <v>0</v>
      </c>
      <c r="AT242" s="207">
        <f t="shared" si="183"/>
        <v>0</v>
      </c>
      <c r="AU242" s="207">
        <f t="shared" si="183"/>
        <v>0</v>
      </c>
      <c r="AV242" s="128"/>
      <c r="AW242" s="243">
        <f t="shared" si="179"/>
        <v>0</v>
      </c>
      <c r="AX242" s="129"/>
      <c r="AY242" s="207">
        <f t="shared" ref="AY242:BG242" si="184">IF(OR(AY$24=0,$AZ$75=0),0,
(($AZ$117+$AZ$142+$AZ$159)/$AZ$75)*AY61)</f>
        <v>0</v>
      </c>
      <c r="AZ242" s="207">
        <f t="shared" si="184"/>
        <v>0</v>
      </c>
      <c r="BA242" s="207">
        <f t="shared" si="184"/>
        <v>0</v>
      </c>
      <c r="BB242" s="207">
        <f t="shared" si="184"/>
        <v>0</v>
      </c>
      <c r="BC242" s="207">
        <f t="shared" si="184"/>
        <v>0</v>
      </c>
      <c r="BD242" s="207">
        <f t="shared" si="184"/>
        <v>0</v>
      </c>
      <c r="BE242" s="207">
        <f t="shared" si="184"/>
        <v>0</v>
      </c>
      <c r="BF242" s="207">
        <f t="shared" si="184"/>
        <v>0</v>
      </c>
      <c r="BG242" s="207">
        <f t="shared" si="184"/>
        <v>0</v>
      </c>
      <c r="BH242" s="255"/>
    </row>
    <row r="243" spans="1:60" x14ac:dyDescent="0.2">
      <c r="A243" s="648"/>
      <c r="B243" s="492" t="s">
        <v>315</v>
      </c>
      <c r="C243" s="656" t="s">
        <v>113</v>
      </c>
      <c r="D243" s="750"/>
      <c r="E243" s="367" t="str">
        <f>$Q$73</f>
        <v>tapwater</v>
      </c>
      <c r="F243" s="220"/>
      <c r="G243" s="220"/>
      <c r="H243" s="242" t="s">
        <v>317</v>
      </c>
      <c r="I243" s="129"/>
      <c r="J243" s="243">
        <f t="shared" si="172"/>
        <v>0</v>
      </c>
      <c r="K243" s="236"/>
      <c r="L243" s="236"/>
      <c r="M243" s="243">
        <f t="shared" si="173"/>
        <v>0</v>
      </c>
      <c r="N243" s="129"/>
      <c r="O243" s="207">
        <f t="shared" ref="O243:W243" si="185">IF(O$24=0,0,
(($Q$117+$Q$142+$Q$159)/$Q$75)*O62)</f>
        <v>0</v>
      </c>
      <c r="P243" s="207">
        <f t="shared" si="185"/>
        <v>0</v>
      </c>
      <c r="Q243" s="207">
        <f t="shared" si="185"/>
        <v>0</v>
      </c>
      <c r="R243" s="207">
        <f t="shared" si="185"/>
        <v>0</v>
      </c>
      <c r="S243" s="207">
        <f t="shared" si="185"/>
        <v>0</v>
      </c>
      <c r="T243" s="207">
        <f t="shared" si="185"/>
        <v>0</v>
      </c>
      <c r="U243" s="207">
        <f t="shared" si="185"/>
        <v>0</v>
      </c>
      <c r="V243" s="207">
        <f t="shared" si="185"/>
        <v>0</v>
      </c>
      <c r="W243" s="207">
        <f t="shared" si="185"/>
        <v>0</v>
      </c>
      <c r="X243" s="128"/>
      <c r="Y243" s="243">
        <f t="shared" si="175"/>
        <v>0</v>
      </c>
      <c r="Z243" s="129"/>
      <c r="AA243" s="207">
        <f t="shared" ref="AA243:AI243" si="186">IF(AA$24=0,0,
(($AC$117+$AC$142+$AC$159)/$AC$75)*AA62)</f>
        <v>0</v>
      </c>
      <c r="AB243" s="207">
        <f t="shared" si="186"/>
        <v>0</v>
      </c>
      <c r="AC243" s="207">
        <f t="shared" si="186"/>
        <v>0</v>
      </c>
      <c r="AD243" s="207">
        <f t="shared" si="186"/>
        <v>0</v>
      </c>
      <c r="AE243" s="207">
        <f t="shared" si="186"/>
        <v>0</v>
      </c>
      <c r="AF243" s="207">
        <f t="shared" si="186"/>
        <v>0</v>
      </c>
      <c r="AG243" s="207">
        <f t="shared" si="186"/>
        <v>0</v>
      </c>
      <c r="AH243" s="207">
        <f t="shared" si="186"/>
        <v>0</v>
      </c>
      <c r="AI243" s="207">
        <f t="shared" si="186"/>
        <v>0</v>
      </c>
      <c r="AJ243" s="128"/>
      <c r="AK243" s="243">
        <f t="shared" si="177"/>
        <v>0</v>
      </c>
      <c r="AL243" s="129"/>
      <c r="AM243" s="207">
        <f t="shared" ref="AM243:AU243" si="187">IF(AM$24=0,0,
(($AO$117+$AO$142+$AO$159)/$AO$75)*AM62)</f>
        <v>0</v>
      </c>
      <c r="AN243" s="207">
        <f t="shared" si="187"/>
        <v>0</v>
      </c>
      <c r="AO243" s="207">
        <f t="shared" si="187"/>
        <v>0</v>
      </c>
      <c r="AP243" s="207">
        <f t="shared" si="187"/>
        <v>0</v>
      </c>
      <c r="AQ243" s="207">
        <f t="shared" si="187"/>
        <v>0</v>
      </c>
      <c r="AR243" s="207">
        <f t="shared" si="187"/>
        <v>0</v>
      </c>
      <c r="AS243" s="207">
        <f t="shared" si="187"/>
        <v>0</v>
      </c>
      <c r="AT243" s="207">
        <f t="shared" si="187"/>
        <v>0</v>
      </c>
      <c r="AU243" s="207">
        <f t="shared" si="187"/>
        <v>0</v>
      </c>
      <c r="AV243" s="128"/>
      <c r="AW243" s="243">
        <f t="shared" si="179"/>
        <v>0</v>
      </c>
      <c r="AX243" s="129"/>
      <c r="AY243" s="207">
        <f t="shared" ref="AY243:BG243" si="188">IF(AY$24=0,0,
(($BA$117+$BA$142+$BA$159)/$BA$75)*AY62)</f>
        <v>0</v>
      </c>
      <c r="AZ243" s="207">
        <f t="shared" si="188"/>
        <v>0</v>
      </c>
      <c r="BA243" s="207">
        <f t="shared" si="188"/>
        <v>0</v>
      </c>
      <c r="BB243" s="207">
        <f t="shared" si="188"/>
        <v>0</v>
      </c>
      <c r="BC243" s="207">
        <f t="shared" si="188"/>
        <v>0</v>
      </c>
      <c r="BD243" s="207">
        <f t="shared" si="188"/>
        <v>0</v>
      </c>
      <c r="BE243" s="207">
        <f t="shared" si="188"/>
        <v>0</v>
      </c>
      <c r="BF243" s="207">
        <f t="shared" si="188"/>
        <v>0</v>
      </c>
      <c r="BG243" s="207">
        <f t="shared" si="188"/>
        <v>0</v>
      </c>
      <c r="BH243" s="255"/>
    </row>
    <row r="244" spans="1:60" x14ac:dyDescent="0.2">
      <c r="A244" s="648"/>
      <c r="B244" s="492" t="s">
        <v>315</v>
      </c>
      <c r="C244" s="656" t="s">
        <v>113</v>
      </c>
      <c r="D244" s="750"/>
      <c r="E244" s="367" t="str">
        <f>$R$73</f>
        <v>verlichting</v>
      </c>
      <c r="F244" s="220"/>
      <c r="G244" s="220"/>
      <c r="H244" s="242" t="s">
        <v>317</v>
      </c>
      <c r="I244" s="129"/>
      <c r="J244" s="243">
        <f t="shared" si="172"/>
        <v>0</v>
      </c>
      <c r="K244" s="236"/>
      <c r="L244" s="236"/>
      <c r="M244" s="243">
        <f t="shared" si="173"/>
        <v>0</v>
      </c>
      <c r="N244" s="129"/>
      <c r="O244" s="207">
        <f t="shared" ref="O244:W244" si="189">IF(O$24=0,0,$R$159/$R$75*O63)</f>
        <v>0</v>
      </c>
      <c r="P244" s="207">
        <f t="shared" si="189"/>
        <v>0</v>
      </c>
      <c r="Q244" s="207">
        <f t="shared" si="189"/>
        <v>0</v>
      </c>
      <c r="R244" s="207">
        <f t="shared" si="189"/>
        <v>0</v>
      </c>
      <c r="S244" s="207">
        <f t="shared" si="189"/>
        <v>0</v>
      </c>
      <c r="T244" s="207">
        <f t="shared" si="189"/>
        <v>0</v>
      </c>
      <c r="U244" s="207">
        <f t="shared" si="189"/>
        <v>0</v>
      </c>
      <c r="V244" s="207">
        <f t="shared" si="189"/>
        <v>0</v>
      </c>
      <c r="W244" s="207">
        <f t="shared" si="189"/>
        <v>0</v>
      </c>
      <c r="X244" s="128"/>
      <c r="Y244" s="243">
        <f t="shared" si="175"/>
        <v>0</v>
      </c>
      <c r="Z244" s="129"/>
      <c r="AA244" s="207">
        <f t="shared" ref="AA244:AI244" si="190">IF(AA$24=0,0,$AD$159/$AD$75*AA63)</f>
        <v>0</v>
      </c>
      <c r="AB244" s="207">
        <f t="shared" si="190"/>
        <v>0</v>
      </c>
      <c r="AC244" s="207">
        <f t="shared" si="190"/>
        <v>0</v>
      </c>
      <c r="AD244" s="207">
        <f t="shared" si="190"/>
        <v>0</v>
      </c>
      <c r="AE244" s="207">
        <f t="shared" si="190"/>
        <v>0</v>
      </c>
      <c r="AF244" s="207">
        <f t="shared" si="190"/>
        <v>0</v>
      </c>
      <c r="AG244" s="207">
        <f t="shared" si="190"/>
        <v>0</v>
      </c>
      <c r="AH244" s="207">
        <f t="shared" si="190"/>
        <v>0</v>
      </c>
      <c r="AI244" s="207">
        <f t="shared" si="190"/>
        <v>0</v>
      </c>
      <c r="AJ244" s="128"/>
      <c r="AK244" s="243">
        <f t="shared" si="177"/>
        <v>0</v>
      </c>
      <c r="AL244" s="129"/>
      <c r="AM244" s="207">
        <f t="shared" ref="AM244:AU244" si="191">IF(AM$24=0,0,$AP$159/$AP$75*AM63)</f>
        <v>0</v>
      </c>
      <c r="AN244" s="207">
        <f t="shared" si="191"/>
        <v>0</v>
      </c>
      <c r="AO244" s="207">
        <f t="shared" si="191"/>
        <v>0</v>
      </c>
      <c r="AP244" s="207">
        <f t="shared" si="191"/>
        <v>0</v>
      </c>
      <c r="AQ244" s="207">
        <f t="shared" si="191"/>
        <v>0</v>
      </c>
      <c r="AR244" s="207">
        <f t="shared" si="191"/>
        <v>0</v>
      </c>
      <c r="AS244" s="207">
        <f t="shared" si="191"/>
        <v>0</v>
      </c>
      <c r="AT244" s="207">
        <f t="shared" si="191"/>
        <v>0</v>
      </c>
      <c r="AU244" s="207">
        <f t="shared" si="191"/>
        <v>0</v>
      </c>
      <c r="AV244" s="128"/>
      <c r="AW244" s="243">
        <f t="shared" si="179"/>
        <v>0</v>
      </c>
      <c r="AX244" s="129"/>
      <c r="AY244" s="207">
        <f t="shared" ref="AY244:BG244" si="192">IF(AY$24=0,0,$BB$159/$BB$75*AY63)</f>
        <v>0</v>
      </c>
      <c r="AZ244" s="207">
        <f t="shared" si="192"/>
        <v>0</v>
      </c>
      <c r="BA244" s="207">
        <f t="shared" si="192"/>
        <v>0</v>
      </c>
      <c r="BB244" s="207">
        <f t="shared" si="192"/>
        <v>0</v>
      </c>
      <c r="BC244" s="207">
        <f t="shared" si="192"/>
        <v>0</v>
      </c>
      <c r="BD244" s="207">
        <f t="shared" si="192"/>
        <v>0</v>
      </c>
      <c r="BE244" s="207">
        <f t="shared" si="192"/>
        <v>0</v>
      </c>
      <c r="BF244" s="207">
        <f t="shared" si="192"/>
        <v>0</v>
      </c>
      <c r="BG244" s="207">
        <f t="shared" si="192"/>
        <v>0</v>
      </c>
      <c r="BH244" s="255"/>
    </row>
    <row r="245" spans="1:60" x14ac:dyDescent="0.2">
      <c r="A245" s="648"/>
      <c r="B245" s="492" t="s">
        <v>315</v>
      </c>
      <c r="C245" s="656" t="s">
        <v>113</v>
      </c>
      <c r="D245" s="750"/>
      <c r="E245" s="367" t="str">
        <f>$S$73</f>
        <v>ventilatoren</v>
      </c>
      <c r="F245" s="220"/>
      <c r="G245" s="220"/>
      <c r="H245" s="242" t="s">
        <v>317</v>
      </c>
      <c r="I245" s="129"/>
      <c r="J245" s="243">
        <f t="shared" si="172"/>
        <v>0</v>
      </c>
      <c r="K245" s="236"/>
      <c r="L245" s="236"/>
      <c r="M245" s="243">
        <f t="shared" si="173"/>
        <v>0</v>
      </c>
      <c r="N245" s="129"/>
      <c r="O245" s="207">
        <f t="shared" ref="O245:W245" si="193">IF(OR(O$24=0,$S$75=0),0,$S$159/$S$75*O64)</f>
        <v>0</v>
      </c>
      <c r="P245" s="207">
        <f t="shared" si="193"/>
        <v>0</v>
      </c>
      <c r="Q245" s="207">
        <f t="shared" si="193"/>
        <v>0</v>
      </c>
      <c r="R245" s="207">
        <f t="shared" si="193"/>
        <v>0</v>
      </c>
      <c r="S245" s="207">
        <f t="shared" si="193"/>
        <v>0</v>
      </c>
      <c r="T245" s="207">
        <f t="shared" si="193"/>
        <v>0</v>
      </c>
      <c r="U245" s="207">
        <f t="shared" si="193"/>
        <v>0</v>
      </c>
      <c r="V245" s="207">
        <f t="shared" si="193"/>
        <v>0</v>
      </c>
      <c r="W245" s="207">
        <f t="shared" si="193"/>
        <v>0</v>
      </c>
      <c r="X245" s="128"/>
      <c r="Y245" s="243">
        <f t="shared" si="175"/>
        <v>0</v>
      </c>
      <c r="Z245" s="129"/>
      <c r="AA245" s="207">
        <f t="shared" ref="AA245:AI245" si="194">IF(OR(AA$24=0,$AE$75=0),0,$AE$159/$AE$75*AA64)</f>
        <v>0</v>
      </c>
      <c r="AB245" s="207">
        <f t="shared" si="194"/>
        <v>0</v>
      </c>
      <c r="AC245" s="207">
        <f t="shared" si="194"/>
        <v>0</v>
      </c>
      <c r="AD245" s="207">
        <f t="shared" si="194"/>
        <v>0</v>
      </c>
      <c r="AE245" s="207">
        <f t="shared" si="194"/>
        <v>0</v>
      </c>
      <c r="AF245" s="207">
        <f t="shared" si="194"/>
        <v>0</v>
      </c>
      <c r="AG245" s="207">
        <f t="shared" si="194"/>
        <v>0</v>
      </c>
      <c r="AH245" s="207">
        <f t="shared" si="194"/>
        <v>0</v>
      </c>
      <c r="AI245" s="207">
        <f t="shared" si="194"/>
        <v>0</v>
      </c>
      <c r="AJ245" s="128"/>
      <c r="AK245" s="243">
        <f t="shared" si="177"/>
        <v>0</v>
      </c>
      <c r="AL245" s="129"/>
      <c r="AM245" s="207">
        <f t="shared" ref="AM245:AU245" si="195">IF(OR(AM$24=0,$AQ$75=0),0,$AQ$159/$AQ$75*AM64)</f>
        <v>0</v>
      </c>
      <c r="AN245" s="207">
        <f t="shared" si="195"/>
        <v>0</v>
      </c>
      <c r="AO245" s="207">
        <f t="shared" si="195"/>
        <v>0</v>
      </c>
      <c r="AP245" s="207">
        <f t="shared" si="195"/>
        <v>0</v>
      </c>
      <c r="AQ245" s="207">
        <f t="shared" si="195"/>
        <v>0</v>
      </c>
      <c r="AR245" s="207">
        <f t="shared" si="195"/>
        <v>0</v>
      </c>
      <c r="AS245" s="207">
        <f t="shared" si="195"/>
        <v>0</v>
      </c>
      <c r="AT245" s="207">
        <f t="shared" si="195"/>
        <v>0</v>
      </c>
      <c r="AU245" s="207">
        <f t="shared" si="195"/>
        <v>0</v>
      </c>
      <c r="AV245" s="128"/>
      <c r="AW245" s="243">
        <f t="shared" si="179"/>
        <v>0</v>
      </c>
      <c r="AX245" s="129"/>
      <c r="AY245" s="207">
        <f t="shared" ref="AY245:BG245" si="196">IF(OR(AY$24=0,$BC$75=0),0,$BC$159/$BC$75*AY64)</f>
        <v>0</v>
      </c>
      <c r="AZ245" s="207">
        <f t="shared" si="196"/>
        <v>0</v>
      </c>
      <c r="BA245" s="207">
        <f t="shared" si="196"/>
        <v>0</v>
      </c>
      <c r="BB245" s="207">
        <f t="shared" si="196"/>
        <v>0</v>
      </c>
      <c r="BC245" s="207">
        <f t="shared" si="196"/>
        <v>0</v>
      </c>
      <c r="BD245" s="207">
        <f t="shared" si="196"/>
        <v>0</v>
      </c>
      <c r="BE245" s="207">
        <f t="shared" si="196"/>
        <v>0</v>
      </c>
      <c r="BF245" s="207">
        <f t="shared" si="196"/>
        <v>0</v>
      </c>
      <c r="BG245" s="207">
        <f t="shared" si="196"/>
        <v>0</v>
      </c>
      <c r="BH245" s="255"/>
    </row>
    <row r="246" spans="1:60" x14ac:dyDescent="0.2">
      <c r="A246" s="648"/>
      <c r="B246" s="492" t="s">
        <v>315</v>
      </c>
      <c r="C246" s="656" t="s">
        <v>113</v>
      </c>
      <c r="D246" s="750"/>
      <c r="E246" s="367" t="str">
        <f>$T$73</f>
        <v>kookgas</v>
      </c>
      <c r="F246" s="220"/>
      <c r="G246" s="220"/>
      <c r="H246" s="242" t="s">
        <v>317</v>
      </c>
      <c r="I246" s="129"/>
      <c r="J246" s="243">
        <f t="shared" si="172"/>
        <v>0</v>
      </c>
      <c r="K246" s="236"/>
      <c r="L246" s="236"/>
      <c r="M246" s="243">
        <f t="shared" si="173"/>
        <v>0</v>
      </c>
      <c r="N246" s="129"/>
      <c r="O246" s="207">
        <f t="shared" ref="O246:W246" si="197">IF(OR(O$24=0,$T$75=0),0,$T$204/$T$75*O65)</f>
        <v>0</v>
      </c>
      <c r="P246" s="207">
        <f t="shared" si="197"/>
        <v>0</v>
      </c>
      <c r="Q246" s="207">
        <f t="shared" si="197"/>
        <v>0</v>
      </c>
      <c r="R246" s="207">
        <f t="shared" si="197"/>
        <v>0</v>
      </c>
      <c r="S246" s="207">
        <f t="shared" si="197"/>
        <v>0</v>
      </c>
      <c r="T246" s="207">
        <f t="shared" si="197"/>
        <v>0</v>
      </c>
      <c r="U246" s="207">
        <f t="shared" si="197"/>
        <v>0</v>
      </c>
      <c r="V246" s="207">
        <f t="shared" si="197"/>
        <v>0</v>
      </c>
      <c r="W246" s="207">
        <f t="shared" si="197"/>
        <v>0</v>
      </c>
      <c r="X246" s="128"/>
      <c r="Y246" s="243">
        <f t="shared" si="175"/>
        <v>0</v>
      </c>
      <c r="Z246" s="129"/>
      <c r="AA246" s="207">
        <f t="shared" ref="AA246:AI246" si="198">IF(OR(AA$24=0,$AF$75=0),0,$AF$204/$AF$75*AA65)</f>
        <v>0</v>
      </c>
      <c r="AB246" s="207">
        <f t="shared" si="198"/>
        <v>0</v>
      </c>
      <c r="AC246" s="207">
        <f t="shared" si="198"/>
        <v>0</v>
      </c>
      <c r="AD246" s="207">
        <f t="shared" si="198"/>
        <v>0</v>
      </c>
      <c r="AE246" s="207">
        <f t="shared" si="198"/>
        <v>0</v>
      </c>
      <c r="AF246" s="207">
        <f t="shared" si="198"/>
        <v>0</v>
      </c>
      <c r="AG246" s="207">
        <f t="shared" si="198"/>
        <v>0</v>
      </c>
      <c r="AH246" s="207">
        <f t="shared" si="198"/>
        <v>0</v>
      </c>
      <c r="AI246" s="207">
        <f t="shared" si="198"/>
        <v>0</v>
      </c>
      <c r="AJ246" s="128"/>
      <c r="AK246" s="243">
        <f t="shared" si="177"/>
        <v>0</v>
      </c>
      <c r="AL246" s="129"/>
      <c r="AM246" s="207">
        <f t="shared" ref="AM246:AU246" si="199">IF(OR(AM$24=0,$AR$75=0),0,$AR$204/$AR$75*AM65)</f>
        <v>0</v>
      </c>
      <c r="AN246" s="207">
        <f t="shared" si="199"/>
        <v>0</v>
      </c>
      <c r="AO246" s="207">
        <f t="shared" si="199"/>
        <v>0</v>
      </c>
      <c r="AP246" s="207">
        <f t="shared" si="199"/>
        <v>0</v>
      </c>
      <c r="AQ246" s="207">
        <f t="shared" si="199"/>
        <v>0</v>
      </c>
      <c r="AR246" s="207">
        <f t="shared" si="199"/>
        <v>0</v>
      </c>
      <c r="AS246" s="207">
        <f t="shared" si="199"/>
        <v>0</v>
      </c>
      <c r="AT246" s="207">
        <f t="shared" si="199"/>
        <v>0</v>
      </c>
      <c r="AU246" s="207">
        <f t="shared" si="199"/>
        <v>0</v>
      </c>
      <c r="AV246" s="128"/>
      <c r="AW246" s="243">
        <f t="shared" si="179"/>
        <v>0</v>
      </c>
      <c r="AX246" s="129">
        <f>IF(AX$24=0,0,$BD$204/$BD$75*AX65)</f>
        <v>0</v>
      </c>
      <c r="AY246" s="207">
        <f t="shared" ref="AY246:BG246" si="200">IF(OR(AY$24=0,$BD$75=0),0,$BD$204/$BD$75*AY65)</f>
        <v>0</v>
      </c>
      <c r="AZ246" s="207">
        <f t="shared" si="200"/>
        <v>0</v>
      </c>
      <c r="BA246" s="207">
        <f t="shared" si="200"/>
        <v>0</v>
      </c>
      <c r="BB246" s="207">
        <f t="shared" si="200"/>
        <v>0</v>
      </c>
      <c r="BC246" s="207">
        <f t="shared" si="200"/>
        <v>0</v>
      </c>
      <c r="BD246" s="207">
        <f t="shared" si="200"/>
        <v>0</v>
      </c>
      <c r="BE246" s="207">
        <f t="shared" si="200"/>
        <v>0</v>
      </c>
      <c r="BF246" s="207">
        <f t="shared" si="200"/>
        <v>0</v>
      </c>
      <c r="BG246" s="207">
        <f t="shared" si="200"/>
        <v>0</v>
      </c>
      <c r="BH246" s="255"/>
    </row>
    <row r="247" spans="1:60" x14ac:dyDescent="0.2">
      <c r="A247" s="648"/>
      <c r="B247" s="492" t="s">
        <v>315</v>
      </c>
      <c r="C247" s="656" t="s">
        <v>113</v>
      </c>
      <c r="D247" s="750"/>
      <c r="E247" s="367" t="str">
        <f>$U$73</f>
        <v>overig elektra</v>
      </c>
      <c r="F247" s="220"/>
      <c r="G247" s="220"/>
      <c r="H247" s="242" t="s">
        <v>317</v>
      </c>
      <c r="I247" s="129"/>
      <c r="J247" s="243">
        <f t="shared" si="172"/>
        <v>0</v>
      </c>
      <c r="K247" s="236"/>
      <c r="L247" s="236"/>
      <c r="M247" s="243">
        <f t="shared" si="173"/>
        <v>0</v>
      </c>
      <c r="N247" s="129"/>
      <c r="O247" s="207">
        <f t="shared" ref="O247:W247" si="201">IF(OR(O$24=0,$U$75=0),0,$U$159/$U$75*O66)</f>
        <v>0</v>
      </c>
      <c r="P247" s="207">
        <f t="shared" si="201"/>
        <v>0</v>
      </c>
      <c r="Q247" s="207">
        <f t="shared" si="201"/>
        <v>0</v>
      </c>
      <c r="R247" s="207">
        <f t="shared" si="201"/>
        <v>0</v>
      </c>
      <c r="S247" s="207">
        <f t="shared" si="201"/>
        <v>0</v>
      </c>
      <c r="T247" s="207">
        <f t="shared" si="201"/>
        <v>0</v>
      </c>
      <c r="U247" s="207">
        <f t="shared" si="201"/>
        <v>0</v>
      </c>
      <c r="V247" s="207">
        <f t="shared" si="201"/>
        <v>0</v>
      </c>
      <c r="W247" s="207">
        <f t="shared" si="201"/>
        <v>0</v>
      </c>
      <c r="X247" s="128"/>
      <c r="Y247" s="243">
        <f t="shared" si="175"/>
        <v>0</v>
      </c>
      <c r="Z247" s="129"/>
      <c r="AA247" s="207">
        <f t="shared" ref="AA247:AI247" si="202">IF(OR(AA$24=0,$U$75=0),0,$AG$159/$U$75*AA66)</f>
        <v>0</v>
      </c>
      <c r="AB247" s="207">
        <f t="shared" si="202"/>
        <v>0</v>
      </c>
      <c r="AC247" s="207">
        <f t="shared" si="202"/>
        <v>0</v>
      </c>
      <c r="AD247" s="207">
        <f t="shared" si="202"/>
        <v>0</v>
      </c>
      <c r="AE247" s="207">
        <f t="shared" si="202"/>
        <v>0</v>
      </c>
      <c r="AF247" s="207">
        <f t="shared" si="202"/>
        <v>0</v>
      </c>
      <c r="AG247" s="207">
        <f t="shared" si="202"/>
        <v>0</v>
      </c>
      <c r="AH247" s="207">
        <f t="shared" si="202"/>
        <v>0</v>
      </c>
      <c r="AI247" s="207">
        <f t="shared" si="202"/>
        <v>0</v>
      </c>
      <c r="AJ247" s="128"/>
      <c r="AK247" s="243">
        <f t="shared" si="177"/>
        <v>0</v>
      </c>
      <c r="AL247" s="129"/>
      <c r="AM247" s="207">
        <f t="shared" ref="AM247:AU247" si="203">IF(OR(AM$24=0,$U$75=0),0,$AS$159/$U$75*AM66)</f>
        <v>0</v>
      </c>
      <c r="AN247" s="207">
        <f t="shared" si="203"/>
        <v>0</v>
      </c>
      <c r="AO247" s="207">
        <f t="shared" si="203"/>
        <v>0</v>
      </c>
      <c r="AP247" s="207">
        <f t="shared" si="203"/>
        <v>0</v>
      </c>
      <c r="AQ247" s="207">
        <f t="shared" si="203"/>
        <v>0</v>
      </c>
      <c r="AR247" s="207">
        <f t="shared" si="203"/>
        <v>0</v>
      </c>
      <c r="AS247" s="207">
        <f t="shared" si="203"/>
        <v>0</v>
      </c>
      <c r="AT247" s="207">
        <f t="shared" si="203"/>
        <v>0</v>
      </c>
      <c r="AU247" s="207">
        <f t="shared" si="203"/>
        <v>0</v>
      </c>
      <c r="AV247" s="128"/>
      <c r="AW247" s="243">
        <f t="shared" si="179"/>
        <v>0</v>
      </c>
      <c r="AX247" s="129"/>
      <c r="AY247" s="207">
        <f t="shared" ref="AY247:BG247" si="204">IF(OR(AY$24=0,$U$75=0),0,$BE$159/$U$75*AY66)</f>
        <v>0</v>
      </c>
      <c r="AZ247" s="207">
        <f t="shared" si="204"/>
        <v>0</v>
      </c>
      <c r="BA247" s="207">
        <f t="shared" si="204"/>
        <v>0</v>
      </c>
      <c r="BB247" s="207">
        <f t="shared" si="204"/>
        <v>0</v>
      </c>
      <c r="BC247" s="207">
        <f t="shared" si="204"/>
        <v>0</v>
      </c>
      <c r="BD247" s="207">
        <f t="shared" si="204"/>
        <v>0</v>
      </c>
      <c r="BE247" s="207">
        <f t="shared" si="204"/>
        <v>0</v>
      </c>
      <c r="BF247" s="207">
        <f t="shared" si="204"/>
        <v>0</v>
      </c>
      <c r="BG247" s="207">
        <f t="shared" si="204"/>
        <v>0</v>
      </c>
      <c r="BH247" s="255"/>
    </row>
    <row r="248" spans="1:60" x14ac:dyDescent="0.2">
      <c r="A248" s="648"/>
      <c r="B248" s="492" t="s">
        <v>315</v>
      </c>
      <c r="C248" s="656" t="s">
        <v>113</v>
      </c>
      <c r="D248" s="750"/>
      <c r="E248" s="367" t="str">
        <f>$V$73</f>
        <v>mobiliteit</v>
      </c>
      <c r="F248" s="220"/>
      <c r="G248" s="220"/>
      <c r="H248" s="242" t="s">
        <v>317</v>
      </c>
      <c r="I248" s="129"/>
      <c r="J248" s="243">
        <f t="shared" si="172"/>
        <v>0</v>
      </c>
      <c r="K248" s="236"/>
      <c r="L248" s="236"/>
      <c r="M248" s="243">
        <f t="shared" si="173"/>
        <v>0</v>
      </c>
      <c r="N248" s="129"/>
      <c r="O248" s="207">
        <f t="shared" ref="O248:W248" si="205">IF(OR($V$154=0,O$31=0),0,$V$159/$V$154*O$68/O$31)</f>
        <v>0</v>
      </c>
      <c r="P248" s="207">
        <f t="shared" si="205"/>
        <v>0</v>
      </c>
      <c r="Q248" s="207">
        <f t="shared" si="205"/>
        <v>0</v>
      </c>
      <c r="R248" s="207">
        <f t="shared" si="205"/>
        <v>0</v>
      </c>
      <c r="S248" s="207">
        <f t="shared" si="205"/>
        <v>0</v>
      </c>
      <c r="T248" s="207">
        <f t="shared" si="205"/>
        <v>0</v>
      </c>
      <c r="U248" s="207">
        <f t="shared" si="205"/>
        <v>0</v>
      </c>
      <c r="V248" s="207">
        <f t="shared" si="205"/>
        <v>0</v>
      </c>
      <c r="W248" s="207">
        <f t="shared" si="205"/>
        <v>0</v>
      </c>
      <c r="X248" s="128"/>
      <c r="Y248" s="243">
        <f t="shared" si="175"/>
        <v>0</v>
      </c>
      <c r="Z248" s="129"/>
      <c r="AA248" s="207">
        <f t="shared" ref="AA248:AI248" si="206">IF(OR($AH$154=0,AA$31=0),0,$AH$159/$AH$154*AA$68/AA$31)</f>
        <v>0</v>
      </c>
      <c r="AB248" s="207">
        <f t="shared" si="206"/>
        <v>0</v>
      </c>
      <c r="AC248" s="207">
        <f t="shared" si="206"/>
        <v>0</v>
      </c>
      <c r="AD248" s="207">
        <f t="shared" si="206"/>
        <v>0</v>
      </c>
      <c r="AE248" s="207">
        <f t="shared" si="206"/>
        <v>0</v>
      </c>
      <c r="AF248" s="207">
        <f t="shared" si="206"/>
        <v>0</v>
      </c>
      <c r="AG248" s="207">
        <f t="shared" si="206"/>
        <v>0</v>
      </c>
      <c r="AH248" s="207">
        <f t="shared" si="206"/>
        <v>0</v>
      </c>
      <c r="AI248" s="207">
        <f t="shared" si="206"/>
        <v>0</v>
      </c>
      <c r="AJ248" s="128"/>
      <c r="AK248" s="243">
        <f t="shared" si="177"/>
        <v>0</v>
      </c>
      <c r="AL248" s="129"/>
      <c r="AM248" s="207">
        <f t="shared" ref="AM248:AU248" si="207">IF(OR($AT$154=0,AM$31=0),0,$AT$159/$AT$154*AM$68/AM$31)</f>
        <v>0</v>
      </c>
      <c r="AN248" s="207">
        <f t="shared" si="207"/>
        <v>0</v>
      </c>
      <c r="AO248" s="207">
        <f t="shared" si="207"/>
        <v>0</v>
      </c>
      <c r="AP248" s="207">
        <f t="shared" si="207"/>
        <v>0</v>
      </c>
      <c r="AQ248" s="207">
        <f t="shared" si="207"/>
        <v>0</v>
      </c>
      <c r="AR248" s="207">
        <f t="shared" si="207"/>
        <v>0</v>
      </c>
      <c r="AS248" s="207">
        <f t="shared" si="207"/>
        <v>0</v>
      </c>
      <c r="AT248" s="207">
        <f t="shared" si="207"/>
        <v>0</v>
      </c>
      <c r="AU248" s="207">
        <f t="shared" si="207"/>
        <v>0</v>
      </c>
      <c r="AV248" s="128"/>
      <c r="AW248" s="243">
        <f t="shared" si="179"/>
        <v>0</v>
      </c>
      <c r="AX248" s="129"/>
      <c r="AY248" s="207">
        <f>IF(OR($BF$154=0,AY$24=0),0,$BF$159/$BF$154*AY$68/AY$31)</f>
        <v>0</v>
      </c>
      <c r="AZ248" s="207">
        <f t="shared" ref="AZ248:BG248" si="208">IF(OR($BF$154=0,AZ$31=0),0,$BF$159/$BF$154*AZ$68/AZ$31)</f>
        <v>0</v>
      </c>
      <c r="BA248" s="207">
        <f t="shared" si="208"/>
        <v>0</v>
      </c>
      <c r="BB248" s="207">
        <f t="shared" si="208"/>
        <v>0</v>
      </c>
      <c r="BC248" s="207">
        <f t="shared" si="208"/>
        <v>0</v>
      </c>
      <c r="BD248" s="207">
        <f t="shared" si="208"/>
        <v>0</v>
      </c>
      <c r="BE248" s="207">
        <f t="shared" si="208"/>
        <v>0</v>
      </c>
      <c r="BF248" s="207">
        <f t="shared" si="208"/>
        <v>0</v>
      </c>
      <c r="BG248" s="207">
        <f t="shared" si="208"/>
        <v>0</v>
      </c>
      <c r="BH248" s="255"/>
    </row>
    <row r="249" spans="1:60" x14ac:dyDescent="0.2">
      <c r="A249" s="648"/>
      <c r="B249" s="492" t="s">
        <v>315</v>
      </c>
      <c r="C249" s="656" t="s">
        <v>113</v>
      </c>
      <c r="D249" s="750"/>
      <c r="E249" s="220" t="s">
        <v>318</v>
      </c>
      <c r="F249" s="220"/>
      <c r="G249" s="220"/>
      <c r="H249" s="242" t="s">
        <v>317</v>
      </c>
      <c r="I249" s="129"/>
      <c r="J249" s="243">
        <f t="shared" si="172"/>
        <v>0</v>
      </c>
      <c r="K249" s="236"/>
      <c r="L249" s="236"/>
      <c r="M249" s="243">
        <f>SUM(M241:M248)</f>
        <v>0</v>
      </c>
      <c r="N249" s="129"/>
      <c r="O249" s="207">
        <f t="shared" ref="O249:W249" si="209">SUM(O241:O248)</f>
        <v>0</v>
      </c>
      <c r="P249" s="207">
        <f t="shared" si="209"/>
        <v>0</v>
      </c>
      <c r="Q249" s="207">
        <f t="shared" si="209"/>
        <v>0</v>
      </c>
      <c r="R249" s="207">
        <f t="shared" si="209"/>
        <v>0</v>
      </c>
      <c r="S249" s="207">
        <f t="shared" si="209"/>
        <v>0</v>
      </c>
      <c r="T249" s="207">
        <f>SUM(T241:T248)</f>
        <v>0</v>
      </c>
      <c r="U249" s="207">
        <f t="shared" si="209"/>
        <v>0</v>
      </c>
      <c r="V249" s="207">
        <f t="shared" si="209"/>
        <v>0</v>
      </c>
      <c r="W249" s="207">
        <f t="shared" si="209"/>
        <v>0</v>
      </c>
      <c r="X249" s="128"/>
      <c r="Y249" s="243">
        <f>SUM(Y241:Y248)</f>
        <v>0</v>
      </c>
      <c r="Z249" s="129"/>
      <c r="AA249" s="207">
        <f t="shared" ref="AA249:AI249" si="210">SUM(AA241:AA248)</f>
        <v>0</v>
      </c>
      <c r="AB249" s="207">
        <f t="shared" si="210"/>
        <v>0</v>
      </c>
      <c r="AC249" s="207">
        <f t="shared" si="210"/>
        <v>0</v>
      </c>
      <c r="AD249" s="207">
        <f t="shared" si="210"/>
        <v>0</v>
      </c>
      <c r="AE249" s="207">
        <f t="shared" si="210"/>
        <v>0</v>
      </c>
      <c r="AF249" s="207">
        <f>SUM(AF241:AF248)</f>
        <v>0</v>
      </c>
      <c r="AG249" s="207">
        <f t="shared" si="210"/>
        <v>0</v>
      </c>
      <c r="AH249" s="207">
        <f t="shared" si="210"/>
        <v>0</v>
      </c>
      <c r="AI249" s="207">
        <f t="shared" si="210"/>
        <v>0</v>
      </c>
      <c r="AJ249" s="128"/>
      <c r="AK249" s="243">
        <f t="shared" ref="AK249:AU249" si="211">SUM(AK241:AK248)</f>
        <v>0</v>
      </c>
      <c r="AL249" s="129"/>
      <c r="AM249" s="207">
        <f t="shared" si="211"/>
        <v>0</v>
      </c>
      <c r="AN249" s="207">
        <f t="shared" si="211"/>
        <v>0</v>
      </c>
      <c r="AO249" s="207">
        <f t="shared" si="211"/>
        <v>0</v>
      </c>
      <c r="AP249" s="207">
        <f t="shared" si="211"/>
        <v>0</v>
      </c>
      <c r="AQ249" s="207">
        <f t="shared" si="211"/>
        <v>0</v>
      </c>
      <c r="AR249" s="207">
        <f>SUM(AR241:AR248)</f>
        <v>0</v>
      </c>
      <c r="AS249" s="207">
        <f t="shared" si="211"/>
        <v>0</v>
      </c>
      <c r="AT249" s="207">
        <f t="shared" si="211"/>
        <v>0</v>
      </c>
      <c r="AU249" s="207">
        <f t="shared" si="211"/>
        <v>0</v>
      </c>
      <c r="AV249" s="128"/>
      <c r="AW249" s="243">
        <f>SUM(AW241:AW248)</f>
        <v>0</v>
      </c>
      <c r="AX249" s="129"/>
      <c r="AY249" s="207">
        <f t="shared" ref="AY249:BG249" si="212">SUM(AY241:AY248)</f>
        <v>0</v>
      </c>
      <c r="AZ249" s="207">
        <f t="shared" si="212"/>
        <v>0</v>
      </c>
      <c r="BA249" s="207">
        <f t="shared" si="212"/>
        <v>0</v>
      </c>
      <c r="BB249" s="207">
        <f t="shared" si="212"/>
        <v>0</v>
      </c>
      <c r="BC249" s="207">
        <f t="shared" si="212"/>
        <v>0</v>
      </c>
      <c r="BD249" s="207">
        <f>SUM(BD241:BD248)</f>
        <v>0</v>
      </c>
      <c r="BE249" s="207">
        <f t="shared" si="212"/>
        <v>0</v>
      </c>
      <c r="BF249" s="207">
        <f t="shared" si="212"/>
        <v>0</v>
      </c>
      <c r="BG249" s="207">
        <f t="shared" si="212"/>
        <v>0</v>
      </c>
      <c r="BH249" s="255"/>
    </row>
    <row r="250" spans="1:60" ht="18.75" x14ac:dyDescent="0.2">
      <c r="A250" s="648"/>
      <c r="B250" s="492" t="s">
        <v>315</v>
      </c>
      <c r="C250" s="739" t="s">
        <v>104</v>
      </c>
      <c r="D250" s="747"/>
      <c r="E250" s="236" t="s">
        <v>319</v>
      </c>
      <c r="F250" s="236"/>
      <c r="G250" s="236"/>
      <c r="H250" s="89"/>
      <c r="I250" s="236"/>
      <c r="J250" s="279"/>
      <c r="K250" s="236"/>
      <c r="L250" s="236"/>
      <c r="M250" s="279"/>
      <c r="N250" s="236"/>
      <c r="O250" s="236"/>
      <c r="P250" s="236"/>
      <c r="Q250" s="236"/>
      <c r="R250" s="236"/>
      <c r="S250" s="236"/>
      <c r="T250" s="236"/>
      <c r="U250" s="236"/>
      <c r="V250" s="236"/>
      <c r="W250" s="236"/>
      <c r="X250" s="236"/>
      <c r="Y250" s="279"/>
      <c r="Z250" s="236"/>
      <c r="AA250" s="236"/>
      <c r="AB250" s="236"/>
      <c r="AC250" s="236"/>
      <c r="AD250" s="236"/>
      <c r="AE250" s="236"/>
      <c r="AF250" s="236"/>
      <c r="AG250" s="236"/>
      <c r="AH250" s="236"/>
      <c r="AI250" s="236"/>
      <c r="AJ250" s="236"/>
      <c r="AK250" s="279"/>
      <c r="AL250" s="236"/>
      <c r="AM250" s="236"/>
      <c r="AN250" s="236"/>
      <c r="AO250" s="236"/>
      <c r="AP250" s="236"/>
      <c r="AQ250" s="236"/>
      <c r="AR250" s="236"/>
      <c r="AS250" s="236"/>
      <c r="AT250" s="236"/>
      <c r="AU250" s="236"/>
      <c r="AV250" s="236"/>
      <c r="AW250" s="279"/>
      <c r="AX250" s="236"/>
      <c r="AY250" s="236"/>
      <c r="AZ250" s="236"/>
      <c r="BA250" s="236"/>
      <c r="BB250" s="236"/>
      <c r="BC250" s="236"/>
      <c r="BD250" s="236"/>
      <c r="BE250" s="236"/>
      <c r="BF250" s="236"/>
      <c r="BG250" s="236"/>
      <c r="BH250" s="38"/>
    </row>
    <row r="251" spans="1:60" x14ac:dyDescent="0.2">
      <c r="A251" s="648"/>
      <c r="B251" s="492" t="s">
        <v>315</v>
      </c>
      <c r="C251" s="656" t="s">
        <v>113</v>
      </c>
      <c r="D251" s="750"/>
      <c r="E251" s="220" t="s">
        <v>320</v>
      </c>
      <c r="F251" s="220"/>
      <c r="G251" s="220"/>
      <c r="H251" s="242" t="s">
        <v>317</v>
      </c>
      <c r="I251" s="129"/>
      <c r="J251" s="243">
        <f>M251+Y251+AK251+AW251</f>
        <v>0</v>
      </c>
      <c r="K251" s="236"/>
      <c r="L251" s="236"/>
      <c r="M251" s="243">
        <f>SUMPRODUCT(N251:X251,N$24:X$24,N$31:X$31)/1000</f>
        <v>0</v>
      </c>
      <c r="N251" s="129"/>
      <c r="O251" s="207">
        <f t="shared" ref="O251:W251" si="213">IF(OR(O$24=0,O$31=0,$M$167+$M$168=0),0,
-(O234*($M$167/($M$167+$M$168))*$M$177*1000)/(O24*O31))</f>
        <v>0</v>
      </c>
      <c r="P251" s="207">
        <f t="shared" si="213"/>
        <v>0</v>
      </c>
      <c r="Q251" s="207">
        <f t="shared" si="213"/>
        <v>0</v>
      </c>
      <c r="R251" s="207">
        <f t="shared" si="213"/>
        <v>0</v>
      </c>
      <c r="S251" s="207">
        <f t="shared" si="213"/>
        <v>0</v>
      </c>
      <c r="T251" s="207">
        <f t="shared" si="213"/>
        <v>0</v>
      </c>
      <c r="U251" s="207">
        <f t="shared" si="213"/>
        <v>0</v>
      </c>
      <c r="V251" s="207">
        <f t="shared" si="213"/>
        <v>0</v>
      </c>
      <c r="W251" s="207">
        <f t="shared" si="213"/>
        <v>0</v>
      </c>
      <c r="X251" s="128"/>
      <c r="Y251" s="243">
        <f>SUMPRODUCT(Z251:AJ251,Z$24:AJ$24,Z$31:AJ$31)/1000</f>
        <v>0</v>
      </c>
      <c r="Z251" s="129"/>
      <c r="AA251" s="207">
        <f t="shared" ref="AA251:AI251" si="214">IF(OR(AA$19="-",AA$24=0,AA$31=0,$Y$167+$Y$168=0),0,
-(AA234*($Y$167/($Y$167+$Y$168))*$Y$177*1000)/(AA24*AA31))</f>
        <v>0</v>
      </c>
      <c r="AB251" s="207">
        <f t="shared" si="214"/>
        <v>0</v>
      </c>
      <c r="AC251" s="207">
        <f t="shared" si="214"/>
        <v>0</v>
      </c>
      <c r="AD251" s="207">
        <f t="shared" si="214"/>
        <v>0</v>
      </c>
      <c r="AE251" s="207">
        <f t="shared" si="214"/>
        <v>0</v>
      </c>
      <c r="AF251" s="207">
        <f t="shared" si="214"/>
        <v>0</v>
      </c>
      <c r="AG251" s="207">
        <f t="shared" si="214"/>
        <v>0</v>
      </c>
      <c r="AH251" s="207">
        <f t="shared" si="214"/>
        <v>0</v>
      </c>
      <c r="AI251" s="207">
        <f t="shared" si="214"/>
        <v>0</v>
      </c>
      <c r="AJ251" s="128"/>
      <c r="AK251" s="243">
        <f>SUMPRODUCT(AL251:AV251,AL$24:AV$24,AL$31:AV$31)/1000</f>
        <v>0</v>
      </c>
      <c r="AL251" s="129"/>
      <c r="AM251" s="207">
        <f t="shared" ref="AM251:AU251" si="215">IF(OR(AM$24=0,AM$31=0,$AK$167+$AK$168=0),0,
-AM234*($AK$167/($AK$167+$AK$168))*$AK$177*1000/(AM24*AM31))</f>
        <v>0</v>
      </c>
      <c r="AN251" s="207">
        <f t="shared" si="215"/>
        <v>0</v>
      </c>
      <c r="AO251" s="207">
        <f t="shared" si="215"/>
        <v>0</v>
      </c>
      <c r="AP251" s="207">
        <f t="shared" si="215"/>
        <v>0</v>
      </c>
      <c r="AQ251" s="207">
        <f t="shared" si="215"/>
        <v>0</v>
      </c>
      <c r="AR251" s="207">
        <f t="shared" si="215"/>
        <v>0</v>
      </c>
      <c r="AS251" s="207">
        <f t="shared" si="215"/>
        <v>0</v>
      </c>
      <c r="AT251" s="207">
        <f t="shared" si="215"/>
        <v>0</v>
      </c>
      <c r="AU251" s="207">
        <f t="shared" si="215"/>
        <v>0</v>
      </c>
      <c r="AV251" s="128"/>
      <c r="AW251" s="243">
        <f>SUMPRODUCT(AX251:BH251,AX$24:BH$24,AX$31:BH$31)/1000</f>
        <v>0</v>
      </c>
      <c r="AX251" s="129"/>
      <c r="AY251" s="207">
        <f t="shared" ref="AY251:BG251" si="216">IF(OR(AY$24=0,AY$31=0,$AW$167+$AW$168=0),0,
-AY234*($AW$167/($AW$167+$AW$168))*$AW$177*1000/(AY24*AY31))</f>
        <v>0</v>
      </c>
      <c r="AZ251" s="207">
        <f t="shared" si="216"/>
        <v>0</v>
      </c>
      <c r="BA251" s="207">
        <f t="shared" si="216"/>
        <v>0</v>
      </c>
      <c r="BB251" s="207">
        <f t="shared" si="216"/>
        <v>0</v>
      </c>
      <c r="BC251" s="207">
        <f t="shared" si="216"/>
        <v>0</v>
      </c>
      <c r="BD251" s="207">
        <f t="shared" si="216"/>
        <v>0</v>
      </c>
      <c r="BE251" s="207">
        <f t="shared" si="216"/>
        <v>0</v>
      </c>
      <c r="BF251" s="207">
        <f t="shared" si="216"/>
        <v>0</v>
      </c>
      <c r="BG251" s="207">
        <f t="shared" si="216"/>
        <v>0</v>
      </c>
      <c r="BH251" s="255"/>
    </row>
    <row r="252" spans="1:60" x14ac:dyDescent="0.2">
      <c r="A252" s="648"/>
      <c r="B252" s="492" t="s">
        <v>315</v>
      </c>
      <c r="C252" s="656" t="s">
        <v>113</v>
      </c>
      <c r="D252" s="750"/>
      <c r="E252" s="220" t="s">
        <v>321</v>
      </c>
      <c r="F252" s="220"/>
      <c r="G252" s="220"/>
      <c r="H252" s="242" t="s">
        <v>317</v>
      </c>
      <c r="I252" s="129"/>
      <c r="J252" s="243">
        <f>M252+Y252+AK252+AW252</f>
        <v>0</v>
      </c>
      <c r="K252" s="236"/>
      <c r="L252" s="236"/>
      <c r="M252" s="243">
        <f>SUMPRODUCT(N252:X252,N$24:X$24,N$31:X$31)/1000</f>
        <v>0</v>
      </c>
      <c r="N252" s="129"/>
      <c r="O252" s="207">
        <f t="shared" ref="O252:W252" si="217">IF(OR(O$24=0,O$31=0,$M$167+$M$168=0),0,
-O70*($M$177/($M$167+$M$168))/O31)</f>
        <v>0</v>
      </c>
      <c r="P252" s="207">
        <f t="shared" si="217"/>
        <v>0</v>
      </c>
      <c r="Q252" s="207">
        <f t="shared" si="217"/>
        <v>0</v>
      </c>
      <c r="R252" s="207">
        <f t="shared" si="217"/>
        <v>0</v>
      </c>
      <c r="S252" s="207">
        <f t="shared" si="217"/>
        <v>0</v>
      </c>
      <c r="T252" s="207">
        <f t="shared" si="217"/>
        <v>0</v>
      </c>
      <c r="U252" s="207">
        <f t="shared" si="217"/>
        <v>0</v>
      </c>
      <c r="V252" s="207">
        <f t="shared" si="217"/>
        <v>0</v>
      </c>
      <c r="W252" s="207">
        <f t="shared" si="217"/>
        <v>0</v>
      </c>
      <c r="X252" s="128"/>
      <c r="Y252" s="243">
        <f>SUMPRODUCT(Z252:AJ252,Z$24:AJ$24,Z$31:AJ$31)/1000</f>
        <v>0</v>
      </c>
      <c r="Z252" s="129"/>
      <c r="AA252" s="207">
        <f t="shared" ref="AA252:AI252" si="218">IF(OR(AA$24=0,AA$31=0,$Y$167+$Y$168=0),0,
-AA70*($Y$177/($Y$167+$Y$168))/AA31)</f>
        <v>0</v>
      </c>
      <c r="AB252" s="207">
        <f t="shared" si="218"/>
        <v>0</v>
      </c>
      <c r="AC252" s="207">
        <f t="shared" si="218"/>
        <v>0</v>
      </c>
      <c r="AD252" s="207">
        <f t="shared" si="218"/>
        <v>0</v>
      </c>
      <c r="AE252" s="207">
        <f t="shared" si="218"/>
        <v>0</v>
      </c>
      <c r="AF252" s="207">
        <f t="shared" si="218"/>
        <v>0</v>
      </c>
      <c r="AG252" s="207">
        <f t="shared" si="218"/>
        <v>0</v>
      </c>
      <c r="AH252" s="207">
        <f t="shared" si="218"/>
        <v>0</v>
      </c>
      <c r="AI252" s="207">
        <f t="shared" si="218"/>
        <v>0</v>
      </c>
      <c r="AJ252" s="128"/>
      <c r="AK252" s="243">
        <f>SUMPRODUCT(AL252:AV252,AL$24:AV$24,AL$31:AV$31)/1000</f>
        <v>0</v>
      </c>
      <c r="AL252" s="129"/>
      <c r="AM252" s="207">
        <f t="shared" ref="AM252:AU252" si="219">IF(OR(AM$24=0,AM$31=0,$AK$167+$AK$168=0),0,
-AM70*($AK$177/($AK$167+$AK$168))/AM31)</f>
        <v>0</v>
      </c>
      <c r="AN252" s="207">
        <f t="shared" si="219"/>
        <v>0</v>
      </c>
      <c r="AO252" s="207">
        <f t="shared" si="219"/>
        <v>0</v>
      </c>
      <c r="AP252" s="207">
        <f t="shared" si="219"/>
        <v>0</v>
      </c>
      <c r="AQ252" s="207">
        <f t="shared" si="219"/>
        <v>0</v>
      </c>
      <c r="AR252" s="207">
        <f t="shared" si="219"/>
        <v>0</v>
      </c>
      <c r="AS252" s="207">
        <f t="shared" si="219"/>
        <v>0</v>
      </c>
      <c r="AT252" s="207">
        <f t="shared" si="219"/>
        <v>0</v>
      </c>
      <c r="AU252" s="207">
        <f t="shared" si="219"/>
        <v>0</v>
      </c>
      <c r="AV252" s="128"/>
      <c r="AW252" s="243">
        <f>SUMPRODUCT(AX252:BH252,AX$24:BH$24,AX$31:BH$31)/1000</f>
        <v>0</v>
      </c>
      <c r="AX252" s="129"/>
      <c r="AY252" s="207">
        <f t="shared" ref="AY252:BG252" si="220">IF(OR(AY$24=0,AY$31=0,$AW$167+$AW$168=0),0,
-AY70*($AW$177/($AW$167+$AW$168))/AY31)</f>
        <v>0</v>
      </c>
      <c r="AZ252" s="207">
        <f t="shared" si="220"/>
        <v>0</v>
      </c>
      <c r="BA252" s="207">
        <f t="shared" si="220"/>
        <v>0</v>
      </c>
      <c r="BB252" s="207">
        <f t="shared" si="220"/>
        <v>0</v>
      </c>
      <c r="BC252" s="207">
        <f t="shared" si="220"/>
        <v>0</v>
      </c>
      <c r="BD252" s="207">
        <f t="shared" si="220"/>
        <v>0</v>
      </c>
      <c r="BE252" s="207">
        <f t="shared" si="220"/>
        <v>0</v>
      </c>
      <c r="BF252" s="207">
        <f t="shared" si="220"/>
        <v>0</v>
      </c>
      <c r="BG252" s="207">
        <f t="shared" si="220"/>
        <v>0</v>
      </c>
      <c r="BH252" s="255"/>
    </row>
    <row r="253" spans="1:60" x14ac:dyDescent="0.2">
      <c r="A253" s="648"/>
      <c r="B253" s="492" t="s">
        <v>315</v>
      </c>
      <c r="C253" s="656" t="s">
        <v>113</v>
      </c>
      <c r="D253" s="750"/>
      <c r="E253" s="220" t="s">
        <v>322</v>
      </c>
      <c r="F253" s="220"/>
      <c r="G253" s="220"/>
      <c r="H253" s="242" t="s">
        <v>317</v>
      </c>
      <c r="I253" s="129"/>
      <c r="J253" s="243">
        <f>M253+Y253+AK253+AW253</f>
        <v>0</v>
      </c>
      <c r="K253" s="236"/>
      <c r="L253" s="236"/>
      <c r="M253" s="243">
        <f>M251+M252</f>
        <v>0</v>
      </c>
      <c r="N253" s="129"/>
      <c r="O253" s="207">
        <f>O251+O252</f>
        <v>0</v>
      </c>
      <c r="P253" s="207">
        <f t="shared" ref="P253:W253" si="221">P251+P252</f>
        <v>0</v>
      </c>
      <c r="Q253" s="207">
        <f t="shared" si="221"/>
        <v>0</v>
      </c>
      <c r="R253" s="207">
        <f t="shared" si="221"/>
        <v>0</v>
      </c>
      <c r="S253" s="207">
        <f t="shared" si="221"/>
        <v>0</v>
      </c>
      <c r="T253" s="207">
        <f>T251+T252</f>
        <v>0</v>
      </c>
      <c r="U253" s="207">
        <f t="shared" si="221"/>
        <v>0</v>
      </c>
      <c r="V253" s="207">
        <f t="shared" si="221"/>
        <v>0</v>
      </c>
      <c r="W253" s="207">
        <f t="shared" si="221"/>
        <v>0</v>
      </c>
      <c r="X253" s="128"/>
      <c r="Y253" s="243">
        <f>Y251+Y252</f>
        <v>0</v>
      </c>
      <c r="Z253" s="129"/>
      <c r="AA253" s="207">
        <f>AA251+AA252</f>
        <v>0</v>
      </c>
      <c r="AB253" s="207">
        <f t="shared" ref="AB253:AI253" si="222">AB251+AB252</f>
        <v>0</v>
      </c>
      <c r="AC253" s="207">
        <f t="shared" si="222"/>
        <v>0</v>
      </c>
      <c r="AD253" s="207">
        <f t="shared" si="222"/>
        <v>0</v>
      </c>
      <c r="AE253" s="207">
        <f t="shared" si="222"/>
        <v>0</v>
      </c>
      <c r="AF253" s="207">
        <f>AF251+AF252</f>
        <v>0</v>
      </c>
      <c r="AG253" s="207">
        <f t="shared" si="222"/>
        <v>0</v>
      </c>
      <c r="AH253" s="207">
        <f t="shared" si="222"/>
        <v>0</v>
      </c>
      <c r="AI253" s="207">
        <f t="shared" si="222"/>
        <v>0</v>
      </c>
      <c r="AJ253" s="128"/>
      <c r="AK253" s="243">
        <f>AK251+AK252</f>
        <v>0</v>
      </c>
      <c r="AL253" s="129"/>
      <c r="AM253" s="207">
        <f>AM251+AM252</f>
        <v>0</v>
      </c>
      <c r="AN253" s="207">
        <f t="shared" ref="AN253:AU253" si="223">AN251+AN252</f>
        <v>0</v>
      </c>
      <c r="AO253" s="207">
        <f t="shared" si="223"/>
        <v>0</v>
      </c>
      <c r="AP253" s="207">
        <f t="shared" si="223"/>
        <v>0</v>
      </c>
      <c r="AQ253" s="207">
        <f t="shared" si="223"/>
        <v>0</v>
      </c>
      <c r="AR253" s="207">
        <f>AR251+AR252</f>
        <v>0</v>
      </c>
      <c r="AS253" s="207">
        <f t="shared" si="223"/>
        <v>0</v>
      </c>
      <c r="AT253" s="207">
        <f t="shared" si="223"/>
        <v>0</v>
      </c>
      <c r="AU253" s="207">
        <f t="shared" si="223"/>
        <v>0</v>
      </c>
      <c r="AV253" s="128"/>
      <c r="AW253" s="243">
        <f>AW251+AW252</f>
        <v>0</v>
      </c>
      <c r="AX253" s="129"/>
      <c r="AY253" s="207">
        <f>AY251+AY252</f>
        <v>0</v>
      </c>
      <c r="AZ253" s="207">
        <f t="shared" ref="AZ253:BG253" si="224">AZ251+AZ252</f>
        <v>0</v>
      </c>
      <c r="BA253" s="207">
        <f t="shared" si="224"/>
        <v>0</v>
      </c>
      <c r="BB253" s="207">
        <f t="shared" si="224"/>
        <v>0</v>
      </c>
      <c r="BC253" s="207">
        <f t="shared" si="224"/>
        <v>0</v>
      </c>
      <c r="BD253" s="207">
        <f>BD251+BD252</f>
        <v>0</v>
      </c>
      <c r="BE253" s="207">
        <f t="shared" si="224"/>
        <v>0</v>
      </c>
      <c r="BF253" s="207">
        <f t="shared" si="224"/>
        <v>0</v>
      </c>
      <c r="BG253" s="207">
        <f t="shared" si="224"/>
        <v>0</v>
      </c>
      <c r="BH253" s="255"/>
    </row>
    <row r="254" spans="1:60" ht="18.75" x14ac:dyDescent="0.2">
      <c r="A254" s="648"/>
      <c r="B254" s="492" t="s">
        <v>315</v>
      </c>
      <c r="C254" s="739" t="s">
        <v>104</v>
      </c>
      <c r="D254" s="747"/>
      <c r="E254" s="236" t="s">
        <v>287</v>
      </c>
      <c r="F254" s="236"/>
      <c r="G254" s="236"/>
      <c r="H254" s="89"/>
      <c r="I254" s="236"/>
      <c r="J254" s="279"/>
      <c r="K254" s="236"/>
      <c r="L254" s="236"/>
      <c r="M254" s="279"/>
      <c r="N254" s="236"/>
      <c r="O254" s="236"/>
      <c r="P254" s="236"/>
      <c r="Q254" s="236"/>
      <c r="R254" s="236"/>
      <c r="S254" s="236"/>
      <c r="T254" s="236"/>
      <c r="U254" s="236"/>
      <c r="V254" s="236"/>
      <c r="W254" s="236"/>
      <c r="X254" s="236"/>
      <c r="Y254" s="279"/>
      <c r="Z254" s="236"/>
      <c r="AA254" s="236"/>
      <c r="AB254" s="236"/>
      <c r="AC254" s="236"/>
      <c r="AD254" s="236"/>
      <c r="AE254" s="236"/>
      <c r="AF254" s="236"/>
      <c r="AG254" s="236"/>
      <c r="AH254" s="236"/>
      <c r="AI254" s="236"/>
      <c r="AJ254" s="236"/>
      <c r="AK254" s="279"/>
      <c r="AL254" s="236"/>
      <c r="AM254" s="236"/>
      <c r="AN254" s="236"/>
      <c r="AO254" s="236"/>
      <c r="AP254" s="236"/>
      <c r="AQ254" s="236"/>
      <c r="AR254" s="236"/>
      <c r="AS254" s="236"/>
      <c r="AT254" s="236"/>
      <c r="AU254" s="236"/>
      <c r="AV254" s="236"/>
      <c r="AW254" s="279"/>
      <c r="AX254" s="236"/>
      <c r="AY254" s="236"/>
      <c r="AZ254" s="236"/>
      <c r="BA254" s="236"/>
      <c r="BB254" s="236"/>
      <c r="BC254" s="236"/>
      <c r="BD254" s="236"/>
      <c r="BE254" s="236"/>
      <c r="BF254" s="236"/>
      <c r="BG254" s="236"/>
      <c r="BH254" s="38"/>
    </row>
    <row r="255" spans="1:60" x14ac:dyDescent="0.2">
      <c r="A255" s="648"/>
      <c r="B255" s="492" t="s">
        <v>315</v>
      </c>
      <c r="C255" s="656" t="s">
        <v>113</v>
      </c>
      <c r="D255" s="750"/>
      <c r="E255" s="220" t="s">
        <v>258</v>
      </c>
      <c r="F255" s="220"/>
      <c r="G255" s="220"/>
      <c r="H255" s="242" t="s">
        <v>317</v>
      </c>
      <c r="I255" s="129"/>
      <c r="J255" s="243">
        <f>M255+Y255+AK255+AW255</f>
        <v>0</v>
      </c>
      <c r="K255" s="236"/>
      <c r="L255" s="236"/>
      <c r="M255" s="243">
        <f>M249+M253</f>
        <v>0</v>
      </c>
      <c r="N255" s="129"/>
      <c r="O255" s="207">
        <f>O249+O253</f>
        <v>0</v>
      </c>
      <c r="P255" s="207">
        <f t="shared" ref="P255:W255" si="225">P249+P253</f>
        <v>0</v>
      </c>
      <c r="Q255" s="207">
        <f t="shared" si="225"/>
        <v>0</v>
      </c>
      <c r="R255" s="207">
        <f t="shared" si="225"/>
        <v>0</v>
      </c>
      <c r="S255" s="207">
        <f t="shared" si="225"/>
        <v>0</v>
      </c>
      <c r="T255" s="207">
        <f>T249+T253</f>
        <v>0</v>
      </c>
      <c r="U255" s="207">
        <f t="shared" si="225"/>
        <v>0</v>
      </c>
      <c r="V255" s="207">
        <f t="shared" si="225"/>
        <v>0</v>
      </c>
      <c r="W255" s="207">
        <f t="shared" si="225"/>
        <v>0</v>
      </c>
      <c r="X255" s="128"/>
      <c r="Y255" s="243">
        <f>Y249+Y253</f>
        <v>0</v>
      </c>
      <c r="Z255" s="129"/>
      <c r="AA255" s="207">
        <f>AA249+AA253</f>
        <v>0</v>
      </c>
      <c r="AB255" s="207">
        <f t="shared" ref="AB255:AI255" si="226">AB249+AB253</f>
        <v>0</v>
      </c>
      <c r="AC255" s="207">
        <f t="shared" si="226"/>
        <v>0</v>
      </c>
      <c r="AD255" s="207">
        <f t="shared" si="226"/>
        <v>0</v>
      </c>
      <c r="AE255" s="207">
        <f t="shared" si="226"/>
        <v>0</v>
      </c>
      <c r="AF255" s="207">
        <f>AF249+AF253</f>
        <v>0</v>
      </c>
      <c r="AG255" s="207">
        <f t="shared" si="226"/>
        <v>0</v>
      </c>
      <c r="AH255" s="207">
        <f t="shared" si="226"/>
        <v>0</v>
      </c>
      <c r="AI255" s="207">
        <f t="shared" si="226"/>
        <v>0</v>
      </c>
      <c r="AJ255" s="128"/>
      <c r="AK255" s="243">
        <f>AK249+AK253</f>
        <v>0</v>
      </c>
      <c r="AL255" s="129"/>
      <c r="AM255" s="207">
        <f>AM249+AM253</f>
        <v>0</v>
      </c>
      <c r="AN255" s="207">
        <f t="shared" ref="AN255:AU255" si="227">AN249+AN253</f>
        <v>0</v>
      </c>
      <c r="AO255" s="207">
        <f t="shared" si="227"/>
        <v>0</v>
      </c>
      <c r="AP255" s="207">
        <f t="shared" si="227"/>
        <v>0</v>
      </c>
      <c r="AQ255" s="207">
        <f t="shared" si="227"/>
        <v>0</v>
      </c>
      <c r="AR255" s="207">
        <f>AR249+AR253</f>
        <v>0</v>
      </c>
      <c r="AS255" s="207">
        <f t="shared" si="227"/>
        <v>0</v>
      </c>
      <c r="AT255" s="207">
        <f t="shared" si="227"/>
        <v>0</v>
      </c>
      <c r="AU255" s="207">
        <f t="shared" si="227"/>
        <v>0</v>
      </c>
      <c r="AV255" s="128"/>
      <c r="AW255" s="243">
        <f>AW249+AW253</f>
        <v>0</v>
      </c>
      <c r="AX255" s="129"/>
      <c r="AY255" s="207">
        <f>AY249+AY253</f>
        <v>0</v>
      </c>
      <c r="AZ255" s="207">
        <f t="shared" ref="AZ255:BG255" si="228">AZ249+AZ253</f>
        <v>0</v>
      </c>
      <c r="BA255" s="207">
        <f t="shared" si="228"/>
        <v>0</v>
      </c>
      <c r="BB255" s="207">
        <f t="shared" si="228"/>
        <v>0</v>
      </c>
      <c r="BC255" s="207">
        <f t="shared" si="228"/>
        <v>0</v>
      </c>
      <c r="BD255" s="207">
        <f>BD249+BD253</f>
        <v>0</v>
      </c>
      <c r="BE255" s="207">
        <f t="shared" si="228"/>
        <v>0</v>
      </c>
      <c r="BF255" s="207">
        <f t="shared" si="228"/>
        <v>0</v>
      </c>
      <c r="BG255" s="207">
        <f t="shared" si="228"/>
        <v>0</v>
      </c>
      <c r="BH255" s="255"/>
    </row>
    <row r="256" spans="1:60" ht="18.75" x14ac:dyDescent="0.2">
      <c r="A256" s="648"/>
      <c r="B256" s="492" t="s">
        <v>315</v>
      </c>
      <c r="C256" s="739" t="s">
        <v>104</v>
      </c>
      <c r="D256" s="747"/>
      <c r="E256" s="236" t="s">
        <v>323</v>
      </c>
      <c r="F256" s="236"/>
      <c r="G256" s="236"/>
      <c r="H256" s="89"/>
      <c r="I256" s="236"/>
      <c r="J256" s="279"/>
      <c r="K256" s="236"/>
      <c r="L256" s="236"/>
      <c r="M256" s="279"/>
      <c r="N256" s="236"/>
      <c r="O256" s="236"/>
      <c r="P256" s="236"/>
      <c r="Q256" s="236"/>
      <c r="R256" s="236"/>
      <c r="S256" s="236"/>
      <c r="T256" s="236"/>
      <c r="U256" s="236"/>
      <c r="V256" s="236"/>
      <c r="W256" s="236"/>
      <c r="X256" s="236"/>
      <c r="Y256" s="279"/>
      <c r="Z256" s="236"/>
      <c r="AA256" s="236"/>
      <c r="AB256" s="236"/>
      <c r="AC256" s="236"/>
      <c r="AD256" s="236"/>
      <c r="AE256" s="236"/>
      <c r="AF256" s="236"/>
      <c r="AG256" s="236"/>
      <c r="AH256" s="236"/>
      <c r="AI256" s="236"/>
      <c r="AJ256" s="236"/>
      <c r="AK256" s="279"/>
      <c r="AL256" s="236"/>
      <c r="AM256" s="236"/>
      <c r="AN256" s="236"/>
      <c r="AO256" s="236"/>
      <c r="AP256" s="236"/>
      <c r="AQ256" s="236"/>
      <c r="AR256" s="236"/>
      <c r="AS256" s="236"/>
      <c r="AT256" s="236"/>
      <c r="AU256" s="236"/>
      <c r="AV256" s="236"/>
      <c r="AW256" s="279"/>
      <c r="AX256" s="236"/>
      <c r="AY256" s="236"/>
      <c r="AZ256" s="236"/>
      <c r="BA256" s="236"/>
      <c r="BB256" s="236"/>
      <c r="BC256" s="236"/>
      <c r="BD256" s="236"/>
      <c r="BE256" s="236"/>
      <c r="BF256" s="236"/>
      <c r="BG256" s="236"/>
      <c r="BH256" s="38"/>
    </row>
    <row r="257" spans="1:60" x14ac:dyDescent="0.2">
      <c r="A257" s="648"/>
      <c r="B257" s="492" t="s">
        <v>315</v>
      </c>
      <c r="C257" s="656" t="s">
        <v>113</v>
      </c>
      <c r="D257" s="750"/>
      <c r="E257" s="220" t="s">
        <v>258</v>
      </c>
      <c r="F257" s="220"/>
      <c r="G257" s="220"/>
      <c r="H257" s="242" t="s">
        <v>317</v>
      </c>
      <c r="I257" s="129"/>
      <c r="J257" s="243">
        <f>M257+Y257+AK257+AW257</f>
        <v>0</v>
      </c>
      <c r="K257" s="236"/>
      <c r="L257" s="236"/>
      <c r="M257" s="375">
        <f>SUMPRODUCT(N257:X257,N$24:X$24,N$31:X$31)/1000</f>
        <v>0</v>
      </c>
      <c r="N257" s="129"/>
      <c r="O257" s="207">
        <f t="shared" ref="O257:W257" si="229">O255+(O241+O251)*($M$53-1)</f>
        <v>0</v>
      </c>
      <c r="P257" s="207">
        <f t="shared" si="229"/>
        <v>0</v>
      </c>
      <c r="Q257" s="207">
        <f t="shared" si="229"/>
        <v>0</v>
      </c>
      <c r="R257" s="207">
        <f t="shared" si="229"/>
        <v>0</v>
      </c>
      <c r="S257" s="207">
        <f t="shared" si="229"/>
        <v>0</v>
      </c>
      <c r="T257" s="207">
        <f t="shared" si="229"/>
        <v>0</v>
      </c>
      <c r="U257" s="207">
        <f t="shared" si="229"/>
        <v>0</v>
      </c>
      <c r="V257" s="207">
        <f t="shared" si="229"/>
        <v>0</v>
      </c>
      <c r="W257" s="207">
        <f t="shared" si="229"/>
        <v>0</v>
      </c>
      <c r="X257" s="128"/>
      <c r="Y257" s="375">
        <f>SUMPRODUCT(Z257:AJ257,Z$24:AJ$24,Z$31:AJ$31)/1000</f>
        <v>0</v>
      </c>
      <c r="Z257" s="129"/>
      <c r="AA257" s="207">
        <f t="shared" ref="AA257:AI257" si="230">AA255+(AA241+AA251)*($Y$53-1)</f>
        <v>0</v>
      </c>
      <c r="AB257" s="207">
        <f t="shared" si="230"/>
        <v>0</v>
      </c>
      <c r="AC257" s="207">
        <f t="shared" si="230"/>
        <v>0</v>
      </c>
      <c r="AD257" s="207">
        <f t="shared" si="230"/>
        <v>0</v>
      </c>
      <c r="AE257" s="207">
        <f t="shared" si="230"/>
        <v>0</v>
      </c>
      <c r="AF257" s="207">
        <f t="shared" si="230"/>
        <v>0</v>
      </c>
      <c r="AG257" s="207">
        <f t="shared" si="230"/>
        <v>0</v>
      </c>
      <c r="AH257" s="207">
        <f t="shared" si="230"/>
        <v>0</v>
      </c>
      <c r="AI257" s="207">
        <f t="shared" si="230"/>
        <v>0</v>
      </c>
      <c r="AJ257" s="128"/>
      <c r="AK257" s="375">
        <f>SUMPRODUCT(AL257:AV257,AL$24:AV$24,AL$31:AV$31)/1000</f>
        <v>0</v>
      </c>
      <c r="AL257" s="129"/>
      <c r="AM257" s="207">
        <f t="shared" ref="AM257:AU257" si="231">AM255+(AM241+AM251)*($AK$53-1)</f>
        <v>0</v>
      </c>
      <c r="AN257" s="207">
        <f t="shared" si="231"/>
        <v>0</v>
      </c>
      <c r="AO257" s="207">
        <f t="shared" si="231"/>
        <v>0</v>
      </c>
      <c r="AP257" s="207">
        <f t="shared" si="231"/>
        <v>0</v>
      </c>
      <c r="AQ257" s="207">
        <f t="shared" si="231"/>
        <v>0</v>
      </c>
      <c r="AR257" s="207">
        <f t="shared" si="231"/>
        <v>0</v>
      </c>
      <c r="AS257" s="207">
        <f t="shared" si="231"/>
        <v>0</v>
      </c>
      <c r="AT257" s="207">
        <f t="shared" si="231"/>
        <v>0</v>
      </c>
      <c r="AU257" s="207">
        <f t="shared" si="231"/>
        <v>0</v>
      </c>
      <c r="AV257" s="128"/>
      <c r="AW257" s="375">
        <f>SUMPRODUCT(AX257:BH257,AX$24:BH$24,AX$31:BH$31)/1000</f>
        <v>0</v>
      </c>
      <c r="AX257" s="129"/>
      <c r="AY257" s="207">
        <f t="shared" ref="AY257:BG257" si="232">AY255+(AY241+AY251)*($AW$53-1)</f>
        <v>0</v>
      </c>
      <c r="AZ257" s="207">
        <f t="shared" si="232"/>
        <v>0</v>
      </c>
      <c r="BA257" s="207">
        <f t="shared" si="232"/>
        <v>0</v>
      </c>
      <c r="BB257" s="207">
        <f t="shared" si="232"/>
        <v>0</v>
      </c>
      <c r="BC257" s="207">
        <f t="shared" si="232"/>
        <v>0</v>
      </c>
      <c r="BD257" s="207">
        <f t="shared" si="232"/>
        <v>0</v>
      </c>
      <c r="BE257" s="207">
        <f t="shared" si="232"/>
        <v>0</v>
      </c>
      <c r="BF257" s="207">
        <f t="shared" si="232"/>
        <v>0</v>
      </c>
      <c r="BG257" s="207">
        <f t="shared" si="232"/>
        <v>0</v>
      </c>
      <c r="BH257" s="255"/>
    </row>
    <row r="258" spans="1:60" x14ac:dyDescent="0.2">
      <c r="A258" s="648"/>
      <c r="B258" s="492" t="s">
        <v>315</v>
      </c>
      <c r="C258" s="739" t="s">
        <v>104</v>
      </c>
      <c r="D258" s="747"/>
      <c r="E258" s="90"/>
      <c r="F258" s="90"/>
      <c r="G258" s="90"/>
      <c r="H258" s="96"/>
      <c r="I258" s="90"/>
      <c r="J258" s="93"/>
      <c r="K258" s="90"/>
      <c r="L258" s="90"/>
      <c r="M258" s="93"/>
      <c r="N258" s="90"/>
      <c r="O258" s="92"/>
      <c r="P258" s="93"/>
      <c r="Q258" s="93"/>
      <c r="R258" s="93"/>
      <c r="S258" s="93"/>
      <c r="T258" s="93"/>
      <c r="U258" s="93"/>
      <c r="V258" s="93"/>
      <c r="W258" s="93"/>
      <c r="X258" s="93"/>
      <c r="Y258" s="93"/>
      <c r="Z258" s="90"/>
      <c r="AA258" s="93"/>
      <c r="AB258" s="93"/>
      <c r="AC258" s="93"/>
      <c r="AD258" s="93"/>
      <c r="AE258" s="93"/>
      <c r="AF258" s="93"/>
      <c r="AG258" s="93"/>
      <c r="AH258" s="93"/>
      <c r="AI258" s="93"/>
      <c r="AJ258" s="93"/>
      <c r="AK258" s="128"/>
      <c r="AL258" s="90"/>
      <c r="AM258" s="93"/>
      <c r="AN258" s="93"/>
      <c r="AO258" s="93"/>
      <c r="AP258" s="93"/>
      <c r="AQ258" s="93"/>
      <c r="AR258" s="93"/>
      <c r="AS258" s="93"/>
      <c r="AT258" s="93"/>
      <c r="AU258" s="93"/>
      <c r="AV258" s="93"/>
      <c r="AW258" s="93"/>
      <c r="AX258" s="90"/>
      <c r="AY258" s="93"/>
      <c r="AZ258" s="93"/>
      <c r="BA258" s="93"/>
      <c r="BB258" s="93"/>
      <c r="BC258" s="93"/>
      <c r="BD258" s="93"/>
      <c r="BE258" s="93"/>
      <c r="BF258" s="93"/>
      <c r="BG258" s="93"/>
      <c r="BH258" s="1"/>
    </row>
    <row r="259" spans="1:60" x14ac:dyDescent="0.2">
      <c r="A259" s="648"/>
      <c r="B259" s="492" t="s">
        <v>324</v>
      </c>
      <c r="C259" s="656" t="s">
        <v>104</v>
      </c>
      <c r="D259" s="747"/>
      <c r="E259" s="90"/>
      <c r="F259" s="90"/>
      <c r="G259" s="90"/>
      <c r="H259" s="96"/>
      <c r="I259" s="90"/>
      <c r="J259" s="93"/>
      <c r="K259" s="90"/>
      <c r="L259" s="90"/>
      <c r="M259" s="93"/>
      <c r="N259" s="90"/>
      <c r="O259" s="93"/>
      <c r="P259" s="93"/>
      <c r="Q259" s="93"/>
      <c r="R259" s="93"/>
      <c r="S259" s="93"/>
      <c r="T259" s="93"/>
      <c r="U259" s="93"/>
      <c r="V259" s="93"/>
      <c r="W259" s="93"/>
      <c r="X259" s="93"/>
      <c r="Y259" s="93"/>
      <c r="Z259" s="90"/>
      <c r="AA259" s="93"/>
      <c r="AB259" s="128"/>
      <c r="AC259" s="93"/>
      <c r="AD259" s="93"/>
      <c r="AE259" s="93"/>
      <c r="AF259" s="93"/>
      <c r="AG259" s="93"/>
      <c r="AH259" s="93"/>
      <c r="AI259" s="93"/>
      <c r="AJ259" s="93"/>
      <c r="AK259" s="93"/>
      <c r="AL259" s="90"/>
      <c r="AM259" s="93"/>
      <c r="AN259" s="93"/>
      <c r="AO259" s="93"/>
      <c r="AP259" s="93"/>
      <c r="AQ259" s="93"/>
      <c r="AR259" s="93"/>
      <c r="AS259" s="93"/>
      <c r="AT259" s="93"/>
      <c r="AU259" s="93"/>
      <c r="AV259" s="93"/>
      <c r="AW259" s="93"/>
      <c r="AX259" s="90"/>
      <c r="AY259" s="93"/>
      <c r="AZ259" s="93"/>
      <c r="BA259" s="93"/>
      <c r="BB259" s="93"/>
      <c r="BC259" s="93"/>
      <c r="BD259" s="93"/>
      <c r="BE259" s="93"/>
      <c r="BF259" s="93"/>
      <c r="BG259" s="93"/>
      <c r="BH259" s="1"/>
    </row>
    <row r="260" spans="1:60" s="2" customFormat="1" ht="21" x14ac:dyDescent="0.2">
      <c r="A260" s="649"/>
      <c r="B260" s="492" t="s">
        <v>324</v>
      </c>
      <c r="C260" s="739" t="s">
        <v>104</v>
      </c>
      <c r="D260" s="750" t="s">
        <v>50</v>
      </c>
      <c r="E260" s="253" t="s">
        <v>325</v>
      </c>
      <c r="F260" s="253"/>
      <c r="G260" s="253"/>
      <c r="H260" s="253"/>
      <c r="I260" s="146"/>
      <c r="J260" s="318" t="str">
        <f>J$10&amp;" MWh"</f>
        <v>totaal MWh</v>
      </c>
      <c r="K260" s="142"/>
      <c r="L260" s="142"/>
      <c r="M260" s="318" t="str">
        <f>M$10&amp;" MWh"</f>
        <v>totaal MWh</v>
      </c>
      <c r="N260" s="222"/>
      <c r="O260" s="320" t="str">
        <f t="shared" ref="O260:W260" si="233">O$17</f>
        <v/>
      </c>
      <c r="P260" s="320" t="str">
        <f t="shared" si="233"/>
        <v/>
      </c>
      <c r="Q260" s="320" t="str">
        <f t="shared" si="233"/>
        <v/>
      </c>
      <c r="R260" s="320" t="str">
        <f t="shared" si="233"/>
        <v/>
      </c>
      <c r="S260" s="320" t="str">
        <f t="shared" si="233"/>
        <v/>
      </c>
      <c r="T260" s="320" t="str">
        <f t="shared" si="233"/>
        <v/>
      </c>
      <c r="U260" s="320" t="str">
        <f t="shared" si="233"/>
        <v/>
      </c>
      <c r="V260" s="320" t="str">
        <f t="shared" si="233"/>
        <v/>
      </c>
      <c r="W260" s="320" t="str">
        <f t="shared" si="233"/>
        <v/>
      </c>
      <c r="X260" s="214"/>
      <c r="Y260" s="318"/>
      <c r="Z260" s="222"/>
      <c r="AA260" s="320" t="str">
        <f t="shared" ref="AA260:AI260" si="234">AA$17</f>
        <v/>
      </c>
      <c r="AB260" s="320" t="str">
        <f t="shared" si="234"/>
        <v/>
      </c>
      <c r="AC260" s="320" t="str">
        <f t="shared" si="234"/>
        <v/>
      </c>
      <c r="AD260" s="320" t="str">
        <f t="shared" si="234"/>
        <v/>
      </c>
      <c r="AE260" s="320" t="str">
        <f t="shared" si="234"/>
        <v/>
      </c>
      <c r="AF260" s="320" t="str">
        <f t="shared" si="234"/>
        <v/>
      </c>
      <c r="AG260" s="320" t="str">
        <f t="shared" si="234"/>
        <v/>
      </c>
      <c r="AH260" s="320" t="str">
        <f t="shared" si="234"/>
        <v/>
      </c>
      <c r="AI260" s="320" t="str">
        <f t="shared" si="234"/>
        <v/>
      </c>
      <c r="AJ260" s="214"/>
      <c r="AK260" s="318"/>
      <c r="AL260" s="222"/>
      <c r="AM260" s="320" t="str">
        <f>AM$17</f>
        <v/>
      </c>
      <c r="AN260" s="320" t="str">
        <f t="shared" ref="AN260:AU260" si="235">AN$17</f>
        <v/>
      </c>
      <c r="AO260" s="320" t="str">
        <f t="shared" si="235"/>
        <v/>
      </c>
      <c r="AP260" s="320" t="str">
        <f t="shared" si="235"/>
        <v/>
      </c>
      <c r="AQ260" s="320" t="str">
        <f t="shared" si="235"/>
        <v/>
      </c>
      <c r="AR260" s="320" t="str">
        <f t="shared" si="235"/>
        <v/>
      </c>
      <c r="AS260" s="320" t="str">
        <f t="shared" si="235"/>
        <v/>
      </c>
      <c r="AT260" s="320" t="str">
        <f t="shared" si="235"/>
        <v/>
      </c>
      <c r="AU260" s="320" t="str">
        <f t="shared" si="235"/>
        <v/>
      </c>
      <c r="AV260" s="214"/>
      <c r="AW260" s="318"/>
      <c r="AX260" s="222"/>
      <c r="AY260" s="320" t="str">
        <f>AY$17</f>
        <v/>
      </c>
      <c r="AZ260" s="320" t="str">
        <f t="shared" ref="AZ260:BG260" si="236">AZ$17</f>
        <v/>
      </c>
      <c r="BA260" s="320" t="str">
        <f t="shared" si="236"/>
        <v/>
      </c>
      <c r="BB260" s="320" t="str">
        <f t="shared" si="236"/>
        <v/>
      </c>
      <c r="BC260" s="320" t="str">
        <f t="shared" si="236"/>
        <v/>
      </c>
      <c r="BD260" s="320" t="str">
        <f t="shared" si="236"/>
        <v/>
      </c>
      <c r="BE260" s="320" t="str">
        <f t="shared" si="236"/>
        <v/>
      </c>
      <c r="BF260" s="320" t="str">
        <f t="shared" si="236"/>
        <v/>
      </c>
      <c r="BG260" s="320" t="str">
        <f t="shared" si="236"/>
        <v/>
      </c>
      <c r="BH260" s="1"/>
    </row>
    <row r="261" spans="1:60" ht="18.75" x14ac:dyDescent="0.2">
      <c r="A261" s="648"/>
      <c r="B261" s="492" t="s">
        <v>324</v>
      </c>
      <c r="C261" s="739" t="s">
        <v>104</v>
      </c>
      <c r="D261" s="747"/>
      <c r="E261" s="236" t="s">
        <v>326</v>
      </c>
      <c r="F261" s="236"/>
      <c r="G261" s="236"/>
      <c r="H261" s="89"/>
      <c r="I261" s="236"/>
      <c r="J261" s="236"/>
      <c r="K261" s="236"/>
      <c r="L261" s="236"/>
      <c r="M261" s="236"/>
      <c r="N261" s="236"/>
      <c r="O261" s="236"/>
      <c r="P261" s="236"/>
      <c r="Q261" s="236"/>
      <c r="R261" s="236"/>
      <c r="S261" s="236"/>
      <c r="T261" s="236"/>
      <c r="U261" s="236"/>
      <c r="V261" s="236"/>
      <c r="W261" s="236"/>
      <c r="X261" s="236"/>
      <c r="Y261" s="236"/>
      <c r="Z261" s="236"/>
      <c r="AA261" s="236"/>
      <c r="AB261" s="279"/>
      <c r="AC261" s="236"/>
      <c r="AD261" s="236"/>
      <c r="AE261" s="236"/>
      <c r="AF261" s="236"/>
      <c r="AG261" s="236"/>
      <c r="AH261" s="236"/>
      <c r="AI261" s="236"/>
      <c r="AJ261" s="236"/>
      <c r="AK261" s="236"/>
      <c r="AL261" s="236"/>
      <c r="AM261" s="236"/>
      <c r="AN261" s="236"/>
      <c r="AO261" s="279"/>
      <c r="AP261" s="236"/>
      <c r="AQ261" s="236"/>
      <c r="AR261" s="236"/>
      <c r="AS261" s="236"/>
      <c r="AT261" s="236"/>
      <c r="AU261" s="236"/>
      <c r="AV261" s="236"/>
      <c r="AW261" s="236"/>
      <c r="AX261" s="236"/>
      <c r="AY261" s="236"/>
      <c r="AZ261" s="236"/>
      <c r="BA261" s="236"/>
      <c r="BB261" s="236"/>
      <c r="BC261" s="236"/>
      <c r="BD261" s="236"/>
      <c r="BE261" s="236"/>
      <c r="BF261" s="236"/>
      <c r="BG261" s="236"/>
      <c r="BH261" s="38"/>
    </row>
    <row r="262" spans="1:60" x14ac:dyDescent="0.2">
      <c r="A262" s="648"/>
      <c r="B262" s="492" t="s">
        <v>324</v>
      </c>
      <c r="C262" s="656" t="s">
        <v>113</v>
      </c>
      <c r="D262" s="750" t="s">
        <v>50</v>
      </c>
      <c r="E262" s="220" t="s">
        <v>327</v>
      </c>
      <c r="F262" s="220"/>
      <c r="G262" s="220"/>
      <c r="H262" s="242" t="s">
        <v>317</v>
      </c>
      <c r="I262" s="129"/>
      <c r="J262" s="243">
        <f>M262+Y262+AK262+AW262</f>
        <v>0</v>
      </c>
      <c r="K262" s="236"/>
      <c r="L262" s="236"/>
      <c r="M262" s="243">
        <f>SUMPRODUCT(N262:X262,N$32:X$32)/1000</f>
        <v>0</v>
      </c>
      <c r="N262" s="129"/>
      <c r="O262" s="207" t="str">
        <f t="shared" ref="O262:W262" si="237">IF(OR(O$19="",O$24=0,O$31=0),"",O$255-O$248-O$247-IF(OR(O$21=woning,O$21=woongebouw),O244,0))</f>
        <v/>
      </c>
      <c r="P262" s="207" t="str">
        <f t="shared" si="237"/>
        <v/>
      </c>
      <c r="Q262" s="207" t="str">
        <f t="shared" si="237"/>
        <v/>
      </c>
      <c r="R262" s="207" t="str">
        <f t="shared" si="237"/>
        <v/>
      </c>
      <c r="S262" s="207" t="str">
        <f t="shared" si="237"/>
        <v/>
      </c>
      <c r="T262" s="207" t="str">
        <f t="shared" si="237"/>
        <v/>
      </c>
      <c r="U262" s="207" t="str">
        <f t="shared" si="237"/>
        <v/>
      </c>
      <c r="V262" s="207" t="str">
        <f t="shared" si="237"/>
        <v/>
      </c>
      <c r="W262" s="207" t="str">
        <f t="shared" si="237"/>
        <v/>
      </c>
      <c r="X262" s="128"/>
      <c r="Y262" s="243">
        <f>SUMPRODUCT(Z262:AJ262,Z$32:AJ$32)/1000</f>
        <v>0</v>
      </c>
      <c r="Z262" s="129"/>
      <c r="AA262" s="207" t="str">
        <f t="shared" ref="AA262:AI262" si="238">IF(OR(AA$19="",AA$24=0,AA$31=0),"",AA$255-AA$248-AA$247-IF(OR(AA$21=woning,AA$21=woongebouw),AA244,0))</f>
        <v/>
      </c>
      <c r="AB262" s="207" t="str">
        <f t="shared" si="238"/>
        <v/>
      </c>
      <c r="AC262" s="207" t="str">
        <f t="shared" si="238"/>
        <v/>
      </c>
      <c r="AD262" s="207" t="str">
        <f t="shared" si="238"/>
        <v/>
      </c>
      <c r="AE262" s="207" t="str">
        <f t="shared" si="238"/>
        <v/>
      </c>
      <c r="AF262" s="207" t="str">
        <f t="shared" si="238"/>
        <v/>
      </c>
      <c r="AG262" s="207" t="str">
        <f t="shared" si="238"/>
        <v/>
      </c>
      <c r="AH262" s="207" t="str">
        <f t="shared" si="238"/>
        <v/>
      </c>
      <c r="AI262" s="207" t="str">
        <f t="shared" si="238"/>
        <v/>
      </c>
      <c r="AJ262" s="128"/>
      <c r="AK262" s="243">
        <f>SUMPRODUCT(AL262:AV262,AL$32:AV$32)/1000</f>
        <v>0</v>
      </c>
      <c r="AL262" s="129"/>
      <c r="AM262" s="207" t="str">
        <f t="shared" ref="AM262:AU262" si="239">IF(OR(AM$19="",AM$24=0,AM$31=0),"",AM$255-AM$248-AM$247-IF(OR(AM$21=woning,AM$21=woongebouw),AM244,0))</f>
        <v/>
      </c>
      <c r="AN262" s="207" t="str">
        <f t="shared" si="239"/>
        <v/>
      </c>
      <c r="AO262" s="207" t="str">
        <f t="shared" si="239"/>
        <v/>
      </c>
      <c r="AP262" s="207" t="str">
        <f t="shared" si="239"/>
        <v/>
      </c>
      <c r="AQ262" s="207" t="str">
        <f t="shared" si="239"/>
        <v/>
      </c>
      <c r="AR262" s="207" t="str">
        <f t="shared" si="239"/>
        <v/>
      </c>
      <c r="AS262" s="207" t="str">
        <f t="shared" si="239"/>
        <v/>
      </c>
      <c r="AT262" s="207" t="str">
        <f t="shared" si="239"/>
        <v/>
      </c>
      <c r="AU262" s="207" t="str">
        <f t="shared" si="239"/>
        <v/>
      </c>
      <c r="AV262" s="128"/>
      <c r="AW262" s="243">
        <f>SUMPRODUCT(AX262:BH262,AX$32:BH$32)/1000</f>
        <v>0</v>
      </c>
      <c r="AX262" s="129"/>
      <c r="AY262" s="207" t="str">
        <f t="shared" ref="AY262:BG262" si="240">IF(OR(AY$19="",AY$24=0,AY$31=0),"",AY$255-AY$248-AY$247-IF(OR(AY$21=woning,AY$21=woongebouw),AY244,0))</f>
        <v/>
      </c>
      <c r="AZ262" s="207" t="str">
        <f t="shared" si="240"/>
        <v/>
      </c>
      <c r="BA262" s="207" t="str">
        <f t="shared" si="240"/>
        <v/>
      </c>
      <c r="BB262" s="207" t="str">
        <f t="shared" si="240"/>
        <v/>
      </c>
      <c r="BC262" s="207" t="str">
        <f t="shared" si="240"/>
        <v/>
      </c>
      <c r="BD262" s="207" t="str">
        <f t="shared" si="240"/>
        <v/>
      </c>
      <c r="BE262" s="207" t="str">
        <f t="shared" si="240"/>
        <v/>
      </c>
      <c r="BF262" s="207" t="str">
        <f t="shared" si="240"/>
        <v/>
      </c>
      <c r="BG262" s="207" t="str">
        <f t="shared" si="240"/>
        <v/>
      </c>
      <c r="BH262" s="255"/>
    </row>
    <row r="263" spans="1:60" ht="18.75" x14ac:dyDescent="0.2">
      <c r="A263" s="648"/>
      <c r="B263" s="492" t="s">
        <v>324</v>
      </c>
      <c r="C263" s="739" t="s">
        <v>104</v>
      </c>
      <c r="D263" s="747"/>
      <c r="E263" s="236" t="s">
        <v>328</v>
      </c>
      <c r="F263" s="236"/>
      <c r="G263" s="236"/>
      <c r="H263" s="89"/>
      <c r="I263" s="236"/>
      <c r="J263" s="236"/>
      <c r="K263" s="236"/>
      <c r="L263" s="236"/>
      <c r="M263" s="236"/>
      <c r="N263" s="236"/>
      <c r="O263" s="236"/>
      <c r="P263" s="236"/>
      <c r="Q263" s="236"/>
      <c r="R263" s="236"/>
      <c r="S263" s="236"/>
      <c r="T263" s="236"/>
      <c r="U263" s="236"/>
      <c r="V263" s="236"/>
      <c r="W263" s="236"/>
      <c r="X263" s="236"/>
      <c r="Y263" s="236"/>
      <c r="Z263" s="236"/>
      <c r="AA263" s="236"/>
      <c r="AB263" s="236"/>
      <c r="AC263" s="236"/>
      <c r="AD263" s="236"/>
      <c r="AE263" s="236"/>
      <c r="AF263" s="236"/>
      <c r="AG263" s="236"/>
      <c r="AH263" s="236"/>
      <c r="AI263" s="236"/>
      <c r="AJ263" s="236"/>
      <c r="AK263" s="236"/>
      <c r="AL263" s="236"/>
      <c r="AM263" s="236"/>
      <c r="AN263" s="236"/>
      <c r="AO263" s="236"/>
      <c r="AP263" s="236"/>
      <c r="AQ263" s="236"/>
      <c r="AR263" s="236"/>
      <c r="AS263" s="236"/>
      <c r="AT263" s="236"/>
      <c r="AU263" s="236"/>
      <c r="AV263" s="236"/>
      <c r="AW263" s="236"/>
      <c r="AX263" s="236"/>
      <c r="AY263" s="236"/>
      <c r="AZ263" s="236"/>
      <c r="BA263" s="236"/>
      <c r="BB263" s="236"/>
      <c r="BC263" s="236"/>
      <c r="BD263" s="236"/>
      <c r="BE263" s="236"/>
      <c r="BF263" s="236"/>
      <c r="BG263" s="236"/>
      <c r="BH263" s="38"/>
    </row>
    <row r="264" spans="1:60" x14ac:dyDescent="0.2">
      <c r="A264" s="648"/>
      <c r="B264" s="492" t="s">
        <v>324</v>
      </c>
      <c r="C264" s="656" t="s">
        <v>113</v>
      </c>
      <c r="D264" s="750" t="s">
        <v>50</v>
      </c>
      <c r="E264" s="220" t="s">
        <v>329</v>
      </c>
      <c r="F264" s="220"/>
      <c r="G264" s="220"/>
      <c r="H264" s="242" t="s">
        <v>317</v>
      </c>
      <c r="I264" s="129"/>
      <c r="J264" s="243">
        <f t="shared" ref="J264:J269" si="241">M264+Y264+AK264+AW264</f>
        <v>0</v>
      </c>
      <c r="K264" s="236"/>
      <c r="L264" s="236"/>
      <c r="M264" s="243">
        <f t="shared" ref="M264:M269" si="242">SUMPRODUCT(N264:X264,N$32:X$32)/1000</f>
        <v>0</v>
      </c>
      <c r="N264" s="129"/>
      <c r="O264" s="207" t="str">
        <f t="shared" ref="O264:W264" si="243">IF(OR(O$19="",O$24=0,O$31=0),"",
(O$234*$O209+O$235*$P209+O$236*$Q209)*1000/(O$24*O$31))</f>
        <v/>
      </c>
      <c r="P264" s="207" t="str">
        <f t="shared" si="243"/>
        <v/>
      </c>
      <c r="Q264" s="207" t="str">
        <f t="shared" si="243"/>
        <v/>
      </c>
      <c r="R264" s="207" t="str">
        <f t="shared" si="243"/>
        <v/>
      </c>
      <c r="S264" s="207" t="str">
        <f t="shared" si="243"/>
        <v/>
      </c>
      <c r="T264" s="207" t="str">
        <f t="shared" si="243"/>
        <v/>
      </c>
      <c r="U264" s="207" t="str">
        <f t="shared" si="243"/>
        <v/>
      </c>
      <c r="V264" s="207" t="str">
        <f t="shared" si="243"/>
        <v/>
      </c>
      <c r="W264" s="207" t="str">
        <f t="shared" si="243"/>
        <v/>
      </c>
      <c r="X264" s="128"/>
      <c r="Y264" s="243">
        <f t="shared" ref="Y264:Y269" si="244">SUMPRODUCT(Z264:AJ264,Z$32:AJ$32)/1000</f>
        <v>0</v>
      </c>
      <c r="Z264" s="129"/>
      <c r="AA264" s="207" t="str">
        <f t="shared" ref="AA264:AI264" si="245">IF(OR(AA$19="",AA$24=0,AA$31=0),"",
(AA$234*$AA209+AA$235*$AB209+AA$236*$AC209)*1000/(AA$24*AA$31))</f>
        <v/>
      </c>
      <c r="AB264" s="207" t="str">
        <f t="shared" si="245"/>
        <v/>
      </c>
      <c r="AC264" s="207" t="str">
        <f t="shared" si="245"/>
        <v/>
      </c>
      <c r="AD264" s="207" t="str">
        <f t="shared" si="245"/>
        <v/>
      </c>
      <c r="AE264" s="207" t="str">
        <f t="shared" si="245"/>
        <v/>
      </c>
      <c r="AF264" s="207" t="str">
        <f t="shared" si="245"/>
        <v/>
      </c>
      <c r="AG264" s="207" t="str">
        <f t="shared" si="245"/>
        <v/>
      </c>
      <c r="AH264" s="207" t="str">
        <f t="shared" si="245"/>
        <v/>
      </c>
      <c r="AI264" s="207" t="str">
        <f t="shared" si="245"/>
        <v/>
      </c>
      <c r="AJ264" s="128"/>
      <c r="AK264" s="243">
        <f t="shared" ref="AK264:AK269" si="246">SUMPRODUCT(AL264:AV264,AL$32:AV$32)/1000</f>
        <v>0</v>
      </c>
      <c r="AL264" s="129"/>
      <c r="AM264" s="207" t="str">
        <f t="shared" ref="AM264:AU264" si="247">IF(OR(AM$19="",AM$24=0,AM$31=0),"",
(AM$234*$AM209+AM$235*$AN209+AM$236*$AO209)*1000/(AM$24*AM$31))</f>
        <v/>
      </c>
      <c r="AN264" s="207" t="str">
        <f t="shared" si="247"/>
        <v/>
      </c>
      <c r="AO264" s="207" t="str">
        <f t="shared" si="247"/>
        <v/>
      </c>
      <c r="AP264" s="207" t="str">
        <f t="shared" si="247"/>
        <v/>
      </c>
      <c r="AQ264" s="207" t="str">
        <f t="shared" si="247"/>
        <v/>
      </c>
      <c r="AR264" s="207" t="str">
        <f t="shared" si="247"/>
        <v/>
      </c>
      <c r="AS264" s="207" t="str">
        <f t="shared" si="247"/>
        <v/>
      </c>
      <c r="AT264" s="207" t="str">
        <f t="shared" si="247"/>
        <v/>
      </c>
      <c r="AU264" s="207" t="str">
        <f t="shared" si="247"/>
        <v/>
      </c>
      <c r="AV264" s="128"/>
      <c r="AW264" s="243">
        <f t="shared" ref="AW264:AW269" si="248">SUMPRODUCT(AX264:BH264,AX$32:BH$32)/1000</f>
        <v>0</v>
      </c>
      <c r="AX264" s="129"/>
      <c r="AY264" s="207" t="str">
        <f t="shared" ref="AY264:BG264" si="249">IF(OR(AY$19="",AY$24=0,AY$31=0),"",
(AY$234*$AY209+AY$235*$AZ209+AY$236*$BA209)*1000/(AY$24*AY$31))</f>
        <v/>
      </c>
      <c r="AZ264" s="207" t="str">
        <f t="shared" si="249"/>
        <v/>
      </c>
      <c r="BA264" s="207" t="str">
        <f t="shared" si="249"/>
        <v/>
      </c>
      <c r="BB264" s="207" t="str">
        <f t="shared" si="249"/>
        <v/>
      </c>
      <c r="BC264" s="207" t="str">
        <f t="shared" si="249"/>
        <v/>
      </c>
      <c r="BD264" s="207" t="str">
        <f t="shared" si="249"/>
        <v/>
      </c>
      <c r="BE264" s="207" t="str">
        <f t="shared" si="249"/>
        <v/>
      </c>
      <c r="BF264" s="207" t="str">
        <f t="shared" si="249"/>
        <v/>
      </c>
      <c r="BG264" s="207" t="str">
        <f t="shared" si="249"/>
        <v/>
      </c>
      <c r="BH264" s="255"/>
    </row>
    <row r="265" spans="1:60" x14ac:dyDescent="0.2">
      <c r="A265" s="648"/>
      <c r="B265" s="492" t="s">
        <v>324</v>
      </c>
      <c r="C265" s="656" t="s">
        <v>113</v>
      </c>
      <c r="D265" s="750" t="s">
        <v>50</v>
      </c>
      <c r="E265" s="220" t="s">
        <v>330</v>
      </c>
      <c r="F265" s="220"/>
      <c r="G265" s="220"/>
      <c r="H265" s="242" t="s">
        <v>317</v>
      </c>
      <c r="I265" s="129"/>
      <c r="J265" s="243">
        <f t="shared" si="241"/>
        <v>0</v>
      </c>
      <c r="K265" s="236"/>
      <c r="L265" s="236"/>
      <c r="M265" s="243">
        <f t="shared" si="242"/>
        <v>0</v>
      </c>
      <c r="N265" s="129"/>
      <c r="O265" s="207" t="str">
        <f t="shared" ref="O265:W265" si="250">IF(OR(O$19="",O$24=0,O$31=0),"",
(O$235*$P210)*1000/(O$24*O$31))</f>
        <v/>
      </c>
      <c r="P265" s="207" t="str">
        <f t="shared" si="250"/>
        <v/>
      </c>
      <c r="Q265" s="207" t="str">
        <f t="shared" si="250"/>
        <v/>
      </c>
      <c r="R265" s="207" t="str">
        <f t="shared" si="250"/>
        <v/>
      </c>
      <c r="S265" s="207" t="str">
        <f t="shared" si="250"/>
        <v/>
      </c>
      <c r="T265" s="207" t="str">
        <f t="shared" si="250"/>
        <v/>
      </c>
      <c r="U265" s="207" t="str">
        <f t="shared" si="250"/>
        <v/>
      </c>
      <c r="V265" s="207" t="str">
        <f t="shared" si="250"/>
        <v/>
      </c>
      <c r="W265" s="207" t="str">
        <f t="shared" si="250"/>
        <v/>
      </c>
      <c r="X265" s="128"/>
      <c r="Y265" s="243">
        <f t="shared" si="244"/>
        <v>0</v>
      </c>
      <c r="Z265" s="129"/>
      <c r="AA265" s="207" t="str">
        <f t="shared" ref="AA265:AI265" si="251">IF(OR(AA$19="",AA$24=0,AA$31=0),"",
(AA$235*$AB210)*1000/(AA$24*AA$31))</f>
        <v/>
      </c>
      <c r="AB265" s="207" t="str">
        <f t="shared" si="251"/>
        <v/>
      </c>
      <c r="AC265" s="207" t="str">
        <f t="shared" si="251"/>
        <v/>
      </c>
      <c r="AD265" s="207" t="str">
        <f t="shared" si="251"/>
        <v/>
      </c>
      <c r="AE265" s="207" t="str">
        <f t="shared" si="251"/>
        <v/>
      </c>
      <c r="AF265" s="207" t="str">
        <f t="shared" si="251"/>
        <v/>
      </c>
      <c r="AG265" s="207" t="str">
        <f t="shared" si="251"/>
        <v/>
      </c>
      <c r="AH265" s="207" t="str">
        <f t="shared" si="251"/>
        <v/>
      </c>
      <c r="AI265" s="207" t="str">
        <f t="shared" si="251"/>
        <v/>
      </c>
      <c r="AJ265" s="128"/>
      <c r="AK265" s="243">
        <f t="shared" si="246"/>
        <v>0</v>
      </c>
      <c r="AL265" s="129"/>
      <c r="AM265" s="207" t="str">
        <f t="shared" ref="AM265:AU265" si="252">IF(OR(AM$19="",AM$24=0,AM$31=0),"",
(AM$235*$AN210)*1000/(AM$24*AM$31))</f>
        <v/>
      </c>
      <c r="AN265" s="207" t="str">
        <f t="shared" si="252"/>
        <v/>
      </c>
      <c r="AO265" s="207" t="str">
        <f t="shared" si="252"/>
        <v/>
      </c>
      <c r="AP265" s="207" t="str">
        <f t="shared" si="252"/>
        <v/>
      </c>
      <c r="AQ265" s="207" t="str">
        <f t="shared" si="252"/>
        <v/>
      </c>
      <c r="AR265" s="207" t="str">
        <f t="shared" si="252"/>
        <v/>
      </c>
      <c r="AS265" s="207" t="str">
        <f t="shared" si="252"/>
        <v/>
      </c>
      <c r="AT265" s="207" t="str">
        <f t="shared" si="252"/>
        <v/>
      </c>
      <c r="AU265" s="207" t="str">
        <f t="shared" si="252"/>
        <v/>
      </c>
      <c r="AV265" s="128"/>
      <c r="AW265" s="243">
        <f t="shared" si="248"/>
        <v>0</v>
      </c>
      <c r="AX265" s="129"/>
      <c r="AY265" s="207" t="str">
        <f t="shared" ref="AY265:BG265" si="253">IF(OR(AY$19="",AY$24=0,AY$31=0),"",
(AY$235*$AZ210)*1000/(AY$24*AY$31))</f>
        <v/>
      </c>
      <c r="AZ265" s="207" t="str">
        <f t="shared" si="253"/>
        <v/>
      </c>
      <c r="BA265" s="207" t="str">
        <f t="shared" si="253"/>
        <v/>
      </c>
      <c r="BB265" s="207" t="str">
        <f t="shared" si="253"/>
        <v/>
      </c>
      <c r="BC265" s="207" t="str">
        <f t="shared" si="253"/>
        <v/>
      </c>
      <c r="BD265" s="207" t="str">
        <f t="shared" si="253"/>
        <v/>
      </c>
      <c r="BE265" s="207" t="str">
        <f t="shared" si="253"/>
        <v/>
      </c>
      <c r="BF265" s="207" t="str">
        <f t="shared" si="253"/>
        <v/>
      </c>
      <c r="BG265" s="207" t="str">
        <f t="shared" si="253"/>
        <v/>
      </c>
      <c r="BH265" s="255"/>
    </row>
    <row r="266" spans="1:60" x14ac:dyDescent="0.2">
      <c r="A266" s="648"/>
      <c r="B266" s="492" t="s">
        <v>324</v>
      </c>
      <c r="C266" s="656" t="s">
        <v>113</v>
      </c>
      <c r="D266" s="750" t="s">
        <v>50</v>
      </c>
      <c r="E266" s="220" t="s">
        <v>294</v>
      </c>
      <c r="F266" s="220"/>
      <c r="G266" s="220"/>
      <c r="H266" s="242" t="s">
        <v>317</v>
      </c>
      <c r="I266" s="129"/>
      <c r="J266" s="243">
        <f t="shared" si="241"/>
        <v>0</v>
      </c>
      <c r="K266" s="236"/>
      <c r="L266" s="236"/>
      <c r="M266" s="243">
        <f t="shared" si="242"/>
        <v>0</v>
      </c>
      <c r="N266" s="129"/>
      <c r="O266" s="207" t="str">
        <f t="shared" ref="O266:W266" si="254">IF(OR(O$19="",O$24=0,O$31=0),"",
(O$234*$O211+O$236*$Q211)*1000/(O$24*O$31))</f>
        <v/>
      </c>
      <c r="P266" s="207" t="str">
        <f t="shared" si="254"/>
        <v/>
      </c>
      <c r="Q266" s="207" t="str">
        <f t="shared" si="254"/>
        <v/>
      </c>
      <c r="R266" s="207" t="str">
        <f t="shared" si="254"/>
        <v/>
      </c>
      <c r="S266" s="207" t="str">
        <f t="shared" si="254"/>
        <v/>
      </c>
      <c r="T266" s="207" t="str">
        <f t="shared" si="254"/>
        <v/>
      </c>
      <c r="U266" s="207" t="str">
        <f t="shared" si="254"/>
        <v/>
      </c>
      <c r="V266" s="207" t="str">
        <f t="shared" si="254"/>
        <v/>
      </c>
      <c r="W266" s="207" t="str">
        <f t="shared" si="254"/>
        <v/>
      </c>
      <c r="X266" s="128"/>
      <c r="Y266" s="243">
        <f t="shared" si="244"/>
        <v>0</v>
      </c>
      <c r="Z266" s="129"/>
      <c r="AA266" s="207" t="str">
        <f t="shared" ref="AA266:AI266" si="255">IF(OR(AA$19="",AA$24=0,AA$31=0),"",
(AA$234*$AA211+AA$236*$AC211)*1000/(AA$24*AA$31))</f>
        <v/>
      </c>
      <c r="AB266" s="207" t="str">
        <f t="shared" si="255"/>
        <v/>
      </c>
      <c r="AC266" s="207" t="str">
        <f t="shared" si="255"/>
        <v/>
      </c>
      <c r="AD266" s="207" t="str">
        <f t="shared" si="255"/>
        <v/>
      </c>
      <c r="AE266" s="207" t="str">
        <f t="shared" si="255"/>
        <v/>
      </c>
      <c r="AF266" s="207" t="str">
        <f t="shared" si="255"/>
        <v/>
      </c>
      <c r="AG266" s="207" t="str">
        <f t="shared" si="255"/>
        <v/>
      </c>
      <c r="AH266" s="207" t="str">
        <f t="shared" si="255"/>
        <v/>
      </c>
      <c r="AI266" s="207" t="str">
        <f t="shared" si="255"/>
        <v/>
      </c>
      <c r="AJ266" s="128"/>
      <c r="AK266" s="243">
        <f t="shared" si="246"/>
        <v>0</v>
      </c>
      <c r="AL266" s="129"/>
      <c r="AM266" s="207" t="str">
        <f t="shared" ref="AM266:AU266" si="256">IF(OR(AM$19="",AM$24=0,AM$31=0),"",
(AM$234*$AM211+AM$236*$AO211)*1000/(AM$24*AM$31))</f>
        <v/>
      </c>
      <c r="AN266" s="207" t="str">
        <f t="shared" si="256"/>
        <v/>
      </c>
      <c r="AO266" s="207" t="str">
        <f t="shared" si="256"/>
        <v/>
      </c>
      <c r="AP266" s="207" t="str">
        <f t="shared" si="256"/>
        <v/>
      </c>
      <c r="AQ266" s="207" t="str">
        <f t="shared" si="256"/>
        <v/>
      </c>
      <c r="AR266" s="207" t="str">
        <f t="shared" si="256"/>
        <v/>
      </c>
      <c r="AS266" s="207" t="str">
        <f t="shared" si="256"/>
        <v/>
      </c>
      <c r="AT266" s="207" t="str">
        <f t="shared" si="256"/>
        <v/>
      </c>
      <c r="AU266" s="207" t="str">
        <f t="shared" si="256"/>
        <v/>
      </c>
      <c r="AV266" s="128"/>
      <c r="AW266" s="243">
        <f t="shared" si="248"/>
        <v>0</v>
      </c>
      <c r="AX266" s="129"/>
      <c r="AY266" s="207" t="str">
        <f t="shared" ref="AY266:BG266" si="257">IF(OR(AY$19="",AY$24=0,AY$31=0),"",
(AY$234*$AY211+AY$236*$BA211)*1000/(AY$24*AY$31))</f>
        <v/>
      </c>
      <c r="AZ266" s="207" t="str">
        <f t="shared" si="257"/>
        <v/>
      </c>
      <c r="BA266" s="207" t="str">
        <f t="shared" si="257"/>
        <v/>
      </c>
      <c r="BB266" s="207" t="str">
        <f t="shared" si="257"/>
        <v/>
      </c>
      <c r="BC266" s="207" t="str">
        <f t="shared" si="257"/>
        <v/>
      </c>
      <c r="BD266" s="207" t="str">
        <f t="shared" si="257"/>
        <v/>
      </c>
      <c r="BE266" s="207" t="str">
        <f t="shared" si="257"/>
        <v/>
      </c>
      <c r="BF266" s="207" t="str">
        <f t="shared" si="257"/>
        <v/>
      </c>
      <c r="BG266" s="207" t="str">
        <f t="shared" si="257"/>
        <v/>
      </c>
      <c r="BH266" s="255"/>
    </row>
    <row r="267" spans="1:60" x14ac:dyDescent="0.2">
      <c r="A267" s="648"/>
      <c r="B267" s="492" t="s">
        <v>324</v>
      </c>
      <c r="C267" s="656" t="s">
        <v>113</v>
      </c>
      <c r="D267" s="750" t="s">
        <v>50</v>
      </c>
      <c r="E267" s="220" t="s">
        <v>295</v>
      </c>
      <c r="F267" s="220"/>
      <c r="G267" s="220"/>
      <c r="H267" s="242" t="s">
        <v>317</v>
      </c>
      <c r="I267" s="129"/>
      <c r="J267" s="243">
        <f t="shared" si="241"/>
        <v>0</v>
      </c>
      <c r="K267" s="236"/>
      <c r="L267" s="236"/>
      <c r="M267" s="243">
        <f t="shared" si="242"/>
        <v>0</v>
      </c>
      <c r="N267" s="129"/>
      <c r="O267" s="207" t="str">
        <f t="shared" ref="O267:W267" si="258">IF(OR(O$19="",O$24=0,O$31=0),"",
(O$234*$O212+O$235*$P212+O$236*$Q212)*1000/(O$24*O$31))</f>
        <v/>
      </c>
      <c r="P267" s="207" t="str">
        <f t="shared" si="258"/>
        <v/>
      </c>
      <c r="Q267" s="207" t="str">
        <f t="shared" si="258"/>
        <v/>
      </c>
      <c r="R267" s="207" t="str">
        <f t="shared" si="258"/>
        <v/>
      </c>
      <c r="S267" s="207" t="str">
        <f t="shared" si="258"/>
        <v/>
      </c>
      <c r="T267" s="207" t="str">
        <f t="shared" si="258"/>
        <v/>
      </c>
      <c r="U267" s="207" t="str">
        <f t="shared" si="258"/>
        <v/>
      </c>
      <c r="V267" s="207" t="str">
        <f t="shared" si="258"/>
        <v/>
      </c>
      <c r="W267" s="207" t="str">
        <f t="shared" si="258"/>
        <v/>
      </c>
      <c r="X267" s="128"/>
      <c r="Y267" s="243">
        <f t="shared" si="244"/>
        <v>0</v>
      </c>
      <c r="Z267" s="129"/>
      <c r="AA267" s="207" t="str">
        <f t="shared" ref="AA267:AI267" si="259">IF(OR(AA$19="",AA$24=0,AA$31=0),"",
(AA$234*$AA212+AA$235*$AB212+AA$236*$AC212)*1000/(AA$24*AA$31))</f>
        <v/>
      </c>
      <c r="AB267" s="207" t="str">
        <f t="shared" si="259"/>
        <v/>
      </c>
      <c r="AC267" s="207" t="str">
        <f t="shared" si="259"/>
        <v/>
      </c>
      <c r="AD267" s="207" t="str">
        <f t="shared" si="259"/>
        <v/>
      </c>
      <c r="AE267" s="207" t="str">
        <f t="shared" si="259"/>
        <v/>
      </c>
      <c r="AF267" s="207" t="str">
        <f t="shared" si="259"/>
        <v/>
      </c>
      <c r="AG267" s="207" t="str">
        <f t="shared" si="259"/>
        <v/>
      </c>
      <c r="AH267" s="207" t="str">
        <f t="shared" si="259"/>
        <v/>
      </c>
      <c r="AI267" s="207" t="str">
        <f t="shared" si="259"/>
        <v/>
      </c>
      <c r="AJ267" s="128"/>
      <c r="AK267" s="243">
        <f t="shared" si="246"/>
        <v>0</v>
      </c>
      <c r="AL267" s="129"/>
      <c r="AM267" s="207" t="str">
        <f t="shared" ref="AM267:AU267" si="260">IF(OR(AM$19="",AM$24=0,AM$31=0),"",
(AM$234*$AM212+AM$235*$AN212+AM$236*$AO212)*1000/(AM$24*AM$31))</f>
        <v/>
      </c>
      <c r="AN267" s="207" t="str">
        <f t="shared" si="260"/>
        <v/>
      </c>
      <c r="AO267" s="207" t="str">
        <f t="shared" si="260"/>
        <v/>
      </c>
      <c r="AP267" s="207" t="str">
        <f t="shared" si="260"/>
        <v/>
      </c>
      <c r="AQ267" s="207" t="str">
        <f t="shared" si="260"/>
        <v/>
      </c>
      <c r="AR267" s="207" t="str">
        <f t="shared" si="260"/>
        <v/>
      </c>
      <c r="AS267" s="207" t="str">
        <f t="shared" si="260"/>
        <v/>
      </c>
      <c r="AT267" s="207" t="str">
        <f t="shared" si="260"/>
        <v/>
      </c>
      <c r="AU267" s="207" t="str">
        <f t="shared" si="260"/>
        <v/>
      </c>
      <c r="AV267" s="128"/>
      <c r="AW267" s="243">
        <f t="shared" si="248"/>
        <v>0</v>
      </c>
      <c r="AX267" s="129"/>
      <c r="AY267" s="207" t="str">
        <f t="shared" ref="AY267:BG267" si="261">IF(OR(AY$19="",AY$24=0,AY$31=0),"",
(AY$234*$AY212+AY$235*$AZ212+AY$236*$BA212)*1000/(AY$24*AY$31))</f>
        <v/>
      </c>
      <c r="AZ267" s="207" t="str">
        <f t="shared" si="261"/>
        <v/>
      </c>
      <c r="BA267" s="207" t="str">
        <f t="shared" si="261"/>
        <v/>
      </c>
      <c r="BB267" s="207" t="str">
        <f t="shared" si="261"/>
        <v/>
      </c>
      <c r="BC267" s="207" t="str">
        <f t="shared" si="261"/>
        <v/>
      </c>
      <c r="BD267" s="207" t="str">
        <f t="shared" si="261"/>
        <v/>
      </c>
      <c r="BE267" s="207" t="str">
        <f t="shared" si="261"/>
        <v/>
      </c>
      <c r="BF267" s="207" t="str">
        <f t="shared" si="261"/>
        <v/>
      </c>
      <c r="BG267" s="207" t="str">
        <f t="shared" si="261"/>
        <v/>
      </c>
      <c r="BH267" s="255"/>
    </row>
    <row r="268" spans="1:60" x14ac:dyDescent="0.2">
      <c r="A268" s="648"/>
      <c r="B268" s="492" t="s">
        <v>324</v>
      </c>
      <c r="C268" s="656" t="s">
        <v>113</v>
      </c>
      <c r="D268" s="750" t="s">
        <v>50</v>
      </c>
      <c r="E268" s="220" t="s">
        <v>296</v>
      </c>
      <c r="F268" s="220"/>
      <c r="G268" s="220"/>
      <c r="H268" s="242" t="s">
        <v>317</v>
      </c>
      <c r="I268" s="129"/>
      <c r="J268" s="243">
        <f t="shared" si="241"/>
        <v>0</v>
      </c>
      <c r="K268" s="236"/>
      <c r="L268" s="236"/>
      <c r="M268" s="243">
        <f t="shared" si="242"/>
        <v>0</v>
      </c>
      <c r="N268" s="129"/>
      <c r="O268" s="207" t="str">
        <f t="shared" ref="O268:W268" si="262">IF(OR(O$19="",O$24=0,O$31=0),"",
(O$235*$P213)*1000/(O$24*O$31))</f>
        <v/>
      </c>
      <c r="P268" s="207" t="str">
        <f t="shared" si="262"/>
        <v/>
      </c>
      <c r="Q268" s="207" t="str">
        <f t="shared" si="262"/>
        <v/>
      </c>
      <c r="R268" s="207" t="str">
        <f t="shared" si="262"/>
        <v/>
      </c>
      <c r="S268" s="207" t="str">
        <f t="shared" si="262"/>
        <v/>
      </c>
      <c r="T268" s="207" t="str">
        <f t="shared" si="262"/>
        <v/>
      </c>
      <c r="U268" s="207" t="str">
        <f t="shared" si="262"/>
        <v/>
      </c>
      <c r="V268" s="207" t="str">
        <f t="shared" si="262"/>
        <v/>
      </c>
      <c r="W268" s="207" t="str">
        <f t="shared" si="262"/>
        <v/>
      </c>
      <c r="X268" s="128"/>
      <c r="Y268" s="243">
        <f t="shared" si="244"/>
        <v>0</v>
      </c>
      <c r="Z268" s="129"/>
      <c r="AA268" s="207" t="str">
        <f t="shared" ref="AA268:AI268" si="263">IF(OR(AA$19="",AA$24=0,AA$31=0),"",
(AA$235*$AB213)*1000/(AA$24*AA$31))</f>
        <v/>
      </c>
      <c r="AB268" s="207" t="str">
        <f t="shared" si="263"/>
        <v/>
      </c>
      <c r="AC268" s="207" t="str">
        <f t="shared" si="263"/>
        <v/>
      </c>
      <c r="AD268" s="207" t="str">
        <f t="shared" si="263"/>
        <v/>
      </c>
      <c r="AE268" s="207" t="str">
        <f t="shared" si="263"/>
        <v/>
      </c>
      <c r="AF268" s="207" t="str">
        <f t="shared" si="263"/>
        <v/>
      </c>
      <c r="AG268" s="207" t="str">
        <f t="shared" si="263"/>
        <v/>
      </c>
      <c r="AH268" s="207" t="str">
        <f t="shared" si="263"/>
        <v/>
      </c>
      <c r="AI268" s="207" t="str">
        <f t="shared" si="263"/>
        <v/>
      </c>
      <c r="AJ268" s="128"/>
      <c r="AK268" s="243">
        <f t="shared" si="246"/>
        <v>0</v>
      </c>
      <c r="AL268" s="129"/>
      <c r="AM268" s="207" t="str">
        <f t="shared" ref="AM268:AU268" si="264">IF(OR(AM$19="",AM$24=0,AM$31=0),"",
(AM$235*$AN213)*1000/(AM$24*AM$31))</f>
        <v/>
      </c>
      <c r="AN268" s="207" t="str">
        <f t="shared" si="264"/>
        <v/>
      </c>
      <c r="AO268" s="207" t="str">
        <f t="shared" si="264"/>
        <v/>
      </c>
      <c r="AP268" s="207" t="str">
        <f t="shared" si="264"/>
        <v/>
      </c>
      <c r="AQ268" s="207" t="str">
        <f t="shared" si="264"/>
        <v/>
      </c>
      <c r="AR268" s="207" t="str">
        <f t="shared" si="264"/>
        <v/>
      </c>
      <c r="AS268" s="207" t="str">
        <f t="shared" si="264"/>
        <v/>
      </c>
      <c r="AT268" s="207" t="str">
        <f t="shared" si="264"/>
        <v/>
      </c>
      <c r="AU268" s="207" t="str">
        <f t="shared" si="264"/>
        <v/>
      </c>
      <c r="AV268" s="128"/>
      <c r="AW268" s="243">
        <f t="shared" si="248"/>
        <v>0</v>
      </c>
      <c r="AX268" s="129"/>
      <c r="AY268" s="207" t="str">
        <f t="shared" ref="AY268:BG268" si="265">IF(OR(AY$19="",AY$24=0,AY$31=0),"",
(AY$235*$AZ213)*1000/(AY$24*AY$31))</f>
        <v/>
      </c>
      <c r="AZ268" s="207" t="str">
        <f t="shared" si="265"/>
        <v/>
      </c>
      <c r="BA268" s="207" t="str">
        <f t="shared" si="265"/>
        <v/>
      </c>
      <c r="BB268" s="207" t="str">
        <f t="shared" si="265"/>
        <v/>
      </c>
      <c r="BC268" s="207" t="str">
        <f t="shared" si="265"/>
        <v/>
      </c>
      <c r="BD268" s="207" t="str">
        <f t="shared" si="265"/>
        <v/>
      </c>
      <c r="BE268" s="207" t="str">
        <f t="shared" si="265"/>
        <v/>
      </c>
      <c r="BF268" s="207" t="str">
        <f t="shared" si="265"/>
        <v/>
      </c>
      <c r="BG268" s="207" t="str">
        <f t="shared" si="265"/>
        <v/>
      </c>
      <c r="BH268" s="255"/>
    </row>
    <row r="269" spans="1:60" x14ac:dyDescent="0.2">
      <c r="A269" s="648"/>
      <c r="B269" s="492" t="s">
        <v>324</v>
      </c>
      <c r="C269" s="656" t="s">
        <v>113</v>
      </c>
      <c r="D269" s="750" t="s">
        <v>50</v>
      </c>
      <c r="E269" s="220" t="s">
        <v>297</v>
      </c>
      <c r="F269" s="220"/>
      <c r="G269" s="220"/>
      <c r="H269" s="242" t="s">
        <v>317</v>
      </c>
      <c r="I269" s="129"/>
      <c r="J269" s="243">
        <f t="shared" si="241"/>
        <v>0</v>
      </c>
      <c r="K269" s="236"/>
      <c r="L269" s="236"/>
      <c r="M269" s="243">
        <f t="shared" si="242"/>
        <v>0</v>
      </c>
      <c r="N269" s="129"/>
      <c r="O269" s="207" t="str">
        <f t="shared" ref="O269:W269" si="266">IF(OR(O$19="",O$24=0,O$31=0),"",
(O$234*$O214+O$236*$Q214)*1000/(O$24*O$31))</f>
        <v/>
      </c>
      <c r="P269" s="207" t="str">
        <f t="shared" si="266"/>
        <v/>
      </c>
      <c r="Q269" s="207" t="str">
        <f t="shared" si="266"/>
        <v/>
      </c>
      <c r="R269" s="207" t="str">
        <f t="shared" si="266"/>
        <v/>
      </c>
      <c r="S269" s="207" t="str">
        <f t="shared" si="266"/>
        <v/>
      </c>
      <c r="T269" s="207" t="str">
        <f t="shared" si="266"/>
        <v/>
      </c>
      <c r="U269" s="207" t="str">
        <f t="shared" si="266"/>
        <v/>
      </c>
      <c r="V269" s="207" t="str">
        <f t="shared" si="266"/>
        <v/>
      </c>
      <c r="W269" s="207" t="str">
        <f t="shared" si="266"/>
        <v/>
      </c>
      <c r="X269" s="122"/>
      <c r="Y269" s="243">
        <f t="shared" si="244"/>
        <v>0</v>
      </c>
      <c r="Z269" s="129"/>
      <c r="AA269" s="207" t="str">
        <f t="shared" ref="AA269:AI269" si="267">IF(OR(AA$19="",AA$24=0,AA$31=0),"",
(AA$234*$AA214+AA$236*$AC214)*1000/(AA$24*AA$31))</f>
        <v/>
      </c>
      <c r="AB269" s="207" t="str">
        <f t="shared" si="267"/>
        <v/>
      </c>
      <c r="AC269" s="207" t="str">
        <f t="shared" si="267"/>
        <v/>
      </c>
      <c r="AD269" s="207" t="str">
        <f t="shared" si="267"/>
        <v/>
      </c>
      <c r="AE269" s="207" t="str">
        <f t="shared" si="267"/>
        <v/>
      </c>
      <c r="AF269" s="207" t="str">
        <f t="shared" si="267"/>
        <v/>
      </c>
      <c r="AG269" s="207" t="str">
        <f t="shared" si="267"/>
        <v/>
      </c>
      <c r="AH269" s="207" t="str">
        <f t="shared" si="267"/>
        <v/>
      </c>
      <c r="AI269" s="207" t="str">
        <f t="shared" si="267"/>
        <v/>
      </c>
      <c r="AJ269" s="122"/>
      <c r="AK269" s="243">
        <f t="shared" si="246"/>
        <v>0</v>
      </c>
      <c r="AL269" s="129"/>
      <c r="AM269" s="207" t="str">
        <f t="shared" ref="AM269:AU269" si="268">IF(OR(AM$19="",AM$24=0,AM$31=0),"",
(AM$234*$AM214+AM$236*$AO214)*1000/(AM$24*AM$31))</f>
        <v/>
      </c>
      <c r="AN269" s="207" t="str">
        <f t="shared" si="268"/>
        <v/>
      </c>
      <c r="AO269" s="207" t="str">
        <f t="shared" si="268"/>
        <v/>
      </c>
      <c r="AP269" s="207" t="str">
        <f t="shared" si="268"/>
        <v/>
      </c>
      <c r="AQ269" s="207" t="str">
        <f t="shared" si="268"/>
        <v/>
      </c>
      <c r="AR269" s="207" t="str">
        <f t="shared" si="268"/>
        <v/>
      </c>
      <c r="AS269" s="207" t="str">
        <f t="shared" si="268"/>
        <v/>
      </c>
      <c r="AT269" s="207" t="str">
        <f t="shared" si="268"/>
        <v/>
      </c>
      <c r="AU269" s="207" t="str">
        <f t="shared" si="268"/>
        <v/>
      </c>
      <c r="AV269" s="122"/>
      <c r="AW269" s="243">
        <f t="shared" si="248"/>
        <v>0</v>
      </c>
      <c r="AX269" s="129"/>
      <c r="AY269" s="207" t="str">
        <f t="shared" ref="AY269:BG269" si="269">IF(OR(AY$19="",AY$24=0,AY$31=0),"",
(AY$234*$AY214+AY$236*$BA214)*1000/(AY$24*AY$31))</f>
        <v/>
      </c>
      <c r="AZ269" s="207" t="str">
        <f t="shared" si="269"/>
        <v/>
      </c>
      <c r="BA269" s="207" t="str">
        <f t="shared" si="269"/>
        <v/>
      </c>
      <c r="BB269" s="207" t="str">
        <f t="shared" si="269"/>
        <v/>
      </c>
      <c r="BC269" s="207" t="str">
        <f t="shared" si="269"/>
        <v/>
      </c>
      <c r="BD269" s="207" t="str">
        <f t="shared" si="269"/>
        <v/>
      </c>
      <c r="BE269" s="207" t="str">
        <f t="shared" si="269"/>
        <v/>
      </c>
      <c r="BF269" s="207" t="str">
        <f t="shared" si="269"/>
        <v/>
      </c>
      <c r="BG269" s="207" t="str">
        <f t="shared" si="269"/>
        <v/>
      </c>
      <c r="BH269" s="214"/>
    </row>
    <row r="270" spans="1:60" ht="18.75" x14ac:dyDescent="0.2">
      <c r="A270" s="648"/>
      <c r="B270" s="492" t="s">
        <v>324</v>
      </c>
      <c r="C270" s="739" t="s">
        <v>104</v>
      </c>
      <c r="D270" s="747"/>
      <c r="E270" s="236" t="s">
        <v>331</v>
      </c>
      <c r="F270" s="236"/>
      <c r="G270" s="236"/>
      <c r="H270" s="89"/>
      <c r="I270" s="236"/>
      <c r="J270" s="236"/>
      <c r="K270" s="236"/>
      <c r="L270" s="236"/>
      <c r="M270" s="236"/>
      <c r="N270" s="236"/>
      <c r="O270" s="236"/>
      <c r="P270" s="236"/>
      <c r="Q270" s="236"/>
      <c r="R270" s="236"/>
      <c r="S270" s="236"/>
      <c r="T270" s="236"/>
      <c r="U270" s="236"/>
      <c r="V270" s="236"/>
      <c r="W270" s="236"/>
      <c r="X270" s="236"/>
      <c r="Y270" s="236"/>
      <c r="Z270" s="236"/>
      <c r="AA270" s="236"/>
      <c r="AB270" s="236"/>
      <c r="AC270" s="236"/>
      <c r="AD270" s="236"/>
      <c r="AE270" s="236"/>
      <c r="AF270" s="236"/>
      <c r="AG270" s="236"/>
      <c r="AH270" s="236"/>
      <c r="AI270" s="236"/>
      <c r="AJ270" s="236"/>
      <c r="AK270" s="236"/>
      <c r="AL270" s="236"/>
      <c r="AM270" s="236"/>
      <c r="AN270" s="236"/>
      <c r="AO270" s="236"/>
      <c r="AP270" s="236"/>
      <c r="AQ270" s="236"/>
      <c r="AR270" s="236"/>
      <c r="AS270" s="236"/>
      <c r="AT270" s="236"/>
      <c r="AU270" s="236"/>
      <c r="AV270" s="236"/>
      <c r="AW270" s="236"/>
      <c r="AX270" s="236"/>
      <c r="AY270" s="236"/>
      <c r="AZ270" s="236"/>
      <c r="BA270" s="236"/>
      <c r="BB270" s="236"/>
      <c r="BC270" s="236"/>
      <c r="BD270" s="236"/>
      <c r="BE270" s="236"/>
      <c r="BF270" s="236"/>
      <c r="BG270" s="236"/>
      <c r="BH270" s="38"/>
    </row>
    <row r="271" spans="1:60" x14ac:dyDescent="0.2">
      <c r="A271" s="648"/>
      <c r="B271" s="492" t="s">
        <v>324</v>
      </c>
      <c r="C271" s="656" t="s">
        <v>113</v>
      </c>
      <c r="D271" s="750" t="s">
        <v>50</v>
      </c>
      <c r="E271" s="220" t="s">
        <v>298</v>
      </c>
      <c r="F271" s="220"/>
      <c r="G271" s="220"/>
      <c r="H271" s="242" t="s">
        <v>317</v>
      </c>
      <c r="I271" s="129"/>
      <c r="J271" s="243">
        <f>M271+Y271+AK271+AW271</f>
        <v>0</v>
      </c>
      <c r="K271" s="236"/>
      <c r="L271" s="236"/>
      <c r="M271" s="243">
        <f>SUMPRODUCT(N271:X271,N$32:X$32)/1000</f>
        <v>0</v>
      </c>
      <c r="N271" s="129"/>
      <c r="O271" s="207" t="str">
        <f t="shared" ref="O271:W271" si="270">IF(OR(O$19="",O$24=0,O$31=0),"",
O$70/O$31*f_P_renelect)</f>
        <v/>
      </c>
      <c r="P271" s="207" t="str">
        <f t="shared" si="270"/>
        <v/>
      </c>
      <c r="Q271" s="207" t="str">
        <f t="shared" si="270"/>
        <v/>
      </c>
      <c r="R271" s="207" t="str">
        <f t="shared" si="270"/>
        <v/>
      </c>
      <c r="S271" s="207" t="str">
        <f t="shared" si="270"/>
        <v/>
      </c>
      <c r="T271" s="207" t="str">
        <f t="shared" si="270"/>
        <v/>
      </c>
      <c r="U271" s="207" t="str">
        <f t="shared" si="270"/>
        <v/>
      </c>
      <c r="V271" s="207" t="str">
        <f t="shared" si="270"/>
        <v/>
      </c>
      <c r="W271" s="207" t="str">
        <f t="shared" si="270"/>
        <v/>
      </c>
      <c r="X271" s="128"/>
      <c r="Y271" s="243">
        <f>SUMPRODUCT(Z271:AJ271,Z$32:AJ$32)/1000</f>
        <v>0</v>
      </c>
      <c r="Z271" s="129"/>
      <c r="AA271" s="207" t="str">
        <f t="shared" ref="AA271:AI271" si="271">IF(OR(AA$19="",AA$24=0,AA$31=0),"",
AA$70/AA$31*f_P_renelect)</f>
        <v/>
      </c>
      <c r="AB271" s="207" t="str">
        <f t="shared" si="271"/>
        <v/>
      </c>
      <c r="AC271" s="207" t="str">
        <f t="shared" si="271"/>
        <v/>
      </c>
      <c r="AD271" s="207" t="str">
        <f t="shared" si="271"/>
        <v/>
      </c>
      <c r="AE271" s="207" t="str">
        <f t="shared" si="271"/>
        <v/>
      </c>
      <c r="AF271" s="207" t="str">
        <f t="shared" si="271"/>
        <v/>
      </c>
      <c r="AG271" s="207" t="str">
        <f t="shared" si="271"/>
        <v/>
      </c>
      <c r="AH271" s="207" t="str">
        <f t="shared" si="271"/>
        <v/>
      </c>
      <c r="AI271" s="207" t="str">
        <f t="shared" si="271"/>
        <v/>
      </c>
      <c r="AJ271" s="128"/>
      <c r="AK271" s="243">
        <f>SUMPRODUCT(AL271:AV271,AL$32:AV$32)/1000</f>
        <v>0</v>
      </c>
      <c r="AL271" s="129"/>
      <c r="AM271" s="207" t="str">
        <f t="shared" ref="AM271:AU271" si="272">IF(OR(AM$19="",AM$24=0,AM$31=0),"",
AM$70/AM$31*f_P_renelect)</f>
        <v/>
      </c>
      <c r="AN271" s="207" t="str">
        <f t="shared" si="272"/>
        <v/>
      </c>
      <c r="AO271" s="207" t="str">
        <f t="shared" si="272"/>
        <v/>
      </c>
      <c r="AP271" s="207" t="str">
        <f t="shared" si="272"/>
        <v/>
      </c>
      <c r="AQ271" s="207" t="str">
        <f t="shared" si="272"/>
        <v/>
      </c>
      <c r="AR271" s="207" t="str">
        <f t="shared" si="272"/>
        <v/>
      </c>
      <c r="AS271" s="207" t="str">
        <f t="shared" si="272"/>
        <v/>
      </c>
      <c r="AT271" s="207" t="str">
        <f t="shared" si="272"/>
        <v/>
      </c>
      <c r="AU271" s="207" t="str">
        <f t="shared" si="272"/>
        <v/>
      </c>
      <c r="AV271" s="128"/>
      <c r="AW271" s="243">
        <f>SUMPRODUCT(AX271:BH271,AX$32:BH$32)/1000</f>
        <v>0</v>
      </c>
      <c r="AX271" s="129"/>
      <c r="AY271" s="207" t="str">
        <f t="shared" ref="AY271:BG271" si="273">IF(OR(AY$19="",AY$24=0,AY$31=0),"",
AY$70/AY$31*f_P_renelect)</f>
        <v/>
      </c>
      <c r="AZ271" s="207" t="str">
        <f t="shared" si="273"/>
        <v/>
      </c>
      <c r="BA271" s="207" t="str">
        <f t="shared" si="273"/>
        <v/>
      </c>
      <c r="BB271" s="207" t="str">
        <f t="shared" si="273"/>
        <v/>
      </c>
      <c r="BC271" s="207" t="str">
        <f t="shared" si="273"/>
        <v/>
      </c>
      <c r="BD271" s="207" t="str">
        <f t="shared" si="273"/>
        <v/>
      </c>
      <c r="BE271" s="207" t="str">
        <f t="shared" si="273"/>
        <v/>
      </c>
      <c r="BF271" s="207" t="str">
        <f t="shared" si="273"/>
        <v/>
      </c>
      <c r="BG271" s="207" t="str">
        <f t="shared" si="273"/>
        <v/>
      </c>
      <c r="BH271" s="255"/>
    </row>
    <row r="272" spans="1:60" ht="18.75" x14ac:dyDescent="0.2">
      <c r="A272" s="648"/>
      <c r="B272" s="492" t="s">
        <v>324</v>
      </c>
      <c r="C272" s="739" t="s">
        <v>104</v>
      </c>
      <c r="D272" s="747"/>
      <c r="E272" s="236" t="s">
        <v>258</v>
      </c>
      <c r="F272" s="236"/>
      <c r="G272" s="236"/>
      <c r="H272" s="89"/>
      <c r="I272" s="236"/>
      <c r="J272" s="236"/>
      <c r="K272" s="236"/>
      <c r="L272" s="236"/>
      <c r="M272" s="236"/>
      <c r="N272" s="236"/>
      <c r="O272" s="236"/>
      <c r="P272" s="236"/>
      <c r="Q272" s="236"/>
      <c r="R272" s="236"/>
      <c r="S272" s="236"/>
      <c r="T272" s="236"/>
      <c r="U272" s="236"/>
      <c r="V272" s="236"/>
      <c r="W272" s="236"/>
      <c r="X272" s="236"/>
      <c r="Y272" s="236"/>
      <c r="Z272" s="236"/>
      <c r="AA272" s="236"/>
      <c r="AB272" s="279"/>
      <c r="AC272" s="236"/>
      <c r="AD272" s="236"/>
      <c r="AE272" s="236"/>
      <c r="AF272" s="236"/>
      <c r="AG272" s="236"/>
      <c r="AH272" s="236"/>
      <c r="AI272" s="236"/>
      <c r="AJ272" s="236"/>
      <c r="AK272" s="236"/>
      <c r="AL272" s="236"/>
      <c r="AM272" s="236"/>
      <c r="AN272" s="236"/>
      <c r="AO272" s="236"/>
      <c r="AP272" s="236"/>
      <c r="AQ272" s="236"/>
      <c r="AR272" s="236"/>
      <c r="AS272" s="236"/>
      <c r="AT272" s="236"/>
      <c r="AU272" s="236"/>
      <c r="AV272" s="236"/>
      <c r="AW272" s="236"/>
      <c r="AX272" s="236"/>
      <c r="AY272" s="236"/>
      <c r="AZ272" s="236"/>
      <c r="BA272" s="236"/>
      <c r="BB272" s="236"/>
      <c r="BC272" s="236"/>
      <c r="BD272" s="236"/>
      <c r="BE272" s="236"/>
      <c r="BF272" s="236"/>
      <c r="BG272" s="236"/>
      <c r="BH272" s="38"/>
    </row>
    <row r="273" spans="1:60" x14ac:dyDescent="0.2">
      <c r="A273" s="648"/>
      <c r="B273" s="492" t="s">
        <v>324</v>
      </c>
      <c r="C273" s="656" t="s">
        <v>113</v>
      </c>
      <c r="D273" s="750" t="s">
        <v>50</v>
      </c>
      <c r="E273" s="220" t="s">
        <v>332</v>
      </c>
      <c r="F273" s="220"/>
      <c r="G273" s="220"/>
      <c r="H273" s="242" t="s">
        <v>317</v>
      </c>
      <c r="I273" s="129"/>
      <c r="J273" s="243">
        <f>M273+Y273+AK273+AW273</f>
        <v>0</v>
      </c>
      <c r="K273" s="236"/>
      <c r="L273" s="236"/>
      <c r="M273" s="243">
        <f>SUMPRODUCT(N273:X273,N$32:X$32)/1000</f>
        <v>0</v>
      </c>
      <c r="N273" s="129"/>
      <c r="O273" s="207" t="str">
        <f t="shared" ref="O273:W273" si="274">IF(OR(O$19="",O$24=0,O$31=0),"",SUM(O264:O269)+O271)</f>
        <v/>
      </c>
      <c r="P273" s="207" t="str">
        <f t="shared" si="274"/>
        <v/>
      </c>
      <c r="Q273" s="207" t="str">
        <f t="shared" si="274"/>
        <v/>
      </c>
      <c r="R273" s="207" t="str">
        <f t="shared" si="274"/>
        <v/>
      </c>
      <c r="S273" s="207" t="str">
        <f t="shared" si="274"/>
        <v/>
      </c>
      <c r="T273" s="207" t="str">
        <f t="shared" si="274"/>
        <v/>
      </c>
      <c r="U273" s="207" t="str">
        <f t="shared" si="274"/>
        <v/>
      </c>
      <c r="V273" s="207" t="str">
        <f t="shared" si="274"/>
        <v/>
      </c>
      <c r="W273" s="207" t="str">
        <f t="shared" si="274"/>
        <v/>
      </c>
      <c r="X273" s="128"/>
      <c r="Y273" s="243">
        <f>SUMPRODUCT(Z273:AJ273,Z$32:AJ$32)/1000</f>
        <v>0</v>
      </c>
      <c r="Z273" s="129"/>
      <c r="AA273" s="207" t="str">
        <f t="shared" ref="AA273:AI273" si="275">IF(OR(AA$19="",AA$24=0,AA$31=0),"",SUM(AA264:AA269)+AA271)</f>
        <v/>
      </c>
      <c r="AB273" s="207" t="str">
        <f t="shared" si="275"/>
        <v/>
      </c>
      <c r="AC273" s="207" t="str">
        <f t="shared" si="275"/>
        <v/>
      </c>
      <c r="AD273" s="207" t="str">
        <f t="shared" si="275"/>
        <v/>
      </c>
      <c r="AE273" s="207" t="str">
        <f t="shared" si="275"/>
        <v/>
      </c>
      <c r="AF273" s="207" t="str">
        <f t="shared" si="275"/>
        <v/>
      </c>
      <c r="AG273" s="207" t="str">
        <f t="shared" si="275"/>
        <v/>
      </c>
      <c r="AH273" s="207" t="str">
        <f t="shared" si="275"/>
        <v/>
      </c>
      <c r="AI273" s="207" t="str">
        <f t="shared" si="275"/>
        <v/>
      </c>
      <c r="AJ273" s="128"/>
      <c r="AK273" s="243">
        <f>SUMPRODUCT(AL273:AV273,AL$32:AV$32)/1000</f>
        <v>0</v>
      </c>
      <c r="AL273" s="129"/>
      <c r="AM273" s="207" t="str">
        <f>IF(OR(AM$19="",AM$24=0,AM$31=0),"",SUM(AM264:AM269)+AM271)</f>
        <v/>
      </c>
      <c r="AN273" s="207" t="str">
        <f t="shared" ref="AN273:AU273" si="276">IF(OR(AN$19="",AN$24=0,AN$31=0),"",SUM(AN264:AN269)+AN271)</f>
        <v/>
      </c>
      <c r="AO273" s="207" t="str">
        <f t="shared" si="276"/>
        <v/>
      </c>
      <c r="AP273" s="207" t="str">
        <f t="shared" si="276"/>
        <v/>
      </c>
      <c r="AQ273" s="207" t="str">
        <f t="shared" si="276"/>
        <v/>
      </c>
      <c r="AR273" s="207" t="str">
        <f t="shared" si="276"/>
        <v/>
      </c>
      <c r="AS273" s="207" t="str">
        <f t="shared" si="276"/>
        <v/>
      </c>
      <c r="AT273" s="207" t="str">
        <f t="shared" si="276"/>
        <v/>
      </c>
      <c r="AU273" s="207" t="str">
        <f t="shared" si="276"/>
        <v/>
      </c>
      <c r="AV273" s="128"/>
      <c r="AW273" s="243">
        <f>SUMPRODUCT(AX273:BH273,AX$32:BH$32)/1000</f>
        <v>0</v>
      </c>
      <c r="AX273" s="129"/>
      <c r="AY273" s="207" t="str">
        <f>IF(OR(AY$19="",AY$24=0,AY$31=0),"",SUM(AY264:AY269)+AY271)</f>
        <v/>
      </c>
      <c r="AZ273" s="207" t="str">
        <f t="shared" ref="AZ273:BG273" si="277">IF(OR(AZ$19="",AZ$24=0,AZ$31=0),"",SUM(AZ264:AZ269)+AZ271)</f>
        <v/>
      </c>
      <c r="BA273" s="207" t="str">
        <f t="shared" si="277"/>
        <v/>
      </c>
      <c r="BB273" s="207" t="str">
        <f t="shared" si="277"/>
        <v/>
      </c>
      <c r="BC273" s="207" t="str">
        <f t="shared" si="277"/>
        <v/>
      </c>
      <c r="BD273" s="207" t="str">
        <f t="shared" si="277"/>
        <v/>
      </c>
      <c r="BE273" s="207" t="str">
        <f t="shared" si="277"/>
        <v/>
      </c>
      <c r="BF273" s="207" t="str">
        <f t="shared" si="277"/>
        <v/>
      </c>
      <c r="BG273" s="207" t="str">
        <f t="shared" si="277"/>
        <v/>
      </c>
      <c r="BH273" s="255"/>
    </row>
    <row r="274" spans="1:60" ht="18.75" x14ac:dyDescent="0.2">
      <c r="A274" s="648"/>
      <c r="B274" s="492" t="s">
        <v>324</v>
      </c>
      <c r="C274" s="739" t="s">
        <v>104</v>
      </c>
      <c r="D274" s="747"/>
      <c r="E274" s="236" t="s">
        <v>333</v>
      </c>
      <c r="F274" s="236"/>
      <c r="G274" s="236"/>
      <c r="H274" s="89"/>
      <c r="I274" s="236"/>
      <c r="J274" s="236"/>
      <c r="K274" s="236"/>
      <c r="L274" s="236"/>
      <c r="M274" s="236"/>
      <c r="N274" s="236"/>
      <c r="O274" s="236"/>
      <c r="P274" s="236"/>
      <c r="Q274" s="236"/>
      <c r="R274" s="236"/>
      <c r="S274" s="236"/>
      <c r="T274" s="236"/>
      <c r="U274" s="236"/>
      <c r="V274" s="236"/>
      <c r="W274" s="236"/>
      <c r="X274" s="236"/>
      <c r="Y274" s="236"/>
      <c r="Z274" s="236"/>
      <c r="AA274" s="236"/>
      <c r="AB274" s="236"/>
      <c r="AC274" s="236"/>
      <c r="AD274" s="236"/>
      <c r="AE274" s="236"/>
      <c r="AF274" s="236"/>
      <c r="AG274" s="236"/>
      <c r="AH274" s="236"/>
      <c r="AI274" s="236"/>
      <c r="AJ274" s="236"/>
      <c r="AK274" s="236"/>
      <c r="AL274" s="236"/>
      <c r="AM274" s="236"/>
      <c r="AN274" s="236"/>
      <c r="AO274" s="236"/>
      <c r="AP274" s="236"/>
      <c r="AQ274" s="236"/>
      <c r="AR274" s="236"/>
      <c r="AS274" s="236"/>
      <c r="AT274" s="236"/>
      <c r="AU274" s="236"/>
      <c r="AV274" s="236"/>
      <c r="AW274" s="236"/>
      <c r="AX274" s="236"/>
      <c r="AY274" s="236"/>
      <c r="AZ274" s="236"/>
      <c r="BA274" s="236"/>
      <c r="BB274" s="236"/>
      <c r="BC274" s="236"/>
      <c r="BD274" s="236"/>
      <c r="BE274" s="236"/>
      <c r="BF274" s="236"/>
      <c r="BG274" s="236"/>
      <c r="BH274" s="38"/>
    </row>
    <row r="275" spans="1:60" x14ac:dyDescent="0.2">
      <c r="A275" s="648"/>
      <c r="B275" s="492" t="s">
        <v>324</v>
      </c>
      <c r="C275" s="656" t="s">
        <v>113</v>
      </c>
      <c r="D275" s="750" t="s">
        <v>50</v>
      </c>
      <c r="E275" s="220" t="s">
        <v>334</v>
      </c>
      <c r="F275" s="220"/>
      <c r="G275" s="220"/>
      <c r="H275" s="242" t="s">
        <v>150</v>
      </c>
      <c r="I275" s="129"/>
      <c r="J275" s="244" t="str">
        <f>IF(J$24=0,"",
IF(J262+J273=0,0,J273/(J262+J273)))</f>
        <v/>
      </c>
      <c r="K275" s="236"/>
      <c r="L275" s="236"/>
      <c r="M275" s="244" t="str">
        <f>IF(M$24=0,"",
IF(M262+M273=0,0,M273/(M262+M273)))</f>
        <v/>
      </c>
      <c r="N275" s="129"/>
      <c r="O275" s="245" t="str">
        <f t="shared" ref="O275:W275" si="278">IF(OR(O$19="",O$24=0,O$31=0),"",
IF(O262+O273=0,0,O273/(O262+O273)))</f>
        <v/>
      </c>
      <c r="P275" s="245" t="str">
        <f t="shared" si="278"/>
        <v/>
      </c>
      <c r="Q275" s="245" t="str">
        <f t="shared" si="278"/>
        <v/>
      </c>
      <c r="R275" s="245" t="str">
        <f t="shared" si="278"/>
        <v/>
      </c>
      <c r="S275" s="245" t="str">
        <f t="shared" si="278"/>
        <v/>
      </c>
      <c r="T275" s="245" t="str">
        <f t="shared" si="278"/>
        <v/>
      </c>
      <c r="U275" s="245" t="str">
        <f t="shared" si="278"/>
        <v/>
      </c>
      <c r="V275" s="245" t="str">
        <f t="shared" si="278"/>
        <v/>
      </c>
      <c r="W275" s="245" t="str">
        <f t="shared" si="278"/>
        <v/>
      </c>
      <c r="X275" s="140"/>
      <c r="Y275" s="244" t="str">
        <f>IF(Y$24=0,"",
IF(Y262+Y273=0,0,Y273/(Y262+Y273)))</f>
        <v/>
      </c>
      <c r="Z275" s="129"/>
      <c r="AA275" s="245" t="str">
        <f t="shared" ref="AA275:AI275" si="279">IF(OR(AA$19="",AA$24=0,AA$31=0),"",
IF(AA262+AA273=0,0,AA273/(AA262+AA273)))</f>
        <v/>
      </c>
      <c r="AB275" s="245" t="str">
        <f t="shared" si="279"/>
        <v/>
      </c>
      <c r="AC275" s="245" t="str">
        <f t="shared" si="279"/>
        <v/>
      </c>
      <c r="AD275" s="245" t="str">
        <f t="shared" si="279"/>
        <v/>
      </c>
      <c r="AE275" s="245" t="str">
        <f t="shared" si="279"/>
        <v/>
      </c>
      <c r="AF275" s="245" t="str">
        <f t="shared" si="279"/>
        <v/>
      </c>
      <c r="AG275" s="245" t="str">
        <f t="shared" si="279"/>
        <v/>
      </c>
      <c r="AH275" s="245" t="str">
        <f t="shared" si="279"/>
        <v/>
      </c>
      <c r="AI275" s="245" t="str">
        <f t="shared" si="279"/>
        <v/>
      </c>
      <c r="AJ275" s="140"/>
      <c r="AK275" s="244" t="str">
        <f>IF(AK$24=0,"",
IF(AK262+AK273=0,0,AK273/(AK262+AK273)))</f>
        <v/>
      </c>
      <c r="AL275" s="129"/>
      <c r="AM275" s="245" t="str">
        <f>IF(OR(AM$19="",AM$24=0,AM$31=0),"",
IF(AM262+AM273=0,0,AM273/(AM262+AM273)))</f>
        <v/>
      </c>
      <c r="AN275" s="245" t="str">
        <f t="shared" ref="AN275:AU275" si="280">IF(OR(AN$19="",AN$24=0,AN$31=0),"",
IF(AN262+AN273=0,0,AN273/(AN262+AN273)))</f>
        <v/>
      </c>
      <c r="AO275" s="245" t="str">
        <f>IF(OR(AO$19="",AO$24=0,AO$31=0),"",
IF(AO262+AO273=0,0,AO273/(AO262+AO273)))</f>
        <v/>
      </c>
      <c r="AP275" s="245" t="str">
        <f t="shared" si="280"/>
        <v/>
      </c>
      <c r="AQ275" s="245" t="str">
        <f t="shared" si="280"/>
        <v/>
      </c>
      <c r="AR275" s="245" t="str">
        <f t="shared" si="280"/>
        <v/>
      </c>
      <c r="AS275" s="245" t="str">
        <f t="shared" si="280"/>
        <v/>
      </c>
      <c r="AT275" s="245" t="str">
        <f t="shared" si="280"/>
        <v/>
      </c>
      <c r="AU275" s="245" t="str">
        <f t="shared" si="280"/>
        <v/>
      </c>
      <c r="AV275" s="140"/>
      <c r="AW275" s="244" t="str">
        <f>IF(AW$24=0,"",
IF(AW262+AW273=0,0,AW273/(AW262+AW273)))</f>
        <v/>
      </c>
      <c r="AX275" s="129"/>
      <c r="AY275" s="245" t="str">
        <f>IF(OR(AY$19="",AY$24=0,AY$31=0),"",
IF(AY262+AY273=0,0,AY273/(AY262+AY273)))</f>
        <v/>
      </c>
      <c r="AZ275" s="245" t="str">
        <f t="shared" ref="AZ275:BG275" si="281">IF(OR(AZ$19="",AZ$24=0,AZ$31=0),"",
IF(AZ262+AZ273=0,0,AZ273/(AZ262+AZ273)))</f>
        <v/>
      </c>
      <c r="BA275" s="245" t="str">
        <f t="shared" si="281"/>
        <v/>
      </c>
      <c r="BB275" s="245" t="str">
        <f t="shared" si="281"/>
        <v/>
      </c>
      <c r="BC275" s="245" t="str">
        <f t="shared" si="281"/>
        <v/>
      </c>
      <c r="BD275" s="245" t="str">
        <f t="shared" si="281"/>
        <v/>
      </c>
      <c r="BE275" s="245" t="str">
        <f t="shared" si="281"/>
        <v/>
      </c>
      <c r="BF275" s="245" t="str">
        <f t="shared" si="281"/>
        <v/>
      </c>
      <c r="BG275" s="245" t="str">
        <f t="shared" si="281"/>
        <v/>
      </c>
      <c r="BH275" s="257"/>
    </row>
    <row r="276" spans="1:60" x14ac:dyDescent="0.2">
      <c r="A276" s="648"/>
      <c r="B276" s="492" t="s">
        <v>324</v>
      </c>
      <c r="C276" s="739" t="s">
        <v>104</v>
      </c>
      <c r="D276" s="747"/>
      <c r="E276" s="90"/>
      <c r="F276" s="90"/>
      <c r="G276" s="90"/>
      <c r="H276" s="96"/>
      <c r="I276" s="90"/>
      <c r="J276" s="93"/>
      <c r="K276" s="236"/>
      <c r="L276" s="236"/>
      <c r="M276" s="93"/>
      <c r="N276" s="90"/>
      <c r="O276" s="122"/>
      <c r="P276" s="122"/>
      <c r="Q276" s="122"/>
      <c r="R276" s="122"/>
      <c r="S276" s="122"/>
      <c r="T276" s="122"/>
      <c r="U276" s="122"/>
      <c r="V276" s="122"/>
      <c r="W276" s="122"/>
      <c r="X276" s="93"/>
      <c r="Y276" s="93"/>
      <c r="Z276" s="90"/>
      <c r="AA276" s="122"/>
      <c r="AB276" s="122"/>
      <c r="AC276" s="122"/>
      <c r="AD276" s="122"/>
      <c r="AE276" s="122"/>
      <c r="AF276" s="122"/>
      <c r="AG276" s="122"/>
      <c r="AH276" s="122"/>
      <c r="AI276" s="122"/>
      <c r="AJ276" s="93"/>
      <c r="AK276" s="93"/>
      <c r="AL276" s="90"/>
      <c r="AM276" s="122"/>
      <c r="AN276" s="122"/>
      <c r="AO276" s="122"/>
      <c r="AP276" s="122"/>
      <c r="AQ276" s="122"/>
      <c r="AR276" s="122"/>
      <c r="AS276" s="122"/>
      <c r="AT276" s="122"/>
      <c r="AU276" s="122"/>
      <c r="AV276" s="93"/>
      <c r="AW276" s="93"/>
      <c r="AX276" s="90"/>
      <c r="AY276" s="122"/>
      <c r="AZ276" s="122"/>
      <c r="BA276" s="122"/>
      <c r="BB276" s="122"/>
      <c r="BC276" s="122"/>
      <c r="BD276" s="122"/>
      <c r="BE276" s="122"/>
      <c r="BF276" s="122"/>
      <c r="BG276" s="122"/>
      <c r="BH276" s="1"/>
    </row>
    <row r="277" spans="1:60" x14ac:dyDescent="0.2">
      <c r="A277" s="648"/>
      <c r="B277" s="492" t="s">
        <v>335</v>
      </c>
      <c r="C277" s="656" t="s">
        <v>104</v>
      </c>
      <c r="D277" s="747"/>
      <c r="E277" s="90"/>
      <c r="F277" s="90"/>
      <c r="G277" s="90"/>
      <c r="H277" s="96"/>
      <c r="I277" s="90"/>
      <c r="J277" s="93"/>
      <c r="K277" s="90"/>
      <c r="L277" s="90"/>
      <c r="M277" s="93"/>
      <c r="N277" s="90"/>
      <c r="O277" s="93"/>
      <c r="P277" s="93"/>
      <c r="Q277" s="93"/>
      <c r="R277" s="93"/>
      <c r="S277" s="93"/>
      <c r="T277" s="93"/>
      <c r="U277" s="93"/>
      <c r="V277" s="93"/>
      <c r="W277" s="93"/>
      <c r="X277" s="93"/>
      <c r="Y277" s="93"/>
      <c r="Z277" s="90"/>
      <c r="AA277" s="93"/>
      <c r="AB277" s="93"/>
      <c r="AC277" s="93"/>
      <c r="AD277" s="93"/>
      <c r="AE277" s="93"/>
      <c r="AF277" s="93"/>
      <c r="AG277" s="93"/>
      <c r="AH277" s="93"/>
      <c r="AI277" s="93"/>
      <c r="AJ277" s="93"/>
      <c r="AK277" s="93"/>
      <c r="AL277" s="90"/>
      <c r="AM277" s="93"/>
      <c r="AN277" s="93"/>
      <c r="AO277" s="93"/>
      <c r="AP277" s="93"/>
      <c r="AQ277" s="93"/>
      <c r="AR277" s="93"/>
      <c r="AS277" s="93"/>
      <c r="AT277" s="93"/>
      <c r="AU277" s="93"/>
      <c r="AV277" s="93"/>
      <c r="AW277" s="93"/>
      <c r="AX277" s="90"/>
      <c r="AY277" s="93"/>
      <c r="AZ277" s="93"/>
      <c r="BA277" s="93"/>
      <c r="BB277" s="93"/>
      <c r="BC277" s="93"/>
      <c r="BD277" s="93"/>
      <c r="BE277" s="93"/>
      <c r="BF277" s="93"/>
      <c r="BG277" s="93"/>
      <c r="BH277" s="1"/>
    </row>
    <row r="278" spans="1:60" s="2" customFormat="1" ht="21" x14ac:dyDescent="0.2">
      <c r="A278" s="649"/>
      <c r="B278" s="492" t="s">
        <v>335</v>
      </c>
      <c r="C278" s="739" t="s">
        <v>104</v>
      </c>
      <c r="D278" s="749" t="s">
        <v>50</v>
      </c>
      <c r="E278" s="253" t="str">
        <f>"energieprestatie indicatoren"&amp;IF($G$6=TRUE," niet correct: warmtebehoefte RV gecorrigeerd","")</f>
        <v>energieprestatie indicatoren</v>
      </c>
      <c r="F278" s="253"/>
      <c r="G278" s="253"/>
      <c r="H278" s="253"/>
      <c r="I278" s="146"/>
      <c r="J278" s="318"/>
      <c r="K278" s="142"/>
      <c r="L278" s="142"/>
      <c r="M278" s="318"/>
      <c r="N278" s="222"/>
      <c r="O278" s="320" t="str">
        <f t="shared" ref="O278:W278" si="282">O$17</f>
        <v/>
      </c>
      <c r="P278" s="320" t="str">
        <f t="shared" si="282"/>
        <v/>
      </c>
      <c r="Q278" s="320" t="str">
        <f t="shared" si="282"/>
        <v/>
      </c>
      <c r="R278" s="320" t="str">
        <f t="shared" si="282"/>
        <v/>
      </c>
      <c r="S278" s="320" t="str">
        <f t="shared" si="282"/>
        <v/>
      </c>
      <c r="T278" s="320" t="str">
        <f t="shared" si="282"/>
        <v/>
      </c>
      <c r="U278" s="320" t="str">
        <f t="shared" si="282"/>
        <v/>
      </c>
      <c r="V278" s="320" t="str">
        <f t="shared" si="282"/>
        <v/>
      </c>
      <c r="W278" s="320" t="str">
        <f t="shared" si="282"/>
        <v/>
      </c>
      <c r="X278" s="214"/>
      <c r="Y278" s="318"/>
      <c r="Z278" s="222"/>
      <c r="AA278" s="320" t="str">
        <f t="shared" ref="AA278:AI278" si="283">AA$17</f>
        <v/>
      </c>
      <c r="AB278" s="320" t="str">
        <f t="shared" si="283"/>
        <v/>
      </c>
      <c r="AC278" s="320" t="str">
        <f t="shared" si="283"/>
        <v/>
      </c>
      <c r="AD278" s="320" t="str">
        <f t="shared" si="283"/>
        <v/>
      </c>
      <c r="AE278" s="320" t="str">
        <f t="shared" si="283"/>
        <v/>
      </c>
      <c r="AF278" s="320" t="str">
        <f t="shared" si="283"/>
        <v/>
      </c>
      <c r="AG278" s="320" t="str">
        <f t="shared" si="283"/>
        <v/>
      </c>
      <c r="AH278" s="320" t="str">
        <f t="shared" si="283"/>
        <v/>
      </c>
      <c r="AI278" s="320" t="str">
        <f t="shared" si="283"/>
        <v/>
      </c>
      <c r="AJ278" s="214"/>
      <c r="AK278" s="318"/>
      <c r="AL278" s="222"/>
      <c r="AM278" s="320" t="str">
        <f>AM$17</f>
        <v/>
      </c>
      <c r="AN278" s="320" t="str">
        <f t="shared" ref="AN278:AU278" si="284">AN$17</f>
        <v/>
      </c>
      <c r="AO278" s="320" t="str">
        <f t="shared" si="284"/>
        <v/>
      </c>
      <c r="AP278" s="320" t="str">
        <f t="shared" si="284"/>
        <v/>
      </c>
      <c r="AQ278" s="320" t="str">
        <f t="shared" si="284"/>
        <v/>
      </c>
      <c r="AR278" s="320" t="str">
        <f t="shared" si="284"/>
        <v/>
      </c>
      <c r="AS278" s="320" t="str">
        <f t="shared" si="284"/>
        <v/>
      </c>
      <c r="AT278" s="320" t="str">
        <f t="shared" si="284"/>
        <v/>
      </c>
      <c r="AU278" s="320" t="str">
        <f t="shared" si="284"/>
        <v/>
      </c>
      <c r="AV278" s="214"/>
      <c r="AW278" s="318"/>
      <c r="AX278" s="222"/>
      <c r="AY278" s="320" t="str">
        <f>AY$17</f>
        <v/>
      </c>
      <c r="AZ278" s="320" t="str">
        <f t="shared" ref="AZ278:BG278" si="285">AZ$17</f>
        <v/>
      </c>
      <c r="BA278" s="320" t="str">
        <f t="shared" si="285"/>
        <v/>
      </c>
      <c r="BB278" s="320" t="str">
        <f t="shared" si="285"/>
        <v/>
      </c>
      <c r="BC278" s="320" t="str">
        <f t="shared" si="285"/>
        <v/>
      </c>
      <c r="BD278" s="320" t="str">
        <f t="shared" si="285"/>
        <v/>
      </c>
      <c r="BE278" s="320" t="str">
        <f t="shared" si="285"/>
        <v/>
      </c>
      <c r="BF278" s="320" t="str">
        <f t="shared" si="285"/>
        <v/>
      </c>
      <c r="BG278" s="320" t="str">
        <f t="shared" si="285"/>
        <v/>
      </c>
      <c r="BH278" s="1"/>
    </row>
    <row r="279" spans="1:60" ht="18.75" hidden="1" x14ac:dyDescent="0.2">
      <c r="A279" s="648"/>
      <c r="B279" s="492" t="s">
        <v>335</v>
      </c>
      <c r="C279" s="739" t="s">
        <v>309</v>
      </c>
      <c r="D279" s="750"/>
      <c r="E279" s="236" t="s">
        <v>336</v>
      </c>
      <c r="F279" s="236"/>
      <c r="G279" s="236"/>
      <c r="H279" s="89"/>
      <c r="I279" s="236"/>
      <c r="J279" s="236"/>
      <c r="K279" s="236"/>
      <c r="L279" s="236"/>
      <c r="M279" s="236"/>
      <c r="N279" s="236"/>
      <c r="O279" s="236"/>
      <c r="P279" s="236"/>
      <c r="Q279" s="236"/>
      <c r="R279" s="236"/>
      <c r="S279" s="236"/>
      <c r="T279" s="236"/>
      <c r="U279" s="236"/>
      <c r="V279" s="236"/>
      <c r="W279" s="236"/>
      <c r="X279" s="236"/>
      <c r="Y279" s="236"/>
      <c r="Z279" s="236"/>
      <c r="AA279" s="236"/>
      <c r="AB279" s="236"/>
      <c r="AC279" s="236"/>
      <c r="AD279" s="236"/>
      <c r="AE279" s="236"/>
      <c r="AF279" s="236"/>
      <c r="AG279" s="236"/>
      <c r="AH279" s="236"/>
      <c r="AI279" s="236"/>
      <c r="AJ279" s="236"/>
      <c r="AK279" s="236"/>
      <c r="AL279" s="236"/>
      <c r="AM279" s="236"/>
      <c r="AN279" s="236"/>
      <c r="AO279" s="236"/>
      <c r="AP279" s="236"/>
      <c r="AQ279" s="236"/>
      <c r="AR279" s="236"/>
      <c r="AS279" s="236"/>
      <c r="AT279" s="236"/>
      <c r="AU279" s="236"/>
      <c r="AV279" s="236"/>
      <c r="AW279" s="236"/>
      <c r="AX279" s="236"/>
      <c r="AY279" s="236"/>
      <c r="AZ279" s="236"/>
      <c r="BA279" s="236"/>
      <c r="BB279" s="236"/>
      <c r="BC279" s="236"/>
      <c r="BD279" s="236"/>
      <c r="BE279" s="236"/>
      <c r="BF279" s="236"/>
      <c r="BG279" s="236"/>
      <c r="BH279" s="38"/>
    </row>
    <row r="280" spans="1:60" hidden="1" x14ac:dyDescent="0.2">
      <c r="A280" s="648"/>
      <c r="B280" s="492" t="s">
        <v>335</v>
      </c>
      <c r="C280" s="739" t="s">
        <v>309</v>
      </c>
      <c r="D280" s="750"/>
      <c r="E280" s="246" t="s">
        <v>337</v>
      </c>
      <c r="F280" s="246"/>
      <c r="G280" s="246"/>
      <c r="H280" s="247" t="s">
        <v>70</v>
      </c>
      <c r="I280" s="248"/>
      <c r="J280" s="249"/>
      <c r="K280" s="90"/>
      <c r="L280" s="90"/>
      <c r="M280" s="249"/>
      <c r="N280" s="248"/>
      <c r="O280" s="250" t="str">
        <f t="shared" ref="O280:W280" si="286">IF(OR(O$19="",O$24=0,O$31=0),"",MATCH(O$21,BENG_gebruiksfuncties,0))</f>
        <v/>
      </c>
      <c r="P280" s="250" t="str">
        <f t="shared" si="286"/>
        <v/>
      </c>
      <c r="Q280" s="250" t="str">
        <f t="shared" si="286"/>
        <v/>
      </c>
      <c r="R280" s="250" t="str">
        <f t="shared" si="286"/>
        <v/>
      </c>
      <c r="S280" s="250" t="str">
        <f t="shared" si="286"/>
        <v/>
      </c>
      <c r="T280" s="250" t="str">
        <f t="shared" si="286"/>
        <v/>
      </c>
      <c r="U280" s="250" t="str">
        <f t="shared" si="286"/>
        <v/>
      </c>
      <c r="V280" s="250" t="str">
        <f t="shared" si="286"/>
        <v/>
      </c>
      <c r="W280" s="250" t="str">
        <f t="shared" si="286"/>
        <v/>
      </c>
      <c r="X280" s="122"/>
      <c r="Y280" s="249"/>
      <c r="Z280" s="248"/>
      <c r="AA280" s="250" t="str">
        <f t="shared" ref="AA280:AI280" si="287">IF(OR(AA$19="",AA$24=0,AA$31=0),"",MATCH(AA$21,BENG_gebruiksfuncties,0))</f>
        <v/>
      </c>
      <c r="AB280" s="250" t="str">
        <f t="shared" si="287"/>
        <v/>
      </c>
      <c r="AC280" s="250" t="str">
        <f t="shared" si="287"/>
        <v/>
      </c>
      <c r="AD280" s="250" t="str">
        <f t="shared" si="287"/>
        <v/>
      </c>
      <c r="AE280" s="250" t="str">
        <f t="shared" si="287"/>
        <v/>
      </c>
      <c r="AF280" s="250" t="str">
        <f t="shared" si="287"/>
        <v/>
      </c>
      <c r="AG280" s="250" t="str">
        <f t="shared" si="287"/>
        <v/>
      </c>
      <c r="AH280" s="250" t="str">
        <f t="shared" si="287"/>
        <v/>
      </c>
      <c r="AI280" s="250" t="str">
        <f t="shared" si="287"/>
        <v/>
      </c>
      <c r="AJ280" s="122"/>
      <c r="AK280" s="249"/>
      <c r="AL280" s="248"/>
      <c r="AM280" s="250" t="str">
        <f>IF(OR(AM$19="",AM$24=0,AM$31=0),"",MATCH(AM$21,BENG_gebruiksfuncties,0))</f>
        <v/>
      </c>
      <c r="AN280" s="250" t="str">
        <f t="shared" ref="AN280:AU280" si="288">IF(OR(AN$19="",AN$24=0,AN$31=0),"",MATCH(AN$21,BENG_gebruiksfuncties,0))</f>
        <v/>
      </c>
      <c r="AO280" s="250" t="str">
        <f t="shared" si="288"/>
        <v/>
      </c>
      <c r="AP280" s="250" t="str">
        <f t="shared" si="288"/>
        <v/>
      </c>
      <c r="AQ280" s="250" t="str">
        <f t="shared" si="288"/>
        <v/>
      </c>
      <c r="AR280" s="250" t="str">
        <f t="shared" si="288"/>
        <v/>
      </c>
      <c r="AS280" s="250" t="str">
        <f t="shared" si="288"/>
        <v/>
      </c>
      <c r="AT280" s="250" t="str">
        <f t="shared" si="288"/>
        <v/>
      </c>
      <c r="AU280" s="250" t="str">
        <f t="shared" si="288"/>
        <v/>
      </c>
      <c r="AV280" s="122"/>
      <c r="AW280" s="249"/>
      <c r="AX280" s="248"/>
      <c r="AY280" s="250" t="str">
        <f t="shared" ref="AY280:BG280" si="289">IF(OR(AY$19="",AY$24=0,AY$31=0),"",MATCH(AY$21,BENG_gebruiksfuncties,0))</f>
        <v/>
      </c>
      <c r="AZ280" s="250" t="str">
        <f t="shared" si="289"/>
        <v/>
      </c>
      <c r="BA280" s="250" t="str">
        <f t="shared" si="289"/>
        <v/>
      </c>
      <c r="BB280" s="250" t="str">
        <f t="shared" si="289"/>
        <v/>
      </c>
      <c r="BC280" s="250" t="str">
        <f t="shared" si="289"/>
        <v/>
      </c>
      <c r="BD280" s="250" t="str">
        <f t="shared" si="289"/>
        <v/>
      </c>
      <c r="BE280" s="250" t="str">
        <f t="shared" si="289"/>
        <v/>
      </c>
      <c r="BF280" s="250" t="str">
        <f t="shared" si="289"/>
        <v/>
      </c>
      <c r="BG280" s="250" t="str">
        <f t="shared" si="289"/>
        <v/>
      </c>
      <c r="BH280" s="255"/>
    </row>
    <row r="281" spans="1:60" ht="18.75" x14ac:dyDescent="0.2">
      <c r="A281" s="648"/>
      <c r="B281" s="492" t="s">
        <v>335</v>
      </c>
      <c r="C281" s="739" t="s">
        <v>104</v>
      </c>
      <c r="D281" s="749" t="s">
        <v>50</v>
      </c>
      <c r="E281" s="236" t="s">
        <v>338</v>
      </c>
      <c r="F281" s="236"/>
      <c r="G281" s="236"/>
      <c r="H281" s="89"/>
      <c r="I281" s="236"/>
      <c r="J281" s="236"/>
      <c r="K281" s="236"/>
      <c r="L281" s="236"/>
      <c r="M281" s="236"/>
      <c r="N281" s="236"/>
      <c r="O281" s="236"/>
      <c r="P281" s="236"/>
      <c r="Q281" s="236"/>
      <c r="R281" s="236"/>
      <c r="S281" s="236"/>
      <c r="T281" s="236"/>
      <c r="U281" s="236"/>
      <c r="V281" s="236"/>
      <c r="W281" s="236"/>
      <c r="X281" s="236"/>
      <c r="Y281" s="236"/>
      <c r="Z281" s="236"/>
      <c r="AA281" s="236"/>
      <c r="AB281" s="236"/>
      <c r="AC281" s="236"/>
      <c r="AD281" s="236"/>
      <c r="AE281" s="236"/>
      <c r="AF281" s="236"/>
      <c r="AG281" s="236"/>
      <c r="AH281" s="236"/>
      <c r="AI281" s="236"/>
      <c r="AJ281" s="236"/>
      <c r="AK281" s="236"/>
      <c r="AL281" s="236"/>
      <c r="AM281" s="236"/>
      <c r="AN281" s="236"/>
      <c r="AO281" s="236"/>
      <c r="AP281" s="236"/>
      <c r="AQ281" s="236"/>
      <c r="AR281" s="236"/>
      <c r="AS281" s="236"/>
      <c r="AT281" s="236"/>
      <c r="AU281" s="236"/>
      <c r="AV281" s="236"/>
      <c r="AW281" s="236"/>
      <c r="AX281" s="236"/>
      <c r="AY281" s="236"/>
      <c r="AZ281" s="236"/>
      <c r="BA281" s="236"/>
      <c r="BB281" s="236"/>
      <c r="BC281" s="236"/>
      <c r="BD281" s="236"/>
      <c r="BE281" s="236"/>
      <c r="BF281" s="236"/>
      <c r="BG281" s="236"/>
      <c r="BH281" s="38"/>
    </row>
    <row r="282" spans="1:60" x14ac:dyDescent="0.2">
      <c r="A282" s="648"/>
      <c r="B282" s="492" t="s">
        <v>335</v>
      </c>
      <c r="C282" s="656" t="s">
        <v>113</v>
      </c>
      <c r="D282" s="750"/>
      <c r="E282" s="246" t="s">
        <v>339</v>
      </c>
      <c r="F282" s="246"/>
      <c r="G282" s="246"/>
      <c r="H282" s="247" t="s">
        <v>169</v>
      </c>
      <c r="I282" s="248"/>
      <c r="J282" s="249"/>
      <c r="K282" s="90"/>
      <c r="L282" s="90"/>
      <c r="M282" s="249"/>
      <c r="N282" s="248"/>
      <c r="O282" s="251" t="str" cm="1">
        <f t="array" ref="O282">IF(OR(O$19="",O$40="",O$42="",O$280=""),"",
IF(O$34&lt;=INDEX(BENG1_eis_grenswaarde_1,O$280),
      INDEX(BENG1_eis_Als_deeldoor_Ag_kleiner_dan_grenswaarde_1,O$280),
IF(O$34&lt;=INDEX(BENG1_eis_grenswaarde_2,O$280),
      INDEX(BENG1_eis_C1,O$280) + INDEX(BENG1_eis_C2,O$280) * (O$34 - INDEX(BENG1_eis_C3,O$280) ),
      INDEX(BENG1_eis_C4,O$280)  + INDEX(BENG1_eis_C5,O$280) * (O$34 - INDEX(BENG1_eis_C6,O$280) ))))</f>
        <v/>
      </c>
      <c r="P282" s="251" t="str" cm="1">
        <f t="array" ref="P282">IF(OR(P$19="",P$40="",P$42="",P$280=""),"",
IF(P$34&lt;=INDEX(BENG1_eis_grenswaarde_1,P$280),
      INDEX(BENG1_eis_Als_deeldoor_Ag_kleiner_dan_grenswaarde_1,P$280),
IF(P$34&lt;=INDEX(BENG1_eis_grenswaarde_2,P$280),
      INDEX(BENG1_eis_C1,P$280) + INDEX(BENG1_eis_C2,P$280) * (P$34 - INDEX(BENG1_eis_C3,P$280) ),
      INDEX(BENG1_eis_C4,P$280)  + INDEX(BENG1_eis_C5,P$280) * (P$34 - INDEX(BENG1_eis_C6,P$280) ))))</f>
        <v/>
      </c>
      <c r="Q282" s="251" t="str" cm="1">
        <f t="array" ref="Q282">IF(OR(Q$19="",Q$40="",Q$42="",Q$280=""),"",
IF(Q$34&lt;=INDEX(BENG1_eis_grenswaarde_1,Q$280),
      INDEX(BENG1_eis_Als_deeldoor_Ag_kleiner_dan_grenswaarde_1,Q$280),
IF(Q$34&lt;=INDEX(BENG1_eis_grenswaarde_2,Q$280),
      INDEX(BENG1_eis_C1,Q$280) + INDEX(BENG1_eis_C2,Q$280) * (Q$34 - INDEX(BENG1_eis_C3,Q$280) ),
      INDEX(BENG1_eis_C4,Q$280)  + INDEX(BENG1_eis_C5,Q$280) * (Q$34 - INDEX(BENG1_eis_C6,Q$280) ))))</f>
        <v/>
      </c>
      <c r="R282" s="251" t="str" cm="1">
        <f t="array" ref="R282">IF(OR(R$19="",R$40="",R$42="",R$280=""),"",
IF(R$34&lt;=INDEX(BENG1_eis_grenswaarde_1,R$280),
      INDEX(BENG1_eis_Als_deeldoor_Ag_kleiner_dan_grenswaarde_1,R$280),
IF(R$34&lt;=INDEX(BENG1_eis_grenswaarde_2,R$280),
      INDEX(BENG1_eis_C1,R$280) + INDEX(BENG1_eis_C2,R$280) * (R$34 - INDEX(BENG1_eis_C3,R$280) ),
      INDEX(BENG1_eis_C4,R$280)  + INDEX(BENG1_eis_C5,R$280) * (R$34 - INDEX(BENG1_eis_C6,R$280) ))))</f>
        <v/>
      </c>
      <c r="S282" s="251" t="str" cm="1">
        <f t="array" ref="S282">IF(OR(S$19="",S$40="",S$42="",S$280=""),"",
IF(S$34&lt;=INDEX(BENG1_eis_grenswaarde_1,S$280),
      INDEX(BENG1_eis_Als_deeldoor_Ag_kleiner_dan_grenswaarde_1,S$280),
IF(S$34&lt;=INDEX(BENG1_eis_grenswaarde_2,S$280),
      INDEX(BENG1_eis_C1,S$280) + INDEX(BENG1_eis_C2,S$280) * (S$34 - INDEX(BENG1_eis_C3,S$280) ),
      INDEX(BENG1_eis_C4,S$280)  + INDEX(BENG1_eis_C5,S$280) * (S$34 - INDEX(BENG1_eis_C6,S$280) ))))</f>
        <v/>
      </c>
      <c r="T282" s="251" t="str" cm="1">
        <f t="array" ref="T282">IF(OR(T$19="",T$40="",T$42="",T$280=""),"",
IF(T$34&lt;=INDEX(BENG1_eis_grenswaarde_1,T$280),
      INDEX(BENG1_eis_Als_deeldoor_Ag_kleiner_dan_grenswaarde_1,T$280),
IF(T$34&lt;=INDEX(BENG1_eis_grenswaarde_2,T$280),
      INDEX(BENG1_eis_C1,T$280) + INDEX(BENG1_eis_C2,T$280) * (T$34 - INDEX(BENG1_eis_C3,T$280) ),
      INDEX(BENG1_eis_C4,T$280)  + INDEX(BENG1_eis_C5,T$280) * (T$34 - INDEX(BENG1_eis_C6,T$280) ))))</f>
        <v/>
      </c>
      <c r="U282" s="251" t="str" cm="1">
        <f t="array" ref="U282">IF(OR(U$19="",U$40="",U$42="",U$280=""),"",
IF(U$34&lt;=INDEX(BENG1_eis_grenswaarde_1,U$280),
      INDEX(BENG1_eis_Als_deeldoor_Ag_kleiner_dan_grenswaarde_1,U$280),
IF(U$34&lt;=INDEX(BENG1_eis_grenswaarde_2,U$280),
      INDEX(BENG1_eis_C1,U$280) + INDEX(BENG1_eis_C2,U$280) * (U$34 - INDEX(BENG1_eis_C3,U$280) ),
      INDEX(BENG1_eis_C4,U$280)  + INDEX(BENG1_eis_C5,U$280) * (U$34 - INDEX(BENG1_eis_C6,U$280) ))))</f>
        <v/>
      </c>
      <c r="V282" s="251" t="str" cm="1">
        <f t="array" ref="V282">IF(OR(V$19="",V$40="",V$42="",V$280=""),"",
IF(V$34&lt;=INDEX(BENG1_eis_grenswaarde_1,V$280),
      INDEX(BENG1_eis_Als_deeldoor_Ag_kleiner_dan_grenswaarde_1,V$280),
IF(V$34&lt;=INDEX(BENG1_eis_grenswaarde_2,V$280),
      INDEX(BENG1_eis_C1,V$280) + INDEX(BENG1_eis_C2,V$280) * (V$34 - INDEX(BENG1_eis_C3,V$280) ),
      INDEX(BENG1_eis_C4,V$280)  + INDEX(BENG1_eis_C5,V$280) * (V$34 - INDEX(BENG1_eis_C6,V$280) ))))</f>
        <v/>
      </c>
      <c r="W282" s="251" t="str" cm="1">
        <f t="array" ref="W282">IF(OR(W$19="",W$40="",W$42="",W$280=""),"",
IF(W$34&lt;=INDEX(BENG1_eis_grenswaarde_1,W$280),
      INDEX(BENG1_eis_Als_deeldoor_Ag_kleiner_dan_grenswaarde_1,W$280),
IF(W$34&lt;=INDEX(BENG1_eis_grenswaarde_2,W$280),
      INDEX(BENG1_eis_C1,W$280) + INDEX(BENG1_eis_C2,W$280) * (W$34 - INDEX(BENG1_eis_C3,W$280) ),
      INDEX(BENG1_eis_C4,W$280)  + INDEX(BENG1_eis_C5,W$280) * (W$34 - INDEX(BENG1_eis_C6,W$280) ))))</f>
        <v/>
      </c>
      <c r="X282" s="122"/>
      <c r="Y282" s="249"/>
      <c r="Z282" s="248"/>
      <c r="AA282" s="251" t="str" cm="1">
        <f t="array" ref="AA282">IF(OR(AA$19="",AA$40="",AA$42="",AA$280=""),"",
IF(AA$34&lt;=INDEX(BENG1_eis_grenswaarde_1,AA$280),
      INDEX(BENG1_eis_Als_deeldoor_Ag_kleiner_dan_grenswaarde_1,AA$280),
IF(AA$34&lt;=INDEX(BENG1_eis_grenswaarde_2,AA$280),
      INDEX(BENG1_eis_C1,AA$280) + INDEX(BENG1_eis_C2,AA$280) * (AA$34 - INDEX(BENG1_eis_C3,AA$280) ),
      INDEX(BENG1_eis_C4,AA$280)  + INDEX(BENG1_eis_C5,AA$280) * (AA$34 - INDEX(BENG1_eis_C6,AA$280) ))))</f>
        <v/>
      </c>
      <c r="AB282" s="251" t="str" cm="1">
        <f t="array" ref="AB282">IF(OR(AB$19="",AB$40="",AB$42="",AB$280=""),"",
IF(AB$34&lt;=INDEX(BENG1_eis_grenswaarde_1,AB$280),
      INDEX(BENG1_eis_Als_deeldoor_Ag_kleiner_dan_grenswaarde_1,AB$280),
IF(AB$34&lt;=INDEX(BENG1_eis_grenswaarde_2,AB$280),
      INDEX(BENG1_eis_C1,AB$280) + INDEX(BENG1_eis_C2,AB$280) * (AB$34 - INDEX(BENG1_eis_C3,AB$280) ),
      INDEX(BENG1_eis_C4,AB$280)  + INDEX(BENG1_eis_C5,AB$280) * (AB$34 - INDEX(BENG1_eis_C6,AB$280) ))))</f>
        <v/>
      </c>
      <c r="AC282" s="251" t="str" cm="1">
        <f t="array" ref="AC282">IF(OR(AC$19="",AC$40="",AC$42="",AC$280=""),"",
IF(AC$34&lt;=INDEX(BENG1_eis_grenswaarde_1,AC$280),
      INDEX(BENG1_eis_Als_deeldoor_Ag_kleiner_dan_grenswaarde_1,AC$280),
IF(AC$34&lt;=INDEX(BENG1_eis_grenswaarde_2,AC$280),
      INDEX(BENG1_eis_C1,AC$280) + INDEX(BENG1_eis_C2,AC$280) * (AC$34 - INDEX(BENG1_eis_C3,AC$280) ),
      INDEX(BENG1_eis_C4,AC$280)  + INDEX(BENG1_eis_C5,AC$280) * (AC$34 - INDEX(BENG1_eis_C6,AC$280) ))))</f>
        <v/>
      </c>
      <c r="AD282" s="251" t="str" cm="1">
        <f t="array" ref="AD282">IF(OR(AD$19="",AD$40="",AD$42="",AD$280=""),"",
IF(AD$34&lt;=INDEX(BENG1_eis_grenswaarde_1,AD$280),
      INDEX(BENG1_eis_Als_deeldoor_Ag_kleiner_dan_grenswaarde_1,AD$280),
IF(AD$34&lt;=INDEX(BENG1_eis_grenswaarde_2,AD$280),
      INDEX(BENG1_eis_C1,AD$280) + INDEX(BENG1_eis_C2,AD$280) * (AD$34 - INDEX(BENG1_eis_C3,AD$280) ),
      INDEX(BENG1_eis_C4,AD$280)  + INDEX(BENG1_eis_C5,AD$280) * (AD$34 - INDEX(BENG1_eis_C6,AD$280) ))))</f>
        <v/>
      </c>
      <c r="AE282" s="251" t="str" cm="1">
        <f t="array" ref="AE282">IF(OR(AE$19="",AE$40="",AE$42="",AE$280=""),"",
IF(AE$34&lt;=INDEX(BENG1_eis_grenswaarde_1,AE$280),
      INDEX(BENG1_eis_Als_deeldoor_Ag_kleiner_dan_grenswaarde_1,AE$280),
IF(AE$34&lt;=INDEX(BENG1_eis_grenswaarde_2,AE$280),
      INDEX(BENG1_eis_C1,AE$280) + INDEX(BENG1_eis_C2,AE$280) * (AE$34 - INDEX(BENG1_eis_C3,AE$280) ),
      INDEX(BENG1_eis_C4,AE$280)  + INDEX(BENG1_eis_C5,AE$280) * (AE$34 - INDEX(BENG1_eis_C6,AE$280) ))))</f>
        <v/>
      </c>
      <c r="AF282" s="251" t="str" cm="1">
        <f t="array" ref="AF282">IF(OR(AF$19="",AF$40="",AF$42="",AF$280=""),"",
IF(AF$34&lt;=INDEX(BENG1_eis_grenswaarde_1,AF$280),
      INDEX(BENG1_eis_Als_deeldoor_Ag_kleiner_dan_grenswaarde_1,AF$280),
IF(AF$34&lt;=INDEX(BENG1_eis_grenswaarde_2,AF$280),
      INDEX(BENG1_eis_C1,AF$280) + INDEX(BENG1_eis_C2,AF$280) * (AF$34 - INDEX(BENG1_eis_C3,AF$280) ),
      INDEX(BENG1_eis_C4,AF$280)  + INDEX(BENG1_eis_C5,AF$280) * (AF$34 - INDEX(BENG1_eis_C6,AF$280) ))))</f>
        <v/>
      </c>
      <c r="AG282" s="251" t="str" cm="1">
        <f t="array" ref="AG282">IF(OR(AG$19="",AG$40="",AG$42="",AG$280=""),"",
IF(AG$34&lt;=INDEX(BENG1_eis_grenswaarde_1,AG$280),
      INDEX(BENG1_eis_Als_deeldoor_Ag_kleiner_dan_grenswaarde_1,AG$280),
IF(AG$34&lt;=INDEX(BENG1_eis_grenswaarde_2,AG$280),
      INDEX(BENG1_eis_C1,AG$280) + INDEX(BENG1_eis_C2,AG$280) * (AG$34 - INDEX(BENG1_eis_C3,AG$280) ),
      INDEX(BENG1_eis_C4,AG$280)  + INDEX(BENG1_eis_C5,AG$280) * (AG$34 - INDEX(BENG1_eis_C6,AG$280) ))))</f>
        <v/>
      </c>
      <c r="AH282" s="251" t="str" cm="1">
        <f t="array" ref="AH282">IF(OR(AH$19="",AH$40="",AH$42="",AH$280=""),"",
IF(AH$34&lt;=INDEX(BENG1_eis_grenswaarde_1,AH$280),
      INDEX(BENG1_eis_Als_deeldoor_Ag_kleiner_dan_grenswaarde_1,AH$280),
IF(AH$34&lt;=INDEX(BENG1_eis_grenswaarde_2,AH$280),
      INDEX(BENG1_eis_C1,AH$280) + INDEX(BENG1_eis_C2,AH$280) * (AH$34 - INDEX(BENG1_eis_C3,AH$280) ),
      INDEX(BENG1_eis_C4,AH$280)  + INDEX(BENG1_eis_C5,AH$280) * (AH$34 - INDEX(BENG1_eis_C6,AH$280) ))))</f>
        <v/>
      </c>
      <c r="AI282" s="251" t="str" cm="1">
        <f t="array" ref="AI282">IF(OR(AI$19="",AI$40="",AI$42="",AI$280=""),"",
IF(AI$34&lt;=INDEX(BENG1_eis_grenswaarde_1,AI$280),
      INDEX(BENG1_eis_Als_deeldoor_Ag_kleiner_dan_grenswaarde_1,AI$280),
IF(AI$34&lt;=INDEX(BENG1_eis_grenswaarde_2,AI$280),
      INDEX(BENG1_eis_C1,AI$280) + INDEX(BENG1_eis_C2,AI$280) * (AI$34 - INDEX(BENG1_eis_C3,AI$280) ),
      INDEX(BENG1_eis_C4,AI$280)  + INDEX(BENG1_eis_C5,AI$280) * (AI$34 - INDEX(BENG1_eis_C6,AI$280) ))))</f>
        <v/>
      </c>
      <c r="AJ282" s="122"/>
      <c r="AK282" s="249"/>
      <c r="AL282" s="248"/>
      <c r="AM282" s="251" t="str" cm="1">
        <f t="array" ref="AM282">IF(OR(AM$19="",AM$40="",AM$42="",AM$280=""),"",
IF(AM$34&lt;=INDEX(BENG1_eis_grenswaarde_1,AM$280),
      INDEX(BENG1_eis_Als_deeldoor_Ag_kleiner_dan_grenswaarde_1,AM$280),
IF(AM$34&lt;=INDEX(BENG1_eis_grenswaarde_2,AM$280),
      INDEX(BENG1_eis_C1,AM$280) + INDEX(BENG1_eis_C2,AM$280) * (AM$34 - INDEX(BENG1_eis_C3,AM$280) ),
      INDEX(BENG1_eis_C4,AM$280)  + INDEX(BENG1_eis_C5,AM$280) * (AM$34 - INDEX(BENG1_eis_C6,AM$280) ))))</f>
        <v/>
      </c>
      <c r="AN282" s="251" t="str" cm="1">
        <f t="array" ref="AN282">IF(OR(AN$19="",AN$40="",AN$42="",AN$280=""),"",
IF(AN$34&lt;=INDEX(BENG1_eis_grenswaarde_1,AN$280),
      INDEX(BENG1_eis_Als_deeldoor_Ag_kleiner_dan_grenswaarde_1,AN$280),
IF(AN$34&lt;=INDEX(BENG1_eis_grenswaarde_2,AN$280),
      INDEX(BENG1_eis_C1,AN$280) + INDEX(BENG1_eis_C2,AN$280) * (AN$34 - INDEX(BENG1_eis_C3,AN$280) ),
      INDEX(BENG1_eis_C4,AN$280)  + INDEX(BENG1_eis_C5,AN$280) * (AN$34 - INDEX(BENG1_eis_C6,AN$280) ))))</f>
        <v/>
      </c>
      <c r="AO282" s="251" t="str" cm="1">
        <f t="array" ref="AO282">IF(OR(AO$19="",AO$40="",AO$42="",AO$280=""),"",
IF(AO$34&lt;=INDEX(BENG1_eis_grenswaarde_1,AO$280),
      INDEX(BENG1_eis_Als_deeldoor_Ag_kleiner_dan_grenswaarde_1,AO$280),
IF(AO$34&lt;=INDEX(BENG1_eis_grenswaarde_2,AO$280),
      INDEX(BENG1_eis_C1,AO$280) + INDEX(BENG1_eis_C2,AO$280) * (AO$34 - INDEX(BENG1_eis_C3,AO$280) ),
      INDEX(BENG1_eis_C4,AO$280)  + INDEX(BENG1_eis_C5,AO$280) * (AO$34 - INDEX(BENG1_eis_C6,AO$280) ))))</f>
        <v/>
      </c>
      <c r="AP282" s="251" t="str" cm="1">
        <f t="array" ref="AP282">IF(OR(AP$19="",AP$40="",AP$42="",AP$280=""),"",
IF(AP$34&lt;=INDEX(BENG1_eis_grenswaarde_1,AP$280),
      INDEX(BENG1_eis_Als_deeldoor_Ag_kleiner_dan_grenswaarde_1,AP$280),
IF(AP$34&lt;=INDEX(BENG1_eis_grenswaarde_2,AP$280),
      INDEX(BENG1_eis_C1,AP$280) + INDEX(BENG1_eis_C2,AP$280) * (AP$34 - INDEX(BENG1_eis_C3,AP$280) ),
      INDEX(BENG1_eis_C4,AP$280)  + INDEX(BENG1_eis_C5,AP$280) * (AP$34 - INDEX(BENG1_eis_C6,AP$280) ))))</f>
        <v/>
      </c>
      <c r="AQ282" s="251" t="str" cm="1">
        <f t="array" ref="AQ282">IF(OR(AQ$19="",AQ$40="",AQ$42="",AQ$280=""),"",
IF(AQ$34&lt;=INDEX(BENG1_eis_grenswaarde_1,AQ$280),
      INDEX(BENG1_eis_Als_deeldoor_Ag_kleiner_dan_grenswaarde_1,AQ$280),
IF(AQ$34&lt;=INDEX(BENG1_eis_grenswaarde_2,AQ$280),
      INDEX(BENG1_eis_C1,AQ$280) + INDEX(BENG1_eis_C2,AQ$280) * (AQ$34 - INDEX(BENG1_eis_C3,AQ$280) ),
      INDEX(BENG1_eis_C4,AQ$280)  + INDEX(BENG1_eis_C5,AQ$280) * (AQ$34 - INDEX(BENG1_eis_C6,AQ$280) ))))</f>
        <v/>
      </c>
      <c r="AR282" s="251" t="str" cm="1">
        <f t="array" ref="AR282">IF(OR(AR$19="",AR$40="",AR$42="",AR$280=""),"",
IF(AR$34&lt;=INDEX(BENG1_eis_grenswaarde_1,AR$280),
      INDEX(BENG1_eis_Als_deeldoor_Ag_kleiner_dan_grenswaarde_1,AR$280),
IF(AR$34&lt;=INDEX(BENG1_eis_grenswaarde_2,AR$280),
      INDEX(BENG1_eis_C1,AR$280) + INDEX(BENG1_eis_C2,AR$280) * (AR$34 - INDEX(BENG1_eis_C3,AR$280) ),
      INDEX(BENG1_eis_C4,AR$280)  + INDEX(BENG1_eis_C5,AR$280) * (AR$34 - INDEX(BENG1_eis_C6,AR$280) ))))</f>
        <v/>
      </c>
      <c r="AS282" s="251" t="str" cm="1">
        <f t="array" ref="AS282">IF(OR(AS$19="",AS$40="",AS$42="",AS$280=""),"",
IF(AS$34&lt;=INDEX(BENG1_eis_grenswaarde_1,AS$280),
      INDEX(BENG1_eis_Als_deeldoor_Ag_kleiner_dan_grenswaarde_1,AS$280),
IF(AS$34&lt;=INDEX(BENG1_eis_grenswaarde_2,AS$280),
      INDEX(BENG1_eis_C1,AS$280) + INDEX(BENG1_eis_C2,AS$280) * (AS$34 - INDEX(BENG1_eis_C3,AS$280) ),
      INDEX(BENG1_eis_C4,AS$280)  + INDEX(BENG1_eis_C5,AS$280) * (AS$34 - INDEX(BENG1_eis_C6,AS$280) ))))</f>
        <v/>
      </c>
      <c r="AT282" s="251" t="str" cm="1">
        <f t="array" ref="AT282">IF(OR(AT$19="",AT$40="",AT$42="",AT$280=""),"",
IF(AT$34&lt;=INDEX(BENG1_eis_grenswaarde_1,AT$280),
      INDEX(BENG1_eis_Als_deeldoor_Ag_kleiner_dan_grenswaarde_1,AT$280),
IF(AT$34&lt;=INDEX(BENG1_eis_grenswaarde_2,AT$280),
      INDEX(BENG1_eis_C1,AT$280) + INDEX(BENG1_eis_C2,AT$280) * (AT$34 - INDEX(BENG1_eis_C3,AT$280) ),
      INDEX(BENG1_eis_C4,AT$280)  + INDEX(BENG1_eis_C5,AT$280) * (AT$34 - INDEX(BENG1_eis_C6,AT$280) ))))</f>
        <v/>
      </c>
      <c r="AU282" s="251" t="str" cm="1">
        <f t="array" ref="AU282">IF(OR(AU$19="",AU$40="",AU$42="",AU$280=""),"",
IF(AU$34&lt;=INDEX(BENG1_eis_grenswaarde_1,AU$280),
      INDEX(BENG1_eis_Als_deeldoor_Ag_kleiner_dan_grenswaarde_1,AU$280),
IF(AU$34&lt;=INDEX(BENG1_eis_grenswaarde_2,AU$280),
      INDEX(BENG1_eis_C1,AU$280) + INDEX(BENG1_eis_C2,AU$280) * (AU$34 - INDEX(BENG1_eis_C3,AU$280) ),
      INDEX(BENG1_eis_C4,AU$280)  + INDEX(BENG1_eis_C5,AU$280) * (AU$34 - INDEX(BENG1_eis_C6,AU$280) ))))</f>
        <v/>
      </c>
      <c r="AV282" s="122"/>
      <c r="AW282" s="249"/>
      <c r="AX282" s="248"/>
      <c r="AY282" s="251" t="str" cm="1">
        <f t="array" ref="AY282">IF(OR(AY$19="",AY$40="",AY$42="",AY$280=""),"",
IF(AY$34&lt;=INDEX(BENG1_eis_grenswaarde_1,AY$280),
      INDEX(BENG1_eis_Als_deeldoor_Ag_kleiner_dan_grenswaarde_1,AY$280),
IF(AY$34&lt;=INDEX(BENG1_eis_grenswaarde_2,AY$280),
      INDEX(BENG1_eis_C1,AY$280) + INDEX(BENG1_eis_C2,AY$280) * (AY$34 - INDEX(BENG1_eis_C3,AY$280) ),
      INDEX(BENG1_eis_C4,AY$280)  + INDEX(BENG1_eis_C5,AY$280) * (AY$34 - INDEX(BENG1_eis_C6,AY$280) ))))</f>
        <v/>
      </c>
      <c r="AZ282" s="251" t="str" cm="1">
        <f t="array" ref="AZ282">IF(OR(AZ$19="",AZ$40="",AZ$42="",AZ$280=""),"",
IF(AZ$34&lt;=INDEX(BENG1_eis_grenswaarde_1,AZ$280),
      INDEX(BENG1_eis_Als_deeldoor_Ag_kleiner_dan_grenswaarde_1,AZ$280),
IF(AZ$34&lt;=INDEX(BENG1_eis_grenswaarde_2,AZ$280),
      INDEX(BENG1_eis_C1,AZ$280) + INDEX(BENG1_eis_C2,AZ$280) * (AZ$34 - INDEX(BENG1_eis_C3,AZ$280) ),
      INDEX(BENG1_eis_C4,AZ$280)  + INDEX(BENG1_eis_C5,AZ$280) * (AZ$34 - INDEX(BENG1_eis_C6,AZ$280) ))))</f>
        <v/>
      </c>
      <c r="BA282" s="251" t="str" cm="1">
        <f t="array" ref="BA282">IF(OR(BA$19="",BA$40="",BA$42="",BA$280=""),"",
IF(BA$34&lt;=INDEX(BENG1_eis_grenswaarde_1,BA$280),
      INDEX(BENG1_eis_Als_deeldoor_Ag_kleiner_dan_grenswaarde_1,BA$280),
IF(BA$34&lt;=INDEX(BENG1_eis_grenswaarde_2,BA$280),
      INDEX(BENG1_eis_C1,BA$280) + INDEX(BENG1_eis_C2,BA$280) * (BA$34 - INDEX(BENG1_eis_C3,BA$280) ),
      INDEX(BENG1_eis_C4,BA$280)  + INDEX(BENG1_eis_C5,BA$280) * (BA$34 - INDEX(BENG1_eis_C6,BA$280) ))))</f>
        <v/>
      </c>
      <c r="BB282" s="251" t="str" cm="1">
        <f t="array" ref="BB282">IF(OR(BB$19="",BB$40="",BB$42="",BB$280=""),"",
IF(BB$34&lt;=INDEX(BENG1_eis_grenswaarde_1,BB$280),
      INDEX(BENG1_eis_Als_deeldoor_Ag_kleiner_dan_grenswaarde_1,BB$280),
IF(BB$34&lt;=INDEX(BENG1_eis_grenswaarde_2,BB$280),
      INDEX(BENG1_eis_C1,BB$280) + INDEX(BENG1_eis_C2,BB$280) * (BB$34 - INDEX(BENG1_eis_C3,BB$280) ),
      INDEX(BENG1_eis_C4,BB$280)  + INDEX(BENG1_eis_C5,BB$280) * (BB$34 - INDEX(BENG1_eis_C6,BB$280) ))))</f>
        <v/>
      </c>
      <c r="BC282" s="251" t="str" cm="1">
        <f t="array" ref="BC282">IF(OR(BC$19="",BC$40="",BC$42="",BC$280=""),"",
IF(BC$34&lt;=INDEX(BENG1_eis_grenswaarde_1,BC$280),
      INDEX(BENG1_eis_Als_deeldoor_Ag_kleiner_dan_grenswaarde_1,BC$280),
IF(BC$34&lt;=INDEX(BENG1_eis_grenswaarde_2,BC$280),
      INDEX(BENG1_eis_C1,BC$280) + INDEX(BENG1_eis_C2,BC$280) * (BC$34 - INDEX(BENG1_eis_C3,BC$280) ),
      INDEX(BENG1_eis_C4,BC$280)  + INDEX(BENG1_eis_C5,BC$280) * (BC$34 - INDEX(BENG1_eis_C6,BC$280) ))))</f>
        <v/>
      </c>
      <c r="BD282" s="251" t="str" cm="1">
        <f t="array" ref="BD282">IF(OR(BD$19="",BD$40="",BD$42="",BD$280=""),"",
IF(BD$34&lt;=INDEX(BENG1_eis_grenswaarde_1,BD$280),
      INDEX(BENG1_eis_Als_deeldoor_Ag_kleiner_dan_grenswaarde_1,BD$280),
IF(BD$34&lt;=INDEX(BENG1_eis_grenswaarde_2,BD$280),
      INDEX(BENG1_eis_C1,BD$280) + INDEX(BENG1_eis_C2,BD$280) * (BD$34 - INDEX(BENG1_eis_C3,BD$280) ),
      INDEX(BENG1_eis_C4,BD$280)  + INDEX(BENG1_eis_C5,BD$280) * (BD$34 - INDEX(BENG1_eis_C6,BD$280) ))))</f>
        <v/>
      </c>
      <c r="BE282" s="251" t="str" cm="1">
        <f t="array" ref="BE282">IF(OR(BE$19="",BE$40="",BE$42="",BE$280=""),"",
IF(BE$34&lt;=INDEX(BENG1_eis_grenswaarde_1,BE$280),
      INDEX(BENG1_eis_Als_deeldoor_Ag_kleiner_dan_grenswaarde_1,BE$280),
IF(BE$34&lt;=INDEX(BENG1_eis_grenswaarde_2,BE$280),
      INDEX(BENG1_eis_C1,BE$280) + INDEX(BENG1_eis_C2,BE$280) * (BE$34 - INDEX(BENG1_eis_C3,BE$280) ),
      INDEX(BENG1_eis_C4,BE$280)  + INDEX(BENG1_eis_C5,BE$280) * (BE$34 - INDEX(BENG1_eis_C6,BE$280) ))))</f>
        <v/>
      </c>
      <c r="BF282" s="251" t="str" cm="1">
        <f t="array" ref="BF282">IF(OR(BF$19="",BF$40="",BF$42="",BF$280=""),"",
IF(BF$34&lt;=INDEX(BENG1_eis_grenswaarde_1,BF$280),
      INDEX(BENG1_eis_Als_deeldoor_Ag_kleiner_dan_grenswaarde_1,BF$280),
IF(BF$34&lt;=INDEX(BENG1_eis_grenswaarde_2,BF$280),
      INDEX(BENG1_eis_C1,BF$280) + INDEX(BENG1_eis_C2,BF$280) * (BF$34 - INDEX(BENG1_eis_C3,BF$280) ),
      INDEX(BENG1_eis_C4,BF$280)  + INDEX(BENG1_eis_C5,BF$280) * (BF$34 - INDEX(BENG1_eis_C6,BF$280) ))))</f>
        <v/>
      </c>
      <c r="BG282" s="251" t="str" cm="1">
        <f t="array" ref="BG282">IF(OR(BG$19="",BG$40="",BG$42="",BG$280=""),"",
IF(BG$34&lt;=INDEX(BENG1_eis_grenswaarde_1,BG$280),
      INDEX(BENG1_eis_Als_deeldoor_Ag_kleiner_dan_grenswaarde_1,BG$280),
IF(BG$34&lt;=INDEX(BENG1_eis_grenswaarde_2,BG$280),
      INDEX(BENG1_eis_C1,BG$280) + INDEX(BENG1_eis_C2,BG$280) * (BG$34 - INDEX(BENG1_eis_C3,BG$280) ),
      INDEX(BENG1_eis_C4,BG$280)  + INDEX(BENG1_eis_C5,BG$280) * (BG$34 - INDEX(BENG1_eis_C6,BG$280) ))))</f>
        <v/>
      </c>
      <c r="BH282" s="255"/>
    </row>
    <row r="283" spans="1:60" x14ac:dyDescent="0.2">
      <c r="A283" s="648"/>
      <c r="B283" s="492" t="s">
        <v>335</v>
      </c>
      <c r="C283" s="656" t="s">
        <v>113</v>
      </c>
      <c r="D283" s="750"/>
      <c r="E283" s="246" t="s">
        <v>340</v>
      </c>
      <c r="F283" s="246"/>
      <c r="G283" s="246"/>
      <c r="H283" s="247" t="s">
        <v>317</v>
      </c>
      <c r="I283" s="248"/>
      <c r="J283" s="249"/>
      <c r="K283" s="90"/>
      <c r="L283" s="90"/>
      <c r="M283" s="249"/>
      <c r="N283" s="248"/>
      <c r="O283" s="251" t="str" cm="1">
        <f t="array" ref="O283">IF(O$280="","",INDEX(BENG2_eis,O$280))</f>
        <v/>
      </c>
      <c r="P283" s="251" t="str" cm="1">
        <f t="array" ref="P283">IF(P$280="","",INDEX(BENG2_eis,P$280))</f>
        <v/>
      </c>
      <c r="Q283" s="251" t="str" cm="1">
        <f t="array" ref="Q283">IF(Q$280="","",INDEX(BENG2_eis,Q$280))</f>
        <v/>
      </c>
      <c r="R283" s="251" t="str" cm="1">
        <f t="array" ref="R283">IF(R$280="","",INDEX(BENG2_eis,R$280))</f>
        <v/>
      </c>
      <c r="S283" s="251" t="str" cm="1">
        <f t="array" ref="S283">IF(S$280="","",INDEX(BENG2_eis,S$280))</f>
        <v/>
      </c>
      <c r="T283" s="251" t="str" cm="1">
        <f t="array" ref="T283">IF(T$280="","",INDEX(BENG2_eis,T$280))</f>
        <v/>
      </c>
      <c r="U283" s="251" t="str" cm="1">
        <f t="array" ref="U283">IF(U$280="","",INDEX(BENG2_eis,U$280))</f>
        <v/>
      </c>
      <c r="V283" s="251" t="str" cm="1">
        <f t="array" ref="V283">IF(V$280="","",INDEX(BENG2_eis,V$280))</f>
        <v/>
      </c>
      <c r="W283" s="251" t="str" cm="1">
        <f t="array" ref="W283">IF(W$280="","",INDEX(BENG2_eis,W$280))</f>
        <v/>
      </c>
      <c r="X283" s="122"/>
      <c r="Y283" s="249"/>
      <c r="Z283" s="248"/>
      <c r="AA283" s="251" t="str" cm="1">
        <f t="array" ref="AA283">IF(AA$280="","",INDEX(BENG2_eis,AA$280))</f>
        <v/>
      </c>
      <c r="AB283" s="251" t="str" cm="1">
        <f t="array" ref="AB283">IF(AB$280="","",INDEX(BENG2_eis,AB$280))</f>
        <v/>
      </c>
      <c r="AC283" s="251" t="str" cm="1">
        <f t="array" ref="AC283">IF(AC$280="","",INDEX(BENG2_eis,AC$280))</f>
        <v/>
      </c>
      <c r="AD283" s="251" t="str" cm="1">
        <f t="array" ref="AD283">IF(AD$280="","",INDEX(BENG2_eis,AD$280))</f>
        <v/>
      </c>
      <c r="AE283" s="251" t="str" cm="1">
        <f t="array" ref="AE283">IF(AE$280="","",INDEX(BENG2_eis,AE$280))</f>
        <v/>
      </c>
      <c r="AF283" s="251" t="str" cm="1">
        <f t="array" ref="AF283">IF(AF$280="","",INDEX(BENG2_eis,AF$280))</f>
        <v/>
      </c>
      <c r="AG283" s="251" t="str" cm="1">
        <f t="array" ref="AG283">IF(AG$280="","",INDEX(BENG2_eis,AG$280))</f>
        <v/>
      </c>
      <c r="AH283" s="251" t="str" cm="1">
        <f t="array" ref="AH283">IF(AH$280="","",INDEX(BENG2_eis,AH$280))</f>
        <v/>
      </c>
      <c r="AI283" s="251" t="str" cm="1">
        <f t="array" ref="AI283">IF(AI$280="","",INDEX(BENG2_eis,AI$280))</f>
        <v/>
      </c>
      <c r="AJ283" s="122"/>
      <c r="AK283" s="249"/>
      <c r="AL283" s="248"/>
      <c r="AM283" s="251" t="str" cm="1">
        <f t="array" ref="AM283">IF(AM$280="","",INDEX(BENG2_eis,AM$280))</f>
        <v/>
      </c>
      <c r="AN283" s="251" t="str" cm="1">
        <f t="array" ref="AN283">IF(AN$280="","",INDEX(BENG2_eis,AN$280))</f>
        <v/>
      </c>
      <c r="AO283" s="251" t="str" cm="1">
        <f t="array" ref="AO283">IF(AO$280="","",INDEX(BENG2_eis,AO$280))</f>
        <v/>
      </c>
      <c r="AP283" s="251" t="str" cm="1">
        <f t="array" ref="AP283">IF(AP$280="","",INDEX(BENG2_eis,AP$280))</f>
        <v/>
      </c>
      <c r="AQ283" s="251" t="str" cm="1">
        <f t="array" ref="AQ283">IF(AQ$280="","",INDEX(BENG2_eis,AQ$280))</f>
        <v/>
      </c>
      <c r="AR283" s="251" t="str" cm="1">
        <f t="array" ref="AR283">IF(AR$280="","",INDEX(BENG2_eis,AR$280))</f>
        <v/>
      </c>
      <c r="AS283" s="251" t="str" cm="1">
        <f t="array" ref="AS283">IF(AS$280="","",INDEX(BENG2_eis,AS$280))</f>
        <v/>
      </c>
      <c r="AT283" s="251" t="str" cm="1">
        <f t="array" ref="AT283">IF(AT$280="","",INDEX(BENG2_eis,AT$280))</f>
        <v/>
      </c>
      <c r="AU283" s="251" t="str" cm="1">
        <f t="array" ref="AU283">IF(AU$280="","",INDEX(BENG2_eis,AU$280))</f>
        <v/>
      </c>
      <c r="AV283" s="122"/>
      <c r="AW283" s="249"/>
      <c r="AX283" s="248"/>
      <c r="AY283" s="251" t="str" cm="1">
        <f t="array" ref="AY283">IF(AY$280="","",INDEX(BENG2_eis,AY$280))</f>
        <v/>
      </c>
      <c r="AZ283" s="251" t="str" cm="1">
        <f t="array" ref="AZ283">IF(AZ$280="","",INDEX(BENG2_eis,AZ$280))</f>
        <v/>
      </c>
      <c r="BA283" s="251" t="str" cm="1">
        <f t="array" ref="BA283">IF(BA$280="","",INDEX(BENG2_eis,BA$280))</f>
        <v/>
      </c>
      <c r="BB283" s="251" t="str" cm="1">
        <f t="array" ref="BB283">IF(BB$280="","",INDEX(BENG2_eis,BB$280))</f>
        <v/>
      </c>
      <c r="BC283" s="251" t="str" cm="1">
        <f t="array" ref="BC283">IF(BC$280="","",INDEX(BENG2_eis,BC$280))</f>
        <v/>
      </c>
      <c r="BD283" s="251" t="str" cm="1">
        <f t="array" ref="BD283">IF(BD$280="","",INDEX(BENG2_eis,BD$280))</f>
        <v/>
      </c>
      <c r="BE283" s="251" t="str" cm="1">
        <f t="array" ref="BE283">IF(BE$280="","",INDEX(BENG2_eis,BE$280))</f>
        <v/>
      </c>
      <c r="BF283" s="251" t="str" cm="1">
        <f t="array" ref="BF283">IF(BF$280="","",INDEX(BENG2_eis,BF$280))</f>
        <v/>
      </c>
      <c r="BG283" s="251" t="str" cm="1">
        <f t="array" ref="BG283">IF(BG$280="","",INDEX(BENG2_eis,BG$280))</f>
        <v/>
      </c>
      <c r="BH283" s="255"/>
    </row>
    <row r="284" spans="1:60" x14ac:dyDescent="0.2">
      <c r="A284" s="648"/>
      <c r="B284" s="492" t="s">
        <v>335</v>
      </c>
      <c r="C284" s="656" t="s">
        <v>113</v>
      </c>
      <c r="D284" s="750"/>
      <c r="E284" s="246" t="s">
        <v>341</v>
      </c>
      <c r="F284" s="246"/>
      <c r="G284" s="246"/>
      <c r="H284" s="247" t="s">
        <v>150</v>
      </c>
      <c r="I284" s="248"/>
      <c r="J284" s="249"/>
      <c r="K284" s="90"/>
      <c r="L284" s="90"/>
      <c r="M284" s="249"/>
      <c r="N284" s="248"/>
      <c r="O284" s="252" t="str" cm="1">
        <f t="array" ref="O284">IF(O$280="","",INDEX(BENG3_eis,O$280))</f>
        <v/>
      </c>
      <c r="P284" s="252" t="str" cm="1">
        <f t="array" ref="P284">IF(P$280="","",INDEX(BENG3_eis,P$280))</f>
        <v/>
      </c>
      <c r="Q284" s="252" t="str" cm="1">
        <f t="array" ref="Q284">IF(Q$280="","",INDEX(BENG3_eis,Q$280))</f>
        <v/>
      </c>
      <c r="R284" s="252" t="str" cm="1">
        <f t="array" ref="R284">IF(R$280="","",INDEX(BENG3_eis,R$280))</f>
        <v/>
      </c>
      <c r="S284" s="252" t="str" cm="1">
        <f t="array" ref="S284">IF(S$280="","",INDEX(BENG3_eis,S$280))</f>
        <v/>
      </c>
      <c r="T284" s="252" t="str" cm="1">
        <f t="array" ref="T284">IF(T$280="","",INDEX(BENG3_eis,T$280))</f>
        <v/>
      </c>
      <c r="U284" s="252" t="str" cm="1">
        <f t="array" ref="U284">IF(U$280="","",INDEX(BENG3_eis,U$280))</f>
        <v/>
      </c>
      <c r="V284" s="252" t="str" cm="1">
        <f t="array" ref="V284">IF(V$280="","",INDEX(BENG3_eis,V$280))</f>
        <v/>
      </c>
      <c r="W284" s="252" t="str" cm="1">
        <f t="array" ref="W284">IF(W$280="","",INDEX(BENG3_eis,W$280))</f>
        <v/>
      </c>
      <c r="X284" s="122"/>
      <c r="Y284" s="249"/>
      <c r="Z284" s="248"/>
      <c r="AA284" s="252" t="str" cm="1">
        <f t="array" ref="AA284">IF(AA$280="","",INDEX(BENG3_eis,AA$280))</f>
        <v/>
      </c>
      <c r="AB284" s="252" t="str" cm="1">
        <f t="array" ref="AB284">IF(AB$280="","",INDEX(BENG3_eis,AB$280))</f>
        <v/>
      </c>
      <c r="AC284" s="252" t="str" cm="1">
        <f t="array" ref="AC284">IF(AC$280="","",INDEX(BENG3_eis,AC$280))</f>
        <v/>
      </c>
      <c r="AD284" s="252" t="str" cm="1">
        <f t="array" ref="AD284">IF(AD$280="","",INDEX(BENG3_eis,AD$280))</f>
        <v/>
      </c>
      <c r="AE284" s="252" t="str" cm="1">
        <f t="array" ref="AE284">IF(AE$280="","",INDEX(BENG3_eis,AE$280))</f>
        <v/>
      </c>
      <c r="AF284" s="252" t="str" cm="1">
        <f t="array" ref="AF284">IF(AF$280="","",INDEX(BENG3_eis,AF$280))</f>
        <v/>
      </c>
      <c r="AG284" s="252" t="str" cm="1">
        <f t="array" ref="AG284">IF(AG$280="","",INDEX(BENG3_eis,AG$280))</f>
        <v/>
      </c>
      <c r="AH284" s="252" t="str" cm="1">
        <f t="array" ref="AH284">IF(AH$280="","",INDEX(BENG3_eis,AH$280))</f>
        <v/>
      </c>
      <c r="AI284" s="252" t="str" cm="1">
        <f t="array" ref="AI284">IF(AI$280="","",INDEX(BENG3_eis,AI$280))</f>
        <v/>
      </c>
      <c r="AJ284" s="122"/>
      <c r="AK284" s="249"/>
      <c r="AL284" s="248"/>
      <c r="AM284" s="252" t="str" cm="1">
        <f t="array" ref="AM284">IF(AM$280="","",INDEX(BENG3_eis,AM$280))</f>
        <v/>
      </c>
      <c r="AN284" s="252" t="str" cm="1">
        <f t="array" ref="AN284">IF(AN$280="","",INDEX(BENG3_eis,AN$280))</f>
        <v/>
      </c>
      <c r="AO284" s="252" t="str" cm="1">
        <f t="array" ref="AO284">IF(AO$280="","",INDEX(BENG3_eis,AO$280))</f>
        <v/>
      </c>
      <c r="AP284" s="252" t="str" cm="1">
        <f t="array" ref="AP284">IF(AP$280="","",INDEX(BENG3_eis,AP$280))</f>
        <v/>
      </c>
      <c r="AQ284" s="252" t="str" cm="1">
        <f t="array" ref="AQ284">IF(AQ$280="","",INDEX(BENG3_eis,AQ$280))</f>
        <v/>
      </c>
      <c r="AR284" s="252" t="str" cm="1">
        <f t="array" ref="AR284">IF(AR$280="","",INDEX(BENG3_eis,AR$280))</f>
        <v/>
      </c>
      <c r="AS284" s="252" t="str" cm="1">
        <f t="array" ref="AS284">IF(AS$280="","",INDEX(BENG3_eis,AS$280))</f>
        <v/>
      </c>
      <c r="AT284" s="252" t="str" cm="1">
        <f t="array" ref="AT284">IF(AT$280="","",INDEX(BENG3_eis,AT$280))</f>
        <v/>
      </c>
      <c r="AU284" s="252" t="str" cm="1">
        <f t="array" ref="AU284">IF(AU$280="","",INDEX(BENG3_eis,AU$280))</f>
        <v/>
      </c>
      <c r="AV284" s="122"/>
      <c r="AW284" s="249"/>
      <c r="AX284" s="248"/>
      <c r="AY284" s="252" t="str" cm="1">
        <f t="array" ref="AY284">IF(AY$280="","",INDEX(BENG3_eis,AY$280))</f>
        <v/>
      </c>
      <c r="AZ284" s="252" t="str" cm="1">
        <f t="array" ref="AZ284">IF(AZ$280="","",INDEX(BENG3_eis,AZ$280))</f>
        <v/>
      </c>
      <c r="BA284" s="252" t="str" cm="1">
        <f t="array" ref="BA284">IF(BA$280="","",INDEX(BENG3_eis,BA$280))</f>
        <v/>
      </c>
      <c r="BB284" s="252" t="str" cm="1">
        <f t="array" ref="BB284">IF(BB$280="","",INDEX(BENG3_eis,BB$280))</f>
        <v/>
      </c>
      <c r="BC284" s="252" t="str" cm="1">
        <f t="array" ref="BC284">IF(BC$280="","",INDEX(BENG3_eis,BC$280))</f>
        <v/>
      </c>
      <c r="BD284" s="252" t="str" cm="1">
        <f t="array" ref="BD284">IF(BD$280="","",INDEX(BENG3_eis,BD$280))</f>
        <v/>
      </c>
      <c r="BE284" s="252" t="str" cm="1">
        <f t="array" ref="BE284">IF(BE$280="","",INDEX(BENG3_eis,BE$280))</f>
        <v/>
      </c>
      <c r="BF284" s="252" t="str" cm="1">
        <f t="array" ref="BF284">IF(BF$280="","",INDEX(BENG3_eis,BF$280))</f>
        <v/>
      </c>
      <c r="BG284" s="252" t="str" cm="1">
        <f t="array" ref="BG284">IF(BG$280="","",INDEX(BENG3_eis,BG$280))</f>
        <v/>
      </c>
      <c r="BH284" s="255"/>
    </row>
    <row r="285" spans="1:60" ht="18.75" x14ac:dyDescent="0.2">
      <c r="A285" s="648"/>
      <c r="B285" s="492" t="s">
        <v>335</v>
      </c>
      <c r="C285" s="739" t="s">
        <v>104</v>
      </c>
      <c r="D285" s="749" t="s">
        <v>50</v>
      </c>
      <c r="E285" s="236" t="s">
        <v>342</v>
      </c>
      <c r="F285" s="236"/>
      <c r="G285" s="236"/>
      <c r="H285" s="89"/>
      <c r="I285" s="236"/>
      <c r="J285" s="236"/>
      <c r="K285" s="236"/>
      <c r="L285" s="236"/>
      <c r="M285" s="236"/>
      <c r="N285" s="236"/>
      <c r="O285" s="236"/>
      <c r="P285" s="236"/>
      <c r="Q285" s="236"/>
      <c r="R285" s="236"/>
      <c r="S285" s="236"/>
      <c r="T285" s="236"/>
      <c r="U285" s="236"/>
      <c r="V285" s="236"/>
      <c r="W285" s="236"/>
      <c r="X285" s="236"/>
      <c r="Y285" s="236"/>
      <c r="Z285" s="236"/>
      <c r="AA285" s="236"/>
      <c r="AB285" s="236"/>
      <c r="AC285" s="236"/>
      <c r="AD285" s="236"/>
      <c r="AE285" s="236"/>
      <c r="AF285" s="236"/>
      <c r="AG285" s="236"/>
      <c r="AH285" s="236"/>
      <c r="AI285" s="236"/>
      <c r="AJ285" s="236"/>
      <c r="AK285" s="236"/>
      <c r="AL285" s="236"/>
      <c r="AM285" s="236"/>
      <c r="AN285" s="236"/>
      <c r="AO285" s="236"/>
      <c r="AP285" s="236"/>
      <c r="AQ285" s="236"/>
      <c r="AR285" s="236"/>
      <c r="AS285" s="236"/>
      <c r="AT285" s="236"/>
      <c r="AU285" s="236"/>
      <c r="AV285" s="236"/>
      <c r="AW285" s="236"/>
      <c r="AX285" s="236"/>
      <c r="AY285" s="236"/>
      <c r="AZ285" s="236"/>
      <c r="BA285" s="236"/>
      <c r="BB285" s="236"/>
      <c r="BC285" s="236"/>
      <c r="BD285" s="236"/>
      <c r="BE285" s="236"/>
      <c r="BF285" s="236"/>
      <c r="BG285" s="236"/>
      <c r="BH285" s="38"/>
    </row>
    <row r="286" spans="1:60" x14ac:dyDescent="0.2">
      <c r="A286" s="648"/>
      <c r="B286" s="492" t="s">
        <v>335</v>
      </c>
      <c r="C286" s="656" t="s">
        <v>113</v>
      </c>
      <c r="D286" s="749" t="s">
        <v>50</v>
      </c>
      <c r="E286" s="246" t="s">
        <v>343</v>
      </c>
      <c r="F286" s="246"/>
      <c r="G286" s="246"/>
      <c r="H286" s="247" t="s">
        <v>169</v>
      </c>
      <c r="I286" s="248"/>
      <c r="J286" s="249"/>
      <c r="K286" s="90"/>
      <c r="L286" s="90"/>
      <c r="M286" s="249"/>
      <c r="N286" s="248"/>
      <c r="O286" s="302" t="str" cm="1">
        <f t="array" ref="O286">IF(OR(O$19="",O$24=0,O$31=0),"",
      INDEX(warmtebehoefte_plus_koudebehoefte_ventsysC1_EP1_snijpunt,O$280)
   + INDEX(warmtebehoefte_plus_koudebehoefte_ventsysC1_EP1_C,O$280)*O$52*O$34^INDEX(warmtebehoefte_plus_koudebehoefte_ventsysC1_EP1_n,O$280))</f>
        <v/>
      </c>
      <c r="P286" s="302" t="str" cm="1">
        <f t="array" ref="P286">IF(OR(P$19="",P$24=0,P$31=0),"",
      INDEX(warmtebehoefte_plus_koudebehoefte_ventsysC1_EP1_snijpunt,P$280)
   + INDEX(warmtebehoefte_plus_koudebehoefte_ventsysC1_EP1_C,P$280)*P$52*P$34^INDEX(warmtebehoefte_plus_koudebehoefte_ventsysC1_EP1_n,P$280))</f>
        <v/>
      </c>
      <c r="Q286" s="302" t="str" cm="1">
        <f t="array" ref="Q286">IF(OR(Q$19="",Q$24=0,Q$31=0),"",
      INDEX(warmtebehoefte_plus_koudebehoefte_ventsysC1_EP1_snijpunt,Q$280)
   + INDEX(warmtebehoefte_plus_koudebehoefte_ventsysC1_EP1_C,Q$280)*Q$52*Q$34^INDEX(warmtebehoefte_plus_koudebehoefte_ventsysC1_EP1_n,Q$280))</f>
        <v/>
      </c>
      <c r="R286" s="302" t="str" cm="1">
        <f t="array" ref="R286">IF(OR(R$19="",R$24=0,R$31=0),"",
      INDEX(warmtebehoefte_plus_koudebehoefte_ventsysC1_EP1_snijpunt,R$280)
   + INDEX(warmtebehoefte_plus_koudebehoefte_ventsysC1_EP1_C,R$280)*R$52*R$34^INDEX(warmtebehoefte_plus_koudebehoefte_ventsysC1_EP1_n,R$280))</f>
        <v/>
      </c>
      <c r="S286" s="302" t="str" cm="1">
        <f t="array" ref="S286">IF(OR(S$19="",S$24=0,S$31=0),"",
      INDEX(warmtebehoefte_plus_koudebehoefte_ventsysC1_EP1_snijpunt,S$280)
   + INDEX(warmtebehoefte_plus_koudebehoefte_ventsysC1_EP1_C,S$280)*S$52*S$34^INDEX(warmtebehoefte_plus_koudebehoefte_ventsysC1_EP1_n,S$280))</f>
        <v/>
      </c>
      <c r="T286" s="302" t="str" cm="1">
        <f t="array" ref="T286">IF(OR(T$19="",T$24=0,T$31=0),"",
      INDEX(warmtebehoefte_plus_koudebehoefte_ventsysC1_EP1_snijpunt,T$280)
   + INDEX(warmtebehoefte_plus_koudebehoefte_ventsysC1_EP1_C,T$280)*T$52*T$34^INDEX(warmtebehoefte_plus_koudebehoefte_ventsysC1_EP1_n,T$280))</f>
        <v/>
      </c>
      <c r="U286" s="302" t="str" cm="1">
        <f t="array" ref="U286">IF(OR(U$19="",U$24=0,U$31=0),"",
      INDEX(warmtebehoefte_plus_koudebehoefte_ventsysC1_EP1_snijpunt,U$280)
   + INDEX(warmtebehoefte_plus_koudebehoefte_ventsysC1_EP1_C,U$280)*U$52*U$34^INDEX(warmtebehoefte_plus_koudebehoefte_ventsysC1_EP1_n,U$280))</f>
        <v/>
      </c>
      <c r="V286" s="302" t="str" cm="1">
        <f t="array" ref="V286">IF(OR(V$19="",V$24=0,V$31=0),"",
      INDEX(warmtebehoefte_plus_koudebehoefte_ventsysC1_EP1_snijpunt,V$280)
   + INDEX(warmtebehoefte_plus_koudebehoefte_ventsysC1_EP1_C,V$280)*V$52*V$34^INDEX(warmtebehoefte_plus_koudebehoefte_ventsysC1_EP1_n,V$280))</f>
        <v/>
      </c>
      <c r="W286" s="302" t="str" cm="1">
        <f t="array" ref="W286">IF(OR(W$19="",W$24=0,W$31=0),"",
      INDEX(warmtebehoefte_plus_koudebehoefte_ventsysC1_EP1_snijpunt,W$280)
   + INDEX(warmtebehoefte_plus_koudebehoefte_ventsysC1_EP1_C,W$280)*W$52*W$34^INDEX(warmtebehoefte_plus_koudebehoefte_ventsysC1_EP1_n,W$280))</f>
        <v/>
      </c>
      <c r="X286" s="122"/>
      <c r="Y286" s="249"/>
      <c r="Z286" s="248"/>
      <c r="AA286" s="302" t="str" cm="1">
        <f t="array" ref="AA286">IF(OR(AA$19="",AA$24=0,AA$31=0),"",
      INDEX(warmtebehoefte_plus_koudebehoefte_ventsysC1_EP1_snijpunt,AA$280)
   + INDEX(warmtebehoefte_plus_koudebehoefte_ventsysC1_EP1_C,AA$280)*AA$52*AA$34^INDEX(warmtebehoefte_plus_koudebehoefte_ventsysC1_EP1_n,AA$280))</f>
        <v/>
      </c>
      <c r="AB286" s="302" t="str" cm="1">
        <f t="array" ref="AB286">IF(OR(AB$19="",AB$24=0,AB$31=0),"",
      INDEX(warmtebehoefte_plus_koudebehoefte_ventsysC1_EP1_snijpunt,AB$280)
   + INDEX(warmtebehoefte_plus_koudebehoefte_ventsysC1_EP1_C,AB$280)*AB$52*AB$34^INDEX(warmtebehoefte_plus_koudebehoefte_ventsysC1_EP1_n,AB$280))</f>
        <v/>
      </c>
      <c r="AC286" s="302" t="str" cm="1">
        <f t="array" ref="AC286">IF(OR(AC$19="",AC$24=0,AC$31=0),"",
      INDEX(warmtebehoefte_plus_koudebehoefte_ventsysC1_EP1_snijpunt,AC$280)
   + INDEX(warmtebehoefte_plus_koudebehoefte_ventsysC1_EP1_C,AC$280)*AC$52*AC$34^INDEX(warmtebehoefte_plus_koudebehoefte_ventsysC1_EP1_n,AC$280))</f>
        <v/>
      </c>
      <c r="AD286" s="302" t="str" cm="1">
        <f t="array" ref="AD286">IF(OR(AD$19="",AD$24=0,AD$31=0),"",
      INDEX(warmtebehoefte_plus_koudebehoefte_ventsysC1_EP1_snijpunt,AD$280)
   + INDEX(warmtebehoefte_plus_koudebehoefte_ventsysC1_EP1_C,AD$280)*AD$52*AD$34^INDEX(warmtebehoefte_plus_koudebehoefte_ventsysC1_EP1_n,AD$280))</f>
        <v/>
      </c>
      <c r="AE286" s="302" t="str" cm="1">
        <f t="array" ref="AE286">IF(OR(AE$19="",AE$24=0,AE$31=0),"",
      INDEX(warmtebehoefte_plus_koudebehoefte_ventsysC1_EP1_snijpunt,AE$280)
   + INDEX(warmtebehoefte_plus_koudebehoefte_ventsysC1_EP1_C,AE$280)*AE$52*AE$34^INDEX(warmtebehoefte_plus_koudebehoefte_ventsysC1_EP1_n,AE$280))</f>
        <v/>
      </c>
      <c r="AF286" s="302" t="str" cm="1">
        <f t="array" ref="AF286">IF(OR(AF$19="",AF$24=0,AF$31=0),"",
      INDEX(warmtebehoefte_plus_koudebehoefte_ventsysC1_EP1_snijpunt,AF$280)
   + INDEX(warmtebehoefte_plus_koudebehoefte_ventsysC1_EP1_C,AF$280)*AF$52*AF$34^INDEX(warmtebehoefte_plus_koudebehoefte_ventsysC1_EP1_n,AF$280))</f>
        <v/>
      </c>
      <c r="AG286" s="302" t="str" cm="1">
        <f t="array" ref="AG286">IF(OR(AG$19="",AG$24=0,AG$31=0),"",
      INDEX(warmtebehoefte_plus_koudebehoefte_ventsysC1_EP1_snijpunt,AG$280)
   + INDEX(warmtebehoefte_plus_koudebehoefte_ventsysC1_EP1_C,AG$280)*AG$52*AG$34^INDEX(warmtebehoefte_plus_koudebehoefte_ventsysC1_EP1_n,AG$280))</f>
        <v/>
      </c>
      <c r="AH286" s="302" t="str" cm="1">
        <f t="array" ref="AH286">IF(OR(AH$19="",AH$24=0,AH$31=0),"",
      INDEX(warmtebehoefte_plus_koudebehoefte_ventsysC1_EP1_snijpunt,AH$280)
   + INDEX(warmtebehoefte_plus_koudebehoefte_ventsysC1_EP1_C,AH$280)*AH$52*AH$34^INDEX(warmtebehoefte_plus_koudebehoefte_ventsysC1_EP1_n,AH$280))</f>
        <v/>
      </c>
      <c r="AI286" s="302" t="str" cm="1">
        <f t="array" ref="AI286">IF(OR(AI$19="",AI$24=0,AI$31=0),"",
      INDEX(warmtebehoefte_plus_koudebehoefte_ventsysC1_EP1_snijpunt,AI$280)
   + INDEX(warmtebehoefte_plus_koudebehoefte_ventsysC1_EP1_C,AI$280)*AI$52*AI$34^INDEX(warmtebehoefte_plus_koudebehoefte_ventsysC1_EP1_n,AI$280))</f>
        <v/>
      </c>
      <c r="AJ286" s="122"/>
      <c r="AK286" s="249"/>
      <c r="AL286" s="248"/>
      <c r="AM286" s="302" t="str" cm="1">
        <f t="array" ref="AM286">IF(OR(AM$19="",AM$24=0,AM$31=0),"",
      INDEX(warmtebehoefte_plus_koudebehoefte_ventsysC1_EP1_snijpunt,AM$280)
   + INDEX(warmtebehoefte_plus_koudebehoefte_ventsysC1_EP1_C,AM$280)*AM$52*AM$34^INDEX(warmtebehoefte_plus_koudebehoefte_ventsysC1_EP1_n,AM$280))</f>
        <v/>
      </c>
      <c r="AN286" s="302" t="str" cm="1">
        <f t="array" ref="AN286">IF(OR(AN$19="",AN$24=0,AN$31=0),"",
      INDEX(warmtebehoefte_plus_koudebehoefte_ventsysC1_EP1_snijpunt,AN$280)
   + INDEX(warmtebehoefte_plus_koudebehoefte_ventsysC1_EP1_C,AN$280)*AN$52*AN$34^INDEX(warmtebehoefte_plus_koudebehoefte_ventsysC1_EP1_n,AN$280))</f>
        <v/>
      </c>
      <c r="AO286" s="302" t="str" cm="1">
        <f t="array" ref="AO286">IF(OR(AO$19="",AO$24=0,AO$31=0),"",
      INDEX(warmtebehoefte_plus_koudebehoefte_ventsysC1_EP1_snijpunt,AO$280)
   + INDEX(warmtebehoefte_plus_koudebehoefte_ventsysC1_EP1_C,AO$280)*AO$52*AO$34^INDEX(warmtebehoefte_plus_koudebehoefte_ventsysC1_EP1_n,AO$280))</f>
        <v/>
      </c>
      <c r="AP286" s="302" t="str" cm="1">
        <f t="array" ref="AP286">IF(OR(AP$19="",AP$24=0,AP$31=0),"",
      INDEX(warmtebehoefte_plus_koudebehoefte_ventsysC1_EP1_snijpunt,AP$280)
   + INDEX(warmtebehoefte_plus_koudebehoefte_ventsysC1_EP1_C,AP$280)*AP$52*AP$34^INDEX(warmtebehoefte_plus_koudebehoefte_ventsysC1_EP1_n,AP$280))</f>
        <v/>
      </c>
      <c r="AQ286" s="302" t="str" cm="1">
        <f t="array" ref="AQ286">IF(OR(AQ$19="",AQ$24=0,AQ$31=0),"",
      INDEX(warmtebehoefte_plus_koudebehoefte_ventsysC1_EP1_snijpunt,AQ$280)
   + INDEX(warmtebehoefte_plus_koudebehoefte_ventsysC1_EP1_C,AQ$280)*AQ$52*AQ$34^INDEX(warmtebehoefte_plus_koudebehoefte_ventsysC1_EP1_n,AQ$280))</f>
        <v/>
      </c>
      <c r="AR286" s="302" t="str" cm="1">
        <f t="array" ref="AR286">IF(OR(AR$19="",AR$24=0,AR$31=0),"",
      INDEX(warmtebehoefte_plus_koudebehoefte_ventsysC1_EP1_snijpunt,AR$280)
   + INDEX(warmtebehoefte_plus_koudebehoefte_ventsysC1_EP1_C,AR$280)*AR$52*AR$34^INDEX(warmtebehoefte_plus_koudebehoefte_ventsysC1_EP1_n,AR$280))</f>
        <v/>
      </c>
      <c r="AS286" s="302" t="str" cm="1">
        <f t="array" ref="AS286">IF(OR(AS$19="",AS$24=0,AS$31=0),"",
      INDEX(warmtebehoefte_plus_koudebehoefte_ventsysC1_EP1_snijpunt,AS$280)
   + INDEX(warmtebehoefte_plus_koudebehoefte_ventsysC1_EP1_C,AS$280)*AS$52*AS$34^INDEX(warmtebehoefte_plus_koudebehoefte_ventsysC1_EP1_n,AS$280))</f>
        <v/>
      </c>
      <c r="AT286" s="302" t="str" cm="1">
        <f t="array" ref="AT286">IF(OR(AT$19="",AT$24=0,AT$31=0),"",
      INDEX(warmtebehoefte_plus_koudebehoefte_ventsysC1_EP1_snijpunt,AT$280)
   + INDEX(warmtebehoefte_plus_koudebehoefte_ventsysC1_EP1_C,AT$280)*AT$52*AT$34^INDEX(warmtebehoefte_plus_koudebehoefte_ventsysC1_EP1_n,AT$280))</f>
        <v/>
      </c>
      <c r="AU286" s="302" t="str" cm="1">
        <f t="array" ref="AU286">IF(OR(AU$19="",AU$24=0,AU$31=0),"",
      INDEX(warmtebehoefte_plus_koudebehoefte_ventsysC1_EP1_snijpunt,AU$280)
   + INDEX(warmtebehoefte_plus_koudebehoefte_ventsysC1_EP1_C,AU$280)*AU$52*AU$34^INDEX(warmtebehoefte_plus_koudebehoefte_ventsysC1_EP1_n,AU$280))</f>
        <v/>
      </c>
      <c r="AV286" s="122"/>
      <c r="AW286" s="249"/>
      <c r="AX286" s="248"/>
      <c r="AY286" s="302" t="str" cm="1">
        <f t="array" ref="AY286">IF(OR(AY$19="",AY$24=0,AY$31=0),"",
      INDEX(warmtebehoefte_plus_koudebehoefte_ventsysC1_EP1_snijpunt,AY$280)
   + INDEX(warmtebehoefte_plus_koudebehoefte_ventsysC1_EP1_C,AY$280)*AY$52*AY$34^INDEX(warmtebehoefte_plus_koudebehoefte_ventsysC1_EP1_n,AY$280))</f>
        <v/>
      </c>
      <c r="AZ286" s="302" t="str" cm="1">
        <f t="array" ref="AZ286">IF(OR(AZ$19="",AZ$24=0,AZ$31=0),"",
      INDEX(warmtebehoefte_plus_koudebehoefte_ventsysC1_EP1_snijpunt,AZ$280)
   + INDEX(warmtebehoefte_plus_koudebehoefte_ventsysC1_EP1_C,AZ$280)*AZ$52*AZ$34^INDEX(warmtebehoefte_plus_koudebehoefte_ventsysC1_EP1_n,AZ$280))</f>
        <v/>
      </c>
      <c r="BA286" s="302" t="str" cm="1">
        <f t="array" ref="BA286">IF(OR(BA$19="",BA$24=0,BA$31=0),"",
      INDEX(warmtebehoefte_plus_koudebehoefte_ventsysC1_EP1_snijpunt,BA$280)
   + INDEX(warmtebehoefte_plus_koudebehoefte_ventsysC1_EP1_C,BA$280)*BA$52*BA$34^INDEX(warmtebehoefte_plus_koudebehoefte_ventsysC1_EP1_n,BA$280))</f>
        <v/>
      </c>
      <c r="BB286" s="302" t="str" cm="1">
        <f t="array" ref="BB286">IF(OR(BB$19="",BB$24=0,BB$31=0),"",
      INDEX(warmtebehoefte_plus_koudebehoefte_ventsysC1_EP1_snijpunt,BB$280)
   + INDEX(warmtebehoefte_plus_koudebehoefte_ventsysC1_EP1_C,BB$280)*BB$52*BB$34^INDEX(warmtebehoefte_plus_koudebehoefte_ventsysC1_EP1_n,BB$280))</f>
        <v/>
      </c>
      <c r="BC286" s="302" t="str" cm="1">
        <f t="array" ref="BC286">IF(OR(BC$19="",BC$24=0,BC$31=0),"",
      INDEX(warmtebehoefte_plus_koudebehoefte_ventsysC1_EP1_snijpunt,BC$280)
   + INDEX(warmtebehoefte_plus_koudebehoefte_ventsysC1_EP1_C,BC$280)*BC$52*BC$34^INDEX(warmtebehoefte_plus_koudebehoefte_ventsysC1_EP1_n,BC$280))</f>
        <v/>
      </c>
      <c r="BD286" s="302" t="str" cm="1">
        <f t="array" ref="BD286">IF(OR(BD$19="",BD$24=0,BD$31=0),"",
      INDEX(warmtebehoefte_plus_koudebehoefte_ventsysC1_EP1_snijpunt,BD$280)
   + INDEX(warmtebehoefte_plus_koudebehoefte_ventsysC1_EP1_C,BD$280)*BD$52*BD$34^INDEX(warmtebehoefte_plus_koudebehoefte_ventsysC1_EP1_n,BD$280))</f>
        <v/>
      </c>
      <c r="BE286" s="302" t="str" cm="1">
        <f t="array" ref="BE286">IF(OR(BE$19="",BE$24=0,BE$31=0),"",
      INDEX(warmtebehoefte_plus_koudebehoefte_ventsysC1_EP1_snijpunt,BE$280)
   + INDEX(warmtebehoefte_plus_koudebehoefte_ventsysC1_EP1_C,BE$280)*BE$52*BE$34^INDEX(warmtebehoefte_plus_koudebehoefte_ventsysC1_EP1_n,BE$280))</f>
        <v/>
      </c>
      <c r="BF286" s="302" t="str" cm="1">
        <f t="array" ref="BF286">IF(OR(BF$19="",BF$24=0,BF$31=0),"",
      INDEX(warmtebehoefte_plus_koudebehoefte_ventsysC1_EP1_snijpunt,BF$280)
   + INDEX(warmtebehoefte_plus_koudebehoefte_ventsysC1_EP1_C,BF$280)*BF$52*BF$34^INDEX(warmtebehoefte_plus_koudebehoefte_ventsysC1_EP1_n,BF$280))</f>
        <v/>
      </c>
      <c r="BG286" s="302" t="str" cm="1">
        <f t="array" ref="BG286">IF(OR(BG$19="",BG$24=0,BG$31=0),"",
      INDEX(warmtebehoefte_plus_koudebehoefte_ventsysC1_EP1_snijpunt,BG$280)
   + INDEX(warmtebehoefte_plus_koudebehoefte_ventsysC1_EP1_C,BG$280)*BG$52*BG$34^INDEX(warmtebehoefte_plus_koudebehoefte_ventsysC1_EP1_n,BG$280))</f>
        <v/>
      </c>
      <c r="BH286" s="255"/>
    </row>
    <row r="287" spans="1:60" x14ac:dyDescent="0.2">
      <c r="A287" s="648"/>
      <c r="B287" s="492" t="s">
        <v>335</v>
      </c>
      <c r="C287" s="656" t="s">
        <v>113</v>
      </c>
      <c r="D287" s="749" t="s">
        <v>50</v>
      </c>
      <c r="E287" s="246" t="s">
        <v>344</v>
      </c>
      <c r="F287" s="246"/>
      <c r="G287" s="246"/>
      <c r="H287" s="247" t="s">
        <v>317</v>
      </c>
      <c r="I287" s="248"/>
      <c r="J287" s="249"/>
      <c r="K287" s="90"/>
      <c r="L287" s="90"/>
      <c r="M287" s="249"/>
      <c r="N287" s="248"/>
      <c r="O287" s="302" t="str">
        <f t="shared" ref="O287:W287" si="290">IF(OR(O$19="",O$24=0,O$31=0),"",ROUNDUP(O$255-O$246-O$247-O$248-IF(OR(O$21=woning,O$21=woongebouw),O244,0),2))</f>
        <v/>
      </c>
      <c r="P287" s="302" t="str">
        <f t="shared" si="290"/>
        <v/>
      </c>
      <c r="Q287" s="302" t="str">
        <f t="shared" si="290"/>
        <v/>
      </c>
      <c r="R287" s="302" t="str">
        <f t="shared" si="290"/>
        <v/>
      </c>
      <c r="S287" s="302" t="str">
        <f t="shared" si="290"/>
        <v/>
      </c>
      <c r="T287" s="302" t="str">
        <f t="shared" si="290"/>
        <v/>
      </c>
      <c r="U287" s="302" t="str">
        <f t="shared" si="290"/>
        <v/>
      </c>
      <c r="V287" s="302" t="str">
        <f t="shared" si="290"/>
        <v/>
      </c>
      <c r="W287" s="302" t="str">
        <f t="shared" si="290"/>
        <v/>
      </c>
      <c r="X287" s="122"/>
      <c r="Y287" s="249"/>
      <c r="Z287" s="248"/>
      <c r="AA287" s="302" t="str">
        <f t="shared" ref="AA287:AI287" si="291">IF(OR(AA$19="",AA$24=0,AA$31=0),"",ROUNDUP(AA$255-AA$246-AA$247-AA$248-IF(OR(AA$21=woning,AA$21=woongebouw),AA244,0),2))</f>
        <v/>
      </c>
      <c r="AB287" s="302" t="str">
        <f t="shared" si="291"/>
        <v/>
      </c>
      <c r="AC287" s="302" t="str">
        <f t="shared" si="291"/>
        <v/>
      </c>
      <c r="AD287" s="302" t="str">
        <f t="shared" si="291"/>
        <v/>
      </c>
      <c r="AE287" s="302" t="str">
        <f t="shared" si="291"/>
        <v/>
      </c>
      <c r="AF287" s="302" t="str">
        <f t="shared" si="291"/>
        <v/>
      </c>
      <c r="AG287" s="302" t="str">
        <f t="shared" si="291"/>
        <v/>
      </c>
      <c r="AH287" s="302" t="str">
        <f t="shared" si="291"/>
        <v/>
      </c>
      <c r="AI287" s="302" t="str">
        <f t="shared" si="291"/>
        <v/>
      </c>
      <c r="AJ287" s="122"/>
      <c r="AK287" s="249"/>
      <c r="AL287" s="248"/>
      <c r="AM287" s="302" t="str">
        <f t="shared" ref="AM287:AU287" si="292">IF(OR(AM$19="",AM$24=0,AM$31=0),"",ROUNDUP(AM$255-AM$246-AM$247-AM$248-IF(OR(AM$21=woning,AM$21=woongebouw),AM244,0),2))</f>
        <v/>
      </c>
      <c r="AN287" s="302" t="str">
        <f t="shared" si="292"/>
        <v/>
      </c>
      <c r="AO287" s="302" t="str">
        <f t="shared" si="292"/>
        <v/>
      </c>
      <c r="AP287" s="302" t="str">
        <f t="shared" si="292"/>
        <v/>
      </c>
      <c r="AQ287" s="302" t="str">
        <f t="shared" si="292"/>
        <v/>
      </c>
      <c r="AR287" s="302" t="str">
        <f t="shared" si="292"/>
        <v/>
      </c>
      <c r="AS287" s="302" t="str">
        <f t="shared" si="292"/>
        <v/>
      </c>
      <c r="AT287" s="302" t="str">
        <f t="shared" si="292"/>
        <v/>
      </c>
      <c r="AU287" s="302" t="str">
        <f t="shared" si="292"/>
        <v/>
      </c>
      <c r="AV287" s="122"/>
      <c r="AW287" s="249"/>
      <c r="AX287" s="248"/>
      <c r="AY287" s="302" t="str">
        <f t="shared" ref="AY287:BG287" si="293">IF(OR(AY$19="",AY$24=0,AY$31=0),"",ROUNDUP(AY$255-AY$246-AY$247-AY$248-IF(OR(AY$21=woning,AY$21=woongebouw),AY244,0),2))</f>
        <v/>
      </c>
      <c r="AZ287" s="302" t="str">
        <f t="shared" si="293"/>
        <v/>
      </c>
      <c r="BA287" s="302" t="str">
        <f t="shared" si="293"/>
        <v/>
      </c>
      <c r="BB287" s="302" t="str">
        <f t="shared" si="293"/>
        <v/>
      </c>
      <c r="BC287" s="302" t="str">
        <f t="shared" si="293"/>
        <v/>
      </c>
      <c r="BD287" s="302" t="str">
        <f t="shared" si="293"/>
        <v/>
      </c>
      <c r="BE287" s="302" t="str">
        <f t="shared" si="293"/>
        <v/>
      </c>
      <c r="BF287" s="302" t="str">
        <f t="shared" si="293"/>
        <v/>
      </c>
      <c r="BG287" s="302" t="str">
        <f t="shared" si="293"/>
        <v/>
      </c>
      <c r="BH287" s="255"/>
    </row>
    <row r="288" spans="1:60" x14ac:dyDescent="0.2">
      <c r="A288" s="648"/>
      <c r="B288" s="492" t="s">
        <v>335</v>
      </c>
      <c r="C288" s="656" t="s">
        <v>113</v>
      </c>
      <c r="D288" s="750" t="s">
        <v>50</v>
      </c>
      <c r="E288" s="246" t="s">
        <v>345</v>
      </c>
      <c r="F288" s="246"/>
      <c r="G288" s="246"/>
      <c r="H288" s="247" t="s">
        <v>150</v>
      </c>
      <c r="I288" s="248"/>
      <c r="J288" s="249"/>
      <c r="K288" s="90"/>
      <c r="L288" s="90"/>
      <c r="M288" s="249"/>
      <c r="N288" s="248"/>
      <c r="O288" s="689" t="str">
        <f t="shared" ref="O288:W288" si="294">IF(O$280="","",O275)</f>
        <v/>
      </c>
      <c r="P288" s="689" t="str">
        <f t="shared" si="294"/>
        <v/>
      </c>
      <c r="Q288" s="689" t="str">
        <f t="shared" si="294"/>
        <v/>
      </c>
      <c r="R288" s="689" t="str">
        <f t="shared" si="294"/>
        <v/>
      </c>
      <c r="S288" s="689" t="str">
        <f t="shared" si="294"/>
        <v/>
      </c>
      <c r="T288" s="689" t="str">
        <f t="shared" si="294"/>
        <v/>
      </c>
      <c r="U288" s="689" t="str">
        <f t="shared" si="294"/>
        <v/>
      </c>
      <c r="V288" s="689" t="str">
        <f t="shared" si="294"/>
        <v/>
      </c>
      <c r="W288" s="689" t="str">
        <f t="shared" si="294"/>
        <v/>
      </c>
      <c r="X288" s="690"/>
      <c r="Y288" s="691"/>
      <c r="Z288" s="692"/>
      <c r="AA288" s="689" t="str">
        <f t="shared" ref="AA288:AI288" si="295">IF(AA$280="","",AA275)</f>
        <v/>
      </c>
      <c r="AB288" s="689" t="str">
        <f t="shared" si="295"/>
        <v/>
      </c>
      <c r="AC288" s="689" t="str">
        <f t="shared" si="295"/>
        <v/>
      </c>
      <c r="AD288" s="689" t="str">
        <f t="shared" si="295"/>
        <v/>
      </c>
      <c r="AE288" s="689" t="str">
        <f t="shared" si="295"/>
        <v/>
      </c>
      <c r="AF288" s="689" t="str">
        <f t="shared" si="295"/>
        <v/>
      </c>
      <c r="AG288" s="689" t="str">
        <f t="shared" si="295"/>
        <v/>
      </c>
      <c r="AH288" s="689" t="str">
        <f t="shared" si="295"/>
        <v/>
      </c>
      <c r="AI288" s="689" t="str">
        <f t="shared" si="295"/>
        <v/>
      </c>
      <c r="AJ288" s="690"/>
      <c r="AK288" s="691"/>
      <c r="AL288" s="692"/>
      <c r="AM288" s="689" t="str">
        <f>IF(AM$280="","",AM275)</f>
        <v/>
      </c>
      <c r="AN288" s="689" t="str">
        <f t="shared" ref="AN288:AU288" si="296">IF(AN$280="","",AN275)</f>
        <v/>
      </c>
      <c r="AO288" s="689" t="str">
        <f t="shared" si="296"/>
        <v/>
      </c>
      <c r="AP288" s="689" t="str">
        <f t="shared" si="296"/>
        <v/>
      </c>
      <c r="AQ288" s="689" t="str">
        <f t="shared" si="296"/>
        <v/>
      </c>
      <c r="AR288" s="689" t="str">
        <f t="shared" si="296"/>
        <v/>
      </c>
      <c r="AS288" s="689" t="str">
        <f t="shared" si="296"/>
        <v/>
      </c>
      <c r="AT288" s="689" t="str">
        <f t="shared" si="296"/>
        <v/>
      </c>
      <c r="AU288" s="689" t="str">
        <f t="shared" si="296"/>
        <v/>
      </c>
      <c r="AV288" s="690"/>
      <c r="AW288" s="691"/>
      <c r="AX288" s="692"/>
      <c r="AY288" s="689" t="str">
        <f>IF(AY$280="","",AY275)</f>
        <v/>
      </c>
      <c r="AZ288" s="689" t="str">
        <f t="shared" ref="AZ288:BG288" si="297">IF(AZ$280="","",AZ275)</f>
        <v/>
      </c>
      <c r="BA288" s="689" t="str">
        <f t="shared" si="297"/>
        <v/>
      </c>
      <c r="BB288" s="689" t="str">
        <f t="shared" si="297"/>
        <v/>
      </c>
      <c r="BC288" s="689" t="str">
        <f t="shared" si="297"/>
        <v/>
      </c>
      <c r="BD288" s="689" t="str">
        <f t="shared" si="297"/>
        <v/>
      </c>
      <c r="BE288" s="689" t="str">
        <f t="shared" si="297"/>
        <v/>
      </c>
      <c r="BF288" s="689" t="str">
        <f t="shared" si="297"/>
        <v/>
      </c>
      <c r="BG288" s="689" t="str">
        <f t="shared" si="297"/>
        <v/>
      </c>
      <c r="BH288" s="255"/>
    </row>
    <row r="289" spans="1:60" ht="18.75" x14ac:dyDescent="0.2">
      <c r="A289" s="648"/>
      <c r="B289" s="492" t="s">
        <v>335</v>
      </c>
      <c r="C289" s="739" t="s">
        <v>104</v>
      </c>
      <c r="D289" s="747"/>
      <c r="E289" s="236" t="s">
        <v>346</v>
      </c>
      <c r="F289" s="236"/>
      <c r="G289" s="236"/>
      <c r="H289" s="89"/>
      <c r="I289" s="236"/>
      <c r="J289" s="236"/>
      <c r="K289" s="236"/>
      <c r="L289" s="236"/>
      <c r="M289" s="236"/>
      <c r="N289" s="236"/>
      <c r="O289" s="236"/>
      <c r="P289" s="236"/>
      <c r="Q289" s="236"/>
      <c r="R289" s="236"/>
      <c r="S289" s="236"/>
      <c r="T289" s="236"/>
      <c r="U289" s="236"/>
      <c r="V289" s="236"/>
      <c r="W289" s="236"/>
      <c r="X289" s="236"/>
      <c r="Y289" s="236"/>
      <c r="Z289" s="236"/>
      <c r="AA289" s="236"/>
      <c r="AB289" s="236"/>
      <c r="AC289" s="236"/>
      <c r="AD289" s="236"/>
      <c r="AE289" s="236"/>
      <c r="AF289" s="236"/>
      <c r="AG289" s="236"/>
      <c r="AH289" s="236"/>
      <c r="AI289" s="236"/>
      <c r="AJ289" s="236"/>
      <c r="AK289" s="236"/>
      <c r="AL289" s="236"/>
      <c r="AM289" s="236"/>
      <c r="AN289" s="236"/>
      <c r="AO289" s="236"/>
      <c r="AP289" s="236"/>
      <c r="AQ289" s="236"/>
      <c r="AR289" s="236"/>
      <c r="AS289" s="236"/>
      <c r="AT289" s="236"/>
      <c r="AU289" s="236"/>
      <c r="AV289" s="236"/>
      <c r="AW289" s="236"/>
      <c r="AX289" s="236"/>
      <c r="AY289" s="236"/>
      <c r="AZ289" s="236"/>
      <c r="BA289" s="236"/>
      <c r="BB289" s="236"/>
      <c r="BC289" s="236"/>
      <c r="BD289" s="236"/>
      <c r="BE289" s="236"/>
      <c r="BF289" s="236"/>
      <c r="BG289" s="236"/>
      <c r="BH289" s="38"/>
    </row>
    <row r="290" spans="1:60" x14ac:dyDescent="0.2">
      <c r="A290" s="648"/>
      <c r="B290" s="492" t="s">
        <v>335</v>
      </c>
      <c r="C290" s="656" t="s">
        <v>113</v>
      </c>
      <c r="D290" s="749" t="s">
        <v>50</v>
      </c>
      <c r="E290" s="246" t="s">
        <v>346</v>
      </c>
      <c r="F290" s="246"/>
      <c r="G290" s="246"/>
      <c r="H290" s="247" t="s">
        <v>70</v>
      </c>
      <c r="I290" s="129"/>
      <c r="J290" s="243"/>
      <c r="K290" s="236"/>
      <c r="L290" s="236"/>
      <c r="M290" s="243"/>
      <c r="N290" s="129"/>
      <c r="O290" s="207" t="str">
        <f ca="1">IF(OR(O$24=0,$O$75=0),"",
INDEX(energielabels_labelnamen,MATCH(O287,OFFSET(bibliotheek!$H$510,0,MATCH(O$21,gebruiksfuncties_namen,0),ROWS(energielabels_labelnamen),1),-1)))</f>
        <v/>
      </c>
      <c r="P290" s="207" t="str">
        <f ca="1">IF(OR(P$24=0,$O$75=0),"",
INDEX(energielabels_labelnamen,MATCH(P287,OFFSET(bibliotheek!$H$510,0,MATCH(P$21,gebruiksfuncties_namen,0),ROWS(energielabels_labelnamen),1),-1)))</f>
        <v/>
      </c>
      <c r="Q290" s="207" t="str">
        <f ca="1">IF(OR(Q$24=0,$O$75=0),"",
INDEX(energielabels_labelnamen,MATCH(Q287,OFFSET(bibliotheek!$H$510,0,MATCH(Q$21,gebruiksfuncties_namen,0),ROWS(energielabels_labelnamen),1),-1)))</f>
        <v/>
      </c>
      <c r="R290" s="207" t="str">
        <f ca="1">IF(OR(R$24=0,$O$75=0),"",
INDEX(energielabels_labelnamen,MATCH(R287,OFFSET(bibliotheek!$H$510,0,MATCH(R$21,gebruiksfuncties_namen,0),ROWS(energielabels_labelnamen),1),-1)))</f>
        <v/>
      </c>
      <c r="S290" s="207" t="str">
        <f ca="1">IF(OR(S$24=0,$O$75=0),"",
INDEX(energielabels_labelnamen,MATCH(S287,OFFSET(bibliotheek!$H$510,0,MATCH(S$21,gebruiksfuncties_namen,0),ROWS(energielabels_labelnamen),1),-1)))</f>
        <v/>
      </c>
      <c r="T290" s="207" t="str">
        <f ca="1">IF(OR(T$24=0,$O$75=0),"",
INDEX(energielabels_labelnamen,MATCH(T287,OFFSET(bibliotheek!$H$510,0,MATCH(T$21,gebruiksfuncties_namen,0),ROWS(energielabels_labelnamen),1),-1)))</f>
        <v/>
      </c>
      <c r="U290" s="207" t="str">
        <f ca="1">IF(OR(U$24=0,$O$75=0),"",
INDEX(energielabels_labelnamen,MATCH(U287,OFFSET(bibliotheek!$H$510,0,MATCH(U$21,gebruiksfuncties_namen,0),ROWS(energielabels_labelnamen),1),-1)))</f>
        <v/>
      </c>
      <c r="V290" s="207" t="str">
        <f ca="1">IF(OR(V$24=0,$O$75=0),"",
INDEX(energielabels_labelnamen,MATCH(V287,OFFSET(bibliotheek!$H$510,0,MATCH(V$21,gebruiksfuncties_namen,0),ROWS(energielabels_labelnamen),1),-1)))</f>
        <v/>
      </c>
      <c r="W290" s="207" t="str">
        <f ca="1">IF(OR(W$24=0,$O$75=0),"",
INDEX(energielabels_labelnamen,MATCH(W287,OFFSET(bibliotheek!$H$510,0,MATCH(W$21,gebruiksfuncties_namen,0),ROWS(energielabels_labelnamen),1),-1)))</f>
        <v/>
      </c>
      <c r="X290" s="128"/>
      <c r="Y290" s="243"/>
      <c r="Z290" s="129"/>
      <c r="AA290" s="207" t="str">
        <f ca="1">IF(OR(AA$24=0,$O$75=0),"",
INDEX(energielabels_labelnamen,MATCH(AA287,OFFSET(bibliotheek!$H$510,0,MATCH(AA$21,gebruiksfuncties_namen,0),ROWS(energielabels_labelnamen),1),-1)))</f>
        <v/>
      </c>
      <c r="AB290" s="207" t="str">
        <f ca="1">IF(OR(AB$24=0,$O$75=0),"",
INDEX(energielabels_labelnamen,MATCH(AB287,OFFSET(bibliotheek!$H$510,0,MATCH(AB$21,gebruiksfuncties_namen,0),ROWS(energielabels_labelnamen),1),-1)))</f>
        <v/>
      </c>
      <c r="AC290" s="207" t="str">
        <f ca="1">IF(OR(AC$24=0,$O$75=0),"",
INDEX(energielabels_labelnamen,MATCH(AC287,OFFSET(bibliotheek!$H$510,0,MATCH(AC$21,gebruiksfuncties_namen,0),ROWS(energielabels_labelnamen),1),-1)))</f>
        <v/>
      </c>
      <c r="AD290" s="207" t="str">
        <f ca="1">IF(OR(AD$24=0,$O$75=0),"",
INDEX(energielabels_labelnamen,MATCH(AD287,OFFSET(bibliotheek!$H$510,0,MATCH(AD$21,gebruiksfuncties_namen,0),ROWS(energielabels_labelnamen),1),-1)))</f>
        <v/>
      </c>
      <c r="AE290" s="207" t="str">
        <f ca="1">IF(OR(AE$24=0,$O$75=0),"",
INDEX(energielabels_labelnamen,MATCH(AE287,OFFSET(bibliotheek!$H$510,0,MATCH(AE$21,gebruiksfuncties_namen,0),ROWS(energielabels_labelnamen),1),-1)))</f>
        <v/>
      </c>
      <c r="AF290" s="207" t="str">
        <f ca="1">IF(OR(AF$24=0,$O$75=0),"",
INDEX(energielabels_labelnamen,MATCH(AF287,OFFSET(bibliotheek!$H$510,0,MATCH(AF$21,gebruiksfuncties_namen,0),ROWS(energielabels_labelnamen),1),-1)))</f>
        <v/>
      </c>
      <c r="AG290" s="207" t="str">
        <f ca="1">IF(OR(AG$24=0,$O$75=0),"",
INDEX(energielabels_labelnamen,MATCH(AG287,OFFSET(bibliotheek!$H$510,0,MATCH(AG$21,gebruiksfuncties_namen,0),ROWS(energielabels_labelnamen),1),-1)))</f>
        <v/>
      </c>
      <c r="AH290" s="207" t="str">
        <f ca="1">IF(OR(AH$24=0,$O$75=0),"",
INDEX(energielabels_labelnamen,MATCH(AH287,OFFSET(bibliotheek!$H$510,0,MATCH(AH$21,gebruiksfuncties_namen,0),ROWS(energielabels_labelnamen),1),-1)))</f>
        <v/>
      </c>
      <c r="AI290" s="207" t="str">
        <f ca="1">IF(OR(AI$24=0,$O$75=0),"",
INDEX(energielabels_labelnamen,MATCH(AI287,OFFSET(bibliotheek!$H$510,0,MATCH(AI$21,gebruiksfuncties_namen,0),ROWS(energielabels_labelnamen),1),-1)))</f>
        <v/>
      </c>
      <c r="AJ290" s="128"/>
      <c r="AK290" s="243"/>
      <c r="AL290" s="129"/>
      <c r="AM290" s="207" t="str">
        <f ca="1">IF(OR(AM$24=0,$O$75=0),"",
INDEX(energielabels_labelnamen,MATCH(AM287,OFFSET(bibliotheek!$H$510,0,MATCH(AM$21,gebruiksfuncties_namen,0),ROWS(energielabels_labelnamen),1),-1)))</f>
        <v/>
      </c>
      <c r="AN290" s="207" t="str">
        <f ca="1">IF(OR(AN$24=0,$O$75=0),"",
INDEX(energielabels_labelnamen,MATCH(AN287,OFFSET(bibliotheek!$H$510,0,MATCH(AN$21,gebruiksfuncties_namen,0),ROWS(energielabels_labelnamen),1),-1)))</f>
        <v/>
      </c>
      <c r="AO290" s="207" t="str">
        <f ca="1">IF(OR(AO$24=0,$O$75=0),"",
INDEX(energielabels_labelnamen,MATCH(AO287,OFFSET(bibliotheek!$H$510,0,MATCH(AO$21,gebruiksfuncties_namen,0),ROWS(energielabels_labelnamen),1),-1)))</f>
        <v/>
      </c>
      <c r="AP290" s="207" t="str">
        <f ca="1">IF(OR(AP$24=0,$O$75=0),"",
INDEX(energielabels_labelnamen,MATCH(AP287,OFFSET(bibliotheek!$H$510,0,MATCH(AP$21,gebruiksfuncties_namen,0),ROWS(energielabels_labelnamen),1),-1)))</f>
        <v/>
      </c>
      <c r="AQ290" s="207" t="str">
        <f ca="1">IF(OR(AQ$24=0,$O$75=0),"",
INDEX(energielabels_labelnamen,MATCH(AQ287,OFFSET(bibliotheek!$H$510,0,MATCH(AQ$21,gebruiksfuncties_namen,0),ROWS(energielabels_labelnamen),1),-1)))</f>
        <v/>
      </c>
      <c r="AR290" s="207" t="str">
        <f ca="1">IF(OR(AR$24=0,$O$75=0),"",
INDEX(energielabels_labelnamen,MATCH(AR287,OFFSET(bibliotheek!$H$510,0,MATCH(AR$21,gebruiksfuncties_namen,0),ROWS(energielabels_labelnamen),1),-1)))</f>
        <v/>
      </c>
      <c r="AS290" s="207" t="str">
        <f ca="1">IF(OR(AS$24=0,$O$75=0),"",
INDEX(energielabels_labelnamen,MATCH(AS287,OFFSET(bibliotheek!$H$510,0,MATCH(AS$21,gebruiksfuncties_namen,0),ROWS(energielabels_labelnamen),1),-1)))</f>
        <v/>
      </c>
      <c r="AT290" s="207" t="str">
        <f ca="1">IF(OR(AT$24=0,$O$75=0),"",
INDEX(energielabels_labelnamen,MATCH(AT287,OFFSET(bibliotheek!$H$510,0,MATCH(AT$21,gebruiksfuncties_namen,0),ROWS(energielabels_labelnamen),1),-1)))</f>
        <v/>
      </c>
      <c r="AU290" s="207" t="str">
        <f ca="1">IF(OR(AU$24=0,$O$75=0),"",
INDEX(energielabels_labelnamen,MATCH(AU287,OFFSET(bibliotheek!$H$510,0,MATCH(AU$21,gebruiksfuncties_namen,0),ROWS(energielabels_labelnamen),1),-1)))</f>
        <v/>
      </c>
      <c r="AV290" s="128"/>
      <c r="AW290" s="243"/>
      <c r="AX290" s="129"/>
      <c r="AY290" s="207" t="str">
        <f ca="1">IF(OR(AY$24=0,$O$75=0),"",
INDEX(energielabels_labelnamen,MATCH(AY287,OFFSET(bibliotheek!$H$510,0,MATCH(AY$21,gebruiksfuncties_namen,0),ROWS(energielabels_labelnamen),1),-1)))</f>
        <v/>
      </c>
      <c r="AZ290" s="207" t="str">
        <f ca="1">IF(OR(AZ$24=0,$O$75=0),"",
INDEX(energielabels_labelnamen,MATCH(AZ287,OFFSET(bibliotheek!$H$510,0,MATCH(AZ$21,gebruiksfuncties_namen,0),ROWS(energielabels_labelnamen),1),-1)))</f>
        <v/>
      </c>
      <c r="BA290" s="207" t="str">
        <f ca="1">IF(OR(BA$24=0,$O$75=0),"",
INDEX(energielabels_labelnamen,MATCH(BA287,OFFSET(bibliotheek!$H$510,0,MATCH(BA$21,gebruiksfuncties_namen,0),ROWS(energielabels_labelnamen),1),-1)))</f>
        <v/>
      </c>
      <c r="BB290" s="207" t="str">
        <f ca="1">IF(OR(BB$24=0,$O$75=0),"",
INDEX(energielabels_labelnamen,MATCH(BB287,OFFSET(bibliotheek!$H$510,0,MATCH(BB$21,gebruiksfuncties_namen,0),ROWS(energielabels_labelnamen),1),-1)))</f>
        <v/>
      </c>
      <c r="BC290" s="207" t="str">
        <f ca="1">IF(OR(BC$24=0,$O$75=0),"",
INDEX(energielabels_labelnamen,MATCH(BC287,OFFSET(bibliotheek!$H$510,0,MATCH(BC$21,gebruiksfuncties_namen,0),ROWS(energielabels_labelnamen),1),-1)))</f>
        <v/>
      </c>
      <c r="BD290" s="207" t="str">
        <f ca="1">IF(OR(BD$24=0,$O$75=0),"",
INDEX(energielabels_labelnamen,MATCH(BD287,OFFSET(bibliotheek!$H$510,0,MATCH(BD$21,gebruiksfuncties_namen,0),ROWS(energielabels_labelnamen),1),-1)))</f>
        <v/>
      </c>
      <c r="BE290" s="207" t="str">
        <f ca="1">IF(OR(BE$24=0,$O$75=0),"",
INDEX(energielabels_labelnamen,MATCH(BE287,OFFSET(bibliotheek!$H$510,0,MATCH(BE$21,gebruiksfuncties_namen,0),ROWS(energielabels_labelnamen),1),-1)))</f>
        <v/>
      </c>
      <c r="BF290" s="207" t="str">
        <f ca="1">IF(OR(BF$24=0,$O$75=0),"",
INDEX(energielabels_labelnamen,MATCH(BF287,OFFSET(bibliotheek!$H$510,0,MATCH(BF$21,gebruiksfuncties_namen,0),ROWS(energielabels_labelnamen),1),-1)))</f>
        <v/>
      </c>
      <c r="BG290" s="207" t="str">
        <f ca="1">IF(OR(BG$24=0,$O$75=0),"",
INDEX(energielabels_labelnamen,MATCH(BG287,OFFSET(bibliotheek!$H$510,0,MATCH(BG$21,gebruiksfuncties_namen,0),ROWS(energielabels_labelnamen),1),-1)))</f>
        <v/>
      </c>
      <c r="BH290" s="255"/>
    </row>
    <row r="291" spans="1:60" x14ac:dyDescent="0.2">
      <c r="A291" s="648"/>
      <c r="B291" s="492" t="s">
        <v>335</v>
      </c>
      <c r="C291" s="656" t="s">
        <v>113</v>
      </c>
      <c r="D291" s="749" t="s">
        <v>50</v>
      </c>
      <c r="E291" s="246" t="s">
        <v>1198</v>
      </c>
      <c r="F291" s="1041"/>
      <c r="G291" s="1041"/>
      <c r="H291" s="247" t="s">
        <v>70</v>
      </c>
      <c r="I291" s="129"/>
      <c r="J291" s="243"/>
      <c r="K291" s="236"/>
      <c r="L291" s="236"/>
      <c r="M291" s="243"/>
      <c r="N291" s="129"/>
      <c r="O291" s="207" t="str">
        <f t="shared" ref="O291:W291" si="298">IF(O$28=0,"",INDEX(eindnorm_utiliteit_energielabel,MATCH(O$21,gebruiksfuncties_namen,0)))</f>
        <v/>
      </c>
      <c r="P291" s="207" t="str">
        <f>IF(P$28=0,"",INDEX(eindnorm_utiliteit_energielabel,1,MATCH(P$21,gebruiksfuncties_namen,0)))</f>
        <v/>
      </c>
      <c r="Q291" s="207" t="str">
        <f t="shared" si="298"/>
        <v/>
      </c>
      <c r="R291" s="207" t="str">
        <f t="shared" si="298"/>
        <v/>
      </c>
      <c r="S291" s="207" t="str">
        <f t="shared" si="298"/>
        <v/>
      </c>
      <c r="T291" s="207" t="str">
        <f t="shared" si="298"/>
        <v/>
      </c>
      <c r="U291" s="207" t="str">
        <f t="shared" si="298"/>
        <v/>
      </c>
      <c r="V291" s="207" t="str">
        <f t="shared" si="298"/>
        <v/>
      </c>
      <c r="W291" s="207" t="str">
        <f t="shared" si="298"/>
        <v/>
      </c>
      <c r="X291" s="128"/>
      <c r="Y291" s="243"/>
      <c r="Z291" s="129"/>
      <c r="AA291" s="207" t="str">
        <f t="shared" ref="AA291:AI291" si="299">IF(AA$28=0,"",INDEX(eindnorm_utiliteit_energielabel,MATCH(AA$21,gebruiksfuncties_namen,0)))</f>
        <v/>
      </c>
      <c r="AB291" s="207" t="str">
        <f t="shared" si="299"/>
        <v/>
      </c>
      <c r="AC291" s="207" t="str">
        <f t="shared" si="299"/>
        <v/>
      </c>
      <c r="AD291" s="207" t="str">
        <f t="shared" si="299"/>
        <v/>
      </c>
      <c r="AE291" s="207" t="str">
        <f t="shared" si="299"/>
        <v/>
      </c>
      <c r="AF291" s="207" t="str">
        <f t="shared" si="299"/>
        <v/>
      </c>
      <c r="AG291" s="207" t="str">
        <f t="shared" si="299"/>
        <v/>
      </c>
      <c r="AH291" s="207" t="str">
        <f t="shared" si="299"/>
        <v/>
      </c>
      <c r="AI291" s="207" t="str">
        <f t="shared" si="299"/>
        <v/>
      </c>
      <c r="AJ291" s="128"/>
      <c r="AK291" s="243"/>
      <c r="AL291" s="129"/>
      <c r="AM291" s="207" t="str">
        <f t="shared" ref="AM291:AU291" si="300">IF(AM$28=0,"",INDEX(eindnorm_utiliteit_energielabel,MATCH(AM$21,gebruiksfuncties_namen,0)))</f>
        <v/>
      </c>
      <c r="AN291" s="207" t="str">
        <f t="shared" si="300"/>
        <v/>
      </c>
      <c r="AO291" s="207" t="str">
        <f t="shared" si="300"/>
        <v/>
      </c>
      <c r="AP291" s="207" t="str">
        <f t="shared" si="300"/>
        <v/>
      </c>
      <c r="AQ291" s="207" t="str">
        <f t="shared" si="300"/>
        <v/>
      </c>
      <c r="AR291" s="207" t="str">
        <f t="shared" si="300"/>
        <v/>
      </c>
      <c r="AS291" s="207" t="str">
        <f t="shared" si="300"/>
        <v/>
      </c>
      <c r="AT291" s="207" t="str">
        <f t="shared" si="300"/>
        <v/>
      </c>
      <c r="AU291" s="207" t="str">
        <f t="shared" si="300"/>
        <v/>
      </c>
      <c r="AV291" s="128"/>
      <c r="AW291" s="243"/>
      <c r="AX291" s="129"/>
      <c r="AY291" s="207" t="str">
        <f t="shared" ref="AY291:BG291" si="301">IF(AY$28=0,"",INDEX(eindnorm_utiliteit_energielabel,MATCH(AY$21,gebruiksfuncties_namen,0)))</f>
        <v/>
      </c>
      <c r="AZ291" s="207" t="str">
        <f t="shared" si="301"/>
        <v/>
      </c>
      <c r="BA291" s="207" t="str">
        <f t="shared" si="301"/>
        <v/>
      </c>
      <c r="BB291" s="207" t="str">
        <f t="shared" si="301"/>
        <v/>
      </c>
      <c r="BC291" s="207" t="str">
        <f t="shared" si="301"/>
        <v/>
      </c>
      <c r="BD291" s="207" t="str">
        <f t="shared" si="301"/>
        <v/>
      </c>
      <c r="BE291" s="207" t="str">
        <f t="shared" si="301"/>
        <v/>
      </c>
      <c r="BF291" s="207" t="str">
        <f t="shared" si="301"/>
        <v/>
      </c>
      <c r="BG291" s="207" t="str">
        <f t="shared" si="301"/>
        <v/>
      </c>
      <c r="BH291" s="255"/>
    </row>
    <row r="292" spans="1:60" ht="18.75" x14ac:dyDescent="0.2">
      <c r="A292" s="648"/>
      <c r="B292" s="492" t="s">
        <v>335</v>
      </c>
      <c r="C292" s="739" t="s">
        <v>104</v>
      </c>
      <c r="D292" s="749" t="s">
        <v>50</v>
      </c>
      <c r="E292" s="236" t="s">
        <v>347</v>
      </c>
      <c r="F292" s="236"/>
      <c r="G292" s="236"/>
      <c r="H292" s="89"/>
      <c r="I292" s="236"/>
      <c r="J292" s="236"/>
      <c r="K292" s="236"/>
      <c r="L292" s="236"/>
      <c r="M292" s="236"/>
      <c r="N292" s="236"/>
      <c r="O292" s="236"/>
      <c r="P292" s="236"/>
      <c r="Q292" s="236"/>
      <c r="R292" s="236"/>
      <c r="S292" s="236"/>
      <c r="T292" s="236"/>
      <c r="U292" s="236"/>
      <c r="V292" s="236"/>
      <c r="W292" s="236"/>
      <c r="X292" s="236"/>
      <c r="Y292" s="236"/>
      <c r="Z292" s="236"/>
      <c r="AA292" s="236"/>
      <c r="AB292" s="236"/>
      <c r="AC292" s="236"/>
      <c r="AD292" s="236"/>
      <c r="AE292" s="236"/>
      <c r="AF292" s="236"/>
      <c r="AG292" s="236"/>
      <c r="AH292" s="236"/>
      <c r="AI292" s="236"/>
      <c r="AJ292" s="236"/>
      <c r="AK292" s="236"/>
      <c r="AL292" s="236"/>
      <c r="AM292" s="236"/>
      <c r="AN292" s="236"/>
      <c r="AO292" s="236"/>
      <c r="AP292" s="236"/>
      <c r="AQ292" s="236"/>
      <c r="AR292" s="236"/>
      <c r="AS292" s="236"/>
      <c r="AT292" s="236"/>
      <c r="AU292" s="236"/>
      <c r="AV292" s="236"/>
      <c r="AW292" s="236"/>
      <c r="AX292" s="236"/>
      <c r="AY292" s="236"/>
      <c r="AZ292" s="236"/>
      <c r="BA292" s="236"/>
      <c r="BB292" s="236"/>
      <c r="BC292" s="236"/>
      <c r="BD292" s="236"/>
      <c r="BE292" s="236"/>
      <c r="BF292" s="236"/>
      <c r="BG292" s="236"/>
      <c r="BH292" s="38"/>
    </row>
    <row r="293" spans="1:60" x14ac:dyDescent="0.2">
      <c r="A293" s="648"/>
      <c r="B293" s="492" t="s">
        <v>335</v>
      </c>
      <c r="C293" s="656" t="s">
        <v>113</v>
      </c>
      <c r="D293" s="750"/>
      <c r="E293" s="246" t="s">
        <v>348</v>
      </c>
      <c r="F293" s="246"/>
      <c r="G293" s="246"/>
      <c r="H293" s="247" t="s">
        <v>169</v>
      </c>
      <c r="I293" s="248"/>
      <c r="J293" s="249"/>
      <c r="K293" s="90"/>
      <c r="L293" s="90"/>
      <c r="M293" s="249"/>
      <c r="N293" s="248"/>
      <c r="O293" s="251" t="str">
        <f t="shared" ref="O293:W293" si="302">IF(O$294="","",IF(O$294="nvt","nvt",
INDEX(standaardwaarde_basis,MATCH(O$21,standaardwaarden_gebruiksfuncties,0))+
MAX(0,O$34-1)*INDEX(standaardwaarde_extra_vraag_boven_grenswaarde_vormfactor,MATCH(O$21,standaardwaarden_gebruiksfuncties,0))))</f>
        <v/>
      </c>
      <c r="P293" s="251" t="str">
        <f t="shared" si="302"/>
        <v/>
      </c>
      <c r="Q293" s="251" t="str">
        <f t="shared" si="302"/>
        <v/>
      </c>
      <c r="R293" s="251" t="str">
        <f t="shared" si="302"/>
        <v/>
      </c>
      <c r="S293" s="251" t="str">
        <f t="shared" si="302"/>
        <v/>
      </c>
      <c r="T293" s="251" t="str">
        <f t="shared" si="302"/>
        <v/>
      </c>
      <c r="U293" s="251" t="str">
        <f t="shared" si="302"/>
        <v/>
      </c>
      <c r="V293" s="251" t="str">
        <f t="shared" si="302"/>
        <v/>
      </c>
      <c r="W293" s="251" t="str">
        <f t="shared" si="302"/>
        <v/>
      </c>
      <c r="X293" s="128"/>
      <c r="Y293" s="249"/>
      <c r="Z293" s="248"/>
      <c r="AA293" s="251" t="str">
        <f t="shared" ref="AA293:AI293" si="303">IF(AA$294="","",IF(AA$294="nvt","nvt",
INDEX(standaardwaarde_basis,MATCH(AA$21,standaardwaarden_gebruiksfuncties,0))+
MAX(0,AA$34-1)*INDEX(standaardwaarde_extra_vraag_boven_grenswaarde_vormfactor,MATCH(AA$21,standaardwaarden_gebruiksfuncties,0))))</f>
        <v/>
      </c>
      <c r="AB293" s="251" t="str">
        <f t="shared" si="303"/>
        <v/>
      </c>
      <c r="AC293" s="251" t="str">
        <f t="shared" si="303"/>
        <v/>
      </c>
      <c r="AD293" s="251" t="str">
        <f t="shared" si="303"/>
        <v/>
      </c>
      <c r="AE293" s="251" t="str">
        <f t="shared" si="303"/>
        <v/>
      </c>
      <c r="AF293" s="251" t="str">
        <f t="shared" si="303"/>
        <v/>
      </c>
      <c r="AG293" s="251" t="str">
        <f t="shared" si="303"/>
        <v/>
      </c>
      <c r="AH293" s="251" t="str">
        <f t="shared" si="303"/>
        <v/>
      </c>
      <c r="AI293" s="251" t="str">
        <f t="shared" si="303"/>
        <v/>
      </c>
      <c r="AJ293" s="128"/>
      <c r="AK293" s="249"/>
      <c r="AL293" s="248"/>
      <c r="AM293" s="251" t="str">
        <f t="shared" ref="AM293:AU293" si="304">IF(AM$294="","",IF(AM$294="nvt","nvt",
INDEX(standaardwaarde_basis,MATCH(AM$21,standaardwaarden_gebruiksfuncties,0))+
MAX(0,AM$34-1)*INDEX(standaardwaarde_extra_vraag_boven_grenswaarde_vormfactor,MATCH(AM$21,standaardwaarden_gebruiksfuncties,0))))</f>
        <v/>
      </c>
      <c r="AN293" s="251" t="str">
        <f t="shared" si="304"/>
        <v/>
      </c>
      <c r="AO293" s="251" t="str">
        <f t="shared" si="304"/>
        <v/>
      </c>
      <c r="AP293" s="251" t="str">
        <f t="shared" si="304"/>
        <v/>
      </c>
      <c r="AQ293" s="251" t="str">
        <f t="shared" si="304"/>
        <v/>
      </c>
      <c r="AR293" s="251" t="str">
        <f t="shared" si="304"/>
        <v/>
      </c>
      <c r="AS293" s="251" t="str">
        <f t="shared" si="304"/>
        <v/>
      </c>
      <c r="AT293" s="251" t="str">
        <f t="shared" si="304"/>
        <v/>
      </c>
      <c r="AU293" s="251" t="str">
        <f t="shared" si="304"/>
        <v/>
      </c>
      <c r="AV293" s="128"/>
      <c r="AW293" s="249"/>
      <c r="AX293" s="248"/>
      <c r="AY293" s="251" t="str">
        <f t="shared" ref="AY293:BG293" si="305">IF(AY$294="","",IF(AY$294="nvt","nvt",
INDEX(standaardwaarde_basis,MATCH(AY$21,standaardwaarden_gebruiksfuncties,0))+
MAX(0,AY$34-1)*INDEX(standaardwaarde_extra_vraag_boven_grenswaarde_vormfactor,MATCH(AY$21,standaardwaarden_gebruiksfuncties,0))))</f>
        <v/>
      </c>
      <c r="AZ293" s="251" t="str">
        <f t="shared" si="305"/>
        <v/>
      </c>
      <c r="BA293" s="251" t="str">
        <f t="shared" si="305"/>
        <v/>
      </c>
      <c r="BB293" s="251" t="str">
        <f t="shared" si="305"/>
        <v/>
      </c>
      <c r="BC293" s="251" t="str">
        <f t="shared" si="305"/>
        <v/>
      </c>
      <c r="BD293" s="251" t="str">
        <f t="shared" si="305"/>
        <v/>
      </c>
      <c r="BE293" s="251" t="str">
        <f t="shared" si="305"/>
        <v/>
      </c>
      <c r="BF293" s="251" t="str">
        <f t="shared" si="305"/>
        <v/>
      </c>
      <c r="BG293" s="251" t="str">
        <f t="shared" si="305"/>
        <v/>
      </c>
      <c r="BH293" s="255"/>
    </row>
    <row r="294" spans="1:60" x14ac:dyDescent="0.2">
      <c r="A294" s="648"/>
      <c r="B294" s="492" t="s">
        <v>335</v>
      </c>
      <c r="C294" s="656" t="s">
        <v>113</v>
      </c>
      <c r="D294" s="750"/>
      <c r="E294" s="246" t="s">
        <v>349</v>
      </c>
      <c r="F294" s="246"/>
      <c r="G294" s="246"/>
      <c r="H294" s="247" t="s">
        <v>169</v>
      </c>
      <c r="I294" s="248"/>
      <c r="J294" s="249"/>
      <c r="K294" s="90"/>
      <c r="L294" s="90"/>
      <c r="M294" s="249"/>
      <c r="N294" s="248"/>
      <c r="O294" s="251" t="str">
        <f t="shared" ref="O294:W294" si="306">IF(OR(O$19="",O$40="",O$42="",O$280=""),"",IF(OR(O$21=woning,O$21=woongebouw),O$227,"nvt"))</f>
        <v/>
      </c>
      <c r="P294" s="251" t="str">
        <f t="shared" si="306"/>
        <v/>
      </c>
      <c r="Q294" s="251" t="str">
        <f t="shared" si="306"/>
        <v/>
      </c>
      <c r="R294" s="251" t="str">
        <f t="shared" si="306"/>
        <v/>
      </c>
      <c r="S294" s="251" t="str">
        <f t="shared" si="306"/>
        <v/>
      </c>
      <c r="T294" s="251" t="str">
        <f t="shared" si="306"/>
        <v/>
      </c>
      <c r="U294" s="251" t="str">
        <f t="shared" si="306"/>
        <v/>
      </c>
      <c r="V294" s="251" t="str">
        <f t="shared" si="306"/>
        <v/>
      </c>
      <c r="W294" s="251" t="str">
        <f t="shared" si="306"/>
        <v/>
      </c>
      <c r="X294" s="128"/>
      <c r="Y294" s="249"/>
      <c r="Z294" s="248"/>
      <c r="AA294" s="251" t="str">
        <f t="shared" ref="AA294:AI294" si="307">IF(OR(AA$19="",AA$40="",AA$42="",AA$280=""),"",IF(OR(AA$21=woning,AA$21=woongebouw),AA$227,"nvt"))</f>
        <v/>
      </c>
      <c r="AB294" s="251" t="str">
        <f t="shared" si="307"/>
        <v/>
      </c>
      <c r="AC294" s="251" t="str">
        <f t="shared" si="307"/>
        <v/>
      </c>
      <c r="AD294" s="251" t="str">
        <f t="shared" si="307"/>
        <v/>
      </c>
      <c r="AE294" s="251" t="str">
        <f t="shared" si="307"/>
        <v/>
      </c>
      <c r="AF294" s="251" t="str">
        <f t="shared" si="307"/>
        <v/>
      </c>
      <c r="AG294" s="251" t="str">
        <f t="shared" si="307"/>
        <v/>
      </c>
      <c r="AH294" s="251" t="str">
        <f t="shared" si="307"/>
        <v/>
      </c>
      <c r="AI294" s="251" t="str">
        <f t="shared" si="307"/>
        <v/>
      </c>
      <c r="AJ294" s="128"/>
      <c r="AK294" s="249"/>
      <c r="AL294" s="248"/>
      <c r="AM294" s="251" t="str">
        <f t="shared" ref="AM294:AU294" si="308">IF(OR(AM$19="",AM$40="",AM$42="",AM$280=""),"",IF(OR(AM$21=woning,AM$21=woongebouw),AM$227,"nvt"))</f>
        <v/>
      </c>
      <c r="AN294" s="251" t="str">
        <f t="shared" si="308"/>
        <v/>
      </c>
      <c r="AO294" s="251" t="str">
        <f t="shared" si="308"/>
        <v/>
      </c>
      <c r="AP294" s="251" t="str">
        <f t="shared" si="308"/>
        <v/>
      </c>
      <c r="AQ294" s="251" t="str">
        <f t="shared" si="308"/>
        <v/>
      </c>
      <c r="AR294" s="251" t="str">
        <f t="shared" si="308"/>
        <v/>
      </c>
      <c r="AS294" s="251" t="str">
        <f t="shared" si="308"/>
        <v/>
      </c>
      <c r="AT294" s="251" t="str">
        <f t="shared" si="308"/>
        <v/>
      </c>
      <c r="AU294" s="251" t="str">
        <f t="shared" si="308"/>
        <v/>
      </c>
      <c r="AV294" s="128"/>
      <c r="AW294" s="249"/>
      <c r="AX294" s="248"/>
      <c r="AY294" s="251" t="str">
        <f t="shared" ref="AY294:BG294" si="309">IF(OR(AY$19="",AY$40="",AY$42="",AY$280=""),"",IF(OR(AY$21=woning,AY$21=woongebouw),AY$227,"nvt"))</f>
        <v/>
      </c>
      <c r="AZ294" s="251" t="str">
        <f t="shared" si="309"/>
        <v/>
      </c>
      <c r="BA294" s="251" t="str">
        <f t="shared" si="309"/>
        <v/>
      </c>
      <c r="BB294" s="251" t="str">
        <f t="shared" si="309"/>
        <v/>
      </c>
      <c r="BC294" s="251" t="str">
        <f t="shared" si="309"/>
        <v/>
      </c>
      <c r="BD294" s="251" t="str">
        <f t="shared" si="309"/>
        <v/>
      </c>
      <c r="BE294" s="251" t="str">
        <f t="shared" si="309"/>
        <v/>
      </c>
      <c r="BF294" s="251" t="str">
        <f t="shared" si="309"/>
        <v/>
      </c>
      <c r="BG294" s="251" t="str">
        <f t="shared" si="309"/>
        <v/>
      </c>
      <c r="BH294" s="255"/>
    </row>
    <row r="295" spans="1:60" ht="18.75" x14ac:dyDescent="0.2">
      <c r="A295" s="648"/>
      <c r="B295" s="492" t="s">
        <v>335</v>
      </c>
      <c r="C295" s="739" t="s">
        <v>104</v>
      </c>
      <c r="D295" s="747"/>
      <c r="E295" s="236" t="s">
        <v>350</v>
      </c>
      <c r="F295" s="236"/>
      <c r="G295" s="236"/>
      <c r="H295" s="89"/>
      <c r="I295" s="236"/>
      <c r="J295" s="236"/>
      <c r="K295" s="236"/>
      <c r="L295" s="236"/>
      <c r="M295" s="236"/>
      <c r="N295" s="236"/>
      <c r="O295" s="236"/>
      <c r="P295" s="236"/>
      <c r="Q295" s="236"/>
      <c r="R295" s="236"/>
      <c r="S295" s="236"/>
      <c r="T295" s="236"/>
      <c r="U295" s="236"/>
      <c r="V295" s="236"/>
      <c r="W295" s="236"/>
      <c r="X295" s="236"/>
      <c r="Y295" s="236"/>
      <c r="Z295" s="236"/>
      <c r="AA295" s="236"/>
      <c r="AB295" s="236"/>
      <c r="AC295" s="236"/>
      <c r="AD295" s="236"/>
      <c r="AE295" s="236"/>
      <c r="AF295" s="236"/>
      <c r="AG295" s="236"/>
      <c r="AH295" s="236"/>
      <c r="AI295" s="236"/>
      <c r="AJ295" s="236"/>
      <c r="AK295" s="236"/>
      <c r="AL295" s="236"/>
      <c r="AM295" s="236"/>
      <c r="AN295" s="236"/>
      <c r="AO295" s="236"/>
      <c r="AP295" s="236"/>
      <c r="AQ295" s="236"/>
      <c r="AR295" s="236"/>
      <c r="AS295" s="236"/>
      <c r="AT295" s="236"/>
      <c r="AU295" s="236"/>
      <c r="AV295" s="236"/>
      <c r="AW295" s="236"/>
      <c r="AX295" s="236"/>
      <c r="AY295" s="236"/>
      <c r="AZ295" s="236"/>
      <c r="BA295" s="236"/>
      <c r="BB295" s="236"/>
      <c r="BC295" s="236"/>
      <c r="BD295" s="236"/>
      <c r="BE295" s="236"/>
      <c r="BF295" s="236"/>
      <c r="BG295" s="236"/>
      <c r="BH295" s="38"/>
    </row>
    <row r="296" spans="1:60" x14ac:dyDescent="0.2">
      <c r="A296" s="648"/>
      <c r="B296" s="492" t="s">
        <v>335</v>
      </c>
      <c r="C296" s="656" t="s">
        <v>113</v>
      </c>
      <c r="D296" s="750"/>
      <c r="E296" s="246" t="s">
        <v>351</v>
      </c>
      <c r="F296" s="246"/>
      <c r="G296" s="246"/>
      <c r="H296" s="247" t="s">
        <v>169</v>
      </c>
      <c r="I296" s="248"/>
      <c r="J296" s="249"/>
      <c r="K296" s="90"/>
      <c r="L296" s="90"/>
      <c r="M296" s="249"/>
      <c r="N296" s="248"/>
      <c r="O296" s="251" t="str" cm="1">
        <f t="array" ref="O296">IF(O$294="","",IF(O$294="nvt","nvt",
INDEX(standaardwaarde_basis,MATCH(O$21,standaardwaarden_gebruiksfuncties,0)+1)+
MAX(0,O$34-1)*INDEX(standaardwaarde_extra_vraag_boven_grenswaarde_vormfactor,MATCH(O$21,standaardwaarden_gebruiksfuncties,0)+1)))</f>
        <v/>
      </c>
      <c r="P296" s="251" t="str" cm="1">
        <f t="array" ref="P296">IF(P$294="","",IF(P$294="nvt","nvt",
INDEX(standaardwaarde_basis,MATCH(P$21,standaardwaarden_gebruiksfuncties,0)+1)+
MAX(0,P$34-1)*INDEX(standaardwaarde_extra_vraag_boven_grenswaarde_vormfactor,MATCH(P$21,standaardwaarden_gebruiksfuncties,0)+1)))</f>
        <v/>
      </c>
      <c r="Q296" s="251" t="str" cm="1">
        <f t="array" ref="Q296">IF(Q$294="","",IF(Q$294="nvt","nvt",
INDEX(standaardwaarde_basis,MATCH(Q$21,standaardwaarden_gebruiksfuncties,0)+1)+
MAX(0,Q$34-1)*INDEX(standaardwaarde_extra_vraag_boven_grenswaarde_vormfactor,MATCH(Q$21,standaardwaarden_gebruiksfuncties,0)+1)))</f>
        <v/>
      </c>
      <c r="R296" s="251" t="str" cm="1">
        <f t="array" ref="R296">IF(R$294="","",IF(R$294="nvt","nvt",
INDEX(standaardwaarde_basis,MATCH(R$21,standaardwaarden_gebruiksfuncties,0)+1)+
MAX(0,R$34-1)*INDEX(standaardwaarde_extra_vraag_boven_grenswaarde_vormfactor,MATCH(R$21,standaardwaarden_gebruiksfuncties,0)+1)))</f>
        <v/>
      </c>
      <c r="S296" s="251" t="str" cm="1">
        <f t="array" ref="S296">IF(S$294="","",IF(S$294="nvt","nvt",
INDEX(standaardwaarde_basis,MATCH(S$21,standaardwaarden_gebruiksfuncties,0)+1)+
MAX(0,S$34-1)*INDEX(standaardwaarde_extra_vraag_boven_grenswaarde_vormfactor,MATCH(S$21,standaardwaarden_gebruiksfuncties,0)+1)))</f>
        <v/>
      </c>
      <c r="T296" s="251" t="str" cm="1">
        <f t="array" ref="T296">IF(T$294="","",IF(T$294="nvt","nvt",
INDEX(standaardwaarde_basis,MATCH(T$21,standaardwaarden_gebruiksfuncties,0)+1)+
MAX(0,T$34-1)*INDEX(standaardwaarde_extra_vraag_boven_grenswaarde_vormfactor,MATCH(T$21,standaardwaarden_gebruiksfuncties,0)+1)))</f>
        <v/>
      </c>
      <c r="U296" s="251" t="str" cm="1">
        <f t="array" ref="U296">IF(U$294="","",IF(U$294="nvt","nvt",
INDEX(standaardwaarde_basis,MATCH(U$21,standaardwaarden_gebruiksfuncties,0)+1)+
MAX(0,U$34-1)*INDEX(standaardwaarde_extra_vraag_boven_grenswaarde_vormfactor,MATCH(U$21,standaardwaarden_gebruiksfuncties,0)+1)))</f>
        <v/>
      </c>
      <c r="V296" s="251" t="str" cm="1">
        <f t="array" ref="V296">IF(V$294="","",IF(V$294="nvt","nvt",
INDEX(standaardwaarde_basis,MATCH(V$21,standaardwaarden_gebruiksfuncties,0)+1)+
MAX(0,V$34-1)*INDEX(standaardwaarde_extra_vraag_boven_grenswaarde_vormfactor,MATCH(V$21,standaardwaarden_gebruiksfuncties,0)+1)))</f>
        <v/>
      </c>
      <c r="W296" s="251" t="str" cm="1">
        <f t="array" ref="W296">IF(W$294="","",IF(W$294="nvt","nvt",
INDEX(standaardwaarde_basis,MATCH(W$21,standaardwaarden_gebruiksfuncties,0)+1)+
MAX(0,W$34-1)*INDEX(standaardwaarde_extra_vraag_boven_grenswaarde_vormfactor,MATCH(W$21,standaardwaarden_gebruiksfuncties,0)+1)))</f>
        <v/>
      </c>
      <c r="X296" s="128"/>
      <c r="Y296" s="249"/>
      <c r="Z296" s="248"/>
      <c r="AA296" s="251" t="str" cm="1">
        <f t="array" ref="AA296">IF(AA$294="","",IF(AA$294="nvt","nvt",
INDEX(standaardwaarde_basis,MATCH(AA$21,standaardwaarden_gebruiksfuncties,0)+1)+
MAX(0,AA$34-1)*INDEX(standaardwaarde_extra_vraag_boven_grenswaarde_vormfactor,MATCH(AA$21,standaardwaarden_gebruiksfuncties,0)+1)))</f>
        <v/>
      </c>
      <c r="AB296" s="251" t="str" cm="1">
        <f t="array" ref="AB296">IF(AB$294="","",IF(AB$294="nvt","nvt",
INDEX(standaardwaarde_basis,MATCH(AB$21,standaardwaarden_gebruiksfuncties,0)+1)+
MAX(0,AB$34-1)*INDEX(standaardwaarde_extra_vraag_boven_grenswaarde_vormfactor,MATCH(AB$21,standaardwaarden_gebruiksfuncties,0)+1)))</f>
        <v/>
      </c>
      <c r="AC296" s="251" t="str" cm="1">
        <f t="array" ref="AC296">IF(AC$294="","",IF(AC$294="nvt","nvt",
INDEX(standaardwaarde_basis,MATCH(AC$21,standaardwaarden_gebruiksfuncties,0)+1)+
MAX(0,AC$34-1)*INDEX(standaardwaarde_extra_vraag_boven_grenswaarde_vormfactor,MATCH(AC$21,standaardwaarden_gebruiksfuncties,0)+1)))</f>
        <v/>
      </c>
      <c r="AD296" s="251" t="str" cm="1">
        <f t="array" ref="AD296">IF(AD$294="","",IF(AD$294="nvt","nvt",
INDEX(standaardwaarde_basis,MATCH(AD$21,standaardwaarden_gebruiksfuncties,0)+1)+
MAX(0,AD$34-1)*INDEX(standaardwaarde_extra_vraag_boven_grenswaarde_vormfactor,MATCH(AD$21,standaardwaarden_gebruiksfuncties,0)+1)))</f>
        <v/>
      </c>
      <c r="AE296" s="251" t="str" cm="1">
        <f t="array" ref="AE296">IF(AE$294="","",IF(AE$294="nvt","nvt",
INDEX(standaardwaarde_basis,MATCH(AE$21,standaardwaarden_gebruiksfuncties,0)+1)+
MAX(0,AE$34-1)*INDEX(standaardwaarde_extra_vraag_boven_grenswaarde_vormfactor,MATCH(AE$21,standaardwaarden_gebruiksfuncties,0)+1)))</f>
        <v/>
      </c>
      <c r="AF296" s="251" t="str" cm="1">
        <f t="array" ref="AF296">IF(AF$294="","",IF(AF$294="nvt","nvt",
INDEX(standaardwaarde_basis,MATCH(AF$21,standaardwaarden_gebruiksfuncties,0)+1)+
MAX(0,AF$34-1)*INDEX(standaardwaarde_extra_vraag_boven_grenswaarde_vormfactor,MATCH(AF$21,standaardwaarden_gebruiksfuncties,0)+1)))</f>
        <v/>
      </c>
      <c r="AG296" s="251" t="str" cm="1">
        <f t="array" ref="AG296">IF(AG$294="","",IF(AG$294="nvt","nvt",
INDEX(standaardwaarde_basis,MATCH(AG$21,standaardwaarden_gebruiksfuncties,0)+1)+
MAX(0,AG$34-1)*INDEX(standaardwaarde_extra_vraag_boven_grenswaarde_vormfactor,MATCH(AG$21,standaardwaarden_gebruiksfuncties,0)+1)))</f>
        <v/>
      </c>
      <c r="AH296" s="251" t="str" cm="1">
        <f t="array" ref="AH296">IF(AH$294="","",IF(AH$294="nvt","nvt",
INDEX(standaardwaarde_basis,MATCH(AH$21,standaardwaarden_gebruiksfuncties,0)+1)+
MAX(0,AH$34-1)*INDEX(standaardwaarde_extra_vraag_boven_grenswaarde_vormfactor,MATCH(AH$21,standaardwaarden_gebruiksfuncties,0)+1)))</f>
        <v/>
      </c>
      <c r="AI296" s="251" t="str" cm="1">
        <f t="array" ref="AI296">IF(AI$294="","",IF(AI$294="nvt","nvt",
INDEX(standaardwaarde_basis,MATCH(AI$21,standaardwaarden_gebruiksfuncties,0)+1)+
MAX(0,AI$34-1)*INDEX(standaardwaarde_extra_vraag_boven_grenswaarde_vormfactor,MATCH(AI$21,standaardwaarden_gebruiksfuncties,0)+1)))</f>
        <v/>
      </c>
      <c r="AJ296" s="128"/>
      <c r="AK296" s="249"/>
      <c r="AL296" s="248"/>
      <c r="AM296" s="251" t="str" cm="1">
        <f t="array" ref="AM296">IF(AM$294="","",IF(AM$294="nvt","nvt",
INDEX(standaardwaarde_basis,MATCH(AM$21,standaardwaarden_gebruiksfuncties,0)+1)+
MAX(0,AM$34-1)*INDEX(standaardwaarde_extra_vraag_boven_grenswaarde_vormfactor,MATCH(AM$21,standaardwaarden_gebruiksfuncties,0)+1)))</f>
        <v/>
      </c>
      <c r="AN296" s="251" t="str" cm="1">
        <f t="array" ref="AN296">IF(AN$294="","",IF(AN$294="nvt","nvt",
INDEX(standaardwaarde_basis,MATCH(AN$21,standaardwaarden_gebruiksfuncties,0)+1)+
MAX(0,AN$34-1)*INDEX(standaardwaarde_extra_vraag_boven_grenswaarde_vormfactor,MATCH(AN$21,standaardwaarden_gebruiksfuncties,0)+1)))</f>
        <v/>
      </c>
      <c r="AO296" s="251" t="str" cm="1">
        <f t="array" ref="AO296">IF(AO$294="","",IF(AO$294="nvt","nvt",
INDEX(standaardwaarde_basis,MATCH(AO$21,standaardwaarden_gebruiksfuncties,0)+1)+
MAX(0,AO$34-1)*INDEX(standaardwaarde_extra_vraag_boven_grenswaarde_vormfactor,MATCH(AO$21,standaardwaarden_gebruiksfuncties,0)+1)))</f>
        <v/>
      </c>
      <c r="AP296" s="251" t="str" cm="1">
        <f t="array" ref="AP296">IF(AP$294="","",IF(AP$294="nvt","nvt",
INDEX(standaardwaarde_basis,MATCH(AP$21,standaardwaarden_gebruiksfuncties,0)+1)+
MAX(0,AP$34-1)*INDEX(standaardwaarde_extra_vraag_boven_grenswaarde_vormfactor,MATCH(AP$21,standaardwaarden_gebruiksfuncties,0)+1)))</f>
        <v/>
      </c>
      <c r="AQ296" s="251" t="str" cm="1">
        <f t="array" ref="AQ296">IF(AQ$294="","",IF(AQ$294="nvt","nvt",
INDEX(standaardwaarde_basis,MATCH(AQ$21,standaardwaarden_gebruiksfuncties,0)+1)+
MAX(0,AQ$34-1)*INDEX(standaardwaarde_extra_vraag_boven_grenswaarde_vormfactor,MATCH(AQ$21,standaardwaarden_gebruiksfuncties,0)+1)))</f>
        <v/>
      </c>
      <c r="AR296" s="251" t="str" cm="1">
        <f t="array" ref="AR296">IF(AR$294="","",IF(AR$294="nvt","nvt",
INDEX(standaardwaarde_basis,MATCH(AR$21,standaardwaarden_gebruiksfuncties,0)+1)+
MAX(0,AR$34-1)*INDEX(standaardwaarde_extra_vraag_boven_grenswaarde_vormfactor,MATCH(AR$21,standaardwaarden_gebruiksfuncties,0)+1)))</f>
        <v/>
      </c>
      <c r="AS296" s="251" t="str" cm="1">
        <f t="array" ref="AS296">IF(AS$294="","",IF(AS$294="nvt","nvt",
INDEX(standaardwaarde_basis,MATCH(AS$21,standaardwaarden_gebruiksfuncties,0)+1)+
MAX(0,AS$34-1)*INDEX(standaardwaarde_extra_vraag_boven_grenswaarde_vormfactor,MATCH(AS$21,standaardwaarden_gebruiksfuncties,0)+1)))</f>
        <v/>
      </c>
      <c r="AT296" s="251" t="str" cm="1">
        <f t="array" ref="AT296">IF(AT$294="","",IF(AT$294="nvt","nvt",
INDEX(standaardwaarde_basis,MATCH(AT$21,standaardwaarden_gebruiksfuncties,0)+1)+
MAX(0,AT$34-1)*INDEX(standaardwaarde_extra_vraag_boven_grenswaarde_vormfactor,MATCH(AT$21,standaardwaarden_gebruiksfuncties,0)+1)))</f>
        <v/>
      </c>
      <c r="AU296" s="251" t="str" cm="1">
        <f t="array" ref="AU296">IF(AU$294="","",IF(AU$294="nvt","nvt",
INDEX(standaardwaarde_basis,MATCH(AU$21,standaardwaarden_gebruiksfuncties,0)+1)+
MAX(0,AU$34-1)*INDEX(standaardwaarde_extra_vraag_boven_grenswaarde_vormfactor,MATCH(AU$21,standaardwaarden_gebruiksfuncties,0)+1)))</f>
        <v/>
      </c>
      <c r="AV296" s="128"/>
      <c r="AW296" s="249"/>
      <c r="AX296" s="248"/>
      <c r="AY296" s="251" t="str" cm="1">
        <f t="array" ref="AY296">IF(AY$294="","",IF(AY$294="nvt","nvt",
INDEX(standaardwaarde_basis,MATCH(AY$21,standaardwaarden_gebruiksfuncties,0)+1)+
MAX(0,AY$34-1)*INDEX(standaardwaarde_extra_vraag_boven_grenswaarde_vormfactor,MATCH(AY$21,standaardwaarden_gebruiksfuncties,0)+1)))</f>
        <v/>
      </c>
      <c r="AZ296" s="251" t="str" cm="1">
        <f t="array" ref="AZ296">IF(AZ$294="","",IF(AZ$294="nvt","nvt",
INDEX(standaardwaarde_basis,MATCH(AZ$21,standaardwaarden_gebruiksfuncties,0)+1)+
MAX(0,AZ$34-1)*INDEX(standaardwaarde_extra_vraag_boven_grenswaarde_vormfactor,MATCH(AZ$21,standaardwaarden_gebruiksfuncties,0)+1)))</f>
        <v/>
      </c>
      <c r="BA296" s="251" t="str" cm="1">
        <f t="array" ref="BA296">IF(BA$294="","",IF(BA$294="nvt","nvt",
INDEX(standaardwaarde_basis,MATCH(BA$21,standaardwaarden_gebruiksfuncties,0)+1)+
MAX(0,BA$34-1)*INDEX(standaardwaarde_extra_vraag_boven_grenswaarde_vormfactor,MATCH(BA$21,standaardwaarden_gebruiksfuncties,0)+1)))</f>
        <v/>
      </c>
      <c r="BB296" s="251" t="str" cm="1">
        <f t="array" ref="BB296">IF(BB$294="","",IF(BB$294="nvt","nvt",
INDEX(standaardwaarde_basis,MATCH(BB$21,standaardwaarden_gebruiksfuncties,0)+1)+
MAX(0,BB$34-1)*INDEX(standaardwaarde_extra_vraag_boven_grenswaarde_vormfactor,MATCH(BB$21,standaardwaarden_gebruiksfuncties,0)+1)))</f>
        <v/>
      </c>
      <c r="BC296" s="251" t="str" cm="1">
        <f t="array" ref="BC296">IF(BC$294="","",IF(BC$294="nvt","nvt",
INDEX(standaardwaarde_basis,MATCH(BC$21,standaardwaarden_gebruiksfuncties,0)+1)+
MAX(0,BC$34-1)*INDEX(standaardwaarde_extra_vraag_boven_grenswaarde_vormfactor,MATCH(BC$21,standaardwaarden_gebruiksfuncties,0)+1)))</f>
        <v/>
      </c>
      <c r="BD296" s="251" t="str" cm="1">
        <f t="array" ref="BD296">IF(BD$294="","",IF(BD$294="nvt","nvt",
INDEX(standaardwaarde_basis,MATCH(BD$21,standaardwaarden_gebruiksfuncties,0)+1)+
MAX(0,BD$34-1)*INDEX(standaardwaarde_extra_vraag_boven_grenswaarde_vormfactor,MATCH(BD$21,standaardwaarden_gebruiksfuncties,0)+1)))</f>
        <v/>
      </c>
      <c r="BE296" s="251" t="str" cm="1">
        <f t="array" ref="BE296">IF(BE$294="","",IF(BE$294="nvt","nvt",
INDEX(standaardwaarde_basis,MATCH(BE$21,standaardwaarden_gebruiksfuncties,0)+1)+
MAX(0,BE$34-1)*INDEX(standaardwaarde_extra_vraag_boven_grenswaarde_vormfactor,MATCH(BE$21,standaardwaarden_gebruiksfuncties,0)+1)))</f>
        <v/>
      </c>
      <c r="BF296" s="251" t="str" cm="1">
        <f t="array" ref="BF296">IF(BF$294="","",IF(BF$294="nvt","nvt",
INDEX(standaardwaarde_basis,MATCH(BF$21,standaardwaarden_gebruiksfuncties,0)+1)+
MAX(0,BF$34-1)*INDEX(standaardwaarde_extra_vraag_boven_grenswaarde_vormfactor,MATCH(BF$21,standaardwaarden_gebruiksfuncties,0)+1)))</f>
        <v/>
      </c>
      <c r="BG296" s="251" t="str" cm="1">
        <f t="array" ref="BG296">IF(BG$294="","",IF(BG$294="nvt","nvt",
INDEX(standaardwaarde_basis,MATCH(BG$21,standaardwaarden_gebruiksfuncties,0)+1)+
MAX(0,BG$34-1)*INDEX(standaardwaarde_extra_vraag_boven_grenswaarde_vormfactor,MATCH(BG$21,standaardwaarden_gebruiksfuncties,0)+1)))</f>
        <v/>
      </c>
      <c r="BH296" s="255"/>
    </row>
    <row r="297" spans="1:60" x14ac:dyDescent="0.2">
      <c r="A297" s="648"/>
      <c r="B297" s="492" t="s">
        <v>335</v>
      </c>
      <c r="C297" s="656" t="s">
        <v>113</v>
      </c>
      <c r="D297" s="750"/>
      <c r="E297" s="246" t="s">
        <v>349</v>
      </c>
      <c r="F297" s="246"/>
      <c r="G297" s="246"/>
      <c r="H297" s="247" t="s">
        <v>169</v>
      </c>
      <c r="I297" s="248"/>
      <c r="J297" s="249"/>
      <c r="K297" s="90"/>
      <c r="L297" s="90"/>
      <c r="M297" s="249"/>
      <c r="N297" s="248"/>
      <c r="O297" s="251" t="str">
        <f t="shared" ref="O297:W297" si="310">IF(OR(O$19="",O$40="",O$42="",O$280=""),"",IF(OR(O$21=woning,O$21=woongebouw),O$227,"nvt"))</f>
        <v/>
      </c>
      <c r="P297" s="251" t="str">
        <f t="shared" si="310"/>
        <v/>
      </c>
      <c r="Q297" s="251" t="str">
        <f t="shared" si="310"/>
        <v/>
      </c>
      <c r="R297" s="251" t="str">
        <f t="shared" si="310"/>
        <v/>
      </c>
      <c r="S297" s="251" t="str">
        <f t="shared" si="310"/>
        <v/>
      </c>
      <c r="T297" s="251" t="str">
        <f t="shared" si="310"/>
        <v/>
      </c>
      <c r="U297" s="251" t="str">
        <f t="shared" si="310"/>
        <v/>
      </c>
      <c r="V297" s="251" t="str">
        <f t="shared" si="310"/>
        <v/>
      </c>
      <c r="W297" s="251" t="str">
        <f t="shared" si="310"/>
        <v/>
      </c>
      <c r="X297" s="128"/>
      <c r="Y297" s="249"/>
      <c r="Z297" s="248"/>
      <c r="AA297" s="251" t="str">
        <f t="shared" ref="AA297:AI297" si="311">IF(OR(AA$19="",AA$40="",AA$42="",AA$280=""),"",IF(OR(AA$21=woning,AA$21=woongebouw),AA$227,"nvt"))</f>
        <v/>
      </c>
      <c r="AB297" s="251" t="str">
        <f t="shared" si="311"/>
        <v/>
      </c>
      <c r="AC297" s="251" t="str">
        <f t="shared" si="311"/>
        <v/>
      </c>
      <c r="AD297" s="251" t="str">
        <f t="shared" si="311"/>
        <v/>
      </c>
      <c r="AE297" s="251" t="str">
        <f t="shared" si="311"/>
        <v/>
      </c>
      <c r="AF297" s="251" t="str">
        <f t="shared" si="311"/>
        <v/>
      </c>
      <c r="AG297" s="251" t="str">
        <f t="shared" si="311"/>
        <v/>
      </c>
      <c r="AH297" s="251" t="str">
        <f t="shared" si="311"/>
        <v/>
      </c>
      <c r="AI297" s="251" t="str">
        <f t="shared" si="311"/>
        <v/>
      </c>
      <c r="AJ297" s="128"/>
      <c r="AK297" s="249"/>
      <c r="AL297" s="248"/>
      <c r="AM297" s="251" t="str">
        <f t="shared" ref="AM297:AU297" si="312">IF(OR(AM$19="",AM$40="",AM$42="",AM$280=""),"",IF(OR(AM$21=woning,AM$21=woongebouw),AM$227,"nvt"))</f>
        <v/>
      </c>
      <c r="AN297" s="251" t="str">
        <f t="shared" si="312"/>
        <v/>
      </c>
      <c r="AO297" s="251" t="str">
        <f t="shared" si="312"/>
        <v/>
      </c>
      <c r="AP297" s="251" t="str">
        <f t="shared" si="312"/>
        <v/>
      </c>
      <c r="AQ297" s="251" t="str">
        <f t="shared" si="312"/>
        <v/>
      </c>
      <c r="AR297" s="251" t="str">
        <f t="shared" si="312"/>
        <v/>
      </c>
      <c r="AS297" s="251" t="str">
        <f t="shared" si="312"/>
        <v/>
      </c>
      <c r="AT297" s="251" t="str">
        <f t="shared" si="312"/>
        <v/>
      </c>
      <c r="AU297" s="251" t="str">
        <f t="shared" si="312"/>
        <v/>
      </c>
      <c r="AV297" s="128"/>
      <c r="AW297" s="249"/>
      <c r="AX297" s="248"/>
      <c r="AY297" s="251" t="str">
        <f t="shared" ref="AY297:BG297" si="313">IF(OR(AY$19="",AY$40="",AY$42="",AY$280=""),"",IF(OR(AY$21=woning,AY$21=woongebouw),AY$227,"nvt"))</f>
        <v/>
      </c>
      <c r="AZ297" s="251" t="str">
        <f t="shared" si="313"/>
        <v/>
      </c>
      <c r="BA297" s="251" t="str">
        <f t="shared" si="313"/>
        <v/>
      </c>
      <c r="BB297" s="251" t="str">
        <f t="shared" si="313"/>
        <v/>
      </c>
      <c r="BC297" s="251" t="str">
        <f t="shared" si="313"/>
        <v/>
      </c>
      <c r="BD297" s="251" t="str">
        <f t="shared" si="313"/>
        <v/>
      </c>
      <c r="BE297" s="251" t="str">
        <f t="shared" si="313"/>
        <v/>
      </c>
      <c r="BF297" s="251" t="str">
        <f t="shared" si="313"/>
        <v/>
      </c>
      <c r="BG297" s="251" t="str">
        <f t="shared" si="313"/>
        <v/>
      </c>
      <c r="BH297" s="255"/>
    </row>
    <row r="298" spans="1:60" x14ac:dyDescent="0.2">
      <c r="A298" s="648"/>
      <c r="B298" s="492" t="s">
        <v>335</v>
      </c>
      <c r="C298" s="739" t="s">
        <v>104</v>
      </c>
      <c r="D298" s="747"/>
      <c r="E298" s="90"/>
      <c r="F298" s="90"/>
      <c r="G298" s="90"/>
      <c r="H298" s="96"/>
      <c r="I298" s="90"/>
      <c r="J298" s="93"/>
      <c r="K298" s="90"/>
      <c r="L298" s="90"/>
      <c r="M298" s="93"/>
      <c r="N298" s="90"/>
      <c r="O298" s="122"/>
      <c r="P298" s="122"/>
      <c r="Q298" s="122"/>
      <c r="R298" s="122"/>
      <c r="S298" s="122"/>
      <c r="T298" s="122"/>
      <c r="U298" s="122"/>
      <c r="V298" s="122"/>
      <c r="W298" s="122"/>
      <c r="X298" s="93"/>
      <c r="Y298" s="93"/>
      <c r="Z298" s="90"/>
      <c r="AA298" s="122"/>
      <c r="AB298" s="122"/>
      <c r="AC298" s="122"/>
      <c r="AD298" s="122"/>
      <c r="AE298" s="122"/>
      <c r="AF298" s="122"/>
      <c r="AG298" s="122"/>
      <c r="AH298" s="122"/>
      <c r="AI298" s="122"/>
      <c r="AJ298" s="93"/>
      <c r="AK298" s="93"/>
      <c r="AL298" s="90"/>
      <c r="AM298" s="122"/>
      <c r="AN298" s="122"/>
      <c r="AO298" s="122"/>
      <c r="AP298" s="122"/>
      <c r="AQ298" s="122"/>
      <c r="AR298" s="122"/>
      <c r="AS298" s="122"/>
      <c r="AT298" s="122"/>
      <c r="AU298" s="122"/>
      <c r="AV298" s="93"/>
      <c r="AW298" s="93"/>
      <c r="AX298" s="90"/>
      <c r="AY298" s="122"/>
      <c r="AZ298" s="122"/>
      <c r="BA298" s="122"/>
      <c r="BB298" s="122"/>
      <c r="BC298" s="122"/>
      <c r="BD298" s="122"/>
      <c r="BE298" s="122"/>
      <c r="BF298" s="122"/>
      <c r="BG298" s="122"/>
      <c r="BH298" s="1"/>
    </row>
    <row r="299" spans="1:60" x14ac:dyDescent="0.2">
      <c r="A299" s="648"/>
      <c r="B299" s="492" t="s">
        <v>352</v>
      </c>
      <c r="C299" s="656" t="s">
        <v>104</v>
      </c>
      <c r="D299" s="747"/>
      <c r="E299" s="90"/>
      <c r="F299" s="90"/>
      <c r="G299" s="90"/>
      <c r="H299" s="96"/>
      <c r="I299" s="90"/>
      <c r="J299" s="93"/>
      <c r="K299" s="90"/>
      <c r="L299" s="90"/>
      <c r="M299" s="93"/>
      <c r="N299" s="90"/>
      <c r="O299" s="93"/>
      <c r="P299" s="93"/>
      <c r="Q299" s="93"/>
      <c r="R299" s="93"/>
      <c r="S299" s="93"/>
      <c r="T299" s="93"/>
      <c r="U299" s="93"/>
      <c r="V299" s="93"/>
      <c r="W299" s="93"/>
      <c r="X299" s="93"/>
      <c r="Y299" s="93"/>
      <c r="Z299" s="90"/>
      <c r="AA299" s="93"/>
      <c r="AB299" s="93"/>
      <c r="AC299" s="93"/>
      <c r="AD299" s="93"/>
      <c r="AE299" s="93"/>
      <c r="AF299" s="93"/>
      <c r="AG299" s="93"/>
      <c r="AH299" s="93"/>
      <c r="AI299" s="93"/>
      <c r="AJ299" s="93"/>
      <c r="AK299" s="93"/>
      <c r="AL299" s="90"/>
      <c r="AM299" s="93"/>
      <c r="AN299" s="93"/>
      <c r="AO299" s="93"/>
      <c r="AP299" s="93"/>
      <c r="AQ299" s="93"/>
      <c r="AR299" s="93"/>
      <c r="AS299" s="93"/>
      <c r="AT299" s="93"/>
      <c r="AU299" s="93"/>
      <c r="AV299" s="93"/>
      <c r="AW299" s="93"/>
      <c r="AX299" s="90"/>
      <c r="AY299" s="93"/>
      <c r="AZ299" s="93"/>
      <c r="BA299" s="93"/>
      <c r="BB299" s="93"/>
      <c r="BC299" s="93"/>
      <c r="BD299" s="93"/>
      <c r="BE299" s="93"/>
      <c r="BF299" s="93"/>
      <c r="BG299" s="93"/>
      <c r="BH299" s="1"/>
    </row>
    <row r="300" spans="1:60" s="2" customFormat="1" ht="21" x14ac:dyDescent="0.2">
      <c r="A300" s="649"/>
      <c r="B300" s="492" t="s">
        <v>352</v>
      </c>
      <c r="C300" s="739" t="s">
        <v>104</v>
      </c>
      <c r="D300" s="749" t="s">
        <v>50</v>
      </c>
      <c r="E300" s="253" t="s">
        <v>353</v>
      </c>
      <c r="F300" s="253"/>
      <c r="G300" s="253"/>
      <c r="H300" s="253"/>
      <c r="I300" s="146"/>
      <c r="J300" s="318" t="str">
        <f>J$10&amp;" ton CO2"</f>
        <v>totaal ton CO2</v>
      </c>
      <c r="K300" s="142"/>
      <c r="L300" s="142"/>
      <c r="M300" s="318" t="str">
        <f>M$10&amp;" ton CO2"</f>
        <v>totaal ton CO2</v>
      </c>
      <c r="N300" s="222"/>
      <c r="O300" s="320" t="str">
        <f t="shared" ref="O300:W300" si="314">O$17</f>
        <v/>
      </c>
      <c r="P300" s="320" t="str">
        <f t="shared" si="314"/>
        <v/>
      </c>
      <c r="Q300" s="320" t="str">
        <f t="shared" si="314"/>
        <v/>
      </c>
      <c r="R300" s="320" t="str">
        <f t="shared" si="314"/>
        <v/>
      </c>
      <c r="S300" s="320" t="str">
        <f t="shared" si="314"/>
        <v/>
      </c>
      <c r="T300" s="320" t="str">
        <f t="shared" si="314"/>
        <v/>
      </c>
      <c r="U300" s="320" t="str">
        <f t="shared" si="314"/>
        <v/>
      </c>
      <c r="V300" s="320" t="str">
        <f t="shared" si="314"/>
        <v/>
      </c>
      <c r="W300" s="320" t="str">
        <f t="shared" si="314"/>
        <v/>
      </c>
      <c r="X300" s="214"/>
      <c r="Y300" s="318" t="str">
        <f>Y$10&amp;" ton CO2"</f>
        <v>totaal ton CO2</v>
      </c>
      <c r="Z300" s="222"/>
      <c r="AA300" s="320" t="str">
        <f t="shared" ref="AA300:AI300" si="315">AA$17</f>
        <v/>
      </c>
      <c r="AB300" s="320" t="str">
        <f t="shared" si="315"/>
        <v/>
      </c>
      <c r="AC300" s="320" t="str">
        <f t="shared" si="315"/>
        <v/>
      </c>
      <c r="AD300" s="320" t="str">
        <f t="shared" si="315"/>
        <v/>
      </c>
      <c r="AE300" s="320" t="str">
        <f t="shared" si="315"/>
        <v/>
      </c>
      <c r="AF300" s="320" t="str">
        <f t="shared" si="315"/>
        <v/>
      </c>
      <c r="AG300" s="320" t="str">
        <f t="shared" si="315"/>
        <v/>
      </c>
      <c r="AH300" s="320" t="str">
        <f t="shared" si="315"/>
        <v/>
      </c>
      <c r="AI300" s="320" t="str">
        <f t="shared" si="315"/>
        <v/>
      </c>
      <c r="AJ300" s="214"/>
      <c r="AK300" s="318" t="str">
        <f>AK$10&amp;" ton CO2"</f>
        <v>totaal ton CO2</v>
      </c>
      <c r="AL300" s="222"/>
      <c r="AM300" s="320" t="str">
        <f>AM$17</f>
        <v/>
      </c>
      <c r="AN300" s="320" t="str">
        <f t="shared" ref="AN300:AU300" si="316">AN$17</f>
        <v/>
      </c>
      <c r="AO300" s="320" t="str">
        <f t="shared" si="316"/>
        <v/>
      </c>
      <c r="AP300" s="320" t="str">
        <f t="shared" si="316"/>
        <v/>
      </c>
      <c r="AQ300" s="320" t="str">
        <f t="shared" si="316"/>
        <v/>
      </c>
      <c r="AR300" s="320" t="str">
        <f t="shared" si="316"/>
        <v/>
      </c>
      <c r="AS300" s="320" t="str">
        <f t="shared" si="316"/>
        <v/>
      </c>
      <c r="AT300" s="320" t="str">
        <f t="shared" si="316"/>
        <v/>
      </c>
      <c r="AU300" s="320" t="str">
        <f t="shared" si="316"/>
        <v/>
      </c>
      <c r="AV300" s="214"/>
      <c r="AW300" s="318" t="str">
        <f>AW$10&amp;" ton CO2"</f>
        <v>totaal ton CO2</v>
      </c>
      <c r="AX300" s="222"/>
      <c r="AY300" s="320" t="str">
        <f>AY$17</f>
        <v/>
      </c>
      <c r="AZ300" s="320" t="str">
        <f t="shared" ref="AZ300:BG300" si="317">AZ$17</f>
        <v/>
      </c>
      <c r="BA300" s="320" t="str">
        <f t="shared" si="317"/>
        <v/>
      </c>
      <c r="BB300" s="320" t="str">
        <f t="shared" si="317"/>
        <v/>
      </c>
      <c r="BC300" s="320" t="str">
        <f t="shared" si="317"/>
        <v/>
      </c>
      <c r="BD300" s="320" t="str">
        <f t="shared" si="317"/>
        <v/>
      </c>
      <c r="BE300" s="320" t="str">
        <f t="shared" si="317"/>
        <v/>
      </c>
      <c r="BF300" s="320" t="str">
        <f t="shared" si="317"/>
        <v/>
      </c>
      <c r="BG300" s="320" t="str">
        <f t="shared" si="317"/>
        <v/>
      </c>
      <c r="BH300" s="1"/>
    </row>
    <row r="301" spans="1:60" ht="18.75" x14ac:dyDescent="0.2">
      <c r="A301" s="648"/>
      <c r="B301" s="492" t="s">
        <v>352</v>
      </c>
      <c r="C301" s="739" t="s">
        <v>104</v>
      </c>
      <c r="D301" s="747"/>
      <c r="E301" s="236" t="s">
        <v>354</v>
      </c>
      <c r="F301" s="236"/>
      <c r="G301" s="236"/>
      <c r="H301" s="89"/>
      <c r="I301" s="236"/>
      <c r="J301" s="236"/>
      <c r="K301" s="236"/>
      <c r="L301" s="236"/>
      <c r="M301" s="236"/>
      <c r="N301" s="236"/>
      <c r="O301" s="236"/>
      <c r="P301" s="236"/>
      <c r="Q301" s="236"/>
      <c r="R301" s="236"/>
      <c r="S301" s="236"/>
      <c r="T301" s="236"/>
      <c r="U301" s="236"/>
      <c r="V301" s="236"/>
      <c r="W301" s="236"/>
      <c r="X301" s="236"/>
      <c r="Y301" s="236"/>
      <c r="Z301" s="236"/>
      <c r="AA301" s="236"/>
      <c r="AB301" s="236"/>
      <c r="AC301" s="236"/>
      <c r="AD301" s="236"/>
      <c r="AE301" s="236"/>
      <c r="AF301" s="236"/>
      <c r="AG301" s="236"/>
      <c r="AH301" s="236"/>
      <c r="AI301" s="236"/>
      <c r="AJ301" s="236"/>
      <c r="AK301" s="236"/>
      <c r="AL301" s="236"/>
      <c r="AM301" s="236"/>
      <c r="AN301" s="236"/>
      <c r="AO301" s="236"/>
      <c r="AP301" s="236"/>
      <c r="AQ301" s="236"/>
      <c r="AR301" s="236"/>
      <c r="AS301" s="236"/>
      <c r="AT301" s="236"/>
      <c r="AU301" s="236"/>
      <c r="AV301" s="236"/>
      <c r="AW301" s="236"/>
      <c r="AX301" s="236"/>
      <c r="AY301" s="236"/>
      <c r="AZ301" s="236"/>
      <c r="BA301" s="236"/>
      <c r="BB301" s="236"/>
      <c r="BC301" s="236"/>
      <c r="BD301" s="236"/>
      <c r="BE301" s="236"/>
      <c r="BF301" s="236"/>
      <c r="BG301" s="236"/>
      <c r="BH301" s="38"/>
    </row>
    <row r="302" spans="1:60" x14ac:dyDescent="0.2">
      <c r="A302" s="648"/>
      <c r="B302" s="492" t="s">
        <v>352</v>
      </c>
      <c r="C302" s="656" t="s">
        <v>113</v>
      </c>
      <c r="D302" s="750"/>
      <c r="E302" s="367" t="str">
        <f>$O$73</f>
        <v>verwarming</v>
      </c>
      <c r="F302" s="246"/>
      <c r="G302" s="246"/>
      <c r="H302" s="247" t="s">
        <v>355</v>
      </c>
      <c r="I302" s="248"/>
      <c r="J302" s="375">
        <f t="shared" ref="J302:J310" si="318">M302+Y302+AK302+AW302</f>
        <v>0</v>
      </c>
      <c r="K302" s="376"/>
      <c r="L302" s="376"/>
      <c r="M302" s="375">
        <f t="shared" ref="M302:M309" si="319">SUMPRODUCT(N302:X302,N$24:X$24,N$31:X$31)/1000</f>
        <v>0</v>
      </c>
      <c r="N302" s="376"/>
      <c r="O302" s="254">
        <f t="shared" ref="O302:W302" si="320">IF($O$75=0,0,
($O$121+$O$146+$O$162)/$O$75*O60)</f>
        <v>0</v>
      </c>
      <c r="P302" s="254">
        <f t="shared" si="320"/>
        <v>0</v>
      </c>
      <c r="Q302" s="254">
        <f t="shared" si="320"/>
        <v>0</v>
      </c>
      <c r="R302" s="254">
        <f t="shared" si="320"/>
        <v>0</v>
      </c>
      <c r="S302" s="254">
        <f t="shared" si="320"/>
        <v>0</v>
      </c>
      <c r="T302" s="254">
        <f t="shared" si="320"/>
        <v>0</v>
      </c>
      <c r="U302" s="254">
        <f t="shared" si="320"/>
        <v>0</v>
      </c>
      <c r="V302" s="254">
        <f t="shared" si="320"/>
        <v>0</v>
      </c>
      <c r="W302" s="254">
        <f t="shared" si="320"/>
        <v>0</v>
      </c>
      <c r="X302" s="255"/>
      <c r="Y302" s="375">
        <f t="shared" ref="Y302:Y309" si="321">SUMPRODUCT(Z302:AJ302,Z$24:AJ$24,Z$31:AJ$31)/1000</f>
        <v>0</v>
      </c>
      <c r="Z302" s="376"/>
      <c r="AA302" s="254">
        <f t="shared" ref="AA302:AI302" si="322">IF($AA$75=0,0,
($AA$121+$AA$146+$AA$162)/$AA$75*AA60)</f>
        <v>0</v>
      </c>
      <c r="AB302" s="254">
        <f t="shared" si="322"/>
        <v>0</v>
      </c>
      <c r="AC302" s="254">
        <f t="shared" si="322"/>
        <v>0</v>
      </c>
      <c r="AD302" s="254">
        <f t="shared" si="322"/>
        <v>0</v>
      </c>
      <c r="AE302" s="254">
        <f t="shared" si="322"/>
        <v>0</v>
      </c>
      <c r="AF302" s="254">
        <f t="shared" si="322"/>
        <v>0</v>
      </c>
      <c r="AG302" s="254">
        <f t="shared" si="322"/>
        <v>0</v>
      </c>
      <c r="AH302" s="254">
        <f t="shared" si="322"/>
        <v>0</v>
      </c>
      <c r="AI302" s="254">
        <f t="shared" si="322"/>
        <v>0</v>
      </c>
      <c r="AJ302" s="255"/>
      <c r="AK302" s="375">
        <f t="shared" ref="AK302:AK309" si="323">SUMPRODUCT(AL302:AV302,AL$24:AV$24,AL$31:AV$31)/1000</f>
        <v>0</v>
      </c>
      <c r="AL302" s="213"/>
      <c r="AM302" s="254">
        <f t="shared" ref="AM302:AU302" si="324">IF($AM$75=0,0,
($AM$121+$AM$146+$AM$162)/$AM$75*AM60)</f>
        <v>0</v>
      </c>
      <c r="AN302" s="254">
        <f t="shared" si="324"/>
        <v>0</v>
      </c>
      <c r="AO302" s="254">
        <f t="shared" si="324"/>
        <v>0</v>
      </c>
      <c r="AP302" s="254">
        <f t="shared" si="324"/>
        <v>0</v>
      </c>
      <c r="AQ302" s="254">
        <f t="shared" si="324"/>
        <v>0</v>
      </c>
      <c r="AR302" s="254">
        <f t="shared" si="324"/>
        <v>0</v>
      </c>
      <c r="AS302" s="254">
        <f t="shared" si="324"/>
        <v>0</v>
      </c>
      <c r="AT302" s="254">
        <f t="shared" si="324"/>
        <v>0</v>
      </c>
      <c r="AU302" s="254">
        <f t="shared" si="324"/>
        <v>0</v>
      </c>
      <c r="AV302" s="255"/>
      <c r="AW302" s="375">
        <f t="shared" ref="AW302:AW309" si="325">SUMPRODUCT(AX302:BH302,AX$24:BH$24,AX$31:BH$31)/1000</f>
        <v>0</v>
      </c>
      <c r="AX302" s="213"/>
      <c r="AY302" s="254">
        <f t="shared" ref="AY302:BG302" si="326">IF($AY$75=0,0,
($AY$121+$AY$146+$AY$162)/$AY$75*AY60)</f>
        <v>0</v>
      </c>
      <c r="AZ302" s="254">
        <f t="shared" si="326"/>
        <v>0</v>
      </c>
      <c r="BA302" s="254">
        <f t="shared" si="326"/>
        <v>0</v>
      </c>
      <c r="BB302" s="254">
        <f t="shared" si="326"/>
        <v>0</v>
      </c>
      <c r="BC302" s="254">
        <f t="shared" si="326"/>
        <v>0</v>
      </c>
      <c r="BD302" s="254">
        <f t="shared" si="326"/>
        <v>0</v>
      </c>
      <c r="BE302" s="254">
        <f t="shared" si="326"/>
        <v>0</v>
      </c>
      <c r="BF302" s="254">
        <f t="shared" si="326"/>
        <v>0</v>
      </c>
      <c r="BG302" s="254">
        <f t="shared" si="326"/>
        <v>0</v>
      </c>
      <c r="BH302" s="255"/>
    </row>
    <row r="303" spans="1:60" x14ac:dyDescent="0.2">
      <c r="A303" s="648"/>
      <c r="B303" s="492" t="s">
        <v>352</v>
      </c>
      <c r="C303" s="656" t="s">
        <v>113</v>
      </c>
      <c r="D303" s="750"/>
      <c r="E303" s="367" t="str">
        <f>$P$73</f>
        <v>koeling</v>
      </c>
      <c r="F303" s="246"/>
      <c r="G303" s="246"/>
      <c r="H303" s="247" t="s">
        <v>355</v>
      </c>
      <c r="I303" s="248"/>
      <c r="J303" s="375">
        <f t="shared" si="318"/>
        <v>0</v>
      </c>
      <c r="K303" s="376"/>
      <c r="L303" s="376"/>
      <c r="M303" s="375">
        <f t="shared" si="319"/>
        <v>0</v>
      </c>
      <c r="N303" s="376"/>
      <c r="O303" s="254">
        <f t="shared" ref="O303:W303" si="327">IF($P$75=0,0,
($P$121+$P$146+$P$162)/$P$75*O61)</f>
        <v>0</v>
      </c>
      <c r="P303" s="254">
        <f t="shared" si="327"/>
        <v>0</v>
      </c>
      <c r="Q303" s="254">
        <f t="shared" si="327"/>
        <v>0</v>
      </c>
      <c r="R303" s="254">
        <f t="shared" si="327"/>
        <v>0</v>
      </c>
      <c r="S303" s="254">
        <f t="shared" si="327"/>
        <v>0</v>
      </c>
      <c r="T303" s="254">
        <f t="shared" si="327"/>
        <v>0</v>
      </c>
      <c r="U303" s="254">
        <f t="shared" si="327"/>
        <v>0</v>
      </c>
      <c r="V303" s="254">
        <f t="shared" si="327"/>
        <v>0</v>
      </c>
      <c r="W303" s="254">
        <f t="shared" si="327"/>
        <v>0</v>
      </c>
      <c r="X303" s="255"/>
      <c r="Y303" s="375">
        <f t="shared" si="321"/>
        <v>0</v>
      </c>
      <c r="Z303" s="376"/>
      <c r="AA303" s="254">
        <f t="shared" ref="AA303:AI303" si="328">IF($AB$75=0,0,
($AB$121+$AB$146+$AB$162)/$AB$75*AA61)</f>
        <v>0</v>
      </c>
      <c r="AB303" s="254">
        <f t="shared" si="328"/>
        <v>0</v>
      </c>
      <c r="AC303" s="254">
        <f t="shared" si="328"/>
        <v>0</v>
      </c>
      <c r="AD303" s="254">
        <f t="shared" si="328"/>
        <v>0</v>
      </c>
      <c r="AE303" s="254">
        <f t="shared" si="328"/>
        <v>0</v>
      </c>
      <c r="AF303" s="254">
        <f t="shared" si="328"/>
        <v>0</v>
      </c>
      <c r="AG303" s="254">
        <f t="shared" si="328"/>
        <v>0</v>
      </c>
      <c r="AH303" s="254">
        <f t="shared" si="328"/>
        <v>0</v>
      </c>
      <c r="AI303" s="254">
        <f t="shared" si="328"/>
        <v>0</v>
      </c>
      <c r="AJ303" s="255"/>
      <c r="AK303" s="375">
        <f t="shared" si="323"/>
        <v>0</v>
      </c>
      <c r="AL303" s="213"/>
      <c r="AM303" s="254">
        <f t="shared" ref="AM303:AU303" si="329">IF($AN$75=0,0,
($AN$121+$AN$146+$AN$162)/$AN$75*AM61)</f>
        <v>0</v>
      </c>
      <c r="AN303" s="254">
        <f t="shared" si="329"/>
        <v>0</v>
      </c>
      <c r="AO303" s="254">
        <f t="shared" si="329"/>
        <v>0</v>
      </c>
      <c r="AP303" s="254">
        <f t="shared" si="329"/>
        <v>0</v>
      </c>
      <c r="AQ303" s="254">
        <f t="shared" si="329"/>
        <v>0</v>
      </c>
      <c r="AR303" s="254">
        <f t="shared" si="329"/>
        <v>0</v>
      </c>
      <c r="AS303" s="254">
        <f t="shared" si="329"/>
        <v>0</v>
      </c>
      <c r="AT303" s="254">
        <f t="shared" si="329"/>
        <v>0</v>
      </c>
      <c r="AU303" s="254">
        <f t="shared" si="329"/>
        <v>0</v>
      </c>
      <c r="AV303" s="255"/>
      <c r="AW303" s="375">
        <f t="shared" si="325"/>
        <v>0</v>
      </c>
      <c r="AX303" s="213"/>
      <c r="AY303" s="254">
        <f t="shared" ref="AY303:BG303" si="330">IF($AZ$75=0,0,
($AZ$121+$AZ$146+$AZ$162)/$AZ$75*AY61)</f>
        <v>0</v>
      </c>
      <c r="AZ303" s="254">
        <f t="shared" si="330"/>
        <v>0</v>
      </c>
      <c r="BA303" s="254">
        <f t="shared" si="330"/>
        <v>0</v>
      </c>
      <c r="BB303" s="254">
        <f t="shared" si="330"/>
        <v>0</v>
      </c>
      <c r="BC303" s="254">
        <f t="shared" si="330"/>
        <v>0</v>
      </c>
      <c r="BD303" s="254">
        <f t="shared" si="330"/>
        <v>0</v>
      </c>
      <c r="BE303" s="254">
        <f t="shared" si="330"/>
        <v>0</v>
      </c>
      <c r="BF303" s="254">
        <f t="shared" si="330"/>
        <v>0</v>
      </c>
      <c r="BG303" s="254">
        <f t="shared" si="330"/>
        <v>0</v>
      </c>
      <c r="BH303" s="255"/>
    </row>
    <row r="304" spans="1:60" x14ac:dyDescent="0.2">
      <c r="A304" s="648"/>
      <c r="B304" s="492" t="s">
        <v>352</v>
      </c>
      <c r="C304" s="656" t="s">
        <v>113</v>
      </c>
      <c r="D304" s="750"/>
      <c r="E304" s="367" t="str">
        <f>$Q$73</f>
        <v>tapwater</v>
      </c>
      <c r="F304" s="246"/>
      <c r="G304" s="246"/>
      <c r="H304" s="247" t="s">
        <v>355</v>
      </c>
      <c r="I304" s="248"/>
      <c r="J304" s="375">
        <f t="shared" si="318"/>
        <v>0</v>
      </c>
      <c r="K304" s="376"/>
      <c r="L304" s="376"/>
      <c r="M304" s="375">
        <f t="shared" si="319"/>
        <v>0</v>
      </c>
      <c r="N304" s="376"/>
      <c r="O304" s="254">
        <f t="shared" ref="O304:W304" si="331">IF($Q$75=0,0,
($Q$121+$Q$146+$Q$162)/$Q$75*O62)</f>
        <v>0</v>
      </c>
      <c r="P304" s="254">
        <f t="shared" si="331"/>
        <v>0</v>
      </c>
      <c r="Q304" s="254">
        <f t="shared" si="331"/>
        <v>0</v>
      </c>
      <c r="R304" s="254">
        <f t="shared" si="331"/>
        <v>0</v>
      </c>
      <c r="S304" s="254">
        <f t="shared" si="331"/>
        <v>0</v>
      </c>
      <c r="T304" s="254">
        <f t="shared" si="331"/>
        <v>0</v>
      </c>
      <c r="U304" s="254">
        <f t="shared" si="331"/>
        <v>0</v>
      </c>
      <c r="V304" s="254">
        <f t="shared" si="331"/>
        <v>0</v>
      </c>
      <c r="W304" s="254">
        <f t="shared" si="331"/>
        <v>0</v>
      </c>
      <c r="X304" s="255"/>
      <c r="Y304" s="375">
        <f t="shared" si="321"/>
        <v>0</v>
      </c>
      <c r="Z304" s="376"/>
      <c r="AA304" s="254">
        <f t="shared" ref="AA304:AI304" si="332">IF($AC$75=0,0,
($AC$121+$AC$146+$AC$162)/$AC$75*AA62)</f>
        <v>0</v>
      </c>
      <c r="AB304" s="254">
        <f t="shared" si="332"/>
        <v>0</v>
      </c>
      <c r="AC304" s="254">
        <f t="shared" si="332"/>
        <v>0</v>
      </c>
      <c r="AD304" s="254">
        <f t="shared" si="332"/>
        <v>0</v>
      </c>
      <c r="AE304" s="254">
        <f t="shared" si="332"/>
        <v>0</v>
      </c>
      <c r="AF304" s="254">
        <f t="shared" si="332"/>
        <v>0</v>
      </c>
      <c r="AG304" s="254">
        <f t="shared" si="332"/>
        <v>0</v>
      </c>
      <c r="AH304" s="254">
        <f t="shared" si="332"/>
        <v>0</v>
      </c>
      <c r="AI304" s="254">
        <f t="shared" si="332"/>
        <v>0</v>
      </c>
      <c r="AJ304" s="255"/>
      <c r="AK304" s="375">
        <f t="shared" si="323"/>
        <v>0</v>
      </c>
      <c r="AL304" s="213"/>
      <c r="AM304" s="254">
        <f t="shared" ref="AM304:AU304" si="333">IF($AO$75=0,0,
($AO$121+$AO$146+$AO$162)/$AO$75*AM62)</f>
        <v>0</v>
      </c>
      <c r="AN304" s="254">
        <f t="shared" si="333"/>
        <v>0</v>
      </c>
      <c r="AO304" s="254">
        <f t="shared" si="333"/>
        <v>0</v>
      </c>
      <c r="AP304" s="254">
        <f t="shared" si="333"/>
        <v>0</v>
      </c>
      <c r="AQ304" s="254">
        <f t="shared" si="333"/>
        <v>0</v>
      </c>
      <c r="AR304" s="254">
        <f t="shared" si="333"/>
        <v>0</v>
      </c>
      <c r="AS304" s="254">
        <f t="shared" si="333"/>
        <v>0</v>
      </c>
      <c r="AT304" s="254">
        <f t="shared" si="333"/>
        <v>0</v>
      </c>
      <c r="AU304" s="254">
        <f t="shared" si="333"/>
        <v>0</v>
      </c>
      <c r="AV304" s="255"/>
      <c r="AW304" s="375">
        <f t="shared" si="325"/>
        <v>0</v>
      </c>
      <c r="AX304" s="213"/>
      <c r="AY304" s="254">
        <f t="shared" ref="AY304:BG304" si="334">IF($BA$75=0,0,
($BA$121+$BA$146+$BA$162)/$BA$75*AY62)</f>
        <v>0</v>
      </c>
      <c r="AZ304" s="254">
        <f t="shared" si="334"/>
        <v>0</v>
      </c>
      <c r="BA304" s="254">
        <f t="shared" si="334"/>
        <v>0</v>
      </c>
      <c r="BB304" s="254">
        <f t="shared" si="334"/>
        <v>0</v>
      </c>
      <c r="BC304" s="254">
        <f t="shared" si="334"/>
        <v>0</v>
      </c>
      <c r="BD304" s="254">
        <f t="shared" si="334"/>
        <v>0</v>
      </c>
      <c r="BE304" s="254">
        <f t="shared" si="334"/>
        <v>0</v>
      </c>
      <c r="BF304" s="254">
        <f t="shared" si="334"/>
        <v>0</v>
      </c>
      <c r="BG304" s="254">
        <f t="shared" si="334"/>
        <v>0</v>
      </c>
      <c r="BH304" s="255"/>
    </row>
    <row r="305" spans="1:60" x14ac:dyDescent="0.2">
      <c r="A305" s="648"/>
      <c r="B305" s="492" t="s">
        <v>352</v>
      </c>
      <c r="C305" s="656" t="s">
        <v>113</v>
      </c>
      <c r="D305" s="750"/>
      <c r="E305" s="367" t="str">
        <f>$R$73</f>
        <v>verlichting</v>
      </c>
      <c r="F305" s="246"/>
      <c r="G305" s="246"/>
      <c r="H305" s="247" t="s">
        <v>355</v>
      </c>
      <c r="I305" s="248"/>
      <c r="J305" s="375">
        <f t="shared" si="318"/>
        <v>0</v>
      </c>
      <c r="K305" s="376"/>
      <c r="L305" s="376"/>
      <c r="M305" s="375">
        <f t="shared" si="319"/>
        <v>0</v>
      </c>
      <c r="N305" s="376"/>
      <c r="O305" s="254">
        <f t="shared" ref="O305:W305" si="335">IF($R$75=0,0,$R$162/$R$75*O63)</f>
        <v>0</v>
      </c>
      <c r="P305" s="254">
        <f t="shared" si="335"/>
        <v>0</v>
      </c>
      <c r="Q305" s="254">
        <f t="shared" si="335"/>
        <v>0</v>
      </c>
      <c r="R305" s="254">
        <f t="shared" si="335"/>
        <v>0</v>
      </c>
      <c r="S305" s="254">
        <f t="shared" si="335"/>
        <v>0</v>
      </c>
      <c r="T305" s="254">
        <f t="shared" si="335"/>
        <v>0</v>
      </c>
      <c r="U305" s="254">
        <f t="shared" si="335"/>
        <v>0</v>
      </c>
      <c r="V305" s="254">
        <f t="shared" si="335"/>
        <v>0</v>
      </c>
      <c r="W305" s="254">
        <f t="shared" si="335"/>
        <v>0</v>
      </c>
      <c r="X305" s="255"/>
      <c r="Y305" s="375">
        <f t="shared" si="321"/>
        <v>0</v>
      </c>
      <c r="Z305" s="376"/>
      <c r="AA305" s="254">
        <f t="shared" ref="AA305:AI305" si="336">IF($AD$75=0,0,$AD$162/$AD$75*AA63)</f>
        <v>0</v>
      </c>
      <c r="AB305" s="254">
        <f t="shared" si="336"/>
        <v>0</v>
      </c>
      <c r="AC305" s="254">
        <f t="shared" si="336"/>
        <v>0</v>
      </c>
      <c r="AD305" s="254">
        <f t="shared" si="336"/>
        <v>0</v>
      </c>
      <c r="AE305" s="254">
        <f t="shared" si="336"/>
        <v>0</v>
      </c>
      <c r="AF305" s="254">
        <f t="shared" si="336"/>
        <v>0</v>
      </c>
      <c r="AG305" s="254">
        <f t="shared" si="336"/>
        <v>0</v>
      </c>
      <c r="AH305" s="254">
        <f t="shared" si="336"/>
        <v>0</v>
      </c>
      <c r="AI305" s="254">
        <f t="shared" si="336"/>
        <v>0</v>
      </c>
      <c r="AJ305" s="255"/>
      <c r="AK305" s="375">
        <f t="shared" si="323"/>
        <v>0</v>
      </c>
      <c r="AL305" s="213"/>
      <c r="AM305" s="254">
        <f t="shared" ref="AM305:AU305" si="337">IF($AP$75=0,0,$AP$162/$AP$75*AM63)</f>
        <v>0</v>
      </c>
      <c r="AN305" s="254">
        <f t="shared" si="337"/>
        <v>0</v>
      </c>
      <c r="AO305" s="254">
        <f t="shared" si="337"/>
        <v>0</v>
      </c>
      <c r="AP305" s="254">
        <f t="shared" si="337"/>
        <v>0</v>
      </c>
      <c r="AQ305" s="254">
        <f t="shared" si="337"/>
        <v>0</v>
      </c>
      <c r="AR305" s="254">
        <f t="shared" si="337"/>
        <v>0</v>
      </c>
      <c r="AS305" s="254">
        <f t="shared" si="337"/>
        <v>0</v>
      </c>
      <c r="AT305" s="254">
        <f t="shared" si="337"/>
        <v>0</v>
      </c>
      <c r="AU305" s="254">
        <f t="shared" si="337"/>
        <v>0</v>
      </c>
      <c r="AV305" s="255"/>
      <c r="AW305" s="375">
        <f t="shared" si="325"/>
        <v>0</v>
      </c>
      <c r="AX305" s="213"/>
      <c r="AY305" s="254">
        <f t="shared" ref="AY305:BG305" si="338">IF($BB$75=0,0,$BB$162/$BB$75*AY63)</f>
        <v>0</v>
      </c>
      <c r="AZ305" s="254">
        <f t="shared" si="338"/>
        <v>0</v>
      </c>
      <c r="BA305" s="254">
        <f t="shared" si="338"/>
        <v>0</v>
      </c>
      <c r="BB305" s="254">
        <f t="shared" si="338"/>
        <v>0</v>
      </c>
      <c r="BC305" s="254">
        <f t="shared" si="338"/>
        <v>0</v>
      </c>
      <c r="BD305" s="254">
        <f t="shared" si="338"/>
        <v>0</v>
      </c>
      <c r="BE305" s="254">
        <f t="shared" si="338"/>
        <v>0</v>
      </c>
      <c r="BF305" s="254">
        <f t="shared" si="338"/>
        <v>0</v>
      </c>
      <c r="BG305" s="254">
        <f t="shared" si="338"/>
        <v>0</v>
      </c>
      <c r="BH305" s="255"/>
    </row>
    <row r="306" spans="1:60" x14ac:dyDescent="0.2">
      <c r="A306" s="648"/>
      <c r="B306" s="492" t="s">
        <v>352</v>
      </c>
      <c r="C306" s="656" t="s">
        <v>113</v>
      </c>
      <c r="D306" s="750"/>
      <c r="E306" s="367" t="str">
        <f>$S$73</f>
        <v>ventilatoren</v>
      </c>
      <c r="F306" s="246"/>
      <c r="G306" s="246"/>
      <c r="H306" s="247" t="s">
        <v>355</v>
      </c>
      <c r="I306" s="248"/>
      <c r="J306" s="375">
        <f t="shared" si="318"/>
        <v>0</v>
      </c>
      <c r="K306" s="376"/>
      <c r="L306" s="376"/>
      <c r="M306" s="375">
        <f t="shared" si="319"/>
        <v>0</v>
      </c>
      <c r="N306" s="376"/>
      <c r="O306" s="254">
        <f t="shared" ref="O306:W306" si="339">IF($S$75=0,0,$S$162/$S$75*O64)</f>
        <v>0</v>
      </c>
      <c r="P306" s="254">
        <f t="shared" si="339"/>
        <v>0</v>
      </c>
      <c r="Q306" s="254">
        <f t="shared" si="339"/>
        <v>0</v>
      </c>
      <c r="R306" s="254">
        <f t="shared" si="339"/>
        <v>0</v>
      </c>
      <c r="S306" s="254">
        <f t="shared" si="339"/>
        <v>0</v>
      </c>
      <c r="T306" s="254">
        <f t="shared" si="339"/>
        <v>0</v>
      </c>
      <c r="U306" s="254">
        <f t="shared" si="339"/>
        <v>0</v>
      </c>
      <c r="V306" s="254">
        <f t="shared" si="339"/>
        <v>0</v>
      </c>
      <c r="W306" s="254">
        <f t="shared" si="339"/>
        <v>0</v>
      </c>
      <c r="X306" s="255"/>
      <c r="Y306" s="375">
        <f t="shared" si="321"/>
        <v>0</v>
      </c>
      <c r="Z306" s="376"/>
      <c r="AA306" s="254">
        <f t="shared" ref="AA306:AI306" si="340">IF($AE$75=0,0,$AE$162/$AE$75*AA64)</f>
        <v>0</v>
      </c>
      <c r="AB306" s="254">
        <f t="shared" si="340"/>
        <v>0</v>
      </c>
      <c r="AC306" s="254">
        <f t="shared" si="340"/>
        <v>0</v>
      </c>
      <c r="AD306" s="254">
        <f t="shared" si="340"/>
        <v>0</v>
      </c>
      <c r="AE306" s="254">
        <f t="shared" si="340"/>
        <v>0</v>
      </c>
      <c r="AF306" s="254">
        <f t="shared" si="340"/>
        <v>0</v>
      </c>
      <c r="AG306" s="254">
        <f t="shared" si="340"/>
        <v>0</v>
      </c>
      <c r="AH306" s="254">
        <f t="shared" si="340"/>
        <v>0</v>
      </c>
      <c r="AI306" s="254">
        <f t="shared" si="340"/>
        <v>0</v>
      </c>
      <c r="AJ306" s="255"/>
      <c r="AK306" s="375">
        <f t="shared" si="323"/>
        <v>0</v>
      </c>
      <c r="AL306" s="213"/>
      <c r="AM306" s="254">
        <f t="shared" ref="AM306:AU306" si="341">IF($AQ$75=0,0,$AQ$162/$AQ$75*AM64)</f>
        <v>0</v>
      </c>
      <c r="AN306" s="254">
        <f t="shared" si="341"/>
        <v>0</v>
      </c>
      <c r="AO306" s="254">
        <f t="shared" si="341"/>
        <v>0</v>
      </c>
      <c r="AP306" s="254">
        <f t="shared" si="341"/>
        <v>0</v>
      </c>
      <c r="AQ306" s="254">
        <f t="shared" si="341"/>
        <v>0</v>
      </c>
      <c r="AR306" s="254">
        <f t="shared" si="341"/>
        <v>0</v>
      </c>
      <c r="AS306" s="254">
        <f t="shared" si="341"/>
        <v>0</v>
      </c>
      <c r="AT306" s="254">
        <f t="shared" si="341"/>
        <v>0</v>
      </c>
      <c r="AU306" s="254">
        <f t="shared" si="341"/>
        <v>0</v>
      </c>
      <c r="AV306" s="255"/>
      <c r="AW306" s="375">
        <f t="shared" si="325"/>
        <v>0</v>
      </c>
      <c r="AX306" s="213"/>
      <c r="AY306" s="254">
        <f t="shared" ref="AY306:BG306" si="342">IF($BC$75=0,0,$BC$162/$BC$75*AY64)</f>
        <v>0</v>
      </c>
      <c r="AZ306" s="254">
        <f t="shared" si="342"/>
        <v>0</v>
      </c>
      <c r="BA306" s="254">
        <f t="shared" si="342"/>
        <v>0</v>
      </c>
      <c r="BB306" s="254">
        <f t="shared" si="342"/>
        <v>0</v>
      </c>
      <c r="BC306" s="254">
        <f t="shared" si="342"/>
        <v>0</v>
      </c>
      <c r="BD306" s="254">
        <f t="shared" si="342"/>
        <v>0</v>
      </c>
      <c r="BE306" s="254">
        <f t="shared" si="342"/>
        <v>0</v>
      </c>
      <c r="BF306" s="254">
        <f t="shared" si="342"/>
        <v>0</v>
      </c>
      <c r="BG306" s="254">
        <f t="shared" si="342"/>
        <v>0</v>
      </c>
      <c r="BH306" s="255"/>
    </row>
    <row r="307" spans="1:60" x14ac:dyDescent="0.2">
      <c r="A307" s="648"/>
      <c r="B307" s="492" t="s">
        <v>352</v>
      </c>
      <c r="C307" s="656" t="s">
        <v>113</v>
      </c>
      <c r="D307" s="750"/>
      <c r="E307" s="367" t="str">
        <f>$T$73</f>
        <v>kookgas</v>
      </c>
      <c r="F307" s="246"/>
      <c r="G307" s="246"/>
      <c r="H307" s="247" t="s">
        <v>355</v>
      </c>
      <c r="I307" s="248"/>
      <c r="J307" s="375">
        <f t="shared" si="318"/>
        <v>0</v>
      </c>
      <c r="K307" s="376"/>
      <c r="L307" s="376"/>
      <c r="M307" s="375">
        <f t="shared" si="319"/>
        <v>0</v>
      </c>
      <c r="N307" s="376"/>
      <c r="O307" s="254">
        <f t="shared" ref="O307:W307" si="343">IF($T$75=0,0,$T$162/$T$75*O65)</f>
        <v>0</v>
      </c>
      <c r="P307" s="254">
        <f t="shared" si="343"/>
        <v>0</v>
      </c>
      <c r="Q307" s="254">
        <f t="shared" si="343"/>
        <v>0</v>
      </c>
      <c r="R307" s="254">
        <f t="shared" si="343"/>
        <v>0</v>
      </c>
      <c r="S307" s="254">
        <f t="shared" si="343"/>
        <v>0</v>
      </c>
      <c r="T307" s="254">
        <f t="shared" si="343"/>
        <v>0</v>
      </c>
      <c r="U307" s="254">
        <f t="shared" si="343"/>
        <v>0</v>
      </c>
      <c r="V307" s="254">
        <f t="shared" si="343"/>
        <v>0</v>
      </c>
      <c r="W307" s="254">
        <f t="shared" si="343"/>
        <v>0</v>
      </c>
      <c r="X307" s="255"/>
      <c r="Y307" s="375">
        <f t="shared" si="321"/>
        <v>0</v>
      </c>
      <c r="Z307" s="376"/>
      <c r="AA307" s="254">
        <f t="shared" ref="AA307:AI307" si="344">IF($AF$75=0,0,$AF$162/$AF$75*AA65)</f>
        <v>0</v>
      </c>
      <c r="AB307" s="254">
        <f t="shared" si="344"/>
        <v>0</v>
      </c>
      <c r="AC307" s="254">
        <f t="shared" si="344"/>
        <v>0</v>
      </c>
      <c r="AD307" s="254">
        <f t="shared" si="344"/>
        <v>0</v>
      </c>
      <c r="AE307" s="254">
        <f t="shared" si="344"/>
        <v>0</v>
      </c>
      <c r="AF307" s="254">
        <f t="shared" si="344"/>
        <v>0</v>
      </c>
      <c r="AG307" s="254">
        <f t="shared" si="344"/>
        <v>0</v>
      </c>
      <c r="AH307" s="254">
        <f t="shared" si="344"/>
        <v>0</v>
      </c>
      <c r="AI307" s="254">
        <f t="shared" si="344"/>
        <v>0</v>
      </c>
      <c r="AJ307" s="255"/>
      <c r="AK307" s="375">
        <f t="shared" si="323"/>
        <v>0</v>
      </c>
      <c r="AL307" s="213"/>
      <c r="AM307" s="254">
        <f t="shared" ref="AM307:AU307" si="345">IF($AR$75=0,0,$AR$162/$AR$75*AM65)</f>
        <v>0</v>
      </c>
      <c r="AN307" s="254">
        <f t="shared" si="345"/>
        <v>0</v>
      </c>
      <c r="AO307" s="254">
        <f t="shared" si="345"/>
        <v>0</v>
      </c>
      <c r="AP307" s="254">
        <f t="shared" si="345"/>
        <v>0</v>
      </c>
      <c r="AQ307" s="254">
        <f t="shared" si="345"/>
        <v>0</v>
      </c>
      <c r="AR307" s="254">
        <f t="shared" si="345"/>
        <v>0</v>
      </c>
      <c r="AS307" s="254">
        <f t="shared" si="345"/>
        <v>0</v>
      </c>
      <c r="AT307" s="254">
        <f t="shared" si="345"/>
        <v>0</v>
      </c>
      <c r="AU307" s="254">
        <f t="shared" si="345"/>
        <v>0</v>
      </c>
      <c r="AV307" s="255"/>
      <c r="AW307" s="375">
        <f t="shared" si="325"/>
        <v>0</v>
      </c>
      <c r="AX307" s="213"/>
      <c r="AY307" s="254">
        <f t="shared" ref="AY307:BG307" si="346">IF($BD$75=0,0,$BD$162/$BD$75*AY65)</f>
        <v>0</v>
      </c>
      <c r="AZ307" s="254">
        <f t="shared" si="346"/>
        <v>0</v>
      </c>
      <c r="BA307" s="254">
        <f t="shared" si="346"/>
        <v>0</v>
      </c>
      <c r="BB307" s="254">
        <f t="shared" si="346"/>
        <v>0</v>
      </c>
      <c r="BC307" s="254">
        <f t="shared" si="346"/>
        <v>0</v>
      </c>
      <c r="BD307" s="254">
        <f t="shared" si="346"/>
        <v>0</v>
      </c>
      <c r="BE307" s="254">
        <f t="shared" si="346"/>
        <v>0</v>
      </c>
      <c r="BF307" s="254">
        <f t="shared" si="346"/>
        <v>0</v>
      </c>
      <c r="BG307" s="254">
        <f t="shared" si="346"/>
        <v>0</v>
      </c>
      <c r="BH307" s="255"/>
    </row>
    <row r="308" spans="1:60" x14ac:dyDescent="0.2">
      <c r="A308" s="648"/>
      <c r="B308" s="492" t="s">
        <v>352</v>
      </c>
      <c r="C308" s="656" t="s">
        <v>113</v>
      </c>
      <c r="D308" s="750"/>
      <c r="E308" s="367" t="str">
        <f>$U$73</f>
        <v>overig elektra</v>
      </c>
      <c r="F308" s="246"/>
      <c r="G308" s="246"/>
      <c r="H308" s="247" t="s">
        <v>355</v>
      </c>
      <c r="I308" s="248"/>
      <c r="J308" s="375">
        <f t="shared" si="318"/>
        <v>0</v>
      </c>
      <c r="K308" s="376"/>
      <c r="L308" s="376"/>
      <c r="M308" s="375">
        <f t="shared" si="319"/>
        <v>0</v>
      </c>
      <c r="N308" s="376"/>
      <c r="O308" s="254">
        <f t="shared" ref="O308:W308" si="347">IF($U$75=0,0,$U$162/$U$75*O66)</f>
        <v>0</v>
      </c>
      <c r="P308" s="254">
        <f t="shared" si="347"/>
        <v>0</v>
      </c>
      <c r="Q308" s="254">
        <f t="shared" si="347"/>
        <v>0</v>
      </c>
      <c r="R308" s="254">
        <f t="shared" si="347"/>
        <v>0</v>
      </c>
      <c r="S308" s="254">
        <f t="shared" si="347"/>
        <v>0</v>
      </c>
      <c r="T308" s="254">
        <f t="shared" si="347"/>
        <v>0</v>
      </c>
      <c r="U308" s="254">
        <f t="shared" si="347"/>
        <v>0</v>
      </c>
      <c r="V308" s="254">
        <f t="shared" si="347"/>
        <v>0</v>
      </c>
      <c r="W308" s="254">
        <f t="shared" si="347"/>
        <v>0</v>
      </c>
      <c r="X308" s="255"/>
      <c r="Y308" s="375">
        <f t="shared" si="321"/>
        <v>0</v>
      </c>
      <c r="Z308" s="376"/>
      <c r="AA308" s="254">
        <f t="shared" ref="AA308:AI308" si="348">IF($AG$75=0,0,$AG$162/$AG$75*AA66)</f>
        <v>0</v>
      </c>
      <c r="AB308" s="254">
        <f t="shared" si="348"/>
        <v>0</v>
      </c>
      <c r="AC308" s="254">
        <f t="shared" si="348"/>
        <v>0</v>
      </c>
      <c r="AD308" s="254">
        <f t="shared" si="348"/>
        <v>0</v>
      </c>
      <c r="AE308" s="254">
        <f t="shared" si="348"/>
        <v>0</v>
      </c>
      <c r="AF308" s="254">
        <f t="shared" si="348"/>
        <v>0</v>
      </c>
      <c r="AG308" s="254">
        <f t="shared" si="348"/>
        <v>0</v>
      </c>
      <c r="AH308" s="254">
        <f t="shared" si="348"/>
        <v>0</v>
      </c>
      <c r="AI308" s="254">
        <f t="shared" si="348"/>
        <v>0</v>
      </c>
      <c r="AJ308" s="255"/>
      <c r="AK308" s="375">
        <f t="shared" si="323"/>
        <v>0</v>
      </c>
      <c r="AL308" s="213"/>
      <c r="AM308" s="254">
        <f t="shared" ref="AM308:AU308" si="349">IF($AS$75=0,0,$AS$162/$AS$75*AM66)</f>
        <v>0</v>
      </c>
      <c r="AN308" s="254">
        <f t="shared" si="349"/>
        <v>0</v>
      </c>
      <c r="AO308" s="254">
        <f t="shared" si="349"/>
        <v>0</v>
      </c>
      <c r="AP308" s="254">
        <f t="shared" si="349"/>
        <v>0</v>
      </c>
      <c r="AQ308" s="254">
        <f t="shared" si="349"/>
        <v>0</v>
      </c>
      <c r="AR308" s="254">
        <f t="shared" si="349"/>
        <v>0</v>
      </c>
      <c r="AS308" s="254">
        <f t="shared" si="349"/>
        <v>0</v>
      </c>
      <c r="AT308" s="254">
        <f t="shared" si="349"/>
        <v>0</v>
      </c>
      <c r="AU308" s="254">
        <f t="shared" si="349"/>
        <v>0</v>
      </c>
      <c r="AV308" s="255"/>
      <c r="AW308" s="375">
        <f t="shared" si="325"/>
        <v>0</v>
      </c>
      <c r="AX308" s="213"/>
      <c r="AY308" s="254">
        <f t="shared" ref="AY308:BG308" si="350">IF($BE$75=0,0,$BE$162/$BE$75*AY66)</f>
        <v>0</v>
      </c>
      <c r="AZ308" s="254">
        <f t="shared" si="350"/>
        <v>0</v>
      </c>
      <c r="BA308" s="254">
        <f t="shared" si="350"/>
        <v>0</v>
      </c>
      <c r="BB308" s="254">
        <f t="shared" si="350"/>
        <v>0</v>
      </c>
      <c r="BC308" s="254">
        <f t="shared" si="350"/>
        <v>0</v>
      </c>
      <c r="BD308" s="254">
        <f t="shared" si="350"/>
        <v>0</v>
      </c>
      <c r="BE308" s="254">
        <f t="shared" si="350"/>
        <v>0</v>
      </c>
      <c r="BF308" s="254">
        <f t="shared" si="350"/>
        <v>0</v>
      </c>
      <c r="BG308" s="254">
        <f t="shared" si="350"/>
        <v>0</v>
      </c>
      <c r="BH308" s="255"/>
    </row>
    <row r="309" spans="1:60" x14ac:dyDescent="0.2">
      <c r="A309" s="648"/>
      <c r="B309" s="492" t="s">
        <v>352</v>
      </c>
      <c r="C309" s="656" t="s">
        <v>113</v>
      </c>
      <c r="D309" s="750"/>
      <c r="E309" s="367" t="str">
        <f>$V$73</f>
        <v>mobiliteit</v>
      </c>
      <c r="F309" s="246"/>
      <c r="G309" s="246"/>
      <c r="H309" s="247" t="s">
        <v>355</v>
      </c>
      <c r="I309" s="248"/>
      <c r="J309" s="375">
        <f t="shared" si="318"/>
        <v>0</v>
      </c>
      <c r="K309" s="376"/>
      <c r="L309" s="376"/>
      <c r="M309" s="375">
        <f t="shared" si="319"/>
        <v>0</v>
      </c>
      <c r="N309" s="376"/>
      <c r="O309" s="254">
        <f t="shared" ref="O309:W309" si="351">IF(OR($V$154=0,O$31=0),0,$V$162/$V$154*O$68/O$31)</f>
        <v>0</v>
      </c>
      <c r="P309" s="254">
        <f t="shared" si="351"/>
        <v>0</v>
      </c>
      <c r="Q309" s="254">
        <f t="shared" si="351"/>
        <v>0</v>
      </c>
      <c r="R309" s="254">
        <f t="shared" si="351"/>
        <v>0</v>
      </c>
      <c r="S309" s="254">
        <f t="shared" si="351"/>
        <v>0</v>
      </c>
      <c r="T309" s="254">
        <f t="shared" si="351"/>
        <v>0</v>
      </c>
      <c r="U309" s="254">
        <f t="shared" si="351"/>
        <v>0</v>
      </c>
      <c r="V309" s="254">
        <f t="shared" si="351"/>
        <v>0</v>
      </c>
      <c r="W309" s="254">
        <f t="shared" si="351"/>
        <v>0</v>
      </c>
      <c r="X309" s="255"/>
      <c r="Y309" s="375">
        <f t="shared" si="321"/>
        <v>0</v>
      </c>
      <c r="Z309" s="376"/>
      <c r="AA309" s="254">
        <f t="shared" ref="AA309:AI309" si="352">IF(OR($AH$154=0,AA$31=0),0,$AH$162/$AH$154*AA$68/AA$31)</f>
        <v>0</v>
      </c>
      <c r="AB309" s="254">
        <f t="shared" si="352"/>
        <v>0</v>
      </c>
      <c r="AC309" s="254">
        <f t="shared" si="352"/>
        <v>0</v>
      </c>
      <c r="AD309" s="254">
        <f t="shared" si="352"/>
        <v>0</v>
      </c>
      <c r="AE309" s="254">
        <f t="shared" si="352"/>
        <v>0</v>
      </c>
      <c r="AF309" s="254">
        <f t="shared" si="352"/>
        <v>0</v>
      </c>
      <c r="AG309" s="254">
        <f t="shared" si="352"/>
        <v>0</v>
      </c>
      <c r="AH309" s="254">
        <f t="shared" si="352"/>
        <v>0</v>
      </c>
      <c r="AI309" s="254">
        <f t="shared" si="352"/>
        <v>0</v>
      </c>
      <c r="AJ309" s="255"/>
      <c r="AK309" s="375">
        <f t="shared" si="323"/>
        <v>0</v>
      </c>
      <c r="AL309" s="213"/>
      <c r="AM309" s="254">
        <f t="shared" ref="AM309:AU309" si="353">IF(OR($AT$154=0,AM$31=0),0,$AT$162/$AT$154*AM$68/AM$31)</f>
        <v>0</v>
      </c>
      <c r="AN309" s="254">
        <f t="shared" si="353"/>
        <v>0</v>
      </c>
      <c r="AO309" s="254">
        <f t="shared" si="353"/>
        <v>0</v>
      </c>
      <c r="AP309" s="254">
        <f t="shared" si="353"/>
        <v>0</v>
      </c>
      <c r="AQ309" s="254">
        <f t="shared" si="353"/>
        <v>0</v>
      </c>
      <c r="AR309" s="254">
        <f t="shared" si="353"/>
        <v>0</v>
      </c>
      <c r="AS309" s="254">
        <f t="shared" si="353"/>
        <v>0</v>
      </c>
      <c r="AT309" s="254">
        <f t="shared" si="353"/>
        <v>0</v>
      </c>
      <c r="AU309" s="254">
        <f t="shared" si="353"/>
        <v>0</v>
      </c>
      <c r="AV309" s="255"/>
      <c r="AW309" s="375">
        <f t="shared" si="325"/>
        <v>0</v>
      </c>
      <c r="AX309" s="213"/>
      <c r="AY309" s="254">
        <f t="shared" ref="AY309:BG309" si="354">IF(OR($BF$154=0,AY$31=0),0,$BF$162/$BF$154*AY$68/AY$31)</f>
        <v>0</v>
      </c>
      <c r="AZ309" s="254">
        <f t="shared" si="354"/>
        <v>0</v>
      </c>
      <c r="BA309" s="254">
        <f t="shared" si="354"/>
        <v>0</v>
      </c>
      <c r="BB309" s="254">
        <f t="shared" si="354"/>
        <v>0</v>
      </c>
      <c r="BC309" s="254">
        <f t="shared" si="354"/>
        <v>0</v>
      </c>
      <c r="BD309" s="254">
        <f t="shared" si="354"/>
        <v>0</v>
      </c>
      <c r="BE309" s="254">
        <f t="shared" si="354"/>
        <v>0</v>
      </c>
      <c r="BF309" s="254">
        <f t="shared" si="354"/>
        <v>0</v>
      </c>
      <c r="BG309" s="254">
        <f t="shared" si="354"/>
        <v>0</v>
      </c>
      <c r="BH309" s="255"/>
    </row>
    <row r="310" spans="1:60" x14ac:dyDescent="0.2">
      <c r="A310" s="648"/>
      <c r="B310" s="492" t="s">
        <v>352</v>
      </c>
      <c r="C310" s="656" t="s">
        <v>113</v>
      </c>
      <c r="D310" s="750"/>
      <c r="E310" s="246" t="s">
        <v>356</v>
      </c>
      <c r="F310" s="246"/>
      <c r="G310" s="246"/>
      <c r="H310" s="247" t="s">
        <v>355</v>
      </c>
      <c r="I310" s="248"/>
      <c r="J310" s="375">
        <f t="shared" si="318"/>
        <v>0</v>
      </c>
      <c r="K310" s="376"/>
      <c r="L310" s="376"/>
      <c r="M310" s="375">
        <f>SUM(M302:M309)</f>
        <v>0</v>
      </c>
      <c r="N310" s="376"/>
      <c r="O310" s="254">
        <f t="shared" ref="O310:W310" si="355">SUM(O302:O309)</f>
        <v>0</v>
      </c>
      <c r="P310" s="254">
        <f t="shared" si="355"/>
        <v>0</v>
      </c>
      <c r="Q310" s="254">
        <f t="shared" si="355"/>
        <v>0</v>
      </c>
      <c r="R310" s="254">
        <f t="shared" si="355"/>
        <v>0</v>
      </c>
      <c r="S310" s="254">
        <f t="shared" si="355"/>
        <v>0</v>
      </c>
      <c r="T310" s="254">
        <f>SUM(T302:T309)</f>
        <v>0</v>
      </c>
      <c r="U310" s="254">
        <f t="shared" si="355"/>
        <v>0</v>
      </c>
      <c r="V310" s="254">
        <f t="shared" si="355"/>
        <v>0</v>
      </c>
      <c r="W310" s="254">
        <f t="shared" si="355"/>
        <v>0</v>
      </c>
      <c r="X310" s="255"/>
      <c r="Y310" s="375">
        <f>SUM(Y302:Y309)</f>
        <v>0</v>
      </c>
      <c r="Z310" s="376"/>
      <c r="AA310" s="254">
        <f t="shared" ref="AA310:AI310" si="356">SUM(AA302:AA309)</f>
        <v>0</v>
      </c>
      <c r="AB310" s="254">
        <f t="shared" si="356"/>
        <v>0</v>
      </c>
      <c r="AC310" s="254">
        <f t="shared" si="356"/>
        <v>0</v>
      </c>
      <c r="AD310" s="254">
        <f t="shared" si="356"/>
        <v>0</v>
      </c>
      <c r="AE310" s="254">
        <f t="shared" si="356"/>
        <v>0</v>
      </c>
      <c r="AF310" s="254">
        <f>SUM(AF302:AF309)</f>
        <v>0</v>
      </c>
      <c r="AG310" s="254">
        <f t="shared" si="356"/>
        <v>0</v>
      </c>
      <c r="AH310" s="254">
        <f t="shared" si="356"/>
        <v>0</v>
      </c>
      <c r="AI310" s="254">
        <f t="shared" si="356"/>
        <v>0</v>
      </c>
      <c r="AJ310" s="255"/>
      <c r="AK310" s="375">
        <f>SUM(AK302:AK309)</f>
        <v>0</v>
      </c>
      <c r="AL310" s="213"/>
      <c r="AM310" s="254">
        <f t="shared" ref="AM310:AU310" si="357">SUM(AM302:AM309)</f>
        <v>0</v>
      </c>
      <c r="AN310" s="254">
        <f t="shared" si="357"/>
        <v>0</v>
      </c>
      <c r="AO310" s="254">
        <f t="shared" si="357"/>
        <v>0</v>
      </c>
      <c r="AP310" s="254">
        <f t="shared" si="357"/>
        <v>0</v>
      </c>
      <c r="AQ310" s="254">
        <f t="shared" si="357"/>
        <v>0</v>
      </c>
      <c r="AR310" s="254">
        <f>SUM(AR302:AR309)</f>
        <v>0</v>
      </c>
      <c r="AS310" s="254">
        <f t="shared" si="357"/>
        <v>0</v>
      </c>
      <c r="AT310" s="254">
        <f t="shared" si="357"/>
        <v>0</v>
      </c>
      <c r="AU310" s="254">
        <f t="shared" si="357"/>
        <v>0</v>
      </c>
      <c r="AV310" s="255"/>
      <c r="AW310" s="375">
        <f>SUM(AW302:AW309)</f>
        <v>0</v>
      </c>
      <c r="AX310" s="213"/>
      <c r="AY310" s="254">
        <f t="shared" ref="AY310:BG310" si="358">SUM(AY302:AY309)</f>
        <v>0</v>
      </c>
      <c r="AZ310" s="254">
        <f t="shared" si="358"/>
        <v>0</v>
      </c>
      <c r="BA310" s="254">
        <f t="shared" si="358"/>
        <v>0</v>
      </c>
      <c r="BB310" s="254">
        <f t="shared" si="358"/>
        <v>0</v>
      </c>
      <c r="BC310" s="254">
        <f t="shared" si="358"/>
        <v>0</v>
      </c>
      <c r="BD310" s="254">
        <f>SUM(BD302:BD309)</f>
        <v>0</v>
      </c>
      <c r="BE310" s="254">
        <f t="shared" si="358"/>
        <v>0</v>
      </c>
      <c r="BF310" s="254">
        <f t="shared" si="358"/>
        <v>0</v>
      </c>
      <c r="BG310" s="254">
        <f t="shared" si="358"/>
        <v>0</v>
      </c>
      <c r="BH310" s="255"/>
    </row>
    <row r="311" spans="1:60" ht="18.75" x14ac:dyDescent="0.2">
      <c r="A311" s="648"/>
      <c r="B311" s="492" t="s">
        <v>352</v>
      </c>
      <c r="C311" s="739" t="s">
        <v>104</v>
      </c>
      <c r="D311" s="747"/>
      <c r="E311" s="236" t="s">
        <v>357</v>
      </c>
      <c r="F311" s="236"/>
      <c r="G311" s="236"/>
      <c r="H311" s="89"/>
      <c r="I311" s="236"/>
      <c r="J311" s="279"/>
      <c r="K311" s="279"/>
      <c r="L311" s="279"/>
      <c r="M311" s="279"/>
      <c r="N311" s="279"/>
      <c r="O311" s="279"/>
      <c r="P311" s="279"/>
      <c r="Q311" s="279"/>
      <c r="R311" s="279"/>
      <c r="S311" s="279"/>
      <c r="T311" s="279"/>
      <c r="U311" s="279"/>
      <c r="V311" s="279"/>
      <c r="W311" s="279"/>
      <c r="X311" s="279"/>
      <c r="Y311" s="279"/>
      <c r="Z311" s="279"/>
      <c r="AA311" s="279"/>
      <c r="AB311" s="279"/>
      <c r="AC311" s="279"/>
      <c r="AD311" s="279"/>
      <c r="AE311" s="279"/>
      <c r="AF311" s="279"/>
      <c r="AG311" s="279"/>
      <c r="AH311" s="279"/>
      <c r="AI311" s="279"/>
      <c r="AJ311" s="279"/>
      <c r="AK311" s="279"/>
      <c r="AL311" s="279"/>
      <c r="AM311" s="279"/>
      <c r="AN311" s="279"/>
      <c r="AO311" s="279"/>
      <c r="AP311" s="279"/>
      <c r="AQ311" s="279"/>
      <c r="AR311" s="279"/>
      <c r="AS311" s="279"/>
      <c r="AT311" s="279"/>
      <c r="AU311" s="279"/>
      <c r="AV311" s="279"/>
      <c r="AW311" s="279"/>
      <c r="AX311" s="279"/>
      <c r="AY311" s="279"/>
      <c r="AZ311" s="279"/>
      <c r="BA311" s="279"/>
      <c r="BB311" s="279"/>
      <c r="BC311" s="279"/>
      <c r="BD311" s="279"/>
      <c r="BE311" s="279"/>
      <c r="BF311" s="279"/>
      <c r="BG311" s="279"/>
      <c r="BH311" s="38"/>
    </row>
    <row r="312" spans="1:60" x14ac:dyDescent="0.2">
      <c r="A312" s="648"/>
      <c r="B312" s="492" t="s">
        <v>352</v>
      </c>
      <c r="C312" s="656" t="s">
        <v>113</v>
      </c>
      <c r="D312" s="750"/>
      <c r="E312" s="220" t="s">
        <v>358</v>
      </c>
      <c r="F312" s="246"/>
      <c r="G312" s="246"/>
      <c r="H312" s="247" t="s">
        <v>355</v>
      </c>
      <c r="I312" s="248"/>
      <c r="J312" s="375">
        <f>M312+Y312+AK312+AW312</f>
        <v>0</v>
      </c>
      <c r="K312" s="376"/>
      <c r="L312" s="376"/>
      <c r="M312" s="375">
        <f>SUMPRODUCT(N312:X312,N$24:X$24,N$31:X$31)/1000</f>
        <v>0</v>
      </c>
      <c r="N312" s="376"/>
      <c r="O312" s="254">
        <f t="shared" ref="O312:W312" si="359">IF(OR(O$24=0,O$31=0,($M$167+$M$168)=0),0,
-(O234*$M$167/($M$167+$M$168)*$M$181*1000)/(O24*O31))</f>
        <v>0</v>
      </c>
      <c r="P312" s="254">
        <f t="shared" si="359"/>
        <v>0</v>
      </c>
      <c r="Q312" s="254">
        <f t="shared" si="359"/>
        <v>0</v>
      </c>
      <c r="R312" s="254">
        <f t="shared" si="359"/>
        <v>0</v>
      </c>
      <c r="S312" s="254">
        <f t="shared" si="359"/>
        <v>0</v>
      </c>
      <c r="T312" s="254">
        <f t="shared" si="359"/>
        <v>0</v>
      </c>
      <c r="U312" s="254">
        <f t="shared" si="359"/>
        <v>0</v>
      </c>
      <c r="V312" s="254">
        <f t="shared" si="359"/>
        <v>0</v>
      </c>
      <c r="W312" s="254">
        <f t="shared" si="359"/>
        <v>0</v>
      </c>
      <c r="X312" s="255"/>
      <c r="Y312" s="375">
        <f>SUMPRODUCT(Z312:AJ312,Z$24:AJ$24,Z$31:AJ$31)/1000</f>
        <v>0</v>
      </c>
      <c r="Z312" s="376"/>
      <c r="AA312" s="254">
        <f t="shared" ref="AA312:AI312" si="360">IF(OR(AA$24=0,AA$31=0,($Y$167+$Y$168)=0),0,
-(AA234*$Y$167/($Y$167+$Y$168)*$Y$181*1000)/(AA24*AA31))</f>
        <v>0</v>
      </c>
      <c r="AB312" s="254">
        <f t="shared" si="360"/>
        <v>0</v>
      </c>
      <c r="AC312" s="254">
        <f t="shared" si="360"/>
        <v>0</v>
      </c>
      <c r="AD312" s="254">
        <f t="shared" si="360"/>
        <v>0</v>
      </c>
      <c r="AE312" s="254">
        <f t="shared" si="360"/>
        <v>0</v>
      </c>
      <c r="AF312" s="254">
        <f t="shared" si="360"/>
        <v>0</v>
      </c>
      <c r="AG312" s="254">
        <f t="shared" si="360"/>
        <v>0</v>
      </c>
      <c r="AH312" s="254">
        <f t="shared" si="360"/>
        <v>0</v>
      </c>
      <c r="AI312" s="254">
        <f t="shared" si="360"/>
        <v>0</v>
      </c>
      <c r="AJ312" s="255"/>
      <c r="AK312" s="375">
        <f>SUMPRODUCT(AL312:AV312,AL$24:AV$24,AL$31:AV$31)/1000</f>
        <v>0</v>
      </c>
      <c r="AL312" s="213"/>
      <c r="AM312" s="254">
        <f t="shared" ref="AM312:AU312" si="361">IF(OR(AM$24=0,AM$31=0,($AK$167+$AK$168)=0),0,
-(AM234*$AK$167/($AK$167+$AK$168)*$AK$181*1000)/(AM24*AM31))</f>
        <v>0</v>
      </c>
      <c r="AN312" s="254">
        <f t="shared" si="361"/>
        <v>0</v>
      </c>
      <c r="AO312" s="254">
        <f t="shared" si="361"/>
        <v>0</v>
      </c>
      <c r="AP312" s="254">
        <f t="shared" si="361"/>
        <v>0</v>
      </c>
      <c r="AQ312" s="254">
        <f t="shared" si="361"/>
        <v>0</v>
      </c>
      <c r="AR312" s="254">
        <f t="shared" si="361"/>
        <v>0</v>
      </c>
      <c r="AS312" s="254">
        <f t="shared" si="361"/>
        <v>0</v>
      </c>
      <c r="AT312" s="254">
        <f t="shared" si="361"/>
        <v>0</v>
      </c>
      <c r="AU312" s="254">
        <f t="shared" si="361"/>
        <v>0</v>
      </c>
      <c r="AV312" s="255"/>
      <c r="AW312" s="375">
        <f>SUMPRODUCT(AX312:BH312,AX$24:BH$24,AX$31:BH$31)/1000</f>
        <v>0</v>
      </c>
      <c r="AX312" s="213"/>
      <c r="AY312" s="254">
        <f t="shared" ref="AY312:BG312" si="362">IF(OR(AY$24=0,AY$31=0,($AW$167+$AW$168)=0),0,
-(AY234*$AW$167/($AW$167+$AW$168)*$AW$181*1000)/(AY24*AY31))</f>
        <v>0</v>
      </c>
      <c r="AZ312" s="254">
        <f t="shared" si="362"/>
        <v>0</v>
      </c>
      <c r="BA312" s="254">
        <f t="shared" si="362"/>
        <v>0</v>
      </c>
      <c r="BB312" s="254">
        <f t="shared" si="362"/>
        <v>0</v>
      </c>
      <c r="BC312" s="254">
        <f t="shared" si="362"/>
        <v>0</v>
      </c>
      <c r="BD312" s="254">
        <f t="shared" si="362"/>
        <v>0</v>
      </c>
      <c r="BE312" s="254">
        <f t="shared" si="362"/>
        <v>0</v>
      </c>
      <c r="BF312" s="254">
        <f t="shared" si="362"/>
        <v>0</v>
      </c>
      <c r="BG312" s="254">
        <f t="shared" si="362"/>
        <v>0</v>
      </c>
      <c r="BH312" s="255"/>
    </row>
    <row r="313" spans="1:60" x14ac:dyDescent="0.2">
      <c r="A313" s="648"/>
      <c r="B313" s="492" t="s">
        <v>352</v>
      </c>
      <c r="C313" s="656" t="s">
        <v>113</v>
      </c>
      <c r="D313" s="750"/>
      <c r="E313" s="220" t="s">
        <v>359</v>
      </c>
      <c r="F313" s="246"/>
      <c r="G313" s="246"/>
      <c r="H313" s="247" t="s">
        <v>355</v>
      </c>
      <c r="I313" s="248"/>
      <c r="J313" s="375">
        <f>M313+Y313+AK313+AW313</f>
        <v>0</v>
      </c>
      <c r="K313" s="376"/>
      <c r="L313" s="376"/>
      <c r="M313" s="375">
        <f>SUMPRODUCT(N313:X313,N$24:X$24,N$31:X$31)/1000</f>
        <v>0</v>
      </c>
      <c r="N313" s="376"/>
      <c r="O313" s="254">
        <f t="shared" ref="O313:W313" si="363">IF(OR(O$24=0,O$31=0,($M$167+$M$168)=0),0,
-O70*$M$181/($M$167+$M$168)/O31)</f>
        <v>0</v>
      </c>
      <c r="P313" s="254">
        <f t="shared" si="363"/>
        <v>0</v>
      </c>
      <c r="Q313" s="254">
        <f t="shared" si="363"/>
        <v>0</v>
      </c>
      <c r="R313" s="254">
        <f t="shared" si="363"/>
        <v>0</v>
      </c>
      <c r="S313" s="254">
        <f t="shared" si="363"/>
        <v>0</v>
      </c>
      <c r="T313" s="254">
        <f t="shared" si="363"/>
        <v>0</v>
      </c>
      <c r="U313" s="254">
        <f t="shared" si="363"/>
        <v>0</v>
      </c>
      <c r="V313" s="254">
        <f t="shared" si="363"/>
        <v>0</v>
      </c>
      <c r="W313" s="254">
        <f t="shared" si="363"/>
        <v>0</v>
      </c>
      <c r="X313" s="255"/>
      <c r="Y313" s="375">
        <f>SUMPRODUCT(Z313:AJ313,Z$24:AJ$24,Z$31:AJ$31)/1000</f>
        <v>0</v>
      </c>
      <c r="Z313" s="376"/>
      <c r="AA313" s="254">
        <f t="shared" ref="AA313:AI313" si="364">IF(OR(AA$24=0,AA$31=0,($Y$167+$Y$168)=0),0,
-AA70*$Y$181/($Y$167+$Y$168)/AA31)</f>
        <v>0</v>
      </c>
      <c r="AB313" s="254">
        <f t="shared" si="364"/>
        <v>0</v>
      </c>
      <c r="AC313" s="254">
        <f t="shared" si="364"/>
        <v>0</v>
      </c>
      <c r="AD313" s="254">
        <f t="shared" si="364"/>
        <v>0</v>
      </c>
      <c r="AE313" s="254">
        <f t="shared" si="364"/>
        <v>0</v>
      </c>
      <c r="AF313" s="254">
        <f t="shared" si="364"/>
        <v>0</v>
      </c>
      <c r="AG313" s="254">
        <f t="shared" si="364"/>
        <v>0</v>
      </c>
      <c r="AH313" s="254">
        <f t="shared" si="364"/>
        <v>0</v>
      </c>
      <c r="AI313" s="254">
        <f t="shared" si="364"/>
        <v>0</v>
      </c>
      <c r="AJ313" s="255"/>
      <c r="AK313" s="375">
        <f>SUMPRODUCT(AL313:AV313,AL$24:AV$24,AL$31:AV$31)/1000</f>
        <v>0</v>
      </c>
      <c r="AL313" s="213"/>
      <c r="AM313" s="254">
        <f t="shared" ref="AM313:AU313" si="365">IF(OR(AM$24=0,AM$31=0,($AK$167+$AK$168)=0),0,
-AM70*$AK$181/($AK$167+$AK$168)/AM31)</f>
        <v>0</v>
      </c>
      <c r="AN313" s="254">
        <f t="shared" si="365"/>
        <v>0</v>
      </c>
      <c r="AO313" s="254">
        <f t="shared" si="365"/>
        <v>0</v>
      </c>
      <c r="AP313" s="254">
        <f t="shared" si="365"/>
        <v>0</v>
      </c>
      <c r="AQ313" s="254">
        <f t="shared" si="365"/>
        <v>0</v>
      </c>
      <c r="AR313" s="254">
        <f t="shared" si="365"/>
        <v>0</v>
      </c>
      <c r="AS313" s="254">
        <f t="shared" si="365"/>
        <v>0</v>
      </c>
      <c r="AT313" s="254">
        <f t="shared" si="365"/>
        <v>0</v>
      </c>
      <c r="AU313" s="254">
        <f t="shared" si="365"/>
        <v>0</v>
      </c>
      <c r="AV313" s="255"/>
      <c r="AW313" s="375">
        <f>SUMPRODUCT(AX313:BH313,AX$24:BH$24,AX$31:BH$31)/1000</f>
        <v>0</v>
      </c>
      <c r="AX313" s="213"/>
      <c r="AY313" s="254">
        <f t="shared" ref="AY313:BG313" si="366">IF(OR(AY$24=0,AY$31=0,($AW$167+$AW$168)=0),0,
-AY70*$AW$181/($AW$167+$AW$168)/AY31)</f>
        <v>0</v>
      </c>
      <c r="AZ313" s="254">
        <f t="shared" si="366"/>
        <v>0</v>
      </c>
      <c r="BA313" s="254">
        <f t="shared" si="366"/>
        <v>0</v>
      </c>
      <c r="BB313" s="254">
        <f t="shared" si="366"/>
        <v>0</v>
      </c>
      <c r="BC313" s="254">
        <f t="shared" si="366"/>
        <v>0</v>
      </c>
      <c r="BD313" s="254">
        <f t="shared" si="366"/>
        <v>0</v>
      </c>
      <c r="BE313" s="254">
        <f t="shared" si="366"/>
        <v>0</v>
      </c>
      <c r="BF313" s="254">
        <f t="shared" si="366"/>
        <v>0</v>
      </c>
      <c r="BG313" s="254">
        <f t="shared" si="366"/>
        <v>0</v>
      </c>
      <c r="BH313" s="255"/>
    </row>
    <row r="314" spans="1:60" x14ac:dyDescent="0.2">
      <c r="A314" s="648"/>
      <c r="B314" s="492" t="s">
        <v>352</v>
      </c>
      <c r="C314" s="656" t="s">
        <v>113</v>
      </c>
      <c r="D314" s="750"/>
      <c r="E314" s="246" t="s">
        <v>360</v>
      </c>
      <c r="F314" s="246"/>
      <c r="G314" s="246"/>
      <c r="H314" s="247" t="s">
        <v>355</v>
      </c>
      <c r="I314" s="248"/>
      <c r="J314" s="375">
        <f>M314+Y314+AK314+AW314</f>
        <v>0</v>
      </c>
      <c r="K314" s="376"/>
      <c r="L314" s="376"/>
      <c r="M314" s="375">
        <f>M312+M313</f>
        <v>0</v>
      </c>
      <c r="N314" s="376"/>
      <c r="O314" s="254">
        <f t="shared" ref="O314:W314" si="367">O312+O313</f>
        <v>0</v>
      </c>
      <c r="P314" s="254">
        <f t="shared" si="367"/>
        <v>0</v>
      </c>
      <c r="Q314" s="254">
        <f t="shared" si="367"/>
        <v>0</v>
      </c>
      <c r="R314" s="254">
        <f t="shared" si="367"/>
        <v>0</v>
      </c>
      <c r="S314" s="254">
        <f t="shared" si="367"/>
        <v>0</v>
      </c>
      <c r="T314" s="254">
        <f>T312+T313</f>
        <v>0</v>
      </c>
      <c r="U314" s="254">
        <f t="shared" si="367"/>
        <v>0</v>
      </c>
      <c r="V314" s="254">
        <f t="shared" si="367"/>
        <v>0</v>
      </c>
      <c r="W314" s="254">
        <f t="shared" si="367"/>
        <v>0</v>
      </c>
      <c r="X314" s="255"/>
      <c r="Y314" s="375">
        <f>Y312+Y313</f>
        <v>0</v>
      </c>
      <c r="Z314" s="376"/>
      <c r="AA314" s="254">
        <f t="shared" ref="AA314:AI314" si="368">AA312+AA313</f>
        <v>0</v>
      </c>
      <c r="AB314" s="254">
        <f t="shared" si="368"/>
        <v>0</v>
      </c>
      <c r="AC314" s="254">
        <f t="shared" si="368"/>
        <v>0</v>
      </c>
      <c r="AD314" s="254">
        <f t="shared" si="368"/>
        <v>0</v>
      </c>
      <c r="AE314" s="254">
        <f t="shared" si="368"/>
        <v>0</v>
      </c>
      <c r="AF314" s="254">
        <f>AF312+AF313</f>
        <v>0</v>
      </c>
      <c r="AG314" s="254">
        <f t="shared" si="368"/>
        <v>0</v>
      </c>
      <c r="AH314" s="254">
        <f t="shared" si="368"/>
        <v>0</v>
      </c>
      <c r="AI314" s="254">
        <f t="shared" si="368"/>
        <v>0</v>
      </c>
      <c r="AJ314" s="255"/>
      <c r="AK314" s="375">
        <f>AK312+AK313</f>
        <v>0</v>
      </c>
      <c r="AL314" s="213"/>
      <c r="AM314" s="254">
        <f t="shared" ref="AM314:AU314" si="369">AM312+AM313</f>
        <v>0</v>
      </c>
      <c r="AN314" s="254">
        <f t="shared" si="369"/>
        <v>0</v>
      </c>
      <c r="AO314" s="254">
        <f t="shared" si="369"/>
        <v>0</v>
      </c>
      <c r="AP314" s="254">
        <f t="shared" si="369"/>
        <v>0</v>
      </c>
      <c r="AQ314" s="254">
        <f t="shared" si="369"/>
        <v>0</v>
      </c>
      <c r="AR314" s="254">
        <f>AR312+AR313</f>
        <v>0</v>
      </c>
      <c r="AS314" s="254">
        <f t="shared" si="369"/>
        <v>0</v>
      </c>
      <c r="AT314" s="254">
        <f t="shared" si="369"/>
        <v>0</v>
      </c>
      <c r="AU314" s="254">
        <f t="shared" si="369"/>
        <v>0</v>
      </c>
      <c r="AV314" s="255"/>
      <c r="AW314" s="375">
        <f>AW312+AW313</f>
        <v>0</v>
      </c>
      <c r="AX314" s="213"/>
      <c r="AY314" s="254">
        <f t="shared" ref="AY314:BG314" si="370">AY312+AY313</f>
        <v>0</v>
      </c>
      <c r="AZ314" s="254">
        <f t="shared" si="370"/>
        <v>0</v>
      </c>
      <c r="BA314" s="254">
        <f t="shared" si="370"/>
        <v>0</v>
      </c>
      <c r="BB314" s="254">
        <f t="shared" si="370"/>
        <v>0</v>
      </c>
      <c r="BC314" s="254">
        <f t="shared" si="370"/>
        <v>0</v>
      </c>
      <c r="BD314" s="254">
        <f>BD312+BD313</f>
        <v>0</v>
      </c>
      <c r="BE314" s="254">
        <f t="shared" si="370"/>
        <v>0</v>
      </c>
      <c r="BF314" s="254">
        <f t="shared" si="370"/>
        <v>0</v>
      </c>
      <c r="BG314" s="254">
        <f t="shared" si="370"/>
        <v>0</v>
      </c>
      <c r="BH314" s="255"/>
    </row>
    <row r="315" spans="1:60" ht="18.75" x14ac:dyDescent="0.2">
      <c r="A315" s="648"/>
      <c r="B315" s="492" t="s">
        <v>352</v>
      </c>
      <c r="C315" s="739" t="s">
        <v>104</v>
      </c>
      <c r="D315" s="747"/>
      <c r="E315" s="236" t="s">
        <v>361</v>
      </c>
      <c r="F315" s="236"/>
      <c r="G315" s="236"/>
      <c r="H315" s="89"/>
      <c r="I315" s="236"/>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279"/>
      <c r="AF315" s="279"/>
      <c r="AG315" s="279"/>
      <c r="AH315" s="279"/>
      <c r="AI315" s="279"/>
      <c r="AJ315" s="279"/>
      <c r="AK315" s="279"/>
      <c r="AL315" s="279"/>
      <c r="AM315" s="279"/>
      <c r="AN315" s="279"/>
      <c r="AO315" s="279"/>
      <c r="AP315" s="279"/>
      <c r="AQ315" s="279"/>
      <c r="AR315" s="279"/>
      <c r="AS315" s="279"/>
      <c r="AT315" s="279"/>
      <c r="AU315" s="279"/>
      <c r="AV315" s="279"/>
      <c r="AW315" s="279"/>
      <c r="AX315" s="279"/>
      <c r="AY315" s="279"/>
      <c r="AZ315" s="279"/>
      <c r="BA315" s="279"/>
      <c r="BB315" s="279"/>
      <c r="BC315" s="279"/>
      <c r="BD315" s="279"/>
      <c r="BE315" s="279"/>
      <c r="BF315" s="279"/>
      <c r="BG315" s="279"/>
      <c r="BH315" s="38"/>
    </row>
    <row r="316" spans="1:60" x14ac:dyDescent="0.2">
      <c r="A316" s="648"/>
      <c r="B316" s="492" t="s">
        <v>352</v>
      </c>
      <c r="C316" s="656" t="s">
        <v>113</v>
      </c>
      <c r="D316" s="750"/>
      <c r="E316" s="246" t="s">
        <v>362</v>
      </c>
      <c r="F316" s="246"/>
      <c r="G316" s="246"/>
      <c r="H316" s="247" t="s">
        <v>355</v>
      </c>
      <c r="I316" s="248"/>
      <c r="J316" s="375">
        <f>M316+Y316+AK316+AW316</f>
        <v>0</v>
      </c>
      <c r="K316" s="376"/>
      <c r="L316" s="376"/>
      <c r="M316" s="375">
        <f>M310+M314</f>
        <v>0</v>
      </c>
      <c r="N316" s="376"/>
      <c r="O316" s="254">
        <f t="shared" ref="O316:W316" si="371">O310+O314</f>
        <v>0</v>
      </c>
      <c r="P316" s="254">
        <f t="shared" si="371"/>
        <v>0</v>
      </c>
      <c r="Q316" s="254">
        <f t="shared" si="371"/>
        <v>0</v>
      </c>
      <c r="R316" s="254">
        <f t="shared" si="371"/>
        <v>0</v>
      </c>
      <c r="S316" s="254">
        <f t="shared" si="371"/>
        <v>0</v>
      </c>
      <c r="T316" s="254">
        <f>T310+T314</f>
        <v>0</v>
      </c>
      <c r="U316" s="254">
        <f t="shared" si="371"/>
        <v>0</v>
      </c>
      <c r="V316" s="254">
        <f t="shared" si="371"/>
        <v>0</v>
      </c>
      <c r="W316" s="254">
        <f t="shared" si="371"/>
        <v>0</v>
      </c>
      <c r="X316" s="255"/>
      <c r="Y316" s="375">
        <f>Y310+Y314</f>
        <v>0</v>
      </c>
      <c r="Z316" s="376"/>
      <c r="AA316" s="254">
        <f t="shared" ref="AA316:AI316" si="372">AA310+AA314</f>
        <v>0</v>
      </c>
      <c r="AB316" s="254">
        <f t="shared" si="372"/>
        <v>0</v>
      </c>
      <c r="AC316" s="254">
        <f t="shared" si="372"/>
        <v>0</v>
      </c>
      <c r="AD316" s="254">
        <f t="shared" si="372"/>
        <v>0</v>
      </c>
      <c r="AE316" s="254">
        <f t="shared" si="372"/>
        <v>0</v>
      </c>
      <c r="AF316" s="254">
        <f>AF310+AF314</f>
        <v>0</v>
      </c>
      <c r="AG316" s="254">
        <f t="shared" si="372"/>
        <v>0</v>
      </c>
      <c r="AH316" s="254">
        <f t="shared" si="372"/>
        <v>0</v>
      </c>
      <c r="AI316" s="254">
        <f t="shared" si="372"/>
        <v>0</v>
      </c>
      <c r="AJ316" s="255"/>
      <c r="AK316" s="375">
        <f>AK310+AK314</f>
        <v>0</v>
      </c>
      <c r="AL316" s="213"/>
      <c r="AM316" s="254">
        <f t="shared" ref="AM316:AU316" si="373">AM310+AM314</f>
        <v>0</v>
      </c>
      <c r="AN316" s="254">
        <f t="shared" si="373"/>
        <v>0</v>
      </c>
      <c r="AO316" s="254">
        <f t="shared" si="373"/>
        <v>0</v>
      </c>
      <c r="AP316" s="254">
        <f t="shared" si="373"/>
        <v>0</v>
      </c>
      <c r="AQ316" s="254">
        <f t="shared" si="373"/>
        <v>0</v>
      </c>
      <c r="AR316" s="254">
        <f>AR310+AR314</f>
        <v>0</v>
      </c>
      <c r="AS316" s="254">
        <f t="shared" si="373"/>
        <v>0</v>
      </c>
      <c r="AT316" s="254">
        <f t="shared" si="373"/>
        <v>0</v>
      </c>
      <c r="AU316" s="254">
        <f t="shared" si="373"/>
        <v>0</v>
      </c>
      <c r="AV316" s="255"/>
      <c r="AW316" s="375">
        <f>AW310+AW314</f>
        <v>0</v>
      </c>
      <c r="AX316" s="213"/>
      <c r="AY316" s="254">
        <f t="shared" ref="AY316:BG316" si="374">AY310+AY314</f>
        <v>0</v>
      </c>
      <c r="AZ316" s="254">
        <f t="shared" si="374"/>
        <v>0</v>
      </c>
      <c r="BA316" s="254">
        <f t="shared" si="374"/>
        <v>0</v>
      </c>
      <c r="BB316" s="254">
        <f t="shared" si="374"/>
        <v>0</v>
      </c>
      <c r="BC316" s="254">
        <f t="shared" si="374"/>
        <v>0</v>
      </c>
      <c r="BD316" s="254">
        <f>BD310+BD314</f>
        <v>0</v>
      </c>
      <c r="BE316" s="254">
        <f t="shared" si="374"/>
        <v>0</v>
      </c>
      <c r="BF316" s="254">
        <f t="shared" si="374"/>
        <v>0</v>
      </c>
      <c r="BG316" s="254">
        <f t="shared" si="374"/>
        <v>0</v>
      </c>
      <c r="BH316" s="255"/>
    </row>
    <row r="317" spans="1:60" ht="18.75" x14ac:dyDescent="0.2">
      <c r="A317" s="648"/>
      <c r="B317" s="492" t="s">
        <v>352</v>
      </c>
      <c r="C317" s="739" t="s">
        <v>104</v>
      </c>
      <c r="D317" s="747"/>
      <c r="E317" s="236" t="s">
        <v>363</v>
      </c>
      <c r="F317" s="236"/>
      <c r="G317" s="236"/>
      <c r="H317" s="89"/>
      <c r="I317" s="236"/>
      <c r="J317" s="279"/>
      <c r="K317" s="236"/>
      <c r="L317" s="236"/>
      <c r="M317" s="279"/>
      <c r="N317" s="236"/>
      <c r="O317" s="236"/>
      <c r="P317" s="236"/>
      <c r="Q317" s="236"/>
      <c r="R317" s="236"/>
      <c r="S317" s="236"/>
      <c r="T317" s="236"/>
      <c r="U317" s="236"/>
      <c r="V317" s="236"/>
      <c r="W317" s="236"/>
      <c r="X317" s="236"/>
      <c r="Y317" s="279"/>
      <c r="Z317" s="236"/>
      <c r="AA317" s="236"/>
      <c r="AB317" s="236"/>
      <c r="AC317" s="236"/>
      <c r="AD317" s="236"/>
      <c r="AE317" s="236"/>
      <c r="AF317" s="236"/>
      <c r="AG317" s="236"/>
      <c r="AH317" s="236"/>
      <c r="AI317" s="236"/>
      <c r="AJ317" s="236"/>
      <c r="AK317" s="279"/>
      <c r="AL317" s="236"/>
      <c r="AM317" s="236"/>
      <c r="AN317" s="236"/>
      <c r="AO317" s="236"/>
      <c r="AP317" s="236"/>
      <c r="AQ317" s="236"/>
      <c r="AR317" s="236"/>
      <c r="AS317" s="236"/>
      <c r="AT317" s="236"/>
      <c r="AU317" s="236"/>
      <c r="AV317" s="236"/>
      <c r="AW317" s="279"/>
      <c r="AX317" s="236"/>
      <c r="AY317" s="236"/>
      <c r="AZ317" s="236"/>
      <c r="BA317" s="236"/>
      <c r="BB317" s="236"/>
      <c r="BC317" s="236"/>
      <c r="BD317" s="236"/>
      <c r="BE317" s="236"/>
      <c r="BF317" s="236"/>
      <c r="BG317" s="236"/>
      <c r="BH317" s="38"/>
    </row>
    <row r="318" spans="1:60" x14ac:dyDescent="0.2">
      <c r="A318" s="648"/>
      <c r="B318" s="492" t="s">
        <v>352</v>
      </c>
      <c r="C318" s="656" t="s">
        <v>113</v>
      </c>
      <c r="D318" s="750"/>
      <c r="E318" s="246" t="s">
        <v>362</v>
      </c>
      <c r="F318" s="220"/>
      <c r="G318" s="687"/>
      <c r="H318" s="247" t="s">
        <v>355</v>
      </c>
      <c r="I318" s="129"/>
      <c r="J318" s="243">
        <f>M318+Y318+AK318+AW318</f>
        <v>0</v>
      </c>
      <c r="K318" s="236"/>
      <c r="L318" s="236"/>
      <c r="M318" s="375">
        <f>SUMPRODUCT(N318:X318,N$24:X$24,N$31:X$31)/1000</f>
        <v>0</v>
      </c>
      <c r="N318" s="129"/>
      <c r="O318" s="207">
        <f t="shared" ref="O318:W318" si="375">O316+(O302+O312)*($M$53-1)</f>
        <v>0</v>
      </c>
      <c r="P318" s="207">
        <f t="shared" si="375"/>
        <v>0</v>
      </c>
      <c r="Q318" s="207">
        <f t="shared" si="375"/>
        <v>0</v>
      </c>
      <c r="R318" s="207">
        <f t="shared" si="375"/>
        <v>0</v>
      </c>
      <c r="S318" s="207">
        <f t="shared" si="375"/>
        <v>0</v>
      </c>
      <c r="T318" s="207">
        <f t="shared" si="375"/>
        <v>0</v>
      </c>
      <c r="U318" s="207">
        <f t="shared" si="375"/>
        <v>0</v>
      </c>
      <c r="V318" s="207">
        <f t="shared" si="375"/>
        <v>0</v>
      </c>
      <c r="W318" s="207">
        <f t="shared" si="375"/>
        <v>0</v>
      </c>
      <c r="X318" s="128"/>
      <c r="Y318" s="375">
        <f>SUMPRODUCT(Z318:AJ318,Z$24:AJ$24,Z$31:AJ$31)/1000</f>
        <v>0</v>
      </c>
      <c r="Z318" s="129"/>
      <c r="AA318" s="207">
        <f t="shared" ref="AA318:AI318" si="376">AA316+(AA302+AA312)*($Y$53-1)</f>
        <v>0</v>
      </c>
      <c r="AB318" s="207">
        <f t="shared" si="376"/>
        <v>0</v>
      </c>
      <c r="AC318" s="207">
        <f t="shared" si="376"/>
        <v>0</v>
      </c>
      <c r="AD318" s="207">
        <f t="shared" si="376"/>
        <v>0</v>
      </c>
      <c r="AE318" s="207">
        <f t="shared" si="376"/>
        <v>0</v>
      </c>
      <c r="AF318" s="207">
        <f t="shared" si="376"/>
        <v>0</v>
      </c>
      <c r="AG318" s="207">
        <f t="shared" si="376"/>
        <v>0</v>
      </c>
      <c r="AH318" s="207">
        <f t="shared" si="376"/>
        <v>0</v>
      </c>
      <c r="AI318" s="207">
        <f t="shared" si="376"/>
        <v>0</v>
      </c>
      <c r="AJ318" s="128"/>
      <c r="AK318" s="375">
        <f>SUMPRODUCT(AL318:AV318,AL$24:AV$24,AL$31:AV$31)/1000</f>
        <v>0</v>
      </c>
      <c r="AL318" s="129"/>
      <c r="AM318" s="207">
        <f t="shared" ref="AM318:AU318" si="377">AM316+(AM302+AM312)*($AK$53-1)</f>
        <v>0</v>
      </c>
      <c r="AN318" s="207">
        <f t="shared" si="377"/>
        <v>0</v>
      </c>
      <c r="AO318" s="207">
        <f t="shared" si="377"/>
        <v>0</v>
      </c>
      <c r="AP318" s="207">
        <f t="shared" si="377"/>
        <v>0</v>
      </c>
      <c r="AQ318" s="207">
        <f t="shared" si="377"/>
        <v>0</v>
      </c>
      <c r="AR318" s="207">
        <f t="shared" si="377"/>
        <v>0</v>
      </c>
      <c r="AS318" s="207">
        <f t="shared" si="377"/>
        <v>0</v>
      </c>
      <c r="AT318" s="207">
        <f t="shared" si="377"/>
        <v>0</v>
      </c>
      <c r="AU318" s="207">
        <f t="shared" si="377"/>
        <v>0</v>
      </c>
      <c r="AV318" s="128"/>
      <c r="AW318" s="375">
        <f>SUMPRODUCT(AX318:BH318,AX$24:BH$24,AX$31:BH$31)/1000</f>
        <v>0</v>
      </c>
      <c r="AX318" s="129"/>
      <c r="AY318" s="207">
        <f t="shared" ref="AY318:BG318" si="378">AY316+(AY302+AY312)*($AW$53-1)</f>
        <v>0</v>
      </c>
      <c r="AZ318" s="207">
        <f t="shared" si="378"/>
        <v>0</v>
      </c>
      <c r="BA318" s="207">
        <f t="shared" si="378"/>
        <v>0</v>
      </c>
      <c r="BB318" s="207">
        <f t="shared" si="378"/>
        <v>0</v>
      </c>
      <c r="BC318" s="207">
        <f t="shared" si="378"/>
        <v>0</v>
      </c>
      <c r="BD318" s="207">
        <f t="shared" si="378"/>
        <v>0</v>
      </c>
      <c r="BE318" s="207">
        <f t="shared" si="378"/>
        <v>0</v>
      </c>
      <c r="BF318" s="207">
        <f t="shared" si="378"/>
        <v>0</v>
      </c>
      <c r="BG318" s="207">
        <f t="shared" si="378"/>
        <v>0</v>
      </c>
      <c r="BH318" s="255"/>
    </row>
    <row r="319" spans="1:60" x14ac:dyDescent="0.2">
      <c r="A319" s="648"/>
      <c r="B319" s="492" t="s">
        <v>352</v>
      </c>
      <c r="C319" s="739" t="s">
        <v>104</v>
      </c>
      <c r="D319" s="747"/>
      <c r="E319" s="90"/>
      <c r="F319" s="90"/>
      <c r="G319" s="90"/>
      <c r="H319" s="96"/>
      <c r="I319" s="90"/>
      <c r="J319" s="93"/>
      <c r="K319" s="90"/>
      <c r="L319" s="90"/>
      <c r="M319" s="93"/>
      <c r="N319" s="90"/>
      <c r="O319" s="122"/>
      <c r="P319" s="122"/>
      <c r="Q319" s="122"/>
      <c r="R319" s="122"/>
      <c r="S319" s="122"/>
      <c r="T319" s="122"/>
      <c r="U319" s="122"/>
      <c r="V319" s="122"/>
      <c r="W319" s="122"/>
      <c r="X319" s="93"/>
      <c r="Y319" s="93"/>
      <c r="Z319" s="90"/>
      <c r="AA319" s="93"/>
      <c r="AB319" s="93"/>
      <c r="AC319" s="93"/>
      <c r="AD319" s="93"/>
      <c r="AE319" s="93"/>
      <c r="AF319" s="93"/>
      <c r="AG319" s="93"/>
      <c r="AH319" s="93"/>
      <c r="AI319" s="93"/>
      <c r="AJ319" s="93"/>
      <c r="AK319" s="93"/>
      <c r="AL319" s="90"/>
      <c r="AM319" s="93"/>
      <c r="AN319" s="93"/>
      <c r="AO319" s="93"/>
      <c r="AP319" s="93"/>
      <c r="AQ319" s="93"/>
      <c r="AR319" s="93"/>
      <c r="AS319" s="93"/>
      <c r="AT319" s="93"/>
      <c r="AU319" s="93"/>
      <c r="AV319" s="93"/>
      <c r="AW319" s="93"/>
      <c r="AX319" s="90"/>
      <c r="AY319" s="93"/>
      <c r="AZ319" s="93"/>
      <c r="BA319" s="93"/>
      <c r="BB319" s="93"/>
      <c r="BC319" s="93"/>
      <c r="BD319" s="93"/>
      <c r="BE319" s="93"/>
      <c r="BF319" s="93"/>
      <c r="BG319" s="93"/>
      <c r="BH319" s="1"/>
    </row>
    <row r="320" spans="1:60" ht="21" x14ac:dyDescent="0.2">
      <c r="A320" s="648"/>
      <c r="B320" s="492" t="s">
        <v>364</v>
      </c>
      <c r="C320" s="656" t="s">
        <v>104</v>
      </c>
      <c r="D320" s="752" t="s">
        <v>89</v>
      </c>
      <c r="E320" s="553" t="s">
        <v>87</v>
      </c>
      <c r="F320" s="553"/>
      <c r="G320" s="553"/>
      <c r="H320" s="554"/>
      <c r="I320" s="554"/>
      <c r="J320" s="555"/>
      <c r="K320" s="824"/>
      <c r="L320" s="824"/>
      <c r="M320" s="555"/>
      <c r="N320" s="555"/>
      <c r="O320" s="555"/>
      <c r="P320" s="555"/>
      <c r="Q320" s="555"/>
      <c r="R320" s="555"/>
      <c r="S320" s="555"/>
      <c r="T320" s="555"/>
      <c r="U320" s="555"/>
      <c r="V320" s="555"/>
      <c r="W320" s="555"/>
      <c r="X320" s="555"/>
      <c r="Y320" s="555"/>
      <c r="Z320" s="555"/>
      <c r="AA320" s="555"/>
      <c r="AB320" s="555"/>
      <c r="AC320" s="555"/>
      <c r="AD320" s="555"/>
      <c r="AE320" s="555"/>
      <c r="AF320" s="555"/>
      <c r="AG320" s="555"/>
      <c r="AH320" s="555"/>
      <c r="AI320" s="555"/>
      <c r="AJ320" s="555"/>
      <c r="AK320" s="555"/>
      <c r="AL320" s="555"/>
      <c r="AM320" s="555"/>
      <c r="AN320" s="555"/>
      <c r="AO320" s="555"/>
      <c r="AP320" s="555"/>
      <c r="AQ320" s="555"/>
      <c r="AR320" s="555"/>
      <c r="AS320" s="555"/>
      <c r="AT320" s="555"/>
      <c r="AU320" s="555"/>
      <c r="AV320" s="555"/>
      <c r="AW320" s="555"/>
      <c r="AX320" s="555"/>
      <c r="AY320" s="556"/>
      <c r="AZ320" s="556"/>
      <c r="BA320" s="556"/>
      <c r="BB320" s="556"/>
      <c r="BC320" s="556"/>
      <c r="BD320" s="556"/>
      <c r="BE320" s="556"/>
      <c r="BF320" s="556"/>
      <c r="BG320" s="556"/>
      <c r="BH320" s="270"/>
    </row>
  </sheetData>
  <sheetProtection algorithmName="SHA-512" hashValue="vnKbEU7vPesPDGFzW+lNvSLvJQo3sFmXoNG0GZixDJloV80KpdawXGzsCLGYUtjGQq4mKPA5B2sgU+vmla/owg==" saltValue="SF2/8AzDADgk+RIFu+oCYA==" spinCount="100000" sheet="1" objects="1" scenarios="1" formatColumns="0" autoFilter="0"/>
  <autoFilter ref="B8:C320" xr:uid="{41D3E58C-B86B-4AE1-8380-FDD6F14E9537}">
    <filterColumn colId="1">
      <filters>
        <filter val="00. kop"/>
        <filter val="01. invoer"/>
        <filter val="04. resultaat"/>
      </filters>
    </filterColumn>
  </autoFilter>
  <dataConsolidate/>
  <mergeCells count="4">
    <mergeCell ref="E3:F3"/>
    <mergeCell ref="F4:H4"/>
    <mergeCell ref="B5:B7"/>
    <mergeCell ref="C5:C7"/>
  </mergeCells>
  <conditionalFormatting sqref="B16:B26 B27:C320">
    <cfRule type="expression" dxfId="154" priority="53">
      <formula>B16=""</formula>
    </cfRule>
  </conditionalFormatting>
  <conditionalFormatting sqref="C10">
    <cfRule type="expression" dxfId="153" priority="95">
      <formula>C10=""</formula>
    </cfRule>
  </conditionalFormatting>
  <conditionalFormatting sqref="C12:C26">
    <cfRule type="expression" dxfId="152" priority="54">
      <formula>C12=""</formula>
    </cfRule>
  </conditionalFormatting>
  <conditionalFormatting sqref="E54">
    <cfRule type="expression" dxfId="151" priority="3">
      <formula>$G$6=FALSE</formula>
    </cfRule>
  </conditionalFormatting>
  <conditionalFormatting sqref="E278:J278">
    <cfRule type="expression" dxfId="150" priority="145">
      <formula>$G$6=TRUE</formula>
    </cfRule>
  </conditionalFormatting>
  <conditionalFormatting sqref="F4:F5 H3">
    <cfRule type="expression" dxfId="149" priority="120">
      <formula>F3=""</formula>
    </cfRule>
  </conditionalFormatting>
  <conditionalFormatting sqref="F5">
    <cfRule type="expression" dxfId="148" priority="118">
      <formula>OR($F$5="",ISERROR(MATCH(F5,opwekking_elektriciteit,0))=TRUE)</formula>
    </cfRule>
  </conditionalFormatting>
  <conditionalFormatting sqref="F2:H2">
    <cfRule type="expression" dxfId="147" priority="126">
      <formula>$F$2&lt;&gt;""</formula>
    </cfRule>
  </conditionalFormatting>
  <conditionalFormatting sqref="J32:J33">
    <cfRule type="cellIs" dxfId="146" priority="101" operator="greaterThan">
      <formula>0</formula>
    </cfRule>
  </conditionalFormatting>
  <conditionalFormatting sqref="J40:J42">
    <cfRule type="expression" dxfId="145" priority="52">
      <formula>J40="OK"</formula>
    </cfRule>
  </conditionalFormatting>
  <conditionalFormatting sqref="J46:J47">
    <cfRule type="expression" dxfId="144" priority="51">
      <formula>J46="OK"</formula>
    </cfRule>
  </conditionalFormatting>
  <conditionalFormatting sqref="J50">
    <cfRule type="cellIs" dxfId="143" priority="49" operator="notEqual">
      <formula>"OK"</formula>
    </cfRule>
  </conditionalFormatting>
  <conditionalFormatting sqref="J80">
    <cfRule type="cellIs" dxfId="142" priority="102" operator="notEqual">
      <formula>"OK"</formula>
    </cfRule>
  </conditionalFormatting>
  <conditionalFormatting sqref="J135">
    <cfRule type="cellIs" dxfId="141" priority="40" operator="equal">
      <formula>0</formula>
    </cfRule>
  </conditionalFormatting>
  <conditionalFormatting sqref="J138 J142 J146 M135 M138 M142 M146 Y135 Y138 Y142 Y146 AK135 AK138 AK142 AK146 AW135 AW138 AW142 AW146">
    <cfRule type="cellIs" dxfId="140" priority="44" operator="equal">
      <formula>0</formula>
    </cfRule>
  </conditionalFormatting>
  <conditionalFormatting sqref="M32:M33">
    <cfRule type="cellIs" dxfId="139" priority="100" operator="greaterThan">
      <formula>0</formula>
    </cfRule>
  </conditionalFormatting>
  <conditionalFormatting sqref="M131:M146 Y131:Y146 AK131:AK146 AW131:AW146">
    <cfRule type="expression" dxfId="138" priority="123">
      <formula>SUM(M$131:M$146)=0</formula>
    </cfRule>
  </conditionalFormatting>
  <conditionalFormatting sqref="M275 O275:X275 AJ275 AV275 BH275">
    <cfRule type="expression" dxfId="137" priority="128">
      <formula>#REF!&gt;M275</formula>
    </cfRule>
  </conditionalFormatting>
  <conditionalFormatting sqref="O80 AA80 AM80 AY80">
    <cfRule type="expression" dxfId="136" priority="48">
      <formula>OR(AND(O80="",O$24&gt;0),ISERROR(MATCH(O80,toestellen_RV_invoer,0)))</formula>
    </cfRule>
  </conditionalFormatting>
  <conditionalFormatting sqref="O84 O91 O106:Q106 O109:Q109 O116:Q116 O120:Q120 O126:Q126 Q84 Q91 AA84 AA91 AA106:AC106 AA109:AC109 AA116:AC116 AA120:AC120 AA126:AC126 AC84 AC91 AM84 AM91 AM106:AO106 AM109:AO109 AM116:AO116 AM120:AO120 AM126:AO126 AO84 AO91 AY84 AY91 AY109:BA109 AY116:BA116 AY120:BA120 AY126:BA126 BA84 BA91">
    <cfRule type="expression" dxfId="135" priority="105">
      <formula>AND(O$75&gt;0,O84="")</formula>
    </cfRule>
  </conditionalFormatting>
  <conditionalFormatting sqref="O87 Q87 AA87 AC87 AM87 AO87 AY87 BA87">
    <cfRule type="expression" dxfId="134" priority="119">
      <formula>OR(AND(O$75&gt;0,O87=""),AND(O87&lt;&gt;"ja",O87&lt;&gt;"nee",O87&lt;&gt;""))</formula>
    </cfRule>
  </conditionalFormatting>
  <conditionalFormatting sqref="O126 Q126 AA126 AC126 AM126 AO126 AY126 BA126">
    <cfRule type="expression" dxfId="133" priority="133">
      <formula>O$125=0</formula>
    </cfRule>
  </conditionalFormatting>
  <conditionalFormatting sqref="O80:Q81 O83:Q85 O87:Q88 O90:Q92 O94:Q96 AA80:AC81 AA83:AC85 AA87:AC88 AA90:AC92 AA94:AC96 AM80:AO81 AM83:AO85 AM87:AO88 AM90:AO92 AM94:AO96 AY80:BA81 AY83:BA85 AY87:BA88 AY90:BA92 AY94:BA96">
    <cfRule type="expression" dxfId="131" priority="146">
      <formula>O$29=0</formula>
    </cfRule>
    <cfRule type="expression" dxfId="132" priority="147">
      <formula>O$75=0</formula>
    </cfRule>
  </conditionalFormatting>
  <conditionalFormatting sqref="O101:Q101 AA101:AC101 AA131:AC131 AM101:AO101 AM131:AO131 AY101:BA101 AY131:BA131">
    <cfRule type="expression" dxfId="130" priority="115">
      <formula>O$75=0</formula>
    </cfRule>
  </conditionalFormatting>
  <conditionalFormatting sqref="O102:Q103 O105:Q113 O115:Q116 O119:Q121 O123:Q126 P117:Q117 AA101:AC103 AA105:AC113 AA115:AC117 AA119:AC121 AA123:AC126 AM101:AO103 AM105:AO113 AM115:AO117 AM119:AO121 AM123:AO126 AY101:BA103 AY105:BA113 AY115:BA117 AY119:BA121 AY123:BA126">
    <cfRule type="expression" dxfId="129" priority="41">
      <formula>OR(O$75=0,O$101="geen")</formula>
    </cfRule>
  </conditionalFormatting>
  <conditionalFormatting sqref="O131:Q131">
    <cfRule type="expression" dxfId="128" priority="112">
      <formula>O$75=0</formula>
    </cfRule>
  </conditionalFormatting>
  <conditionalFormatting sqref="O132:Q138 O140:Q142 O144:Q146 AA132:AC138 AA140:AC142 AA144:AC146 AM132:AO138 AM140:AO142 AM144:AO146 AY132:BA138 AY140:BA142 AY144:BA146">
    <cfRule type="expression" dxfId="127" priority="39">
      <formula>OR(O$75=0,O$131="geen")</formula>
    </cfRule>
  </conditionalFormatting>
  <conditionalFormatting sqref="O137:Q137 O141:Q141 O145:Q145 AA137:AC137 AA141:AC141 AA145:AC145 AM137:AO137 AM141:AO141 AM145:AO145 AY137:BA137 AY141:BA141 AY145:BA145">
    <cfRule type="expression" dxfId="126" priority="144">
      <formula>AND(O$75&gt;0,O$131&lt;&gt;"geen",O137="")</formula>
    </cfRule>
  </conditionalFormatting>
  <conditionalFormatting sqref="O151:Q153 AA151:AC153 AM151:AO153 AY151:BA153">
    <cfRule type="expression" dxfId="125" priority="149">
      <formula>OR(O$29=0,O$123=0)</formula>
    </cfRule>
  </conditionalFormatting>
  <conditionalFormatting sqref="O152:Q152 AA152:AC152 AM152:AO152 AY152:BA152">
    <cfRule type="expression" dxfId="124" priority="114">
      <formula>AND(O$123&gt;0,O152="")</formula>
    </cfRule>
  </conditionalFormatting>
  <conditionalFormatting sqref="O167:S169">
    <cfRule type="expression" dxfId="123" priority="110">
      <formula>O$29=0</formula>
    </cfRule>
  </conditionalFormatting>
  <conditionalFormatting sqref="O197:S202">
    <cfRule type="expression" dxfId="122" priority="108">
      <formula>O$29=0</formula>
    </cfRule>
  </conditionalFormatting>
  <conditionalFormatting sqref="O209:S215">
    <cfRule type="expression" dxfId="121" priority="106">
      <formula>O$29=0</formula>
    </cfRule>
  </conditionalFormatting>
  <conditionalFormatting sqref="O216:S216">
    <cfRule type="expression" dxfId="120" priority="88">
      <formula>O$29=0</formula>
    </cfRule>
  </conditionalFormatting>
  <conditionalFormatting sqref="O17:W17">
    <cfRule type="expression" dxfId="119" priority="87">
      <formula>AND(O17&lt;&gt;"",ISERROR(MATCH(O17,woningen_gebouwen_namen,0))=TRUE)</formula>
    </cfRule>
  </conditionalFormatting>
  <conditionalFormatting sqref="O19:W19 AA19:AI19 AM19:AU19 AY19:BG19">
    <cfRule type="expression" dxfId="118" priority="99">
      <formula>O19=""</formula>
    </cfRule>
  </conditionalFormatting>
  <conditionalFormatting sqref="O20:W21 AM20:AU21 AY20:BG21">
    <cfRule type="expression" dxfId="117" priority="98">
      <formula>O$19=""</formula>
    </cfRule>
  </conditionalFormatting>
  <conditionalFormatting sqref="O22:W22">
    <cfRule type="expression" dxfId="116" priority="96">
      <formula>OR(O$19="",AND(O$21&lt;&gt;woning,O$21&lt;&gt;woongebouw))</formula>
    </cfRule>
  </conditionalFormatting>
  <conditionalFormatting sqref="O24:W25 AA24:BG25">
    <cfRule type="expression" dxfId="115" priority="74">
      <formula>O$19=""</formula>
    </cfRule>
  </conditionalFormatting>
  <conditionalFormatting sqref="O25:W25 AM25:AU25 AY25:BG25">
    <cfRule type="expression" dxfId="114" priority="129">
      <formula>AND(O$19="",O25&gt;0)</formula>
    </cfRule>
    <cfRule type="expression" dxfId="113" priority="130">
      <formula>AND(O$19&lt;&gt;"",O25="")</formula>
    </cfRule>
  </conditionalFormatting>
  <conditionalFormatting sqref="O26:W29 O31:W35">
    <cfRule type="expression" dxfId="112" priority="4">
      <formula>OR(O$19="",O$24=0)</formula>
    </cfRule>
  </conditionalFormatting>
  <conditionalFormatting sqref="O40:W48 O50:W50 O52:W55 O58:W58 O60:W66 O68:W68 O70:W70">
    <cfRule type="expression" dxfId="111" priority="42">
      <formula>OR(O$19="",O$24=0)</formula>
    </cfRule>
  </conditionalFormatting>
  <conditionalFormatting sqref="O41:W41 AA41:AI41 AM41:AU41 AY41:BG41">
    <cfRule type="expression" dxfId="110" priority="5">
      <formula>AND(O$19&lt;&gt;"",O$24&gt;0,O41&lt;&gt;"",ISERROR(MATCH(O41,isolatiepakketten_gebouwschil_namen,0))=TRUE)</formula>
    </cfRule>
  </conditionalFormatting>
  <conditionalFormatting sqref="O42:W42 AA42:AI42 AM42:AU42 AY42:BG42">
    <cfRule type="expression" dxfId="109" priority="131">
      <formula>OR(AND(O$19&lt;&gt;"",O$24&gt;0,O42=""),ISERROR(MATCH(O42,ventilatiesystemen_namen,0))=TRUE)</formula>
    </cfRule>
  </conditionalFormatting>
  <conditionalFormatting sqref="O43:W43 AA43:AI43 AM43:AU43 AY43:BG43">
    <cfRule type="expression" dxfId="107" priority="132">
      <formula>OR(AND(O$19&lt;&gt;"",O$24&gt;0,O43=""),ISERROR(MATCH(O43,ventilatoren_typen,0))=TRUE)</formula>
    </cfRule>
  </conditionalFormatting>
  <conditionalFormatting sqref="O44:W44 AA44:AI44 AM44:AU44 AY44:BG44">
    <cfRule type="expression" dxfId="106" priority="134">
      <formula>OR(O44&lt;0.5,O44&gt;2,AND(O$19&lt;&gt;"",O44=""))</formula>
    </cfRule>
  </conditionalFormatting>
  <conditionalFormatting sqref="O45:W46 AA45:AI46 AM45:AU46 AY45:BG46">
    <cfRule type="expression" dxfId="104" priority="50">
      <formula>OR(O$19="",O$28=0)</formula>
    </cfRule>
    <cfRule type="expression" dxfId="105" priority="136">
      <formula>AND(O$19&lt;&gt;"",O$28&gt;0,O45="")</formula>
    </cfRule>
  </conditionalFormatting>
  <conditionalFormatting sqref="O46:W46 AA46:AI46 AM46:AU46 AY46:BG46">
    <cfRule type="expression" dxfId="103" priority="138">
      <formula>AND(O46&lt;&gt;"",ISERROR(MATCH(O46,verlichtingsregeling_namen,0))=TRUE)</formula>
    </cfRule>
  </conditionalFormatting>
  <conditionalFormatting sqref="O47:W47 AA47:AI47 AM47:AU47 AY47:BG47">
    <cfRule type="expression" dxfId="101" priority="62">
      <formula>OR(O$19="",O$26+O$27=0,AND(O$21&lt;&gt;woning,O$21&lt;&gt;woongebouw))</formula>
    </cfRule>
    <cfRule type="expression" dxfId="102" priority="139">
      <formula>OR(AND(O$19&lt;&gt;"",O$24&gt;0,O47=""),AND(O47&lt;&gt;elektriciteit,O47&lt;&gt;aardgas))</formula>
    </cfRule>
  </conditionalFormatting>
  <conditionalFormatting sqref="O48:W48 AA48:AI48 AM48:AU48 AY48:BG48">
    <cfRule type="expression" dxfId="100" priority="140">
      <formula>OR(O48&lt;0,O48&gt;1,AND(O$19&lt;&gt;"",O48=""))</formula>
    </cfRule>
  </conditionalFormatting>
  <conditionalFormatting sqref="O50:W50 AA50:AI50 AM50:AU50 AY50:BG50">
    <cfRule type="expression" dxfId="98" priority="61">
      <formula>$O19=""</formula>
    </cfRule>
    <cfRule type="cellIs" dxfId="99" priority="143" operator="equal">
      <formula>"nee"</formula>
    </cfRule>
  </conditionalFormatting>
  <conditionalFormatting sqref="O53:W53 AA53:AI53 AM53:AU53 AY53:BG53">
    <cfRule type="cellIs" dxfId="97" priority="9" operator="equal">
      <formula>0</formula>
    </cfRule>
  </conditionalFormatting>
  <conditionalFormatting sqref="O54:W54 AA54:AI54 AM54:AU54 AY54:BG54">
    <cfRule type="expression" dxfId="96" priority="150">
      <formula>O$24=0</formula>
    </cfRule>
    <cfRule type="expression" dxfId="95" priority="151">
      <formula>AND(O$24&gt;0,O54="",$G$6=TRUE)</formula>
    </cfRule>
    <cfRule type="expression" dxfId="94" priority="152">
      <formula>AND(O$24&gt;0,O$54&gt;0,O$54&lt;&gt;O$55,$G$6=TRUE)</formula>
    </cfRule>
  </conditionalFormatting>
  <conditionalFormatting sqref="O68:W68 AA68:AI68 AM68:AU68 AY68:BG68">
    <cfRule type="expression" dxfId="93" priority="117">
      <formula>AND(O$19&lt;&gt;"",O68="")</formula>
    </cfRule>
  </conditionalFormatting>
  <conditionalFormatting sqref="O70:W70">
    <cfRule type="expression" dxfId="92" priority="43">
      <formula>AND(O$19&lt;&gt;"",O70="")</formula>
    </cfRule>
  </conditionalFormatting>
  <conditionalFormatting sqref="O75:W75 AA75:AI75 AM75:AU75 AY75:BG75">
    <cfRule type="expression" dxfId="91" priority="113">
      <formula>O$29=0</formula>
    </cfRule>
  </conditionalFormatting>
  <conditionalFormatting sqref="O227:W227 AM227:AU227 AM234:AU236 AM251:AU253 AM255:AU255 AY227:BG227 AY234:BG236">
    <cfRule type="expression" dxfId="90" priority="107">
      <formula>O$24=0</formula>
    </cfRule>
  </conditionalFormatting>
  <conditionalFormatting sqref="O229:W229 O241:W249 O251:W253 O255:W255 O257:W257 O262:W262 O264:W269 O271:W271 O273:W273 O275:W275 O282:W284 O286:W288 O290:W291 O293:W294 O296:W297 O302:W310 O312:W314 O316:W316 O318:W318">
    <cfRule type="expression" dxfId="89" priority="64">
      <formula>O$24=0</formula>
    </cfRule>
  </conditionalFormatting>
  <conditionalFormatting sqref="O286:W287">
    <cfRule type="expression" dxfId="88" priority="124">
      <formula>O286&gt;O282</formula>
    </cfRule>
  </conditionalFormatting>
  <conditionalFormatting sqref="O291:W291 AA291:AI291 AM291:AU291 AY291:BG291">
    <cfRule type="expression" dxfId="86" priority="154">
      <formula>#REF!&lt;O$287</formula>
    </cfRule>
    <cfRule type="expression" dxfId="87" priority="155">
      <formula>O$24=0</formula>
    </cfRule>
  </conditionalFormatting>
  <conditionalFormatting sqref="O294:W294">
    <cfRule type="expression" dxfId="84" priority="25">
      <formula>AND(O294&lt;&gt;"nvt",O294&gt;O293)</formula>
    </cfRule>
    <cfRule type="expression" dxfId="85" priority="26">
      <formula>AND(O294&lt;&gt;"nvt",O294&lt;=O293)</formula>
    </cfRule>
  </conditionalFormatting>
  <conditionalFormatting sqref="O297:W297">
    <cfRule type="expression" dxfId="82" priority="23">
      <formula>AND(O297&lt;&gt;"nvt",O297&gt;O296)</formula>
    </cfRule>
    <cfRule type="expression" dxfId="83" priority="24">
      <formula>AND(O297&lt;&gt;"nvt",O297&lt;=O296)</formula>
    </cfRule>
  </conditionalFormatting>
  <conditionalFormatting sqref="O40:BG41">
    <cfRule type="expression" dxfId="81" priority="2">
      <formula>OR(O$19="",O$24=0)</formula>
    </cfRule>
  </conditionalFormatting>
  <conditionalFormatting sqref="P80 AB80 AN80 AZ80">
    <cfRule type="expression" dxfId="80" priority="103">
      <formula>OR(AND(P80="",P$24&gt;0),ISERROR(MATCH(P80,toestellen_KOEL_invoer,0)))</formula>
    </cfRule>
  </conditionalFormatting>
  <conditionalFormatting sqref="P81 P83:P85 P87:P88 P90:P92 P94:P96 AB81 AB83:AB85 AB87:AB88 AB90:AB92 AB94:AB96 AN81 AN83:AN85 AN87:AN88 AN90:AN92 AN94:AN96 AZ81 AZ83:AZ85 AZ87:AZ88 AZ90:AZ92 AZ94:AZ96">
    <cfRule type="expression" dxfId="79" priority="32">
      <formula>P$80="geen"</formula>
    </cfRule>
  </conditionalFormatting>
  <conditionalFormatting sqref="Q80 AC80 AO80 BA80">
    <cfRule type="expression" dxfId="78" priority="104">
      <formula>OR(AND(Q80="",Q$24&gt;0),ISERROR(MATCH(Q80,toestellen_TAP_invoer,0)))</formula>
    </cfRule>
  </conditionalFormatting>
  <conditionalFormatting sqref="Q87 AC87 AO87 BA87">
    <cfRule type="expression" dxfId="77" priority="148">
      <formula>OR(AND(Q$24&gt;0,Q$75&gt;0,Q87=""),AND(Q87&lt;&gt;"ja",Q87&lt;&gt;"nee",Q87&lt;&gt;""))</formula>
    </cfRule>
  </conditionalFormatting>
  <conditionalFormatting sqref="T155:T156">
    <cfRule type="expression" dxfId="76" priority="57">
      <formula>T$29=0</formula>
    </cfRule>
  </conditionalFormatting>
  <conditionalFormatting sqref="T158:T159">
    <cfRule type="expression" dxfId="75" priority="56">
      <formula>T$29=0</formula>
    </cfRule>
  </conditionalFormatting>
  <conditionalFormatting sqref="T161">
    <cfRule type="expression" dxfId="74" priority="55">
      <formula>T$29=0</formula>
    </cfRule>
  </conditionalFormatting>
  <conditionalFormatting sqref="T167:T169">
    <cfRule type="expression" dxfId="73" priority="85">
      <formula>T$29=0</formula>
    </cfRule>
  </conditionalFormatting>
  <conditionalFormatting sqref="T186:T188">
    <cfRule type="expression" dxfId="72" priority="59">
      <formula>T$29=0</formula>
    </cfRule>
  </conditionalFormatting>
  <conditionalFormatting sqref="T190">
    <cfRule type="expression" dxfId="71" priority="58">
      <formula>T$29=0</formula>
    </cfRule>
  </conditionalFormatting>
  <conditionalFormatting sqref="T197:T202">
    <cfRule type="expression" dxfId="70" priority="84">
      <formula>T$29=0</formula>
    </cfRule>
  </conditionalFormatting>
  <conditionalFormatting sqref="T204">
    <cfRule type="expression" dxfId="69" priority="86">
      <formula>T$29=0</formula>
    </cfRule>
  </conditionalFormatting>
  <conditionalFormatting sqref="T209:T216">
    <cfRule type="expression" dxfId="68" priority="82">
      <formula>T$29=0</formula>
    </cfRule>
  </conditionalFormatting>
  <conditionalFormatting sqref="T221:T222">
    <cfRule type="expression" dxfId="67" priority="83">
      <formula>T$29=0</formula>
    </cfRule>
  </conditionalFormatting>
  <conditionalFormatting sqref="U154:W156">
    <cfRule type="expression" dxfId="66" priority="111">
      <formula>U$29=0</formula>
    </cfRule>
  </conditionalFormatting>
  <conditionalFormatting sqref="U186:W188">
    <cfRule type="expression" dxfId="65" priority="109">
      <formula>U$29=0</formula>
    </cfRule>
  </conditionalFormatting>
  <conditionalFormatting sqref="AA187">
    <cfRule type="expression" dxfId="64" priority="92">
      <formula>AA$29=0</formula>
    </cfRule>
  </conditionalFormatting>
  <conditionalFormatting sqref="AA209:AC209">
    <cfRule type="expression" dxfId="63" priority="31">
      <formula>AA$29=0</formula>
    </cfRule>
  </conditionalFormatting>
  <conditionalFormatting sqref="AA186:AE186">
    <cfRule type="expression" dxfId="62" priority="94">
      <formula>AA$29=0</formula>
    </cfRule>
  </conditionalFormatting>
  <conditionalFormatting sqref="AA216:AE216">
    <cfRule type="expression" dxfId="61" priority="89">
      <formula>AA$29=0</formula>
    </cfRule>
  </conditionalFormatting>
  <conditionalFormatting sqref="AA20:AI21">
    <cfRule type="expression" dxfId="60" priority="97">
      <formula>AA$19=""</formula>
    </cfRule>
  </conditionalFormatting>
  <conditionalFormatting sqref="AA22:AI22">
    <cfRule type="expression" dxfId="59" priority="47">
      <formula>OR(AA$19="",AND(AA$21&lt;&gt;woning,AA$21&lt;&gt;woongebouw))</formula>
    </cfRule>
  </conditionalFormatting>
  <conditionalFormatting sqref="AA25:AI25">
    <cfRule type="expression" dxfId="58" priority="141">
      <formula>AND(AA$19="",AA25&gt;0)</formula>
    </cfRule>
    <cfRule type="expression" dxfId="57" priority="142">
      <formula>AND(AA$19&lt;&gt;"",AA25="")</formula>
    </cfRule>
  </conditionalFormatting>
  <conditionalFormatting sqref="AA26:AI29 AA31:AI35 AA42:AI48 AA60:AI66 AM26:AU29 AM31:AU35 AM42:AU48 AM60:AU66 AY26:BG29 AY31:BG35 AY42:BG48 AY60:BG66">
    <cfRule type="expression" dxfId="56" priority="127">
      <formula>OR(AA$19="",AA$24=0)</formula>
    </cfRule>
  </conditionalFormatting>
  <conditionalFormatting sqref="AA68:AI68 AM68:AU68 AY68:BG68">
    <cfRule type="expression" dxfId="55" priority="116">
      <formula>OR(AA$19="",AA$24=0)</formula>
    </cfRule>
  </conditionalFormatting>
  <conditionalFormatting sqref="AA70:AI70">
    <cfRule type="expression" dxfId="54" priority="37">
      <formula>OR(AA$19="",AA$24=0)</formula>
    </cfRule>
    <cfRule type="expression" dxfId="53" priority="38">
      <formula>AND(AA$19&lt;&gt;"",AA70="")</formula>
    </cfRule>
  </conditionalFormatting>
  <conditionalFormatting sqref="AA227:AI227 AA229:AI230 AA234:AI237 AA251:AI253 AA255:AI255 AA257:AI258 AA262:AI269 AA271:AI271 AA273:AI273 AA275:AI276 AA280:AI280 AA282:AI284 AA286:AI288 AA290:AI290 AA241:BG249">
    <cfRule type="expression" dxfId="52" priority="8">
      <formula>AA$24=0</formula>
    </cfRule>
  </conditionalFormatting>
  <conditionalFormatting sqref="AA292:AI292">
    <cfRule type="expression" dxfId="51" priority="28">
      <formula>AA292&lt;AA287</formula>
    </cfRule>
  </conditionalFormatting>
  <conditionalFormatting sqref="AA294:AI294">
    <cfRule type="expression" dxfId="50" priority="21">
      <formula>AND(AA294&lt;&gt;"nvt",AA294&gt;AA293)</formula>
    </cfRule>
    <cfRule type="expression" dxfId="49" priority="22">
      <formula>AND(AA294&lt;&gt;"nvt",AA294&lt;=AA293)</formula>
    </cfRule>
  </conditionalFormatting>
  <conditionalFormatting sqref="AA297:AI297">
    <cfRule type="expression" dxfId="47" priority="19">
      <formula>AND(AA297&lt;&gt;"nvt",AA297&gt;AA296)</formula>
    </cfRule>
    <cfRule type="expression" dxfId="48" priority="20">
      <formula>AND(AA297&lt;&gt;"nvt",AA297&lt;=AA296)</formula>
    </cfRule>
  </conditionalFormatting>
  <conditionalFormatting sqref="AA302:AI310 AA312:AI314 AA316:AI316 AA318:AI318">
    <cfRule type="expression" dxfId="46" priority="66">
      <formula>AA$24=0</formula>
    </cfRule>
  </conditionalFormatting>
  <conditionalFormatting sqref="AA286:AU287">
    <cfRule type="expression" dxfId="45" priority="122">
      <formula>AA286&gt;AA282</formula>
    </cfRule>
  </conditionalFormatting>
  <conditionalFormatting sqref="AA295:AX295">
    <cfRule type="expression" dxfId="44" priority="14">
      <formula>AA295&lt;AA290</formula>
    </cfRule>
  </conditionalFormatting>
  <conditionalFormatting sqref="AF186:AF188">
    <cfRule type="expression" dxfId="43" priority="80">
      <formula>AF$29=0</formula>
    </cfRule>
  </conditionalFormatting>
  <conditionalFormatting sqref="AF221:AF222">
    <cfRule type="expression" dxfId="42" priority="81">
      <formula>AF$29=0</formula>
    </cfRule>
  </conditionalFormatting>
  <conditionalFormatting sqref="AF209:BD216">
    <cfRule type="expression" dxfId="41" priority="68">
      <formula>AF$29=0</formula>
    </cfRule>
  </conditionalFormatting>
  <conditionalFormatting sqref="AM187">
    <cfRule type="expression" dxfId="40" priority="91">
      <formula>AM$29=0</formula>
    </cfRule>
  </conditionalFormatting>
  <conditionalFormatting sqref="AM209:AO209">
    <cfRule type="expression" dxfId="39" priority="30">
      <formula>AM$29=0</formula>
    </cfRule>
  </conditionalFormatting>
  <conditionalFormatting sqref="AM22:AU22">
    <cfRule type="expression" dxfId="38" priority="46">
      <formula>OR(AM$19="",AND(AM$21&lt;&gt;woning,AM$21&lt;&gt;woongebouw))</formula>
    </cfRule>
  </conditionalFormatting>
  <conditionalFormatting sqref="AM70:AU70">
    <cfRule type="expression" dxfId="37" priority="35">
      <formula>OR(AM$19="",AM$24=0)</formula>
    </cfRule>
    <cfRule type="expression" dxfId="36" priority="36">
      <formula>AND(AM$19&lt;&gt;"",AM70="")</formula>
    </cfRule>
  </conditionalFormatting>
  <conditionalFormatting sqref="AM229:AU229">
    <cfRule type="expression" dxfId="35" priority="75">
      <formula>AM$24=0</formula>
    </cfRule>
  </conditionalFormatting>
  <conditionalFormatting sqref="AM257:AU257">
    <cfRule type="expression" dxfId="34" priority="76">
      <formula>AM$24=0</formula>
    </cfRule>
  </conditionalFormatting>
  <conditionalFormatting sqref="AM290:AU290">
    <cfRule type="expression" dxfId="33" priority="7">
      <formula>AM$24=0</formula>
    </cfRule>
  </conditionalFormatting>
  <conditionalFormatting sqref="AM292:AU292">
    <cfRule type="expression" dxfId="32" priority="27">
      <formula>AM292&lt;AM287</formula>
    </cfRule>
  </conditionalFormatting>
  <conditionalFormatting sqref="AM294:AU294">
    <cfRule type="expression" dxfId="30" priority="17">
      <formula>AND(AM294&lt;&gt;"nvt",AM294&gt;AM293)</formula>
    </cfRule>
    <cfRule type="expression" dxfId="31" priority="18">
      <formula>AND(AM294&lt;&gt;"nvt",AM294&lt;=AM293)</formula>
    </cfRule>
  </conditionalFormatting>
  <conditionalFormatting sqref="AM297:AU297">
    <cfRule type="expression" dxfId="28" priority="15">
      <formula>AND(AM297&lt;&gt;"nvt",AM297&gt;AM296)</formula>
    </cfRule>
    <cfRule type="expression" dxfId="29" priority="16">
      <formula>AND(AM297&lt;&gt;"nvt",AM297&lt;=AM296)</formula>
    </cfRule>
  </conditionalFormatting>
  <conditionalFormatting sqref="AM302:AU310 AM312:AU314 AM316:AU316 AM318:AU318">
    <cfRule type="expression" dxfId="27" priority="65">
      <formula>AM$24=0</formula>
    </cfRule>
  </conditionalFormatting>
  <conditionalFormatting sqref="AR186:AR188">
    <cfRule type="expression" dxfId="26" priority="77">
      <formula>AR$29=0</formula>
    </cfRule>
  </conditionalFormatting>
  <conditionalFormatting sqref="AR221:AR222">
    <cfRule type="expression" dxfId="25" priority="78">
      <formula>AR$29=0</formula>
    </cfRule>
  </conditionalFormatting>
  <conditionalFormatting sqref="AR289">
    <cfRule type="expression" dxfId="24" priority="79">
      <formula>AR289&lt;AR285</formula>
    </cfRule>
  </conditionalFormatting>
  <conditionalFormatting sqref="AY187">
    <cfRule type="expression" dxfId="23" priority="90">
      <formula>AY$29=0</formula>
    </cfRule>
  </conditionalFormatting>
  <conditionalFormatting sqref="AY106:BA106">
    <cfRule type="expression" dxfId="22" priority="137">
      <formula>AND(AY$75&gt;0,AY106="")</formula>
    </cfRule>
  </conditionalFormatting>
  <conditionalFormatting sqref="AY209:BA209">
    <cfRule type="expression" dxfId="21" priority="29">
      <formula>AY$29=0</formula>
    </cfRule>
  </conditionalFormatting>
  <conditionalFormatting sqref="AY186:BC186">
    <cfRule type="expression" dxfId="20" priority="93">
      <formula>AY$29=0</formula>
    </cfRule>
  </conditionalFormatting>
  <conditionalFormatting sqref="AY22:BG22">
    <cfRule type="expression" dxfId="19" priority="45">
      <formula>OR(AY$19="",AND(AY$21&lt;&gt;woning,AY$21&lt;&gt;woongebouw))</formula>
    </cfRule>
  </conditionalFormatting>
  <conditionalFormatting sqref="AY70:BG70">
    <cfRule type="expression" dxfId="17" priority="33">
      <formula>OR(AY$19="",AY$24=0)</formula>
    </cfRule>
    <cfRule type="expression" dxfId="18" priority="34">
      <formula>AND(AY$19&lt;&gt;"",AY70="")</formula>
    </cfRule>
  </conditionalFormatting>
  <conditionalFormatting sqref="AY229:BG229">
    <cfRule type="expression" dxfId="16" priority="67">
      <formula>AY$24=0</formula>
    </cfRule>
  </conditionalFormatting>
  <conditionalFormatting sqref="AY251:BG253 AY255:BG255 AY257:BG257 AY262:BG269 AY271:BG271 AY273:BG273 AY275:BG275 AY280:BG280 AY282:BG284 AY286:BG288 AY293:BG294 AY296:BG297 AY302:BG310">
    <cfRule type="expression" dxfId="15" priority="63">
      <formula>AY$24=0</formula>
    </cfRule>
  </conditionalFormatting>
  <conditionalFormatting sqref="AY286:BG287">
    <cfRule type="expression" dxfId="14" priority="121">
      <formula>AY286&gt;AY282</formula>
    </cfRule>
  </conditionalFormatting>
  <conditionalFormatting sqref="AY290:BG290">
    <cfRule type="expression" dxfId="13" priority="6">
      <formula>AY$24=0</formula>
    </cfRule>
  </conditionalFormatting>
  <conditionalFormatting sqref="AY290:BG291 AY312:BG314 AY316:BG316">
    <cfRule type="expression" dxfId="12" priority="70">
      <formula>AY$24=0</formula>
    </cfRule>
  </conditionalFormatting>
  <conditionalFormatting sqref="AY294:BG294">
    <cfRule type="expression" dxfId="10" priority="12">
      <formula>AND(AY294&lt;&gt;"nvt",AY294&gt;AY293)</formula>
    </cfRule>
    <cfRule type="expression" dxfId="11" priority="13">
      <formula>AND(AY294&lt;&gt;"nvt",AY294&lt;=AY293)</formula>
    </cfRule>
  </conditionalFormatting>
  <conditionalFormatting sqref="AY297:BG297">
    <cfRule type="expression" dxfId="8" priority="10">
      <formula>AND(AY297&lt;&gt;"nvt",AY297&gt;AY296)</formula>
    </cfRule>
    <cfRule type="expression" dxfId="9" priority="11">
      <formula>AND(AY297&lt;&gt;"nvt",AY297&lt;=AY296)</formula>
    </cfRule>
  </conditionalFormatting>
  <conditionalFormatting sqref="AY318:BG318">
    <cfRule type="expression" dxfId="7" priority="69">
      <formula>AY$24=0</formula>
    </cfRule>
  </conditionalFormatting>
  <conditionalFormatting sqref="BD161:BD162">
    <cfRule type="expression" dxfId="6" priority="60">
      <formula>BD$29=0</formula>
    </cfRule>
  </conditionalFormatting>
  <conditionalFormatting sqref="BD186:BD188">
    <cfRule type="expression" dxfId="5" priority="71">
      <formula>BD$29=0</formula>
    </cfRule>
  </conditionalFormatting>
  <conditionalFormatting sqref="BD221:BD222">
    <cfRule type="expression" dxfId="4" priority="72">
      <formula>BD$29=0</formula>
    </cfRule>
  </conditionalFormatting>
  <conditionalFormatting sqref="BD288">
    <cfRule type="expression" dxfId="3" priority="73">
      <formula>BD288&lt;BD284</formula>
    </cfRule>
  </conditionalFormatting>
  <conditionalFormatting sqref="BH186:BH188 BH190:BH192">
    <cfRule type="expression" dxfId="2" priority="125">
      <formula>AND(BH186&lt;&gt;"-",BH186&gt;BH187)</formula>
    </cfRule>
  </conditionalFormatting>
  <conditionalFormatting sqref="BH227">
    <cfRule type="expression" dxfId="1" priority="135">
      <formula>AND(BH227&lt;&gt;"-",BH227&gt;#REF!)</formula>
    </cfRule>
  </conditionalFormatting>
  <conditionalFormatting sqref="O288:W288 AA288:AI288 AM288:AU288 AY288:BG288">
    <cfRule type="expression" dxfId="0" priority="1">
      <formula>$O$288&lt;$O$284</formula>
    </cfRule>
  </conditionalFormatting>
  <dataValidations count="97">
    <dataValidation type="decimal" allowBlank="1" showInputMessage="1" showErrorMessage="1" errorTitle="Invoer valt buiten bereik" error="De ingevoerde waarde valt buiten het bereik." sqref="O54:W55 AA54:AI55 AM54:AU55 AY54:BG55" xr:uid="{2B680314-5878-40F1-BFC9-DE6B38C4A36B}">
      <formula1>0.2</formula1>
      <formula2>2</formula2>
    </dataValidation>
    <dataValidation allowBlank="1" showInputMessage="1" showErrorMessage="1" promptTitle="Renocatiestandaard utiliteit" prompt="De renovatiestandaard is een vrijwillige richtlijn voor de energieprestatie van utiliteitsgebouwen. Na 2030 wordt er een verplichte eindnorm bepaald waaraan de energieprestaties van alle gebouwen moeten voldoen in 2050." sqref="D291" xr:uid="{53940A8B-858C-43CF-BC6F-516AB0110BCE}"/>
    <dataValidation allowBlank="1" showInputMessage="1" showErrorMessage="1" promptTitle="Energiepakket / energiebehoefte" sqref="O40:BG40" xr:uid="{3C41842E-3579-49E6-B7DA-E3E46B4BB4B9}"/>
    <dataValidation type="list" allowBlank="1" showInputMessage="1" showErrorMessage="1" promptTitle="Energiepakket / energiebehoefte" sqref="AY41:BG41 AA41:AI41 AM41:AU41 O41:W41" xr:uid="{79358264-15A3-4BDD-BAA8-7C281414AB83}">
      <formula1>isolatiepakketten_gebouwschil_namen</formula1>
    </dataValidation>
    <dataValidation allowBlank="1" showInputMessage="1" showErrorMessage="1" promptTitle="Correctie warmtebehoefte RV" prompt="In slecht geïsoleerde gebouwen berekent NTA8800 gemiddeld té hoge energiegebruiken voor ruimteverwarming._x000a_De correctie corrigeert de NTA berekening op basis van de gemiddelde U-waarde._x000a__x000a_&gt;&gt; energieprestatie-indicatoren zijn alleen geldig ZONDER correctie." sqref="D6" xr:uid="{19ADC9E4-BF47-46E8-B88E-B86BE0665FD4}"/>
    <dataValidation allowBlank="1" showInputMessage="1" showErrorMessage="1" promptTitle="Correctiefactor verwarming" prompt="Slecht geïsoleerde woningen verbruiken gemiddeld veel minder en goed geïsoleerde woningen verbruiken gemiddeld wat meer dan berekend cf NTA8800._x000a__x000a_Deze correctiefactor verrekent dat._x000a__x000a_Rekenwaarde warmtebehoefte = correctiefactor * warmtebehoefte cf NTA8800" sqref="D53" xr:uid="{77E283D8-DE1A-44AE-BC4C-D477A17B4578}"/>
    <dataValidation allowBlank="1" showInputMessage="1" showErrorMessage="1" promptTitle="Standaardwaarde" prompt="Deze standaard geeft aan wanneer een woning goed genoeg is geïsoleerd om aardgasvrij te worden. Hij is ontstaan uit het Klimaatakkoord._x000a_" sqref="D292" xr:uid="{E5102699-7028-4051-9645-DA6B8C35ED69}"/>
    <dataValidation allowBlank="1" showInputMessage="1" showErrorMessage="1" promptTitle="CO2 emissiecoëfficiënt" prompt="CO2 emissiecoëfficiënt energiedrager._x000a__x000a_Bij collectieve WKK met/zonder derving, geothermie, etc wordt de CO2 emissiecoëfficiënt uitgerekend cf. NEN7125_2017 paragraaf 7.3.4.5/6/9._x000a__x000a_Bij een EMG-verklaring wordt de waarde voor K_CO2 del overgenomen." sqref="D119" xr:uid="{332755F1-D93E-4180-B5F7-89D00AE283C8}"/>
    <dataValidation allowBlank="1" showInputMessage="1" showErrorMessage="1" promptTitle="Elektriciteitsderving bij WKK" prompt="Bij WKK's waarbij de elektriciteitsproductie afneemt bij onttrekking van warmte, wordt de primaire energiefactor uitgerekend met de verhouding tussen elektriciteitsderving en thermische omzettingsgetal (Δε;chp;el / ε;chp;th)._x000a__x000a_NEN7125_2017 par 7.3.4.6" sqref="D110" xr:uid="{8FDA75ED-313A-42A0-A298-B54289A87888}"/>
    <dataValidation allowBlank="1" showInputMessage="1" showErrorMessage="1" promptTitle="Primaire energiefactor" prompt="Primaire energiefactor energiedrager._x000a__x000a_Bij collectieve WKK met/zonder derving, geothermie, etc wordt de primaire energiefactor uitgerekend cf. NEN7125_2017 paragraaf 7.3.4.5/6/9._x000a__x000a_Bij een EMG-verklaring wordt de waarde voor fPdel overgenomen." sqref="D115" xr:uid="{8BACBDA7-317D-4722-BE90-18F7794CB5BF}"/>
    <dataValidation type="textLength" allowBlank="1" showInputMessage="1" showErrorMessage="1" errorTitle="Maximaal 65 karakters" error="Maximaal 65 karakters." sqref="F4" xr:uid="{80E0AA8A-8A2D-4047-ACFC-0A6C47DD03CE}">
      <formula1>0</formula1>
      <formula2>65</formula2>
    </dataValidation>
    <dataValidation type="textLength" errorStyle="warning" allowBlank="1" showInputMessage="1" showErrorMessage="1" errorTitle="Maximaal 30 karakters" error="Maximaal 30 karakters" sqref="H3" xr:uid="{09CCB0C6-E222-4DC5-B385-CF824CB718C7}">
      <formula1>0</formula1>
      <formula2>40</formula2>
    </dataValidation>
    <dataValidation type="textLength" errorStyle="warning" allowBlank="1" showInputMessage="1" showErrorMessage="1" errorTitle="Maximaal 30 karakters" error="Maximaal 30 karakters" sqref="E3 F4" xr:uid="{26AA351F-B1A3-4A94-A32B-A0FF5BFB6437}">
      <formula1>0</formula1>
      <formula2>30</formula2>
    </dataValidation>
    <dataValidation type="decimal" allowBlank="1" showInputMessage="1" showErrorMessage="1" errorTitle="Bereik 0%-100%" error="De ingevoerde waarde valt buiten het bereik." sqref="O44:W44 AA44:AI44 AY44:BG44 AM44:AU44" xr:uid="{FD53F6E5-B5A8-4220-B1E3-E47E3F3A964D}">
      <formula1>0.5</formula1>
      <formula2>2</formula2>
    </dataValidation>
    <dataValidation allowBlank="1" showInputMessage="1" showErrorMessage="1" promptTitle="Elektriciteit 'overig'" prompt="Elektriciteit 'overig' is het elektriciteitsgebruik voor hulpenergie installaties, verlichting, ventilatoren, apparatuur, mobiliteit, elektrisch koken, etcetera." sqref="D154" xr:uid="{230005BF-0B5C-4211-B023-251A170272DE}"/>
    <dataValidation allowBlank="1" showInputMessage="1" showErrorMessage="1" promptTitle="Indicatie geïnstalleerd vermogen" prompt="Forfaitaire, conservatieve, waarden in NTA8800, par. 14.3, in W/m2:_x000a_- winkels: 30_x000a_- gezondheid met bed, logies, cellen: 17_x000a_- overige functies: 16_x000a__x000a_Gebruikelijk is 30% lager._x000a_Energiezuinig 50%-60% lager." sqref="D45" xr:uid="{83218A6C-4B56-4667-8918-0950E885A21B}"/>
    <dataValidation allowBlank="1" showInputMessage="1" showErrorMessage="1" promptTitle="Bijdrage zonthermisch MWh" prompt="Bijdrage zonthermisch = %bijdrage zonthermisch * (energiebehoefte + intern distributieverlies)_x000a__x000a_Het % bijdrage zonthermisch is verschillend voor RV en TAP en staat in de bibliotheek." sqref="D88" xr:uid="{273A75EB-6BEB-4318-B42C-923F351149A5}"/>
    <dataValidation allowBlank="1" showInputMessage="1" showErrorMessage="1" promptTitle="Aandeel hernieuwbare energie" prompt="Aandeel hernieuwbare energie._x000a__x000a_RERPrenTOT = EPrenTot / (EPTot + EPrenTot) * 100%_x000a__x000a_Cf. NTA8800 par. 5.3.1.3, formule 5.3" sqref="D288" xr:uid="{26C7C1EE-DCEF-4022-875F-CCA1B4EF58C7}"/>
    <dataValidation type="list" allowBlank="1" showInputMessage="1" showErrorMessage="1" sqref="O47:W47 AA47:AI47 AY47:BG47 AM47:AU47" xr:uid="{2302629F-3403-4F28-B9DA-41E1D13E1563}">
      <formula1>"elektriciteit,aardgas"</formula1>
    </dataValidation>
    <dataValidation allowBlank="1" showInputMessage="1" showErrorMessage="1" promptTitle="Kookgas" prompt="Gasverbruik voor kookgas." sqref="D65" xr:uid="{9F24CCB1-12BD-4E16-9844-8EF2A601B987}"/>
    <dataValidation allowBlank="1" showInputMessage="1" showErrorMessage="1" promptTitle="Hernieuwbare 'primaire' energie" prompt="De totale hernieuwbare 'primaire' energie voor GEBOUWGEBONDEN energiegebruik is berekend cf. NTA8800._x000a__x000a_NTA8800 par. 5.6." sqref="D260" xr:uid="{AC911D56-BC8E-4119-B1AE-1F72B2F1AAF2}"/>
    <dataValidation allowBlank="1" showInputMessage="1" showErrorMessage="1" promptTitle="Energieprestatie indicatoren" prompt="De energieprestatie indicatoren gaan alleen over GEBOUWGEBONDEN energiegebruik en zijn bepaald cf. paragraaf 5.3.1 van NTA 8800._x000a__x000a_" sqref="D278" xr:uid="{8C4EAE9D-340A-42C7-9669-F2B844BEBDC9}"/>
    <dataValidation allowBlank="1" showInputMessage="1" showErrorMessage="1" promptTitle="Energielabel" prompt="Het energielabel wordt bepaald op basis van het gebouwgebonden primair energiegebruik in kWh/m2._x000a__x000a_Zie 'Regeling energieprestatie gebouwen', https://wetten.overheid.nl/BWBR0020921/2021-07-01" sqref="D290" xr:uid="{38008079-2243-4D20-8585-8DD048D1E756}"/>
    <dataValidation allowBlank="1" showInputMessage="1" showErrorMessage="1" promptTitle="Besparing warmtevraag tapwater" prompt="Reductie (of toename) van de warmtevraag voor warmtapwater t.o.v. van de berekende warmtevraag cf. NTA 8800._x000a__x000a_Te denken valt aan DWTW, waterbesparende kranen, lagere bezetting, bewust energiezuinig gedrag, et cetera." sqref="D44" xr:uid="{CDC53DD6-98BF-4E52-B96F-1667FDDE5B04}"/>
    <dataValidation allowBlank="1" showInputMessage="1" showErrorMessage="1" promptTitle="Woningen|utiliteitsgebouwen" prompt="De tabel geeft een terugkoppeling van de ingevoerde woningen en utileitsgebouwen in" sqref="D17" xr:uid="{433B0D21-412D-4EEB-8FE2-78EA82432FB7}"/>
    <dataValidation allowBlank="1" showInputMessage="1" showErrorMessage="1" promptTitle="Resultaten" prompt="De tabel geeft een samenvatting van het primair energiegebruik, de CO2 emissie en het gasverbruik van de locatie(s) als gevolg van energetische keuzes in deze variant." sqref="D10" xr:uid="{C33CAC18-CB55-41AB-9AC9-DDE5444B9A68}"/>
    <dataValidation allowBlank="1" showInputMessage="1" showErrorMessage="1" promptTitle="Niet preferent toestel" prompt="Kenmerken wijzigen van het niet preferente toestel (niet preferent toestel bepaald door type installatie)._x000a_De kenmerken bepalen de te leveren warmte|koude door het niet preferente toestel, het finaal/primair energiegebruik en de CO2 emissie." sqref="D129" xr:uid="{D5D5AE17-FADD-4179-B51C-86B55444DE21}"/>
    <dataValidation allowBlank="1" showInputMessage="1" showErrorMessage="1" promptTitle="Preferent toestel" prompt="Hier kunnen de kenmerken van het al eerder gekozen preferente toestel worden gewijzigd._x000a_De kenmerken bepalen welk deel van de te leveren warmte|koude door het preferente toestel geleverd wordt en hoeveel primair energiegebruik en CO2 emissie dat kost." sqref="D99" xr:uid="{C11F22D5-CC88-4D3D-821A-F4A381C0399B}"/>
    <dataValidation allowBlank="1" showInputMessage="1" showErrorMessage="1" promptTitle="Te leveren warmte en koude" prompt="Aan het distributiesysteem te leveren warmte|koude wordt berekend op basis van de warmte- en koudevraag van woningen en utiliteitsgebouwen (energiebehoefte per energiepost), de verliezen door warmte-/koudedistributie en gebruik van thermische zonnewarmte." sqref="D93" xr:uid="{D4B5890F-3C53-4CF5-907F-524838AA0F4F}"/>
    <dataValidation allowBlank="1" showInputMessage="1" showErrorMessage="1" promptTitle="Keuze preferent toestel" prompt="De keuze van het preferente toestel bepaalt welke forfaitaire waarden voor warmtedistributie, energiedragers en rendementen uit de bibliotheek worden opgehaald." sqref="D79" xr:uid="{BCFF0377-1966-4246-9EDD-207CB7E6BB6D}"/>
    <dataValidation allowBlank="1" showInputMessage="1" showErrorMessage="1" promptTitle="Installatie" prompt="De installatie voor verwarming, koeling en warmtapwater wordt vastgelegd door keuze voor het type preferent toestel, de warmteverliezen door interen en externe warmtedistributie en gebruik van thermische zonne-energie." sqref="D78" xr:uid="{C80D1244-1F31-46B5-BF54-0882ED0F364F}"/>
    <dataValidation allowBlank="1" showInputMessage="1" showErrorMessage="1" promptTitle="Thermische zonne-energie" prompt="Het thermisch zonne-energiesysteem levert een % van de warmtevraag inclusief intern distributieverlies._x000a__x000a_In de UMGO worden de volgende forfaitaire waarden aangehouden:_x000a_- ruimteverwarming: 15%;_x000a_- warmtapwater: 50%." sqref="D86" xr:uid="{58ED30E9-2BC8-4ABC-BF0D-F9DB0AE7B330}"/>
    <dataValidation allowBlank="1" showInputMessage="1" showErrorMessage="1" promptTitle="Energie niet voor verwarmen/koel" prompt="Elektra en gas NIET voor verwarmen/koelen._x000a_- gebouwgebonden (hulpenergie_x000a_   toestellen, verlichting,_x000a_   ventilatoren);_x000a_- niet gebouwgebonden (apparatuur_x000a_   (tv, computer, elektrisch koken,_x000a_   klusapparatuur, etc), mobiliteit);_x000a_-  kookgas" sqref="D149" xr:uid="{800D11F2-71A2-4CFF-9096-C4527931B350}"/>
    <dataValidation type="decimal" allowBlank="1" showInputMessage="1" showErrorMessage="1" errorTitle="Bereik 0,0-0,5" error="De ingevoerde waarde valt buiten het bereik." sqref="O126:Q126 AA126:AC126 AY126:BA126 AM126:AO126" xr:uid="{91C667E3-99A6-4841-9EFA-719D3E3AA9F0}">
      <formula1>0</formula1>
      <formula2>0.5</formula2>
    </dataValidation>
    <dataValidation type="decimal" allowBlank="1" showInputMessage="1" showErrorMessage="1" errorTitle="Bereik 0,0-1,0" error="De ingevoerde waarde valt buiten het bereik." sqref="AY152:BA152 AA120:AC120 AY120:BA120 O145:Q145 AA145:AC145 AY145:BA145 O152:Q152 AA152:AC152 P120:Q120 AM152:AO152 AM145:AO145 AM120:AO120" xr:uid="{881FA629-CE90-4F7E-9FDE-FCF4001FC98D}">
      <formula1>0</formula1>
      <formula2>1</formula2>
    </dataValidation>
    <dataValidation type="decimal" allowBlank="1" showInputMessage="1" showErrorMessage="1" errorTitle="Bereik 0,0-2,0" error="De ingevoerde waarde valt buiten het bereik." sqref="O116:Q116 AA116:AC116 AY116:BA116 O141:Q141 AA141:AC141 AY141:BA141 O120 AM141:AO141 AM116:AO116" xr:uid="{A89C4F9B-633D-490C-879F-94D8E88B1F20}">
      <formula1>0</formula1>
      <formula2>2</formula2>
    </dataValidation>
    <dataValidation type="decimal" allowBlank="1" showInputMessage="1" showErrorMessage="1" errorTitle="Bereik 0,10-1,00" error="De ingevoerde waarde valt buiten het bereik." sqref="O84 Q84 AA84 AC84 AY84 BA84 AM84 AO84" xr:uid="{391C3B08-5F1C-469C-8FF6-B49C77FF75FF}">
      <formula1>0.1</formula1>
      <formula2>1</formula2>
    </dataValidation>
    <dataValidation type="decimal" operator="greaterThanOrEqual" allowBlank="1" showInputMessage="1" showErrorMessage="1" errorTitle="Bereik ≥0" error="De ingevoerde waarde valt buiten het bereik." promptTitle="Energiepakket / energiebehoefte" sqref="O70:W70 AA70:AI70 AY70:BG70 AM70:AU70" xr:uid="{3A72A02D-3175-49BD-AFF1-C09A3B922A3A}">
      <formula1>0</formula1>
    </dataValidation>
    <dataValidation type="decimal" operator="greaterThanOrEqual" allowBlank="1" showInputMessage="1" showErrorMessage="1" errorTitle="Bereik ≥0" error="De ingevoerde waarde valt buiten het bereik." sqref="BA91 O68:W68 AA68:AI68 O91 Q91 AA91 AC91 AM91 AO91 AY91 AY68:BG68 AM68:AU68" xr:uid="{907A4451-3297-40D0-8AB4-A352BE0B2203}">
      <formula1>0</formula1>
    </dataValidation>
    <dataValidation type="decimal" allowBlank="1" showInputMessage="1" showErrorMessage="1" errorTitle="Bereik 0-30" error="De ingevoerde waarde valt buiten het bereik." sqref="O45:W45 AA45:AI45 AY45:BG45 AM45:AU45" xr:uid="{E611C823-8FBB-47FA-B552-9A377B734CA2}">
      <formula1>0</formula1>
      <formula2>30</formula2>
    </dataValidation>
    <dataValidation type="decimal" operator="greaterThanOrEqual" allowBlank="1" showInputMessage="1" showErrorMessage="1" errorTitle="Bereik ≥0" error="De ingevulde waarde valt buiten het bereik." sqref="O25:W25 AA25:AI25 AY25:BG25 AM25:AU25" xr:uid="{6D0D64B5-4B72-4878-BD4E-546832393445}">
      <formula1>0</formula1>
    </dataValidation>
    <dataValidation type="decimal" allowBlank="1" showInputMessage="1" showErrorMessage="1" errorTitle="Bereik 0%-100%" error="De ingevoerde waarde valt buiten het bereik." sqref="O48:W48 AA48:AI48 AY48:BG48 AM48:AU48" xr:uid="{8A4970DE-F6EF-49C8-A2AF-04D93C313223}">
      <formula1>0</formula1>
      <formula2>1</formula2>
    </dataValidation>
    <dataValidation type="decimal" allowBlank="1" showInputMessage="1" showErrorMessage="1" errorTitle="Bereik 0,1-15,0" error="De ingevoerde waarde valt buiten het bereik." sqref="AA109:AC109 AY109:BA109 AY137:BA137 O137:Q137 AA137:AC137 O109:Q109 AM137:AO137 AM109:AO109" xr:uid="{82D85312-16C0-45AD-8E02-C3DE001080CE}">
      <formula1>0.1</formula1>
      <formula2>15</formula2>
    </dataValidation>
    <dataValidation type="decimal" allowBlank="1" showInputMessage="1" showErrorMessage="1" errorTitle="Bereik 0%-100%" error="De ingevoerde waarde is buiten het bereik." sqref="AY106:BA106 AA106:AC106 O106:Q106 AM106:AO106" xr:uid="{ACAA97A8-B7EC-4B4A-953E-D9E587118B90}">
      <formula1>0</formula1>
      <formula2>1</formula2>
    </dataValidation>
    <dataValidation allowBlank="1" showInputMessage="1" showErrorMessage="1" promptTitle="Hernieuwbaar ext. warmte/koude" prompt="Ingezette hernieuwbare energie door externe warmte-/koudelevering._x000a__x000a_EPren;gen;out = Q[HCW];gen;out * fPren;d[hcw]X_x000a__x000a_X staat voor 'kwal' (kwalteitsverklaring) of 'forf' (forfaitair)._x000a__x000a_Cf. NTA8800 par. 5.6.2." sqref="D212" xr:uid="{A1747D8B-3524-4050-8E52-37C52B1C7CF4}"/>
    <dataValidation allowBlank="1" showInputMessage="1" showErrorMessage="1" promptTitle="primaire energie indicator" prompt="Het totale gebouwgebonden primaire (vermeden) energiegebruik (voor woningen ZONDER verlichting) in kWh/m2._x000a__x000a_NTA8800, par. 5.3.1.2_x000a__x000a_" sqref="D287" xr:uid="{29541170-EE78-462A-AA02-00C05441B124}"/>
    <dataValidation allowBlank="1" showInputMessage="1" showErrorMessage="1" promptTitle="energiebehoefte-indicator" prompt="Warmtebehoefte ruimteverwarming + koudebehoefte voor koeling, berekend met ventilatiesysteem C1, in kWh/m2._x000a__x000a_NTA8800, par. 5.3.1.1_x000a__x000a_" sqref="D286" xr:uid="{7AB65200-708C-4240-B25A-F264121E1C06}"/>
    <dataValidation allowBlank="1" showInputMessage="1" showErrorMessage="1" promptTitle="Energieprestaties" prompt="De berekende energieprestatie (bestaande bouw EN nieuwbouw) is afgezet tegen de BENG eisen voor NIEUWBOUW._x000a__x000a_GROEN: berekende waarde voldoet WEL aan de eis_x000a_ROOD: berekende waarde voldoet NIET aan de eis_x000a__x000a_" sqref="D285" xr:uid="{B003FF93-EED2-48B0-9B27-4B9F4414011A}"/>
    <dataValidation allowBlank="1" showInputMessage="1" showErrorMessage="1" promptTitle="BENG eisen 2021" prompt="De BENG eisen zijn overgenomen van:_x000a__x000a_https://zoek.officielebekendmakingen.nl/stb-2019-501.html_x000a__x000a_" sqref="D281" xr:uid="{C88BBCFC-2E69-4F80-99AF-7781EDB4DD9B}"/>
    <dataValidation allowBlank="1" showInputMessage="1" showErrorMessage="1" promptTitle="Energiegebruik per energiepost" prompt="Per deellocatie is de energiebehoefte van alle woningen en gebouwen per energiepost gesommeerd." sqref="D75" xr:uid="{DFC6761E-66B6-43E9-A200-61054010EF22}"/>
    <dataValidation allowBlank="1" showInputMessage="1" showErrorMessage="1" promptTitle="Besparing elektr. apparatuur" prompt="Reductie van het niet gebouwgebonden elektriciteitsgebruik zoals dat in de onderstaande tabel is berekend._x000a__x000a_Een reductie van 100% betekent dat in de UMGO het niet gebouwgebonden elektriciteitsgebruik niet in de berekening wordt meegenomen." sqref="D48" xr:uid="{23B1114C-E325-43C0-9B2A-EBCCB33A954F}"/>
    <dataValidation allowBlank="1" showInputMessage="1" showErrorMessage="1" promptTitle="Elektriciteitsgebruik overig" prompt="Het elektriciteitsgebruik binnen het gebouw, niet gerelateerd aan gebouwinstallaties (computers, printers, elektrisch koken, klusapparatuur et cetera)._x000a__x000a_Voor woningen zijn CBS cijfers gebruikt. Voor utiliteitsgebouwen tabel 7.3 uit NTA8800." sqref="D66" xr:uid="{6E4FC5F2-02AB-46BA-8D12-C56D004204F1}"/>
    <dataValidation allowBlank="1" showInputMessage="1" showErrorMessage="1" promptTitle="Elektriciteitsvraag ventilatoren" prompt="De elektriciteitsvraag voor ventilatoren is afgeleid met gebouwen uit de energielabeldatabase (UT) en Voorbeeldgebouwen 2020. Na (her)berekenen met NTA8800 wordt de elektricitetsvraag berekend obv:_x000a_- ventilatiesysteem_x000a_- wissel-gelijkstroom/installatiejaar" sqref="D64" xr:uid="{C0A44A14-10A6-44CB-B777-31118103BF35}"/>
    <dataValidation allowBlank="1" showInputMessage="1" showErrorMessage="1" promptTitle="Elektriciteitsvraag verlichting" prompt="De elektriciteitsvraag voor verlichting is afgeleid met gebouwen uit de energielabeldatabase (UT) en Voorbeeldgebouwen 2020. Na (her)berekenen met NTA8800 wordt de elektricitetsvraag berekend obv:_x000a_- geïnstalleerd vermogen in W/m2_x000a_- verlichtingsregeling" sqref="D63" xr:uid="{273056A8-E1D5-4466-BEC6-040F5FB0B6D8}"/>
    <dataValidation allowBlank="1" showInputMessage="1" showErrorMessage="1" promptTitle="Koudebehoefte koeling" prompt="De koudebehoefte voor koeling is afgeleid met data van gebouwen uit de energielabeldatabase (UT) en Voorbeeldgebouwen 2020. Na (her)berekenen met NTA8800 is een verband afgeleid tussen koudebehoefte en:_x000a_- Als/Ag_x000a_- U gem_x000a_- vent.sys." sqref="D61" xr:uid="{59D0C749-BC4A-4B0F-98EE-C6F7BFE28C31}"/>
    <dataValidation allowBlank="1" showInputMessage="1" showErrorMessage="1" promptTitle="Warmtebehoefte ruimteverwarming" prompt="De warmtebehoefte voor verwarming is afgeleid met data van gebouwen uit de energielabeldatabase (UT) en Voorbeeldgebouwen 2020. Na (her)berekenen met NTA8800 is een verband afgeleid tussen warmtebehoefte en:_x000a_- Als/Ag_x000a_- U gem_x000a_- vent.sys." sqref="D60" xr:uid="{29CB3B7F-66EC-4F6B-BE87-062D95371A89}"/>
    <dataValidation allowBlank="1" showInputMessage="1" showErrorMessage="1" promptTitle="Hernieuwbaar door vrije koeling" prompt="Geleverde energie door vrije koeling. Mits EER &gt;= 8 (anders EPren;gen;out = 0)_x000a__x000a_EPren;gen;out = QC;gen;out * fPren;rencold_x000a__x000a_Cf. NTA8800 par. 5.6.2.2_x000a_" sqref="D265 D210" xr:uid="{832AA52A-7F9C-490C-955C-80F158000952}"/>
    <dataValidation allowBlank="1" showInputMessage="1" showErrorMessage="1" promptTitle="Aandeel hernieuwb. prim energie" prompt="Aandeel hernieuwbare energie._x000a__x000a_RERPrenTOT = EPrenTot / (EPTot + EPrenTot) * 100%_x000a__x000a_Cf. NTA8800 par. 5.3.1.3, formule 5.3" sqref="D275" xr:uid="{349DFEC3-A9C1-4783-BA38-DDB696A857F5}"/>
    <dataValidation allowBlank="1" showInputMessage="1" showErrorMessage="1" promptTitle="Hernieuwb. abs. koel ext. warmte" prompt="Geleverde energie door absorptiekoeling op externe warmtelevering._x000a__x000a_EPren;gen;out = QC;gen;out * fPren;dhX_x000a__x000a_Waarbij de X in fPren;dhX staat voor 'kwal' (met) of 'forf' (zonder kwalteitsverklaring)._x000a__x000a_Cf. NTA8800 par. 5.6.2." sqref="D268 D213" xr:uid="{1AF973A8-6AC1-4190-B893-34ACDFC7FB0B}"/>
    <dataValidation allowBlank="1" showInputMessage="1" showErrorMessage="1" promptTitle="Totaal hernieuwbare prim energie" prompt="Hernieuwbare 'primaire' energie van de woning of het gebouw." sqref="D273" xr:uid="{FF1D372C-D621-4EDE-9FA4-49EC7A04997F}"/>
    <dataValidation allowBlank="1" showInputMessage="1" showErrorMessage="1" promptTitle="Hernieuwbaar opgewekte elek." prompt="Op het eigen perceel opgewekte primaire hernieuwbare elektriciteit._x000a__x000a_EPren;el = Eel;PV/PVT/wind * fPren;renelect_x000a__x000a_Cf. NTA8800 par. 5.6.2.4." sqref="D271 D215" xr:uid="{26BA2020-E712-44C4-BD12-30F37DD658AE}"/>
    <dataValidation allowBlank="1" showInputMessage="1" showErrorMessage="1" promptTitle="Hernieuwbaar zonne-energie therm" prompt="Onder praktijkomstandigheden aangeleverde hoeveelheid hernieuwbare energie, door thermische zonne-energiesystemen (zonneboiler(combi)s op eigen perceel._x000a__x000a_EPren;sol;prac = QHW;sol;prac * fPren;renheat_x000a__x000a_Cf. NTA8800 par. 5.6.2._x000a_" sqref="D269 D214" xr:uid="{C6D7E969-BB58-49BA-A459-2EA05103DD64}"/>
    <dataValidation allowBlank="1" showInputMessage="1" showErrorMessage="1" promptTitle="Hernieuwbaar ext. warmte/koude" prompt="Ingezette hernieuwbare energie door externe warmte-/koudelevering. Waarbij de X in fPren;d[hcw]X staat voor 'kwal' (met) of 'forf' (zonder kwalteitsverklaring)._x000a__x000a_EPren;gen;out = Q[HCW];gen;out * fPren;d[hcw]X_x000a__x000a_Cf. NTA8800 par. 5.6.2._x000a_" sqref="D267" xr:uid="{CA73F30D-D1F8-4251-A8EA-DB340B0BD416}"/>
    <dataValidation allowBlank="1" showInputMessage="1" showErrorMessage="1" promptTitle="Hernieuwbare energie biomassa" prompt="Ingezette hernieuwbare energie door biomassatoestel._x000a__x000a_EPren;gen;out = QHW;gen;out * fPren;bmX_x000a__x000a_Waarbij de X in fPren;bmX staat voor A, B of C afhankelijk van het type biomassa._x000a__x000a_Cf. NTA8800 par. 5.6.2._x000a_" sqref="D266 D211" xr:uid="{201B8E7E-64E5-4B12-A841-F0FC558F8C2F}"/>
    <dataValidation allowBlank="1" showInputMessage="1" showErrorMessage="1" promptTitle="Hernieuwbare energie warmtepomp" prompt="Ingezette hernieuwbare energie door warmtepompen. Mits EN:_x000a_- COP (of eta) &gt;=1,0;_x000a_- bron is GEEN ventilatieretourlucht_x000a_- warmtepomp GEEN booster-wp._x000a__x000a_EPren;hp = QHW;gen;hp;out * (1-1/COP) * fPren;renheat_x000a__x000a_Cf. NTA8800 par. 5.6.2." sqref="D264 D209" xr:uid="{14CBBEFD-EC07-4716-A0FC-0F4720F6BF96}"/>
    <dataValidation allowBlank="1" showInputMessage="1" showErrorMessage="1" promptTitle="Aantal toestellen" prompt="Voor toestellen met geografisch niveau:_x000a_- 'gebouw': aantal woningen en gebouwen in deellocatie._x000a_- 'gebied': totale gebruiksoppervlakte in deelgebied delen door gemiddeld maximaal te verwarmen/koelen oppervlak._x000a_- 'centraal': 1." sqref="D95" xr:uid="{499EAD71-6E4C-435F-9503-C4FCDEC4F8EC}"/>
    <dataValidation allowBlank="1" showInputMessage="1" showErrorMessage="1" promptTitle="Vermogen verwarming &amp; koeling" prompt="Een indicatie van het verwarmings- en koelvermogen op basis van formules NTA8800. Zie 'bibliotheek' voor meer details." sqref="D96" xr:uid="{5FE304A7-F24B-4A1C-A04A-BF502145CEA6}"/>
    <dataValidation type="list" allowBlank="1" showInputMessage="1" showErrorMessage="1" sqref="O46:W46 AA46:AI46 AY46:BG46 AM46:AU46" xr:uid="{DD68433B-8B91-4037-839D-8989EAEB978F}">
      <formula1>verlichtingsregeling_namen</formula1>
    </dataValidation>
    <dataValidation type="list" allowBlank="1" showInputMessage="1" showErrorMessage="1" sqref="O43:W43 AA43:AI43 AY43:BG43 AM43:AU43" xr:uid="{2256B216-BDA5-4620-B91D-FB81C319DCDB}">
      <formula1>ventilatoren_typen</formula1>
    </dataValidation>
    <dataValidation type="list" allowBlank="1" showInputMessage="1" showErrorMessage="1" sqref="O42:W42 AY42:BG42 AA42:AI42 AM42:AU42" xr:uid="{4E15EFD2-1C2F-4DD4-8698-A4FF5916FC17}">
      <formula1>ventilatiesystemen_namen</formula1>
    </dataValidation>
    <dataValidation allowBlank="1" showInputMessage="1" showErrorMessage="1" promptTitle="Correctiefactor ruimteverwarming" prompt="Werkelijk energiegebruik voor ruimteverwarming wijkt vaak af van energiegebruik cf. EPG._x000a__x000a_Slecht geïsoleerde woningen verbruiken gemiddeld minder en goed geïsoleerde woningen verbruiken gemiddeld meer dan berekend._x000a__x000a_Deze correctiefactor verrekent dat." sqref="D54:D55" xr:uid="{BC65CEB3-45C2-467F-8C35-56BB1C65D921}"/>
    <dataValidation type="list" allowBlank="1" showInputMessage="1" showErrorMessage="1" errorTitle="Toestel RV" error="Kies een beschikbaar toestel." sqref="Q87 AA87 AC87 AM87 AO87 AY87 BA87 O87" xr:uid="{54B6A94D-6B3A-4802-9BC8-3ACB4EB61039}">
      <formula1>"ja,nee"</formula1>
    </dataValidation>
    <dataValidation allowBlank="1" showInputMessage="1" showErrorMessage="1" promptTitle="Isolatiepakket gebouwschil" prompt="De aangeboden isolatiepakketten voor de gebouwschil bepalen de gemiddelde warmtedoorgangscoëfficiënt van de gebouwschil. In de bibliotheek zijn de Rc- en U-waarden per pakket en per bouwdeel aangegeven._x000a__x000a_Eigen pakketten zijn daaraan toe te voegen." sqref="D40" xr:uid="{1E251B2C-CA43-4774-8728-A5EE84478D11}"/>
    <dataValidation allowBlank="1" showInputMessage="1" showErrorMessage="1" promptTitle="Warmtebehoefte warmtapwater" prompt="De energiebehoefte voor warmtapwatergebruik wordt berekend op basis van rekenregels in NTA8800 (paragraaf 13.2)." sqref="D62" xr:uid="{D6BB228D-314A-4AA0-9A13-657343E81379}"/>
    <dataValidation allowBlank="1" showInputMessage="1" showErrorMessage="1" promptTitle="Gegevensfilter en navigatie" prompt="&lt;-_x000a_Het gegevensfilter biedt de mogelijkheid om (delen van) tabellen in de UMGO te filteren._x000a__x000a_-&gt;_x000a_Navigatieknoppen naar andere tabbladen." sqref="D8" xr:uid="{0C1A49D3-B164-4037-BA02-E8EFC1E92274}"/>
    <dataValidation allowBlank="1" showInputMessage="1" showErrorMessage="1" promptTitle="Distributieverlies binnen gebouw" prompt="Warmtedistributieverlies binnen woning|gebouw voor ruimteverwarming en warmtapwater, en afgifteverlies (radiator, vloerverwarming) voor ruimteverwarming._x000a_(Afgifteverlies voor warmtapwater zit verwerkt in het kengetal voor energiebehoefte warmtapwater.)" sqref="D82" xr:uid="{6BB49B9A-1656-436B-9665-DC2D8F68577E}"/>
    <dataValidation type="list" allowBlank="1" showInputMessage="1" showErrorMessage="1" sqref="Q80 AC80 BA80 AO80" xr:uid="{4BA72876-FB63-4E2A-8FDD-FAD1AF2C2184}">
      <formula1>toestellen_TAP_invoer</formula1>
    </dataValidation>
    <dataValidation type="list" allowBlank="1" showInputMessage="1" showErrorMessage="1" sqref="P80 AB80 AZ80 AN80" xr:uid="{02E77A46-6FC6-4BAF-A732-C34386A4A11F}">
      <formula1>toestellen_KOEL_invoer</formula1>
    </dataValidation>
    <dataValidation type="list" allowBlank="1" showInputMessage="1" showErrorMessage="1" sqref="AY80" xr:uid="{E54486C8-1BCF-4C21-8CD6-27BBFC602A4C}">
      <formula1>toestellen_RV_invoer</formula1>
    </dataValidation>
    <dataValidation type="list" allowBlank="1" showInputMessage="1" showErrorMessage="1" sqref="F5" xr:uid="{990DDE03-3405-477E-B566-404F6D1185C3}">
      <formula1>opwekking_elektriciteit</formula1>
    </dataValidation>
    <dataValidation allowBlank="1" showInputMessage="1" showErrorMessage="1" promptTitle="BENG-eisen" prompt="Als er meer dan één gebruiksfunctie is, dan is de eis gelijk aan het naar gebruiksoppervlakte gewogen gemiddelde over de verschillende functies." sqref="A273" xr:uid="{D1A01966-E279-4A97-BC74-C291C718F6AB}"/>
    <dataValidation allowBlank="1" showInputMessage="1" showErrorMessage="1" promptTitle="Primair energiegebruik" prompt="De Uniforme Maatlat rekent op onderwaarde. De EPG rekent echter op bovenwaarde. De berekende primaire energiebruiken in de EPG zijn daarom hoger." sqref="D159" xr:uid="{A78B9C59-7023-4260-BA29-ADB5E1E2FEBD}"/>
    <dataValidation allowBlank="1" showInputMessage="1" showErrorMessage="1" promptTitle="Regerenatie WKO" prompt="Indien regeneratie van de WKO wordt voorzien wordt het elektriciteitsverbruik voor regeneratie bepaald als volgt:_x000a_Elektriciteitsverbruik regeneratie = abs (hoeveelheid warmte uit aquifer – hoeveelheid koude uit aquifer) * specifiek vermogen regeneratie_x000a_" sqref="D123" xr:uid="{F17031EF-A8E4-4F1C-8E8D-8A78F5C99E10}"/>
    <dataValidation type="whole" allowBlank="1" showInputMessage="1" showErrorMessage="1" sqref="AN139:AO139 AN142:AO143 AB142:AC143 P142:Q143 AB139:AC139 AZ142:BA142" xr:uid="{26EF1422-0A0F-4E4C-92DD-2E7451E11BFF}">
      <formula1>0</formula1>
      <formula2>1</formula2>
    </dataValidation>
    <dataValidation type="decimal" allowBlank="1" showInputMessage="1" showErrorMessage="1" sqref="AM139 AM142:AM143 AA142:AA143 O142:O143 AA139 AY142" xr:uid="{A55394B4-B0FE-4535-947A-61D24E38B9B1}">
      <formula1>0</formula1>
      <formula2>1</formula2>
    </dataValidation>
    <dataValidation allowBlank="1" showInputMessage="1" showErrorMessage="1" promptTitle="Primaire energiefactor" prompt="Het is mogelijk een eigen primaire energiefactor in te voeren. _x000a_Let op: Het verrekenen van aftapwarmte gaat via 'gederfde elektriciteit'." sqref="D140" xr:uid="{D042A57F-4D21-4745-97A9-4DF43ADF7484}"/>
    <dataValidation allowBlank="1" showInputMessage="1" showErrorMessage="1" promptTitle="Opwekkingsrendement" prompt="Binnen de Uniforme Maatlat wordt het opwekkingsrendement op bovenwaarde gebruikt." sqref="D108" xr:uid="{0FD662F8-0BE1-4944-9A2C-53745A132FCF}"/>
    <dataValidation allowBlank="1" showInputMessage="1" showErrorMessage="1" promptTitle="Forfaitaire waarden PV" prompt="Forfaitaire waarde voor opbrengst van PV: 875 kWh/kWp._x000a_" sqref="D168" xr:uid="{1B2FAB8E-5717-4D0A-9F18-FB6FDB88D201}"/>
    <dataValidation allowBlank="1" showInputMessage="1" showErrorMessage="1" promptTitle="Distributieverlies extern" prompt="Het warmteverlies bij warmtedistributie buiten het gebouw in MWh per woning en/of utiliteitsgebouw._x000a__x000a_Als hiervoor waarden beschikbaar zijn, kunnen de forfaitaire waarden uit het model worden overschreven." sqref="D89" xr:uid="{AC781ACF-49E9-4215-9CA5-B8B0C56D2F31}"/>
    <dataValidation allowBlank="1" showInputMessage="1" showErrorMessage="1" promptTitle="Relatieve bijdrage per type" prompt="De relatieve bijdrage per energiepost (verwarming, warmtapwater, ..) wordt per type woning, woongebouw, utiliteitsgebouw bepaald op basis van de primaire energiegebruiken conform EPG/BENG." sqref="D234" xr:uid="{B747058F-3F4A-44FB-AD83-8A2D74C80F0F}"/>
    <dataValidation allowBlank="1" showInputMessage="1" showErrorMessage="1" promptTitle="Karakteristiek energiegebruik" prompt="Totaal naar primaire energie omgerekend fossiele brandstoffen voor gebouwgebonden energiegebruik (voor woningen ZONDER verlichting), verminderd met primair energiegebruik op eigen perceel geproduceerde energie._x000a__x000a_Cf. NTA8800 par. 5.5." sqref="D262" xr:uid="{3DC9F558-1EFA-4635-A546-C86F7D04B058}"/>
    <dataValidation allowBlank="1" showInputMessage="1" showErrorMessage="1" promptTitle="PV" prompt="Opbrengst PV op gevel en dak in kWh per woning | utiliteitsgebouw." sqref="D70" xr:uid="{7F0C921F-769B-4D17-894C-00E69AE2F0A2}"/>
    <dataValidation allowBlank="1" showInputMessage="1" showErrorMessage="1" promptTitle="Mobiliteit" prompt="Het geschatte elektriciteitsgebruik voor mobiliteit, bijvoorbeeld door elektrische auto's, kan worden ingevuld in kWh per woning of per utiliteitsgebouw." sqref="D68" xr:uid="{BCD56891-FFD8-4367-A3B9-BFB5578E3F99}"/>
    <dataValidation allowBlank="1" showInputMessage="1" showErrorMessage="1" promptTitle="Warmte-/koudebehoefte" prompt="De warmte- en koudebehoefte van de woning of het utiliteitsgebouw is gegeven in kWh/m2._x000a__x000a_Het is geen maat voor BENG 1, omdat het ventilatiesysteem voor BENG 1 per definitie C1 moet zijn. En dat is hier niet het geval." sqref="D225" xr:uid="{14518B19-577A-4CF7-A6B2-E87DB6FC1C3A}"/>
    <dataValidation allowBlank="1" showInputMessage="1" showErrorMessage="1" promptTitle="Primair energiegebruik" prompt="Het primair energiegebruik in kWh_prim/m2.jaar per woningtype, per energiepost en voor het totaal._x000a__x000a_Het primair energiegebruik in GJ_prim/jaar per (deel)locatie, per energiepost en voor het totaal._x000a__x000a_Het is geen maat voor BENG 2." sqref="D239" xr:uid="{E97FA28A-DE82-410D-A3D7-C153C0FA1AE7}"/>
    <dataValidation type="list" allowBlank="1" showInputMessage="1" showErrorMessage="1" errorTitle="Toestel RV" error="Kies een beschikbaar toestel." sqref="AA80 O80 AM80" xr:uid="{EC39CA34-F487-411C-BD1B-7D646BEF7192}">
      <formula1>toestellen_RV_invoer</formula1>
    </dataValidation>
    <dataValidation allowBlank="1" showInputMessage="1" showErrorMessage="1" promptTitle="CO2 emisse" prompt="De CO2 emissie in kg/m2.jaar per woningtype, per energiepost en voor het totaal._x000a__x000a_De CO2 emissie in ton/jaar per (deel)locatie, per energiepost en voor het totaal._x000a__x000a_" sqref="D300" xr:uid="{88AD6A87-3FB5-420D-A8A0-4214E00D877A}"/>
  </dataValidations>
  <hyperlinks>
    <hyperlink ref="D281" r:id="rId1" tooltip="verwijzing naar Staatsblad 2019, 501 met BENG-eisen" xr:uid="{1123BD04-B014-4231-AECB-A02160E69093}"/>
  </hyperlinks>
  <pageMargins left="0.23622047244094491" right="0.23622047244094491" top="0.74803149606299213" bottom="0.74803149606299213" header="0.31496062992125984" footer="0.31496062992125984"/>
  <pageSetup paperSize="9" scale="25" fitToHeight="0" orientation="landscape"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564225" r:id="rId5" name="Correctie_RV">
              <controlPr defaultSize="0" autoFill="0" autoLine="0" autoPict="0">
                <anchor moveWithCells="1">
                  <from>
                    <xdr:col>6</xdr:col>
                    <xdr:colOff>66675</xdr:colOff>
                    <xdr:row>5</xdr:row>
                    <xdr:rowOff>0</xdr:rowOff>
                  </from>
                  <to>
                    <xdr:col>6</xdr:col>
                    <xdr:colOff>542925</xdr:colOff>
                    <xdr:row>6</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53" id="{0C196CB2-4285-46F3-B964-F216333C8608}">
            <xm:f>OR(O$19="",O$24=0,IFERROR(INDEX(bibliotheek!$J$51:$J$56,MATCH(IF(O$19="",bibliotheek!$E$51,O$42),ventilatiesystemen_namen,0))="A",0))</xm:f>
            <x14:dxf>
              <font>
                <color theme="0" tint="-4.9989318521683403E-2"/>
              </font>
              <fill>
                <patternFill>
                  <bgColor theme="0" tint="-4.9989318521683403E-2"/>
                </patternFill>
              </fill>
            </x14:dxf>
          </x14:cfRule>
          <xm:sqref>O43:W43 AA43:AI43 AM43:AU43 AY43:BG43</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0e89882f-b914-43a4-b7a7-3a7891b2d616">
      <Terms xmlns="http://schemas.microsoft.com/office/infopath/2007/PartnerControls"/>
    </lcf76f155ced4ddcb4097134ff3c332f>
    <TaxCatchAll xmlns="44012b7d-02f8-43e6-8cac-d569919209a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EF2A12B231D194687A739496578220B" ma:contentTypeVersion="18" ma:contentTypeDescription="Een nieuw document maken." ma:contentTypeScope="" ma:versionID="e344b9a0c7ba73da8917767bf81928aa">
  <xsd:schema xmlns:xsd="http://www.w3.org/2001/XMLSchema" xmlns:xs="http://www.w3.org/2001/XMLSchema" xmlns:p="http://schemas.microsoft.com/office/2006/metadata/properties" xmlns:ns2="0e89882f-b914-43a4-b7a7-3a7891b2d616" xmlns:ns3="44012b7d-02f8-43e6-8cac-d569919209ad" targetNamespace="http://schemas.microsoft.com/office/2006/metadata/properties" ma:root="true" ma:fieldsID="43691187caa2269d0f4f1bdcb9ffe0e2" ns2:_="" ns3:_="">
    <xsd:import namespace="0e89882f-b914-43a4-b7a7-3a7891b2d616"/>
    <xsd:import namespace="44012b7d-02f8-43e6-8cac-d569919209a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89882f-b914-43a4-b7a7-3a7891b2d6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Afbeeldingtags" ma:readOnly="false" ma:fieldId="{5cf76f15-5ced-4ddc-b409-7134ff3c332f}" ma:taxonomyMulti="true" ma:sspId="761fd13a-52b1-485b-ba5b-ae6febacd0fb"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4012b7d-02f8-43e6-8cac-d569919209ad" elementFormDefault="qualified">
    <xsd:import namespace="http://schemas.microsoft.com/office/2006/documentManagement/types"/>
    <xsd:import namespace="http://schemas.microsoft.com/office/infopath/2007/PartnerControls"/>
    <xsd:element name="SharedWithUsers" ma:index="13"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Gedeeld met details" ma:internalName="SharedWithDetails" ma:readOnly="true">
      <xsd:simpleType>
        <xsd:restriction base="dms:Note">
          <xsd:maxLength value="255"/>
        </xsd:restriction>
      </xsd:simpleType>
    </xsd:element>
    <xsd:element name="TaxCatchAll" ma:index="21" nillable="true" ma:displayName="Taxonomy Catch All Column" ma:hidden="true" ma:list="{25a019e8-9d59-40d8-9bb2-aef4ef6df99b}" ma:internalName="TaxCatchAll" ma:showField="CatchAllData" ma:web="44012b7d-02f8-43e6-8cac-d569919209a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BE224CA-4CAB-45D4-BC85-B82B067F4C87}">
  <ds:schemaRefs>
    <ds:schemaRef ds:uri="0e89882f-b914-43a4-b7a7-3a7891b2d616"/>
    <ds:schemaRef ds:uri="44012b7d-02f8-43e6-8cac-d569919209ad"/>
    <ds:schemaRef ds:uri="http://purl.org/dc/elements/1.1/"/>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E78EBBA5-ACF5-425F-B7D1-18FA57CEA823}">
  <ds:schemaRefs>
    <ds:schemaRef ds:uri="http://schemas.microsoft.com/sharepoint/v3/contenttype/forms"/>
  </ds:schemaRefs>
</ds:datastoreItem>
</file>

<file path=customXml/itemProps3.xml><?xml version="1.0" encoding="utf-8"?>
<ds:datastoreItem xmlns:ds="http://schemas.openxmlformats.org/officeDocument/2006/customXml" ds:itemID="{5A21A97C-989A-4E81-BA1D-C1327E9D03E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13</vt:i4>
      </vt:variant>
      <vt:variant>
        <vt:lpstr>Benoemde bereiken</vt:lpstr>
      </vt:variant>
      <vt:variant>
        <vt:i4>155</vt:i4>
      </vt:variant>
    </vt:vector>
  </HeadingPairs>
  <TitlesOfParts>
    <vt:vector size="168" baseType="lpstr">
      <vt:lpstr>disclaimer</vt:lpstr>
      <vt:lpstr>handleiding</vt:lpstr>
      <vt:lpstr>woningen|utiliteit</vt:lpstr>
      <vt:lpstr>variant 1</vt:lpstr>
      <vt:lpstr>variant 2</vt:lpstr>
      <vt:lpstr>variant 3</vt:lpstr>
      <vt:lpstr>variant 4</vt:lpstr>
      <vt:lpstr>variant 5</vt:lpstr>
      <vt:lpstr>variant 6</vt:lpstr>
      <vt:lpstr>resultaten</vt:lpstr>
      <vt:lpstr>bibliotheek</vt:lpstr>
      <vt:lpstr>wijzigingen 5.0</vt:lpstr>
      <vt:lpstr>Warmtebehoefte algemeen</vt:lpstr>
      <vt:lpstr>aardgas</vt:lpstr>
      <vt:lpstr>bibliotheek!Afdrukbereik</vt:lpstr>
      <vt:lpstr>disclaimer!Afdrukbereik</vt:lpstr>
      <vt:lpstr>handleiding!Afdrukbereik</vt:lpstr>
      <vt:lpstr>resultaten!Afdrukbereik</vt:lpstr>
      <vt:lpstr>'variant 1'!Afdrukbereik</vt:lpstr>
      <vt:lpstr>'variant 2'!Afdrukbereik</vt:lpstr>
      <vt:lpstr>'variant 3'!Afdrukbereik</vt:lpstr>
      <vt:lpstr>'variant 4'!Afdrukbereik</vt:lpstr>
      <vt:lpstr>'variant 5'!Afdrukbereik</vt:lpstr>
      <vt:lpstr>'variant 6'!Afdrukbereik</vt:lpstr>
      <vt:lpstr>'wijzigingen 5.0'!Afdrukbereik</vt:lpstr>
      <vt:lpstr>bibliotheek!Afdruktitels</vt:lpstr>
      <vt:lpstr>handleiding!Afdruktitels</vt:lpstr>
      <vt:lpstr>'wijzigingen 5.0'!Afdruktitels</vt:lpstr>
      <vt:lpstr>aftapwarmte</vt:lpstr>
      <vt:lpstr>BENG_gebruiksfuncties</vt:lpstr>
      <vt:lpstr>BENG1_eis_Als_deeldoor_Ag_kleiner_dan_grenswaarde_1</vt:lpstr>
      <vt:lpstr>BENG1_eis_C1</vt:lpstr>
      <vt:lpstr>BENG1_eis_C2</vt:lpstr>
      <vt:lpstr>BENG1_eis_C3</vt:lpstr>
      <vt:lpstr>BENG1_eis_C4</vt:lpstr>
      <vt:lpstr>BENG1_eis_C5</vt:lpstr>
      <vt:lpstr>BENG1_eis_C6</vt:lpstr>
      <vt:lpstr>BENG1_eis_grenswaarde_1</vt:lpstr>
      <vt:lpstr>BENG1_eis_grenswaarde_2</vt:lpstr>
      <vt:lpstr>BENG2_eis</vt:lpstr>
      <vt:lpstr>BENG3_eis</vt:lpstr>
      <vt:lpstr>bestaand</vt:lpstr>
      <vt:lpstr>bestaand_nieuw</vt:lpstr>
      <vt:lpstr>bijdrage_thermische_zonne_energie_RV</vt:lpstr>
      <vt:lpstr>bijdrage_thermische_zonne_energie_TAP</vt:lpstr>
      <vt:lpstr>biomassa</vt:lpstr>
      <vt:lpstr>bioolie</vt:lpstr>
      <vt:lpstr>centraal</vt:lpstr>
      <vt:lpstr>correctiefactor_C1</vt:lpstr>
      <vt:lpstr>correctiefactor_C2</vt:lpstr>
      <vt:lpstr>Correctiefactoren</vt:lpstr>
      <vt:lpstr>eindnorm_utiliteit_energielabel</vt:lpstr>
      <vt:lpstr>elektriciteit</vt:lpstr>
      <vt:lpstr>elektriciteit_primaire_energiefactor</vt:lpstr>
      <vt:lpstr>energiedrager_elektriciteit_CO2_emissiecoëfficiënt</vt:lpstr>
      <vt:lpstr>energiedrager_elektriciteit_CO2_emissiecoëfficiënt_export</vt:lpstr>
      <vt:lpstr>energiedrager_elektriciteit_kopregel</vt:lpstr>
      <vt:lpstr>ENERGIEDRAGERS</vt:lpstr>
      <vt:lpstr>energiedragers_CO2_emissiefactor</vt:lpstr>
      <vt:lpstr>energiedragers_fPren</vt:lpstr>
      <vt:lpstr>energiedragers_gebouwaansluiting</vt:lpstr>
      <vt:lpstr>energiedragers_geschikt_voor_KOEL</vt:lpstr>
      <vt:lpstr>energiedragers_geschikt_voor_RV</vt:lpstr>
      <vt:lpstr>energiedragers_geschikt_voor_TAP</vt:lpstr>
      <vt:lpstr>energiedragers_index_fPren</vt:lpstr>
      <vt:lpstr>energiedragers_kopregel</vt:lpstr>
      <vt:lpstr>energiedragers_namen</vt:lpstr>
      <vt:lpstr>energiedragers_primaire_energiefactor</vt:lpstr>
      <vt:lpstr>energielabels_grenswaarden</vt:lpstr>
      <vt:lpstr>energielabels_labelnamen</vt:lpstr>
      <vt:lpstr>energieprestatie_werkelijk</vt:lpstr>
      <vt:lpstr>f_P_rencold</vt:lpstr>
      <vt:lpstr>f_P_renelect</vt:lpstr>
      <vt:lpstr>f_P_renheat</vt:lpstr>
      <vt:lpstr>gebied</vt:lpstr>
      <vt:lpstr>gebouw</vt:lpstr>
      <vt:lpstr>gebruiksfuncties_namen</vt:lpstr>
      <vt:lpstr>gederfde_elektriciteit</vt:lpstr>
      <vt:lpstr>geen</vt:lpstr>
      <vt:lpstr>geografische_niveaus_installaties</vt:lpstr>
      <vt:lpstr>GJ</vt:lpstr>
      <vt:lpstr>hernieuwbare_energiebron_getalswaarde</vt:lpstr>
      <vt:lpstr>hernieuwbare_energiebron_getalswaarde_bij_toestellen</vt:lpstr>
      <vt:lpstr>hernieuwbare_energiebron_index</vt:lpstr>
      <vt:lpstr>hernieuwbare_energiebron_namen</vt:lpstr>
      <vt:lpstr>hoog_laag</vt:lpstr>
      <vt:lpstr>installaties_RV_verlies_elek_prod_aftapwarmte</vt:lpstr>
      <vt:lpstr>installaties_TAP_verlies_elek_prod_aftapwarmte</vt:lpstr>
      <vt:lpstr>isolatiepakketten_gebouwschil_namen</vt:lpstr>
      <vt:lpstr>koken_aardgas_per_m2</vt:lpstr>
      <vt:lpstr>koken_elektriciteit</vt:lpstr>
      <vt:lpstr>koken_elektriciteit_per_m2</vt:lpstr>
      <vt:lpstr>koken_gas</vt:lpstr>
      <vt:lpstr>koudebehoefte_C1</vt:lpstr>
      <vt:lpstr>koudebehoefte_C2</vt:lpstr>
      <vt:lpstr>koudebehoefte_C3</vt:lpstr>
      <vt:lpstr>koudebehoefte_C4</vt:lpstr>
      <vt:lpstr>koudebehoefte_koeling_ondergrens</vt:lpstr>
      <vt:lpstr>koudebehoefte_n1</vt:lpstr>
      <vt:lpstr>koudebehoefte_n2</vt:lpstr>
      <vt:lpstr>koudebehoefte_n3</vt:lpstr>
      <vt:lpstr>koudebehoefte_n4</vt:lpstr>
      <vt:lpstr>koudebehoefte_snijpunt</vt:lpstr>
      <vt:lpstr>kWh</vt:lpstr>
      <vt:lpstr>m3gas</vt:lpstr>
      <vt:lpstr>niet_gebouwgebonden_elektriciteitgebruik_woningen_per_m2</vt:lpstr>
      <vt:lpstr>nieuw</vt:lpstr>
      <vt:lpstr>NulEen</vt:lpstr>
      <vt:lpstr>nvt</vt:lpstr>
      <vt:lpstr>opwekking_elektriciteit</vt:lpstr>
      <vt:lpstr>referentie_koeling</vt:lpstr>
      <vt:lpstr>referentie_verwarming</vt:lpstr>
      <vt:lpstr>referentie_warmtapwater</vt:lpstr>
      <vt:lpstr>referentiepakketten_bij_gebouwen</vt:lpstr>
      <vt:lpstr>restwarmte</vt:lpstr>
      <vt:lpstr>specifiek_niet_gebouwgebonden_elektriciteitsgebruik_gebruiksfuncties</vt:lpstr>
      <vt:lpstr>specifiek_niet_gebouwgebonden_elektriciteitsgebruik_waarden</vt:lpstr>
      <vt:lpstr>standaardwaarde_basis</vt:lpstr>
      <vt:lpstr>standaardwaarde_extra_vraag_boven_grenswaarde_vormfactor</vt:lpstr>
      <vt:lpstr>standaardwaarde_grens_vormfactor</vt:lpstr>
      <vt:lpstr>standaardwaarden_gebruiksfuncties</vt:lpstr>
      <vt:lpstr>toestellen_KOEL</vt:lpstr>
      <vt:lpstr>toestellen_KOEL_invoer</vt:lpstr>
      <vt:lpstr>toestellen_KOEL_kopregel</vt:lpstr>
      <vt:lpstr>toestellen_RV</vt:lpstr>
      <vt:lpstr>toestellen_RV_invoer</vt:lpstr>
      <vt:lpstr>toestellen_RV_kopregel</vt:lpstr>
      <vt:lpstr>toestellen_TAP</vt:lpstr>
      <vt:lpstr>toestellen_TAP_invoer</vt:lpstr>
      <vt:lpstr>toestellen_TAP_kopregel</vt:lpstr>
      <vt:lpstr>ventilatiesystemen_code_eenvoudig</vt:lpstr>
      <vt:lpstr>ventilatiesystemen_kenmerken</vt:lpstr>
      <vt:lpstr>ventilatiesystemen_namen</vt:lpstr>
      <vt:lpstr>ventilatoren_typen</vt:lpstr>
      <vt:lpstr>ventilatorenergie_ventilatiesysteem_B_C</vt:lpstr>
      <vt:lpstr>ventilatorenergie_ventilatiesysteem_B_C_kopregel</vt:lpstr>
      <vt:lpstr>ventilatorenergie_ventilatiesysteem_D</vt:lpstr>
      <vt:lpstr>ventilatorenergie_ventilatiesysteem_D_kopregel</vt:lpstr>
      <vt:lpstr>verlichting_parameters_a</vt:lpstr>
      <vt:lpstr>verlichting_parameters_b</vt:lpstr>
      <vt:lpstr>verlichting_parameters_gebruiksfuncties</vt:lpstr>
      <vt:lpstr>verlichting_vermogen_forfaitair</vt:lpstr>
      <vt:lpstr>verlichtingsregeling_kopregel</vt:lpstr>
      <vt:lpstr>verlichtingsregeling_namen</vt:lpstr>
      <vt:lpstr>verlichtingsregeling_waarden</vt:lpstr>
      <vt:lpstr>WaarOnwaar</vt:lpstr>
      <vt:lpstr>warmtapwater_specifieke_warmtebehoefte_gebruiksfuncties</vt:lpstr>
      <vt:lpstr>warmtapwater_specifieke_warmtebehoefte_waarden</vt:lpstr>
      <vt:lpstr>warmtebehoefte_plus_koudebehoefte_ventsysC1_EP1_C</vt:lpstr>
      <vt:lpstr>warmtebehoefte_plus_koudebehoefte_ventsysC1_EP1_n</vt:lpstr>
      <vt:lpstr>warmtebehoefte_plus_koudebehoefte_ventsysC1_EP1_snijpunt</vt:lpstr>
      <vt:lpstr>warmtebehoefte_verwarming_C</vt:lpstr>
      <vt:lpstr>warmtebehoefte_verwarming_gebruiksfuncties</vt:lpstr>
      <vt:lpstr>warmtebehoefte_verwarming_n</vt:lpstr>
      <vt:lpstr>warmtebehoefte_verwarming_ondergrens</vt:lpstr>
      <vt:lpstr>warmtebehoefte_verwarming_snijpunt</vt:lpstr>
      <vt:lpstr>warmtenetten_NL_CO2_emissiecoefficient</vt:lpstr>
      <vt:lpstr>warmtenetten_NL_codes</vt:lpstr>
      <vt:lpstr>warmtenetten_NL_fp_del</vt:lpstr>
      <vt:lpstr>warmtenetten_NL_fp_ren</vt:lpstr>
      <vt:lpstr>warmtenetten_NL_namen</vt:lpstr>
      <vt:lpstr>warmtenetten_NL_voor_KOEL</vt:lpstr>
      <vt:lpstr>warmtenetten_NL_voor_RV</vt:lpstr>
      <vt:lpstr>warmtenetten_NL_voor_TAP</vt:lpstr>
      <vt:lpstr>woning</vt:lpstr>
      <vt:lpstr>woningen_gebouwen_gegevens</vt:lpstr>
      <vt:lpstr>woningen_gebouwen_namen</vt:lpstr>
      <vt:lpstr>woongebouw</vt:lpstr>
    </vt:vector>
  </TitlesOfParts>
  <Manager/>
  <Company>W/E adviseurs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Uniforme Maatlat Rekenmodel 5.0</dc:title>
  <dc:subject/>
  <dc:creator>Pieter Nuiten (W/E adviseurs)</dc:creator>
  <cp:keywords/>
  <dc:description>Versie 24 mei 2013</dc:description>
  <cp:lastModifiedBy>Pieter Nuiten | W/E Adviseurs</cp:lastModifiedBy>
  <cp:revision/>
  <dcterms:created xsi:type="dcterms:W3CDTF">2010-01-26T11:04:21Z</dcterms:created>
  <dcterms:modified xsi:type="dcterms:W3CDTF">2023-04-05T15:50:06Z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0x0101001EF2A12B231D194687A739496578220B</vt:lpwstr>
  </property>
  <property fmtid="{D5CDD505-2E9C-101B-9397-08002B2CF9AE}" pid="3" name="MediaServiceImageTags">
    <vt:lpwstr/>
  </property>
</Properties>
</file>